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4.xml" ContentType="application/vnd.openxmlformats-officedocument.drawing+xml"/>
  <Override PartName="/xl/ctrlProps/ctrlProp27.xml" ContentType="application/vnd.ms-excel.controlpropertie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omments4.xml" ContentType="application/vnd.openxmlformats-officedocument.spreadsheetml.comments+xml"/>
  <Override PartName="/xl/drawings/drawing6.xml" ContentType="application/vnd.openxmlformats-officedocument.drawing+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7.xml" ContentType="application/vnd.openxmlformats-officedocument.drawing+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omments5.xml" ContentType="application/vnd.openxmlformats-officedocument.spreadsheetml.comments+xml"/>
  <Override PartName="/xl/drawings/drawing8.xml" ContentType="application/vnd.openxmlformats-officedocument.drawing+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omments6.xml" ContentType="application/vnd.openxmlformats-officedocument.spreadsheetml.comments+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trlProps/ctrlProp55.xml" ContentType="application/vnd.ms-excel.controlproperties+xml"/>
  <Override PartName="/xl/ctrlProps/ctrlProp56.xml" ContentType="application/vnd.ms-excel.controlproperties+xml"/>
  <Override PartName="/xl/comments10.xml" ContentType="application/vnd.openxmlformats-officedocument.spreadsheetml.comments+xml"/>
  <Override PartName="/xl/charts/chart23.xml" ContentType="application/vnd.openxmlformats-officedocument.drawingml.chart+xml"/>
  <Override PartName="/xl/comments11.xml" ContentType="application/vnd.openxmlformats-officedocument.spreadsheetml.comments+xml"/>
  <Override PartName="/xl/drawings/drawing10.xml" ContentType="application/vnd.openxmlformats-officedocument.drawing+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showInkAnnotation="0" codeName="ThisWorkbook"/>
  <mc:AlternateContent xmlns:mc="http://schemas.openxmlformats.org/markup-compatibility/2006">
    <mc:Choice Requires="x15">
      <x15ac:absPath xmlns:x15ac="http://schemas.microsoft.com/office/spreadsheetml/2010/11/ac" url="C:\Users\jibon\Coding\macroSim\"/>
    </mc:Choice>
  </mc:AlternateContent>
  <xr:revisionPtr revIDLastSave="0" documentId="13_ncr:1_{D6827A1A-076C-4EE4-9D52-E63E34D39254}" xr6:coauthVersionLast="47" xr6:coauthVersionMax="47" xr10:uidLastSave="{00000000-0000-0000-0000-000000000000}"/>
  <bookViews>
    <workbookView xWindow="0" yWindow="1870" windowWidth="24000" windowHeight="13410" tabRatio="762" xr2:uid="{00000000-000D-0000-FFFF-FFFF00000000}"/>
  </bookViews>
  <sheets>
    <sheet name="main page" sheetId="6" r:id="rId1"/>
    <sheet name="normal case" sheetId="1" r:id="rId2"/>
    <sheet name="controls" sheetId="23" r:id="rId3"/>
    <sheet name="Sheet1" sheetId="41" r:id="rId4"/>
    <sheet name="public finance" sheetId="11" r:id="rId5"/>
    <sheet name="exchange rates" sheetId="30" r:id="rId6"/>
    <sheet name="external balance" sheetId="31" r:id="rId7"/>
    <sheet name="gráficos PC, MR, IS" sheetId="32" r:id="rId8"/>
    <sheet name="inflation, income and inter-2" sheetId="40" r:id="rId9"/>
    <sheet name="inflation, income and interest" sheetId="14" r:id="rId10"/>
    <sheet name="hystere" sheetId="25" r:id="rId11"/>
    <sheet name="delay in perception" sheetId="10" r:id="rId12"/>
    <sheet name="figures on public finance" sheetId="22" r:id="rId13"/>
    <sheet name="numerical results" sheetId="13" r:id="rId14"/>
    <sheet name="input own m.p." sheetId="27" r:id="rId15"/>
    <sheet name="choose m.p." sheetId="26" r:id="rId16"/>
    <sheet name="choose m.p. (endogenous policy)" sheetId="37" r:id="rId17"/>
    <sheet name="beta estimation(inputs)" sheetId="38" r:id="rId18"/>
    <sheet name="loss level and beta es(outputs)" sheetId="39" r:id="rId19"/>
    <sheet name="loss level(inputs)" sheetId="34" r:id="rId20"/>
    <sheet name="compare results" sheetId="28" r:id="rId21"/>
    <sheet name="Hoja1" sheetId="24" r:id="rId22"/>
  </sheets>
  <definedNames>
    <definedName name="_xlnm._FilterDatabase" localSheetId="17" hidden="1">'beta estimation(inputs)'!$C$50:$E$69</definedName>
    <definedName name="_xlnm._FilterDatabase" localSheetId="12" hidden="1">'figures on public finance'!$A$16:$E$16</definedName>
    <definedName name="bullets_random_shocks_gdp">IF(controls!$B$4=1,2)</definedName>
    <definedName name="bullets_random_shocks_growth">IF(controls!$B$4=1,'normal case'!$BD$3:$BD$22,'normal case'!$BI$3:$BI$22)</definedName>
    <definedName name="bullets_random_shocks_inflation">IF(controls!$B$4=1,'normal case'!$BH$3:$BH$22,'normal case'!$BI$3:$BI$22)</definedName>
    <definedName name="bullets_random_shocks_nominalir">IF(controls!$B$4=1,'normal case'!$BG$3:$BG$22,'normal case'!$BI$3:$BI$22)</definedName>
    <definedName name="bullets_random_shocks_realir">IF(controls!$B$4=1,'normal case'!$BF$3:$BF$22,'normal case'!$BI$3:$BI$22)</definedName>
    <definedName name="_xlnm.Criteria" localSheetId="17">'beta estimation(inputs)'!$C$47:$E$48</definedName>
    <definedName name="currentaccount">OFFSET('numerical results'!$P$3,controls!$B$61,0,controls!$C$62,1)</definedName>
    <definedName name="currentaccountxaxis">OFFSET('numerical results'!$A$3,controls!$B$61,0,controls!$C$62,1)</definedName>
    <definedName name="delay_GDP" localSheetId="8">IF('inflation, income and inter-2'!$A$31=1,'delay in perception'!$E$4:$E$23,'delay in perception'!$V$4:$V$23)</definedName>
    <definedName name="delay_GDP">IF('inflation, income and interest'!$A$38=1,'delay in perception'!$E$4:$E$23,'delay in perception'!$V$4:$V$23)</definedName>
    <definedName name="delay_growth" localSheetId="8">IF('inflation, income and inter-2'!$A$31=1,'delay in perception'!$D$4:$D$23,'delay in perception'!$V$4:$V$23)</definedName>
    <definedName name="delay_growth">IF('inflation, income and interest'!$A$38=1,'delay in perception'!$D$4:$D$23,'delay in perception'!$V$4:$V$23)</definedName>
    <definedName name="delay_inflation" localSheetId="8">IF('inflation, income and inter-2'!$A$31=1,'delay in perception'!$K$4:$K$23,'delay in perception'!$V$4:$V$23)</definedName>
    <definedName name="delay_inflation">IF('inflation, income and interest'!$A$38=1,'delay in perception'!$K$4:$K$23,'delay in perception'!$V$4:$V$23)</definedName>
    <definedName name="delay_nominal_rate" localSheetId="8">IF('inflation, income and inter-2'!$A$31=1,'delay in perception'!$M$4:$M$23,'delay in perception'!$V$4:$V$23)</definedName>
    <definedName name="delay_nominal_rate">IF('inflation, income and interest'!$A$38=1,'delay in perception'!$M$4:$M$23,'delay in perception'!$V$4:$V$23)</definedName>
    <definedName name="delay_real_rate" localSheetId="8">IF('inflation, income and inter-2'!$A$31=1,'delay in perception'!$L$4:$L$23,'delay in perception'!$V$4:$V$23)</definedName>
    <definedName name="delay_real_rate">IF('inflation, income and interest'!$A$38=1,'delay in perception'!$L$4:$L$23,'delay in perception'!$V$4:$V$23)</definedName>
    <definedName name="_xlnm.Extract" localSheetId="17">'beta estimation(inputs)'!$F$50:$H$50</definedName>
    <definedName name="GDP" localSheetId="15">OFFSET('choose m.p.'!$D$3,0,0,periodo_final,1)</definedName>
    <definedName name="GDP" localSheetId="16">OFFSET('choose m.p. (endogenous policy)'!$D$3,0,0,[0]!periodo_final,1)</definedName>
    <definedName name="GDP" localSheetId="5">OFFSET('choose m.p.'!$D$3,0,0,periodo_final+1,1)</definedName>
    <definedName name="GDP" localSheetId="10">OFFSET(hystere!$E$4,0,0,periodo_final,1)</definedName>
    <definedName name="GDP">OFFSET('choose m.p.'!$D$3,0,0,periodo_final+1,1)</definedName>
    <definedName name="gdpestlin">IF('beta estimation(inputs)'!$G$50="",0,OFFSET('beta estimation(inputs)'!$G$50,1,0,COUNT('beta estimation(inputs)'!$G$51:$G$78),1))</definedName>
    <definedName name="growth" localSheetId="15">OFFSET('choose m.p.'!$C$3,0,0,periodo_final,1)</definedName>
    <definedName name="growth" localSheetId="16">OFFSET('choose m.p. (endogenous policy)'!$C$3,0,0,[0]!periodo_final,1)</definedName>
    <definedName name="growth" localSheetId="5">OFFSET('choose m.p.'!$C$3,0,0,periodo_final+1,1)</definedName>
    <definedName name="growth" localSheetId="10">OFFSET(hystere!$C$4,0,0,periodo_final,1)</definedName>
    <definedName name="growth">OFFSET('choose m.p.'!$C$3,0,0,periodo_final+1,1)</definedName>
    <definedName name="hysteresis_GDP" localSheetId="8">IF(controls!$B$8=FALSE,hystere!$AH$4:$AH$23,IF(controls!$B$33=1,hystere!$AH$4:$AH$23,IF('inflation, income and inter-2'!$B$31=2,hystere!$AH$4:$AH$23,hystere!$E$4:$E$23)))</definedName>
    <definedName name="hysteresis_GDP">IF(controls!$B$33=1,hystere!$AH$4:$AH$23,IF('inflation, income and interest'!$B$38=2,hystere!$AH$4:$AH$23,hystere!$E$4:$E$23))</definedName>
    <definedName name="hysteresis_growth" localSheetId="8">IF(controls!$B$8=FALSE,hystere!$AH$4:$AH$23,IF(controls!$B$33=1,hystere!$AH$4:$AH$23,IF('inflation, income and inter-2'!$B$31=2,hystere!$AH$4:$AH$23,hystere!$C$4:$C$23)))</definedName>
    <definedName name="hysteresis_growth">IF(controls!$B$33=1,hystere!$AH$4:$AH$23,IF('inflation, income and interest'!$B$38=2,hystere!$AH$4:$AH$23,hystere!$C$4:$C$23))</definedName>
    <definedName name="hysteresis_inflation" localSheetId="8">IF(controls!$B$8=FALSE,hystere!$AH$4:$AH$23,IF(controls!$B$33=1,hystere!$AH$4:$AH$23,IF('inflation, income and inter-2'!$B$31=2,hystere!$AH$4:$AH$23,hystere!$M$4:$M$23)))</definedName>
    <definedName name="hysteresis_inflation">IF(controls!$B$33=1,hystere!$AH$4:$AH$23,IF('inflation, income and interest'!$B$38=2,hystere!$AH$4:$AH$23,hystere!$M$4:$M$23))</definedName>
    <definedName name="hysteresis_nominal_rate" localSheetId="8">IF(controls!$B$8=FALSE,hystere!$AH$4:$AH$23,IF(controls!$B$33=1,hystere!$AH$4:$AH$23,IF('inflation, income and inter-2'!$B$31=2,hystere!$AH$4:$AH$23,hystere!$O$4:$O$23)))</definedName>
    <definedName name="hysteresis_nominal_rate">IF(controls!$B$8=FALSE,hystere!$AH$4:$AH$23,IF(controls!$B$33=1,hystere!$AH$4:$AH$23,IF('inflation, income and interest'!$B$38=2,hystere!$AH$4:$AH$23,hystere!$O$4:$O$23)))</definedName>
    <definedName name="hysteresis_real_rate" localSheetId="8">IF(controls!$B$8=FALSE,hystere!$AH$4:$AH$23,IF(controls!$B$33=1,hystere!$AH$4:$AH$23,IF('inflation, income and inter-2'!$B$31=2,hystere!$AH$4:$AH$23,hystere!$N$4:$N$23)))</definedName>
    <definedName name="hysteresis_real_rate">IF(controls!$B$8=FALSE,hystere!$AH$4:$AH$23,IF(controls!$B$33=1,hystere!$AH$4:$AH$23,IF('inflation, income and interest'!$B$38=2,hystere!$AH$4:$AH$23,hystere!$N$4:$N$23)))</definedName>
    <definedName name="inflacion" localSheetId="15">OFFSET('choose m.p.'!$G$3,0,0,periodo_final,1)</definedName>
    <definedName name="inflacion" localSheetId="16">OFFSET('choose m.p. (endogenous policy)'!$G$3,0,0,[0]!periodo_final,1)</definedName>
    <definedName name="inflacion" localSheetId="5">OFFSET('choose m.p.'!$G$3,0,0,periodo_final+1,1)</definedName>
    <definedName name="inflacion" localSheetId="10">OFFSET(hystere!$M$4,0,0,periodo_final,1)</definedName>
    <definedName name="inflacion">OFFSET('choose m.p.'!$G$3,0,0,periodo_final+1,1)</definedName>
    <definedName name="inflacionestlin">IF('beta estimation(inputs)'!$G$50="",0,OFFSET('beta estimation(inputs)'!$H$50,1,0,COUNT('beta estimation(inputs)'!$H$51:$H$74),1))</definedName>
    <definedName name="juanito">hystere!$O$1</definedName>
    <definedName name="niip">OFFSET('numerical results'!$Q$3,controls!$B$63,0,controls!$C$64,1)</definedName>
    <definedName name="niipxaxis">OFFSET('numerical results'!$A$3,controls!$B$63,0,controls!$C$64,1)</definedName>
    <definedName name="nominal_interest_rate" localSheetId="15">OFFSET('choose m.p.'!$I$3,0,0,periodo_final,1)</definedName>
    <definedName name="nominal_interest_rate" localSheetId="16">OFFSET('choose m.p. (endogenous policy)'!$I$3,0,0,[0]!periodo_final,1)</definedName>
    <definedName name="nominal_interest_rate" localSheetId="5">OFFSET('choose m.p.'!$I$3,0,0,periodo_final_2,1)</definedName>
    <definedName name="nominal_interest_rate" localSheetId="10">OFFSET(hystere!$O$4,0,0,periodo_final,1)</definedName>
    <definedName name="nominal_interest_rate">OFFSET('choose m.p.'!$I$3,0,0,periodo_final_2,1)</definedName>
    <definedName name="ole">hystere!$O$1</definedName>
    <definedName name="pepito">hystere!$L$1</definedName>
    <definedName name="periodo_final">controls!$B$38</definedName>
    <definedName name="periodo_final_2">controls!$C$37</definedName>
    <definedName name="primarybudget">OFFSET('numerical results'!$H$3,controls!$B$50,0,controls!$C$51,1)</definedName>
    <definedName name="primarybudgetxaxis">OFFSET('numerical results'!$A$3,controls!$B$50,0,controls!$C$51,1)</definedName>
    <definedName name="_xlnm.Print_Area" localSheetId="20">'compare results'!$B$1:$N$39</definedName>
    <definedName name="_xlnm.Print_Area" localSheetId="14">'input own m.p.'!$O$8:$V$44</definedName>
    <definedName name="publicdebt">OFFSET('numerical results'!$J$3,controls!$B$54,0,controls!$C$55,1)</definedName>
    <definedName name="publicdebtxaxis">OFFSET('numerical results'!$A$3,controls!$B$54,0,controls!$C$55,1)</definedName>
    <definedName name="real_interest_rate" localSheetId="15">OFFSET('choose m.p.'!$H$3,0,0,periodo_final,1)</definedName>
    <definedName name="real_interest_rate" localSheetId="16">OFFSET('choose m.p. (endogenous policy)'!$H$3,0,0,[0]!periodo_final,1)</definedName>
    <definedName name="real_interest_rate" localSheetId="5">OFFSET('choose m.p.'!$H$3,0,0,periodo_final_2,1)</definedName>
    <definedName name="real_interest_rate" localSheetId="10">OFFSET(hystere!$N$4,0,0,periodo_final,1)</definedName>
    <definedName name="real_interest_rate">OFFSET('choose m.p.'!$H$3,0,0,periodo_final_2,1)</definedName>
    <definedName name="totalbudget">OFFSET('numerical results'!$I$3,controls!$B$52,0,controls!$C$53,1)</definedName>
    <definedName name="totalbudgetxaxis">OFFSET('numerical results'!$A$3,controls!$B$52,0,controls!$C$53,1)</definedName>
    <definedName name="tradebalance">OFFSET('numerical results'!$O$3,controls!$B$59,0,controls!$C$60,1)</definedName>
    <definedName name="tradebalancexaxis">OFFSET('numerical results'!$A$3,controls!$B$59,0,controls!$C$60,1)</definedName>
    <definedName name="TrueFalseRange">hystere!$N$1:$O$1</definedName>
    <definedName name="TrueFalseRange2">'delay in perception'!$L$1:$M$1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9" i="41" l="1"/>
  <c r="N45"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D4" i="41"/>
  <c r="B4" i="41"/>
  <c r="X20" i="6"/>
  <c r="X19" i="6"/>
  <c r="D16" i="40"/>
  <c r="A16" i="40"/>
  <c r="A23" i="14"/>
  <c r="D23" i="14"/>
  <c r="U26" i="6" l="1"/>
  <c r="U24" i="6" l="1"/>
  <c r="L1" i="10" l="1"/>
  <c r="N1" i="25"/>
  <c r="L40" i="6" l="1"/>
  <c r="C1" i="10" l="1"/>
  <c r="M1" i="10"/>
  <c r="B1" i="10"/>
  <c r="F21" i="40" l="1"/>
  <c r="D14" i="40"/>
  <c r="D13" i="40"/>
  <c r="D12" i="40"/>
  <c r="D11" i="40"/>
  <c r="C39" i="23" l="1"/>
  <c r="AP7" i="1" l="1"/>
  <c r="C64" i="23" l="1"/>
  <c r="C62" i="23"/>
  <c r="C60" i="23"/>
  <c r="T5" i="26"/>
  <c r="A2" i="6" l="1"/>
  <c r="A9" i="40" s="1"/>
  <c r="F20" i="27"/>
  <c r="Y12" i="27" l="1"/>
  <c r="N21" i="27" l="1"/>
  <c r="L21" i="27"/>
  <c r="K21" i="27"/>
  <c r="C55" i="23"/>
  <c r="C53" i="23"/>
  <c r="C51" i="23"/>
  <c r="K14" i="27" l="1"/>
  <c r="B43" i="23" l="1"/>
  <c r="R40" i="27"/>
  <c r="W4" i="37" l="1"/>
  <c r="W3" i="37"/>
  <c r="T3" i="37"/>
  <c r="T5" i="37" s="1"/>
  <c r="C19" i="39"/>
  <c r="I50" i="38" a="1"/>
  <c r="I50" i="38" s="1"/>
  <c r="I53" i="38" l="1"/>
  <c r="I51" i="38"/>
  <c r="I54" i="38"/>
  <c r="I52" i="38"/>
  <c r="E6" i="39" s="1"/>
  <c r="F25" i="26"/>
  <c r="C18" i="39" l="1"/>
  <c r="E75" i="38"/>
  <c r="E76" i="38"/>
  <c r="E77" i="38"/>
  <c r="E78" i="38"/>
  <c r="E79" i="38"/>
  <c r="E80" i="38"/>
  <c r="E81" i="38"/>
  <c r="E82" i="38"/>
  <c r="E83" i="38"/>
  <c r="E84" i="38"/>
  <c r="E85" i="38"/>
  <c r="E86" i="38"/>
  <c r="E87" i="38"/>
  <c r="E88" i="38"/>
  <c r="E89" i="38"/>
  <c r="E90" i="38"/>
  <c r="E91" i="38"/>
  <c r="E92" i="38"/>
  <c r="E74" i="38"/>
  <c r="C48" i="38"/>
  <c r="E93" i="38" l="1"/>
  <c r="B31" i="39" s="1"/>
  <c r="D18" i="39" l="1"/>
  <c r="W121" i="25"/>
  <c r="X121" i="25"/>
  <c r="W124" i="25"/>
  <c r="X124" i="25"/>
  <c r="W127" i="25"/>
  <c r="X127" i="25"/>
  <c r="W130" i="25"/>
  <c r="X130" i="25"/>
  <c r="W136" i="25"/>
  <c r="X136" i="25"/>
  <c r="W139" i="25"/>
  <c r="X139" i="25"/>
  <c r="W142" i="25"/>
  <c r="X142" i="25"/>
  <c r="W145" i="25"/>
  <c r="X145" i="25"/>
  <c r="W151" i="25"/>
  <c r="X151" i="25"/>
  <c r="W154" i="25"/>
  <c r="X154" i="25"/>
  <c r="W157" i="25"/>
  <c r="X157" i="25"/>
  <c r="W160" i="25"/>
  <c r="X160" i="25"/>
  <c r="W166" i="25"/>
  <c r="X166" i="25"/>
  <c r="W169" i="25"/>
  <c r="X169" i="25"/>
  <c r="W172" i="25"/>
  <c r="X172" i="25"/>
  <c r="W175" i="25"/>
  <c r="X175" i="25"/>
  <c r="W181" i="25"/>
  <c r="X181" i="25"/>
  <c r="W184" i="25"/>
  <c r="X184" i="25"/>
  <c r="W187" i="25"/>
  <c r="X187" i="25"/>
  <c r="W190" i="25"/>
  <c r="X190" i="25"/>
  <c r="W196" i="25"/>
  <c r="X196" i="25"/>
  <c r="W199" i="25"/>
  <c r="X199" i="25"/>
  <c r="W202" i="25"/>
  <c r="X202" i="25"/>
  <c r="W205" i="25"/>
  <c r="X205" i="25"/>
  <c r="W211" i="25"/>
  <c r="X211" i="25"/>
  <c r="W214" i="25"/>
  <c r="X214" i="25"/>
  <c r="W217" i="25"/>
  <c r="X217" i="25"/>
  <c r="W220" i="25"/>
  <c r="X220" i="25"/>
  <c r="W226" i="25"/>
  <c r="X226" i="25"/>
  <c r="W229" i="25"/>
  <c r="X229" i="25"/>
  <c r="W232" i="25"/>
  <c r="X232" i="25"/>
  <c r="W235" i="25"/>
  <c r="X235" i="25"/>
  <c r="W241" i="25"/>
  <c r="X241" i="25"/>
  <c r="W244" i="25"/>
  <c r="X244" i="25"/>
  <c r="W247" i="25"/>
  <c r="X247" i="25"/>
  <c r="W250" i="25"/>
  <c r="X250" i="25"/>
  <c r="W256" i="25"/>
  <c r="X256" i="25"/>
  <c r="W259" i="25"/>
  <c r="X259" i="25"/>
  <c r="W262" i="25"/>
  <c r="X262" i="25"/>
  <c r="W265" i="25"/>
  <c r="X265" i="25"/>
  <c r="W271" i="25"/>
  <c r="X271" i="25"/>
  <c r="W274" i="25"/>
  <c r="X274" i="25"/>
  <c r="W277" i="25"/>
  <c r="X277" i="25"/>
  <c r="W280" i="25"/>
  <c r="X280" i="25"/>
  <c r="W286" i="25"/>
  <c r="X286" i="25"/>
  <c r="W289" i="25"/>
  <c r="X289" i="25"/>
  <c r="W292" i="25"/>
  <c r="X292" i="25"/>
  <c r="W295" i="25"/>
  <c r="X295" i="25"/>
  <c r="W301" i="25"/>
  <c r="X301" i="25"/>
  <c r="W304" i="25"/>
  <c r="X304" i="25"/>
  <c r="W307" i="25"/>
  <c r="X307" i="25"/>
  <c r="W310" i="25"/>
  <c r="X310" i="25"/>
  <c r="W316" i="25"/>
  <c r="X316" i="25"/>
  <c r="W319" i="25"/>
  <c r="X319" i="25"/>
  <c r="W322" i="25"/>
  <c r="X322" i="25"/>
  <c r="W325" i="25"/>
  <c r="X325" i="25"/>
  <c r="W331" i="25"/>
  <c r="X331" i="25"/>
  <c r="W334" i="25"/>
  <c r="X334" i="25"/>
  <c r="W337" i="25"/>
  <c r="X337" i="25"/>
  <c r="W340" i="25"/>
  <c r="X340" i="25"/>
  <c r="W346" i="25"/>
  <c r="X346" i="25"/>
  <c r="W349" i="25"/>
  <c r="X349" i="25"/>
  <c r="W352" i="25"/>
  <c r="X352" i="25"/>
  <c r="W355" i="25"/>
  <c r="X355" i="25"/>
  <c r="W361" i="25"/>
  <c r="X361" i="25"/>
  <c r="W364" i="25"/>
  <c r="X364" i="25"/>
  <c r="W367" i="25"/>
  <c r="X367" i="25"/>
  <c r="W370" i="25"/>
  <c r="X370" i="25"/>
  <c r="W376" i="25"/>
  <c r="X376" i="25"/>
  <c r="W379" i="25"/>
  <c r="X379" i="25"/>
  <c r="W382" i="25"/>
  <c r="X382" i="25"/>
  <c r="W385" i="25"/>
  <c r="X385" i="25"/>
  <c r="W391" i="25"/>
  <c r="X391" i="25"/>
  <c r="W394" i="25"/>
  <c r="X394" i="25"/>
  <c r="W397" i="25"/>
  <c r="X397" i="25"/>
  <c r="W400" i="25"/>
  <c r="X400" i="25"/>
  <c r="W406" i="25"/>
  <c r="X406" i="25"/>
  <c r="W409" i="25"/>
  <c r="X409" i="25"/>
  <c r="W412" i="25"/>
  <c r="X412" i="25"/>
  <c r="W415" i="25"/>
  <c r="X415" i="25"/>
  <c r="W421" i="25"/>
  <c r="X421" i="25"/>
  <c r="W424" i="25"/>
  <c r="X424" i="25"/>
  <c r="W427" i="25"/>
  <c r="X427" i="25"/>
  <c r="W430" i="25"/>
  <c r="X430" i="25"/>
  <c r="W436" i="25"/>
  <c r="X436" i="25"/>
  <c r="W439" i="25"/>
  <c r="X439" i="25"/>
  <c r="W442" i="25"/>
  <c r="X442" i="25"/>
  <c r="W445" i="25"/>
  <c r="X445" i="25"/>
  <c r="W451" i="25"/>
  <c r="X451" i="25"/>
  <c r="W454" i="25"/>
  <c r="X454" i="25"/>
  <c r="W457" i="25"/>
  <c r="X457" i="25"/>
  <c r="W460" i="25"/>
  <c r="X460" i="25"/>
  <c r="W466" i="25"/>
  <c r="X466" i="25"/>
  <c r="W469" i="25"/>
  <c r="X469" i="25"/>
  <c r="W472" i="25"/>
  <c r="X472" i="25"/>
  <c r="W475" i="25"/>
  <c r="X475" i="25"/>
  <c r="W481" i="25"/>
  <c r="X481" i="25"/>
  <c r="W484" i="25"/>
  <c r="X484" i="25"/>
  <c r="W487" i="25"/>
  <c r="X487" i="25"/>
  <c r="W490" i="25"/>
  <c r="X490" i="25"/>
  <c r="W496" i="25"/>
  <c r="X496" i="25"/>
  <c r="W499" i="25"/>
  <c r="X499" i="25"/>
  <c r="W502" i="25"/>
  <c r="X502" i="25"/>
  <c r="W31" i="25"/>
  <c r="X31" i="25"/>
  <c r="W34" i="25"/>
  <c r="X34" i="25"/>
  <c r="W37" i="25"/>
  <c r="X37" i="25"/>
  <c r="W40" i="25"/>
  <c r="X40" i="25"/>
  <c r="W46" i="25"/>
  <c r="X46" i="25"/>
  <c r="W49" i="25"/>
  <c r="X49" i="25"/>
  <c r="W52" i="25"/>
  <c r="X52" i="25"/>
  <c r="W55" i="25"/>
  <c r="X55" i="25"/>
  <c r="W61" i="25"/>
  <c r="X61" i="25"/>
  <c r="W64" i="25"/>
  <c r="X64" i="25"/>
  <c r="W67" i="25"/>
  <c r="X67" i="25"/>
  <c r="W70" i="25"/>
  <c r="X70" i="25"/>
  <c r="W76" i="25"/>
  <c r="X76" i="25"/>
  <c r="W79" i="25"/>
  <c r="X79" i="25"/>
  <c r="W82" i="25"/>
  <c r="X82" i="25"/>
  <c r="W85" i="25"/>
  <c r="X85" i="25"/>
  <c r="W91" i="25"/>
  <c r="X91" i="25"/>
  <c r="W94" i="25"/>
  <c r="X94" i="25"/>
  <c r="W97" i="25"/>
  <c r="X97" i="25"/>
  <c r="W100" i="25"/>
  <c r="X100" i="25"/>
  <c r="W106" i="25"/>
  <c r="X106" i="25"/>
  <c r="W109" i="25"/>
  <c r="X109" i="25"/>
  <c r="W112" i="25"/>
  <c r="X112" i="25"/>
  <c r="W115" i="25"/>
  <c r="X115" i="25"/>
  <c r="W5" i="25"/>
  <c r="X5" i="25"/>
  <c r="W10" i="25"/>
  <c r="X10" i="25"/>
  <c r="W16" i="25"/>
  <c r="X16" i="25"/>
  <c r="W19" i="25"/>
  <c r="X19" i="25"/>
  <c r="W22" i="25"/>
  <c r="X22" i="25"/>
  <c r="W25" i="25"/>
  <c r="X25" i="25"/>
  <c r="X4" i="25"/>
  <c r="W4" i="25"/>
  <c r="G122" i="23"/>
  <c r="G123" i="23"/>
  <c r="G124" i="23"/>
  <c r="G125" i="23"/>
  <c r="G126" i="23"/>
  <c r="G127" i="23"/>
  <c r="G128" i="23"/>
  <c r="G129" i="23"/>
  <c r="G130" i="23"/>
  <c r="G131" i="23"/>
  <c r="G132" i="23"/>
  <c r="G133" i="23"/>
  <c r="G134" i="23"/>
  <c r="G135" i="23"/>
  <c r="G136" i="23"/>
  <c r="G137" i="23"/>
  <c r="G138" i="23"/>
  <c r="G139" i="23"/>
  <c r="G140" i="23"/>
  <c r="G141" i="23"/>
  <c r="G142" i="23"/>
  <c r="G143" i="23"/>
  <c r="G144" i="23"/>
  <c r="G145" i="23"/>
  <c r="G146" i="23"/>
  <c r="G147" i="23"/>
  <c r="G148" i="23"/>
  <c r="G149" i="23"/>
  <c r="G150" i="23"/>
  <c r="G151" i="23"/>
  <c r="G152" i="23"/>
  <c r="G153" i="23"/>
  <c r="G154" i="23"/>
  <c r="G155" i="23"/>
  <c r="G156" i="23"/>
  <c r="G157" i="23"/>
  <c r="G158" i="23"/>
  <c r="G159" i="23"/>
  <c r="G160" i="23"/>
  <c r="G161" i="23"/>
  <c r="G162" i="23"/>
  <c r="G163" i="23"/>
  <c r="G164" i="23"/>
  <c r="G165" i="23"/>
  <c r="G166" i="23"/>
  <c r="G167" i="23"/>
  <c r="G168" i="23"/>
  <c r="G169" i="23"/>
  <c r="G170" i="23"/>
  <c r="G171" i="23"/>
  <c r="G172" i="23"/>
  <c r="G173" i="23"/>
  <c r="G174" i="23"/>
  <c r="G175" i="23"/>
  <c r="G176" i="23"/>
  <c r="G177" i="23"/>
  <c r="G178" i="23"/>
  <c r="G179" i="23"/>
  <c r="G180" i="23"/>
  <c r="G181" i="23"/>
  <c r="G182" i="23"/>
  <c r="G183" i="23"/>
  <c r="G184" i="23"/>
  <c r="G185" i="23"/>
  <c r="G186" i="23"/>
  <c r="G187" i="23"/>
  <c r="G188" i="23"/>
  <c r="G189" i="23"/>
  <c r="G190" i="23"/>
  <c r="G191" i="23"/>
  <c r="G192" i="23"/>
  <c r="G193" i="23"/>
  <c r="G194" i="23"/>
  <c r="G195" i="23"/>
  <c r="G196" i="23"/>
  <c r="G197" i="23"/>
  <c r="G198" i="23"/>
  <c r="G199" i="23"/>
  <c r="G200" i="23"/>
  <c r="G201"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1" i="23"/>
  <c r="G282" i="23"/>
  <c r="G283" i="23"/>
  <c r="G284" i="23"/>
  <c r="G285" i="23"/>
  <c r="G286" i="23"/>
  <c r="G287" i="23"/>
  <c r="G288" i="23"/>
  <c r="G289" i="23"/>
  <c r="G290" i="23"/>
  <c r="G291" i="23"/>
  <c r="G292" i="23"/>
  <c r="G293" i="23"/>
  <c r="G294" i="23"/>
  <c r="G295" i="23"/>
  <c r="G296" i="23"/>
  <c r="G297" i="23"/>
  <c r="G298" i="23"/>
  <c r="G299" i="23"/>
  <c r="G300" i="23"/>
  <c r="G301" i="23"/>
  <c r="G302" i="23"/>
  <c r="G303" i="23"/>
  <c r="G304" i="23"/>
  <c r="G305" i="23"/>
  <c r="G306" i="23"/>
  <c r="G307" i="23"/>
  <c r="G308" i="23"/>
  <c r="G309" i="23"/>
  <c r="G310" i="23"/>
  <c r="G311" i="23"/>
  <c r="G312" i="23"/>
  <c r="G313" i="23"/>
  <c r="G314" i="23"/>
  <c r="G315" i="23"/>
  <c r="G316" i="23"/>
  <c r="G317" i="23"/>
  <c r="G318" i="23"/>
  <c r="G319" i="23"/>
  <c r="G320" i="23"/>
  <c r="G321" i="23"/>
  <c r="G322" i="23"/>
  <c r="G323" i="23"/>
  <c r="G324" i="23"/>
  <c r="G325" i="23"/>
  <c r="G326" i="23"/>
  <c r="G327" i="23"/>
  <c r="G328" i="23"/>
  <c r="G329" i="23"/>
  <c r="G330" i="23"/>
  <c r="G331" i="23"/>
  <c r="G332" i="23"/>
  <c r="G333" i="23"/>
  <c r="G334" i="23"/>
  <c r="G335" i="23"/>
  <c r="G336" i="23"/>
  <c r="G337" i="23"/>
  <c r="G338" i="23"/>
  <c r="G339" i="23"/>
  <c r="G340" i="23"/>
  <c r="G341" i="23"/>
  <c r="G342" i="23"/>
  <c r="G343" i="23"/>
  <c r="G344" i="23"/>
  <c r="G345" i="23"/>
  <c r="G346" i="23"/>
  <c r="G347" i="23"/>
  <c r="G348" i="23"/>
  <c r="G349" i="23"/>
  <c r="G350" i="23"/>
  <c r="G351" i="23"/>
  <c r="G352" i="23"/>
  <c r="G353" i="23"/>
  <c r="G354" i="23"/>
  <c r="G355" i="23"/>
  <c r="G356" i="23"/>
  <c r="G357" i="23"/>
  <c r="G358" i="23"/>
  <c r="G359" i="23"/>
  <c r="G360" i="23"/>
  <c r="G361" i="23"/>
  <c r="G362" i="23"/>
  <c r="G363" i="23"/>
  <c r="G364" i="23"/>
  <c r="G365" i="23"/>
  <c r="G366" i="23"/>
  <c r="G367" i="23"/>
  <c r="G368" i="23"/>
  <c r="G369" i="23"/>
  <c r="G370" i="23"/>
  <c r="G371" i="23"/>
  <c r="G372" i="23"/>
  <c r="G373" i="23"/>
  <c r="G374" i="23"/>
  <c r="G375" i="23"/>
  <c r="G376" i="23"/>
  <c r="G377" i="23"/>
  <c r="G378" i="23"/>
  <c r="G379" i="23"/>
  <c r="G380" i="23"/>
  <c r="G381" i="23"/>
  <c r="G382" i="23"/>
  <c r="G383" i="23"/>
  <c r="G384" i="23"/>
  <c r="G385" i="23"/>
  <c r="G386" i="23"/>
  <c r="G387" i="23"/>
  <c r="G388" i="23"/>
  <c r="G389" i="23"/>
  <c r="G390" i="23"/>
  <c r="G391" i="23"/>
  <c r="G392" i="23"/>
  <c r="G393" i="23"/>
  <c r="G394" i="23"/>
  <c r="G395" i="23"/>
  <c r="G396" i="23"/>
  <c r="G397" i="23"/>
  <c r="G398" i="23"/>
  <c r="G399" i="23"/>
  <c r="G400" i="23"/>
  <c r="G401" i="23"/>
  <c r="G402" i="23"/>
  <c r="G403" i="23"/>
  <c r="G404" i="23"/>
  <c r="G405" i="23"/>
  <c r="G406" i="23"/>
  <c r="G407" i="23"/>
  <c r="G408" i="23"/>
  <c r="G409" i="23"/>
  <c r="G410" i="23"/>
  <c r="G411" i="23"/>
  <c r="G412" i="23"/>
  <c r="G413"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69" i="23"/>
  <c r="G470" i="23"/>
  <c r="G471" i="23"/>
  <c r="G472" i="23"/>
  <c r="G473" i="23"/>
  <c r="G474" i="23"/>
  <c r="G475" i="23"/>
  <c r="G476" i="23"/>
  <c r="G477" i="23"/>
  <c r="G478" i="23"/>
  <c r="G479" i="23"/>
  <c r="G480" i="23"/>
  <c r="G481" i="23"/>
  <c r="G482" i="23"/>
  <c r="G483" i="23"/>
  <c r="G484" i="23"/>
  <c r="G485" i="23"/>
  <c r="G486" i="23"/>
  <c r="G487" i="23"/>
  <c r="G488" i="23"/>
  <c r="G489" i="23"/>
  <c r="G490" i="23"/>
  <c r="G491" i="23"/>
  <c r="G492" i="23"/>
  <c r="G493" i="23"/>
  <c r="G494" i="23"/>
  <c r="G495" i="23"/>
  <c r="G496" i="23"/>
  <c r="G497" i="23"/>
  <c r="G498" i="23"/>
  <c r="G499" i="23"/>
  <c r="G500" i="23"/>
  <c r="G501" i="23"/>
  <c r="G502" i="23"/>
  <c r="G503" i="23"/>
  <c r="G504" i="23"/>
  <c r="G505" i="23"/>
  <c r="G506" i="23"/>
  <c r="G507" i="23"/>
  <c r="G508" i="23"/>
  <c r="G509" i="23"/>
  <c r="G510" i="23"/>
  <c r="G511" i="23"/>
  <c r="H511" i="23" s="1"/>
  <c r="G512" i="23"/>
  <c r="H512" i="23" s="1"/>
  <c r="G513" i="23"/>
  <c r="H513" i="23" s="1"/>
  <c r="G514" i="23"/>
  <c r="H514" i="23" s="1"/>
  <c r="G515" i="23"/>
  <c r="H515" i="23" s="1"/>
  <c r="G516" i="23"/>
  <c r="H516" i="23" s="1"/>
  <c r="G517" i="23"/>
  <c r="H517" i="23" s="1"/>
  <c r="G518" i="23"/>
  <c r="H518" i="23" s="1"/>
  <c r="G519" i="23"/>
  <c r="H519" i="23" s="1"/>
  <c r="G520" i="23"/>
  <c r="H520" i="23" s="1"/>
  <c r="G521" i="23"/>
  <c r="H521" i="23" s="1"/>
  <c r="G522" i="23"/>
  <c r="H522" i="23" s="1"/>
  <c r="G523" i="23"/>
  <c r="H523" i="23" s="1"/>
  <c r="G524" i="23"/>
  <c r="H524" i="23" s="1"/>
  <c r="G525" i="23"/>
  <c r="H525" i="23" s="1"/>
  <c r="G526" i="23"/>
  <c r="H526" i="23" s="1"/>
  <c r="G527" i="23"/>
  <c r="H527" i="23" s="1"/>
  <c r="G528" i="23"/>
  <c r="H528" i="23" s="1"/>
  <c r="G529" i="23"/>
  <c r="H529" i="23" s="1"/>
  <c r="G530" i="23"/>
  <c r="H530" i="23" s="1"/>
  <c r="G531" i="23"/>
  <c r="H531" i="23" s="1"/>
  <c r="G532" i="23"/>
  <c r="H532" i="23" s="1"/>
  <c r="G533" i="23"/>
  <c r="H533" i="23" s="1"/>
  <c r="G534" i="23"/>
  <c r="H534" i="23" s="1"/>
  <c r="G535" i="23"/>
  <c r="H535" i="23" s="1"/>
  <c r="G536" i="23"/>
  <c r="H536" i="23" s="1"/>
  <c r="G537" i="23"/>
  <c r="H537" i="23" s="1"/>
  <c r="G538" i="23"/>
  <c r="H538" i="23" s="1"/>
  <c r="G539" i="23"/>
  <c r="H539" i="23" s="1"/>
  <c r="G540" i="23"/>
  <c r="H540" i="23" s="1"/>
  <c r="G541" i="23"/>
  <c r="I541" i="23" s="1"/>
  <c r="G542" i="23"/>
  <c r="I542" i="23" s="1"/>
  <c r="G543" i="23"/>
  <c r="I543" i="23" s="1"/>
  <c r="G544" i="23"/>
  <c r="I544" i="23" s="1"/>
  <c r="G545" i="23"/>
  <c r="I545" i="23" s="1"/>
  <c r="G546" i="23"/>
  <c r="I546" i="23" s="1"/>
  <c r="G547" i="23"/>
  <c r="I547" i="23" s="1"/>
  <c r="G548" i="23"/>
  <c r="I548" i="23" s="1"/>
  <c r="G549" i="23"/>
  <c r="I549" i="23" s="1"/>
  <c r="G550" i="23"/>
  <c r="I550" i="23" s="1"/>
  <c r="G551" i="23"/>
  <c r="I551" i="23" s="1"/>
  <c r="G552" i="23"/>
  <c r="I552" i="23" s="1"/>
  <c r="G553" i="23"/>
  <c r="I553" i="23" s="1"/>
  <c r="G554" i="23"/>
  <c r="I554" i="23" s="1"/>
  <c r="G555" i="23"/>
  <c r="I555" i="23" s="1"/>
  <c r="G556" i="23"/>
  <c r="I556" i="23" s="1"/>
  <c r="G557" i="23"/>
  <c r="I557" i="23" s="1"/>
  <c r="G558" i="23"/>
  <c r="I558" i="23" s="1"/>
  <c r="G559" i="23"/>
  <c r="I559" i="23" s="1"/>
  <c r="G560" i="23"/>
  <c r="I560" i="23" s="1"/>
  <c r="G561" i="23"/>
  <c r="I561" i="23" s="1"/>
  <c r="G562" i="23"/>
  <c r="I562" i="23" s="1"/>
  <c r="G563" i="23"/>
  <c r="I563" i="23" s="1"/>
  <c r="G564" i="23"/>
  <c r="I564" i="23" s="1"/>
  <c r="G565" i="23"/>
  <c r="I565" i="23" s="1"/>
  <c r="G566" i="23"/>
  <c r="I566" i="23" s="1"/>
  <c r="G567" i="23"/>
  <c r="I567" i="23" s="1"/>
  <c r="G568" i="23"/>
  <c r="I568" i="23" s="1"/>
  <c r="G569" i="23"/>
  <c r="I569" i="23" s="1"/>
  <c r="G570" i="23"/>
  <c r="I570" i="23" s="1"/>
  <c r="G571" i="23"/>
  <c r="I571" i="23" s="1"/>
  <c r="G572" i="23"/>
  <c r="I572" i="23" s="1"/>
  <c r="G573" i="23"/>
  <c r="I573" i="23" s="1"/>
  <c r="G574" i="23"/>
  <c r="I574" i="23" s="1"/>
  <c r="G575" i="23"/>
  <c r="I575" i="23" s="1"/>
  <c r="G576" i="23"/>
  <c r="I576" i="23" s="1"/>
  <c r="G577" i="23"/>
  <c r="I577" i="23" s="1"/>
  <c r="G578" i="23"/>
  <c r="I578" i="23" s="1"/>
  <c r="G579" i="23"/>
  <c r="I579" i="23" s="1"/>
  <c r="G580" i="23"/>
  <c r="I580" i="23" s="1"/>
  <c r="G581" i="23"/>
  <c r="I581" i="23" s="1"/>
  <c r="G582" i="23"/>
  <c r="I582" i="23" s="1"/>
  <c r="G583" i="23"/>
  <c r="I583" i="23" s="1"/>
  <c r="G584" i="23"/>
  <c r="I584" i="23" s="1"/>
  <c r="G585" i="23"/>
  <c r="I585" i="23" s="1"/>
  <c r="G586" i="23"/>
  <c r="I586" i="23" s="1"/>
  <c r="G587" i="23"/>
  <c r="I587" i="23" s="1"/>
  <c r="G588" i="23"/>
  <c r="I588" i="23" s="1"/>
  <c r="G589" i="23"/>
  <c r="I589" i="23" s="1"/>
  <c r="G590" i="23"/>
  <c r="I590" i="23" s="1"/>
  <c r="G591" i="23"/>
  <c r="I591" i="23" s="1"/>
  <c r="G592" i="23"/>
  <c r="I592" i="23" s="1"/>
  <c r="G593" i="23"/>
  <c r="I593" i="23" s="1"/>
  <c r="G594" i="23"/>
  <c r="I594" i="23" s="1"/>
  <c r="G595" i="23"/>
  <c r="I595" i="23" s="1"/>
  <c r="G596" i="23"/>
  <c r="I596" i="23" s="1"/>
  <c r="G597" i="23"/>
  <c r="I597" i="23" s="1"/>
  <c r="G598" i="23"/>
  <c r="I598" i="23" s="1"/>
  <c r="G599" i="23"/>
  <c r="I599" i="23" s="1"/>
  <c r="G600" i="23"/>
  <c r="I600" i="23" s="1"/>
  <c r="G601" i="23"/>
  <c r="I601" i="23" s="1"/>
  <c r="G602" i="23"/>
  <c r="I602" i="23" s="1"/>
  <c r="G603" i="23"/>
  <c r="I603" i="23" s="1"/>
  <c r="G604" i="23"/>
  <c r="I604" i="23" s="1"/>
  <c r="G605" i="23"/>
  <c r="I605" i="23" s="1"/>
  <c r="G606" i="23"/>
  <c r="I606" i="23" s="1"/>
  <c r="G607" i="23"/>
  <c r="I607" i="23" s="1"/>
  <c r="G608" i="23"/>
  <c r="I608" i="23" s="1"/>
  <c r="G609" i="23"/>
  <c r="I609" i="23" s="1"/>
  <c r="G610" i="23"/>
  <c r="I610" i="23" s="1"/>
  <c r="G611" i="23"/>
  <c r="I611" i="23" s="1"/>
  <c r="G612" i="23"/>
  <c r="I612" i="23" s="1"/>
  <c r="G613" i="23"/>
  <c r="I613" i="23" s="1"/>
  <c r="G614" i="23"/>
  <c r="I614" i="23" s="1"/>
  <c r="G615" i="23"/>
  <c r="I615" i="23" s="1"/>
  <c r="G616" i="23"/>
  <c r="I616" i="23" s="1"/>
  <c r="G617" i="23"/>
  <c r="I617" i="23" s="1"/>
  <c r="G618" i="23"/>
  <c r="I618" i="23" s="1"/>
  <c r="G619" i="23"/>
  <c r="I619" i="23" s="1"/>
  <c r="G620" i="23"/>
  <c r="I620" i="23" s="1"/>
  <c r="G621" i="23"/>
  <c r="I621" i="23" s="1"/>
  <c r="G622" i="23"/>
  <c r="I622" i="23" s="1"/>
  <c r="G623" i="23"/>
  <c r="I623" i="23" s="1"/>
  <c r="G624" i="23"/>
  <c r="I624" i="23" s="1"/>
  <c r="G625" i="23"/>
  <c r="I625" i="23" s="1"/>
  <c r="G626" i="23"/>
  <c r="I626" i="23" s="1"/>
  <c r="G627" i="23"/>
  <c r="I627" i="23" s="1"/>
  <c r="G628" i="23"/>
  <c r="I628" i="23" s="1"/>
  <c r="G629" i="23"/>
  <c r="I629" i="23" s="1"/>
  <c r="G630" i="23"/>
  <c r="I630" i="23" s="1"/>
  <c r="G631" i="23"/>
  <c r="I631" i="23" s="1"/>
  <c r="G632" i="23"/>
  <c r="I632" i="23" s="1"/>
  <c r="G633" i="23"/>
  <c r="I633" i="23" s="1"/>
  <c r="G634" i="23"/>
  <c r="I634" i="23" s="1"/>
  <c r="G635" i="23"/>
  <c r="I635" i="23" s="1"/>
  <c r="G636" i="23"/>
  <c r="I636" i="23" s="1"/>
  <c r="G637" i="23"/>
  <c r="I637" i="23" s="1"/>
  <c r="G638" i="23"/>
  <c r="I638" i="23" s="1"/>
  <c r="G639" i="23"/>
  <c r="I639" i="23" s="1"/>
  <c r="G640" i="23"/>
  <c r="I640" i="23" s="1"/>
  <c r="G641" i="23"/>
  <c r="I641" i="23" s="1"/>
  <c r="G642" i="23"/>
  <c r="I642" i="23" s="1"/>
  <c r="G643" i="23"/>
  <c r="I643" i="23" s="1"/>
  <c r="G644" i="23"/>
  <c r="I644" i="23" s="1"/>
  <c r="G645" i="23"/>
  <c r="I645" i="23" s="1"/>
  <c r="G121" i="23"/>
  <c r="G120" i="23"/>
  <c r="G119" i="23"/>
  <c r="G118" i="23"/>
  <c r="G117" i="23"/>
  <c r="G116" i="23"/>
  <c r="G115" i="23"/>
  <c r="G114" i="23"/>
  <c r="G113" i="23"/>
  <c r="G112" i="23"/>
  <c r="G111" i="23"/>
  <c r="G110" i="23"/>
  <c r="G109" i="23"/>
  <c r="G108" i="23"/>
  <c r="G107" i="23"/>
  <c r="G106" i="23"/>
  <c r="G105" i="23"/>
  <c r="G104" i="23"/>
  <c r="G103" i="23"/>
  <c r="G102" i="23"/>
  <c r="G101" i="23"/>
  <c r="G100" i="23"/>
  <c r="G99" i="23"/>
  <c r="G98" i="23"/>
  <c r="G97" i="23"/>
  <c r="G96" i="23"/>
  <c r="G95" i="23"/>
  <c r="G94" i="23"/>
  <c r="G93" i="23"/>
  <c r="G92" i="23"/>
  <c r="G91" i="23"/>
  <c r="G90" i="23"/>
  <c r="G89" i="23"/>
  <c r="G88" i="23"/>
  <c r="G87" i="23"/>
  <c r="G86" i="23"/>
  <c r="G85" i="23"/>
  <c r="G84" i="23"/>
  <c r="G83" i="23"/>
  <c r="G82" i="23"/>
  <c r="G81" i="23"/>
  <c r="G80" i="23"/>
  <c r="G79" i="23"/>
  <c r="G78" i="23"/>
  <c r="G77" i="23"/>
  <c r="G76" i="23"/>
  <c r="G75" i="23"/>
  <c r="G74" i="23"/>
  <c r="G73" i="23"/>
  <c r="G72" i="23"/>
  <c r="G71" i="23"/>
  <c r="G70" i="23"/>
  <c r="G69" i="23"/>
  <c r="G68" i="23"/>
  <c r="G67" i="23"/>
  <c r="G66" i="23"/>
  <c r="G65" i="23"/>
  <c r="G64" i="23"/>
  <c r="G63" i="23"/>
  <c r="G62" i="23"/>
  <c r="G61" i="23"/>
  <c r="G60" i="23"/>
  <c r="G59" i="23"/>
  <c r="G58" i="23"/>
  <c r="G57" i="23"/>
  <c r="G56" i="23"/>
  <c r="G55" i="23"/>
  <c r="G54" i="23"/>
  <c r="G53" i="23"/>
  <c r="G52" i="23"/>
  <c r="G51" i="23"/>
  <c r="G50" i="23"/>
  <c r="G49" i="23"/>
  <c r="G48" i="23"/>
  <c r="G47" i="23"/>
  <c r="G46" i="23"/>
  <c r="G45" i="23"/>
  <c r="G44" i="23"/>
  <c r="G43" i="23"/>
  <c r="G42" i="23"/>
  <c r="G41" i="23"/>
  <c r="G40" i="23"/>
  <c r="G39" i="23"/>
  <c r="G38" i="23"/>
  <c r="G37" i="23"/>
  <c r="G36" i="23"/>
  <c r="G35" i="23"/>
  <c r="G34" i="23"/>
  <c r="G33" i="23"/>
  <c r="G32" i="23"/>
  <c r="G31" i="23"/>
  <c r="G30" i="23"/>
  <c r="G29" i="23"/>
  <c r="G28" i="23"/>
  <c r="G27" i="23"/>
  <c r="G26" i="23"/>
  <c r="G25" i="23"/>
  <c r="G24" i="23"/>
  <c r="G23" i="23"/>
  <c r="G22" i="23"/>
  <c r="G21" i="23"/>
  <c r="G20" i="23"/>
  <c r="G19" i="23"/>
  <c r="G18" i="23"/>
  <c r="G17" i="23"/>
  <c r="G16" i="23"/>
  <c r="G15" i="23"/>
  <c r="G14" i="23"/>
  <c r="G13" i="23"/>
  <c r="G12" i="23"/>
  <c r="G11" i="23"/>
  <c r="G10" i="23"/>
  <c r="G9" i="23"/>
  <c r="G8" i="23"/>
  <c r="G7" i="23"/>
  <c r="G6" i="23"/>
  <c r="G5" i="23"/>
  <c r="G4" i="23"/>
  <c r="L19" i="37"/>
  <c r="M19" i="37"/>
  <c r="L20" i="37"/>
  <c r="M20" i="37"/>
  <c r="L21" i="37"/>
  <c r="M21" i="37"/>
  <c r="L22" i="37"/>
  <c r="M22" i="37"/>
  <c r="L23" i="37"/>
  <c r="M23" i="37"/>
  <c r="L4" i="37"/>
  <c r="M4" i="37"/>
  <c r="L5" i="37"/>
  <c r="M5" i="37"/>
  <c r="L6" i="37"/>
  <c r="M6" i="37"/>
  <c r="L7" i="37"/>
  <c r="M7" i="37"/>
  <c r="L8" i="37"/>
  <c r="M8" i="37"/>
  <c r="L9" i="37"/>
  <c r="M9" i="37"/>
  <c r="L10" i="37"/>
  <c r="M10" i="37"/>
  <c r="L11" i="37"/>
  <c r="M11" i="37"/>
  <c r="L12" i="37"/>
  <c r="M12" i="37"/>
  <c r="L13" i="37"/>
  <c r="M13" i="37"/>
  <c r="L14" i="37"/>
  <c r="M14" i="37"/>
  <c r="L15" i="37"/>
  <c r="M15" i="37"/>
  <c r="L16" i="37"/>
  <c r="M16" i="37"/>
  <c r="L17" i="37"/>
  <c r="M17" i="37"/>
  <c r="L18" i="37"/>
  <c r="M18" i="37"/>
  <c r="M3" i="37"/>
  <c r="L3" i="37"/>
  <c r="F18" i="37"/>
  <c r="F19" i="37"/>
  <c r="F20" i="37"/>
  <c r="F21" i="37"/>
  <c r="F22" i="37"/>
  <c r="F23" i="37"/>
  <c r="F4" i="37"/>
  <c r="F5" i="37"/>
  <c r="F6" i="37"/>
  <c r="F7" i="37"/>
  <c r="F8" i="37"/>
  <c r="F9" i="37"/>
  <c r="F10" i="37"/>
  <c r="F11" i="37"/>
  <c r="F12" i="37"/>
  <c r="F13" i="37"/>
  <c r="F14" i="37"/>
  <c r="F15" i="37"/>
  <c r="F16" i="37"/>
  <c r="F17" i="37"/>
  <c r="F3" i="37"/>
  <c r="T8" i="37"/>
  <c r="I8" i="23" l="1"/>
  <c r="H8" i="23"/>
  <c r="I12" i="23"/>
  <c r="X14" i="25" s="1"/>
  <c r="H12" i="23"/>
  <c r="W14" i="25" s="1"/>
  <c r="I14" i="23"/>
  <c r="H14" i="23"/>
  <c r="I18" i="23"/>
  <c r="X20" i="25" s="1"/>
  <c r="H18" i="23"/>
  <c r="W20" i="25" s="1"/>
  <c r="I20" i="23"/>
  <c r="H20" i="23"/>
  <c r="I24" i="23"/>
  <c r="X26" i="25" s="1"/>
  <c r="H24" i="23"/>
  <c r="W26" i="25" s="1"/>
  <c r="I26" i="23"/>
  <c r="H26" i="23"/>
  <c r="I28" i="23"/>
  <c r="H28" i="23"/>
  <c r="AC29" i="1" s="1"/>
  <c r="I32" i="23"/>
  <c r="H32" i="23"/>
  <c r="I34" i="23"/>
  <c r="H34" i="23"/>
  <c r="AC35" i="1" s="1"/>
  <c r="I38" i="23"/>
  <c r="H38" i="23"/>
  <c r="I40" i="23"/>
  <c r="H40" i="23"/>
  <c r="I44" i="23"/>
  <c r="H44" i="23"/>
  <c r="I46" i="23"/>
  <c r="H46" i="23"/>
  <c r="AC47" i="1" s="1"/>
  <c r="I50" i="23"/>
  <c r="H50" i="23"/>
  <c r="X58" i="25"/>
  <c r="I54" i="23"/>
  <c r="X56" i="25" s="1"/>
  <c r="H54" i="23"/>
  <c r="W56" i="25" s="1"/>
  <c r="I56" i="23"/>
  <c r="H56" i="23"/>
  <c r="I60" i="23"/>
  <c r="X62" i="25" s="1"/>
  <c r="H60" i="23"/>
  <c r="W62" i="25" s="1"/>
  <c r="I62" i="23"/>
  <c r="H62" i="23"/>
  <c r="I66" i="23"/>
  <c r="X68" i="25" s="1"/>
  <c r="H66" i="23"/>
  <c r="I68" i="23"/>
  <c r="H68" i="23"/>
  <c r="I70" i="23"/>
  <c r="H70" i="23"/>
  <c r="I74" i="23"/>
  <c r="H74" i="23"/>
  <c r="I76" i="23"/>
  <c r="H76" i="23"/>
  <c r="AC77" i="1" s="1"/>
  <c r="I80" i="23"/>
  <c r="H80" i="23"/>
  <c r="I82" i="23"/>
  <c r="H82" i="23"/>
  <c r="X88" i="25"/>
  <c r="I84" i="23"/>
  <c r="X86" i="25" s="1"/>
  <c r="H84" i="23"/>
  <c r="W86" i="25" s="1"/>
  <c r="I88" i="23"/>
  <c r="H88" i="23"/>
  <c r="I90" i="23"/>
  <c r="X92" i="25" s="1"/>
  <c r="H90" i="23"/>
  <c r="W92" i="25" s="1"/>
  <c r="I92" i="23"/>
  <c r="H92" i="23"/>
  <c r="I94" i="23"/>
  <c r="H94" i="23"/>
  <c r="AC95" i="1" s="1"/>
  <c r="I98" i="23"/>
  <c r="H98" i="23"/>
  <c r="I100" i="23"/>
  <c r="H100" i="23"/>
  <c r="I102" i="23"/>
  <c r="X104" i="25" s="1"/>
  <c r="H102" i="23"/>
  <c r="W104" i="25" s="1"/>
  <c r="I104" i="23"/>
  <c r="H104" i="23"/>
  <c r="I106" i="23"/>
  <c r="H106" i="23"/>
  <c r="AC107" i="1" s="1"/>
  <c r="I108" i="23"/>
  <c r="X110" i="25" s="1"/>
  <c r="H108" i="23"/>
  <c r="W110" i="25" s="1"/>
  <c r="I112" i="23"/>
  <c r="H112" i="23"/>
  <c r="I6" i="23"/>
  <c r="H6" i="23"/>
  <c r="I10" i="23"/>
  <c r="H10" i="23"/>
  <c r="AC11" i="1" s="1"/>
  <c r="I16" i="23"/>
  <c r="H16" i="23"/>
  <c r="AC17" i="1" s="1"/>
  <c r="I22" i="23"/>
  <c r="H22" i="23"/>
  <c r="AC23" i="1" s="1"/>
  <c r="I30" i="23"/>
  <c r="X32" i="25" s="1"/>
  <c r="H30" i="23"/>
  <c r="W32" i="25" s="1"/>
  <c r="I36" i="23"/>
  <c r="X38" i="25" s="1"/>
  <c r="H36" i="23"/>
  <c r="I42" i="23"/>
  <c r="X44" i="25" s="1"/>
  <c r="H42" i="23"/>
  <c r="W44" i="25" s="1"/>
  <c r="I48" i="23"/>
  <c r="X50" i="25" s="1"/>
  <c r="H48" i="23"/>
  <c r="W50" i="25" s="1"/>
  <c r="I52" i="23"/>
  <c r="H52" i="23"/>
  <c r="I58" i="23"/>
  <c r="H58" i="23"/>
  <c r="I64" i="23"/>
  <c r="H64" i="23"/>
  <c r="AC65" i="1" s="1"/>
  <c r="I72" i="23"/>
  <c r="X74" i="25" s="1"/>
  <c r="H72" i="23"/>
  <c r="W74" i="25" s="1"/>
  <c r="I78" i="23"/>
  <c r="X80" i="25" s="1"/>
  <c r="H78" i="23"/>
  <c r="W80" i="25" s="1"/>
  <c r="I86" i="23"/>
  <c r="H86" i="23"/>
  <c r="I96" i="23"/>
  <c r="X98" i="25" s="1"/>
  <c r="H96" i="23"/>
  <c r="I110" i="23"/>
  <c r="H110" i="23"/>
  <c r="I116" i="23"/>
  <c r="H116" i="23"/>
  <c r="I120" i="23"/>
  <c r="X122" i="25" s="1"/>
  <c r="H120" i="23"/>
  <c r="W122" i="25" s="1"/>
  <c r="I5" i="23"/>
  <c r="H5" i="23"/>
  <c r="I7" i="23"/>
  <c r="AD8" i="1" s="1"/>
  <c r="H7" i="23"/>
  <c r="AC8" i="1" s="1"/>
  <c r="I9" i="23"/>
  <c r="X11" i="25" s="1"/>
  <c r="H9" i="23"/>
  <c r="W11" i="25" s="1"/>
  <c r="I11" i="23"/>
  <c r="H11" i="23"/>
  <c r="I13" i="23"/>
  <c r="H13" i="23"/>
  <c r="AC14" i="1" s="1"/>
  <c r="I15" i="23"/>
  <c r="X17" i="25" s="1"/>
  <c r="H15" i="23"/>
  <c r="W17" i="25" s="1"/>
  <c r="I17" i="23"/>
  <c r="H17" i="23"/>
  <c r="I19" i="23"/>
  <c r="H19" i="23"/>
  <c r="AC20" i="1" s="1"/>
  <c r="I21" i="23"/>
  <c r="X23" i="25" s="1"/>
  <c r="H21" i="23"/>
  <c r="I23" i="23"/>
  <c r="H23" i="23"/>
  <c r="I25" i="23"/>
  <c r="H25" i="23"/>
  <c r="AC26" i="1" s="1"/>
  <c r="I27" i="23"/>
  <c r="X29" i="25" s="1"/>
  <c r="H27" i="23"/>
  <c r="W29" i="25" s="1"/>
  <c r="I29" i="23"/>
  <c r="H29" i="23"/>
  <c r="I31" i="23"/>
  <c r="H31" i="23"/>
  <c r="AC32" i="1" s="1"/>
  <c r="I33" i="23"/>
  <c r="X35" i="25" s="1"/>
  <c r="H33" i="23"/>
  <c r="W35" i="25" s="1"/>
  <c r="I35" i="23"/>
  <c r="H35" i="23"/>
  <c r="I37" i="23"/>
  <c r="H37" i="23"/>
  <c r="X43" i="25"/>
  <c r="I39" i="23"/>
  <c r="X41" i="25" s="1"/>
  <c r="H39" i="23"/>
  <c r="W41" i="25" s="1"/>
  <c r="I41" i="23"/>
  <c r="H41" i="23"/>
  <c r="I43" i="23"/>
  <c r="H43" i="23"/>
  <c r="I45" i="23"/>
  <c r="X47" i="25" s="1"/>
  <c r="H45" i="23"/>
  <c r="W47" i="25" s="1"/>
  <c r="I47" i="23"/>
  <c r="H47" i="23"/>
  <c r="I49" i="23"/>
  <c r="AD50" i="1" s="1"/>
  <c r="X51" i="25" s="1"/>
  <c r="H49" i="23"/>
  <c r="AC50" i="1" s="1"/>
  <c r="I51" i="23"/>
  <c r="H51" i="23"/>
  <c r="I53" i="23"/>
  <c r="H53" i="23"/>
  <c r="I55" i="23"/>
  <c r="H55" i="23"/>
  <c r="I57" i="23"/>
  <c r="X59" i="25" s="1"/>
  <c r="H57" i="23"/>
  <c r="W59" i="25" s="1"/>
  <c r="I59" i="23"/>
  <c r="H59" i="23"/>
  <c r="I61" i="23"/>
  <c r="H61" i="23"/>
  <c r="AC62" i="1" s="1"/>
  <c r="I63" i="23"/>
  <c r="X65" i="25" s="1"/>
  <c r="H63" i="23"/>
  <c r="W65" i="25" s="1"/>
  <c r="I65" i="23"/>
  <c r="H65" i="23"/>
  <c r="I67" i="23"/>
  <c r="H67" i="23"/>
  <c r="X73" i="25"/>
  <c r="I69" i="23"/>
  <c r="X71" i="25" s="1"/>
  <c r="H69" i="23"/>
  <c r="W71" i="25" s="1"/>
  <c r="I71" i="23"/>
  <c r="H71" i="23"/>
  <c r="I73" i="23"/>
  <c r="H73" i="23"/>
  <c r="I75" i="23"/>
  <c r="X77" i="25" s="1"/>
  <c r="H75" i="23"/>
  <c r="W77" i="25" s="1"/>
  <c r="I77" i="23"/>
  <c r="H77" i="23"/>
  <c r="I79" i="23"/>
  <c r="H79" i="23"/>
  <c r="AC80" i="1" s="1"/>
  <c r="I81" i="23"/>
  <c r="X83" i="25" s="1"/>
  <c r="H81" i="23"/>
  <c r="I83" i="23"/>
  <c r="H83" i="23"/>
  <c r="I85" i="23"/>
  <c r="H85" i="23"/>
  <c r="I87" i="23"/>
  <c r="X89" i="25" s="1"/>
  <c r="H87" i="23"/>
  <c r="W89" i="25" s="1"/>
  <c r="I89" i="23"/>
  <c r="H89" i="23"/>
  <c r="I91" i="23"/>
  <c r="H91" i="23"/>
  <c r="AC92" i="1" s="1"/>
  <c r="I93" i="23"/>
  <c r="X95" i="25" s="1"/>
  <c r="H93" i="23"/>
  <c r="W95" i="25" s="1"/>
  <c r="I95" i="23"/>
  <c r="H95" i="23"/>
  <c r="I97" i="23"/>
  <c r="H97" i="23"/>
  <c r="X103" i="25"/>
  <c r="I99" i="23"/>
  <c r="X101" i="25" s="1"/>
  <c r="H99" i="23"/>
  <c r="W101" i="25" s="1"/>
  <c r="I101" i="23"/>
  <c r="H101" i="23"/>
  <c r="I103" i="23"/>
  <c r="H103" i="23"/>
  <c r="I105" i="23"/>
  <c r="X107" i="25" s="1"/>
  <c r="H105" i="23"/>
  <c r="W107" i="25" s="1"/>
  <c r="I107" i="23"/>
  <c r="H107" i="23"/>
  <c r="I109" i="23"/>
  <c r="H109" i="23"/>
  <c r="AC110" i="1" s="1"/>
  <c r="I111" i="23"/>
  <c r="X113" i="25" s="1"/>
  <c r="H111" i="23"/>
  <c r="I113" i="23"/>
  <c r="H113" i="23"/>
  <c r="I115" i="23"/>
  <c r="H115" i="23"/>
  <c r="I117" i="23"/>
  <c r="X119" i="25" s="1"/>
  <c r="H117" i="23"/>
  <c r="W119" i="25" s="1"/>
  <c r="I119" i="23"/>
  <c r="H119" i="23"/>
  <c r="I121" i="23"/>
  <c r="H121" i="23"/>
  <c r="I510" i="23"/>
  <c r="H510" i="23"/>
  <c r="I508" i="23"/>
  <c r="H508" i="23"/>
  <c r="I506" i="23"/>
  <c r="H506" i="23"/>
  <c r="I504" i="23"/>
  <c r="H504" i="23"/>
  <c r="I502" i="23"/>
  <c r="H502" i="23"/>
  <c r="I500" i="23"/>
  <c r="H500" i="23"/>
  <c r="I498" i="23"/>
  <c r="X500" i="25" s="1"/>
  <c r="H498" i="23"/>
  <c r="W500" i="25" s="1"/>
  <c r="I496" i="23"/>
  <c r="AD497" i="1" s="1"/>
  <c r="H496" i="23"/>
  <c r="I494" i="23"/>
  <c r="H494" i="23"/>
  <c r="I492" i="23"/>
  <c r="X494" i="25" s="1"/>
  <c r="H492" i="23"/>
  <c r="W494" i="25" s="1"/>
  <c r="I490" i="23"/>
  <c r="AD491" i="1" s="1"/>
  <c r="X492" i="25" s="1"/>
  <c r="H490" i="23"/>
  <c r="I488" i="23"/>
  <c r="H488" i="23"/>
  <c r="I486" i="23"/>
  <c r="H486" i="23"/>
  <c r="W488" i="25" s="1"/>
  <c r="I484" i="23"/>
  <c r="AD485" i="1" s="1"/>
  <c r="H484" i="23"/>
  <c r="I482" i="23"/>
  <c r="H482" i="23"/>
  <c r="I480" i="23"/>
  <c r="X482" i="25" s="1"/>
  <c r="H480" i="23"/>
  <c r="W482" i="25" s="1"/>
  <c r="I478" i="23"/>
  <c r="H478" i="23"/>
  <c r="I476" i="23"/>
  <c r="H476" i="23"/>
  <c r="W478" i="25"/>
  <c r="I474" i="23"/>
  <c r="X476" i="25" s="1"/>
  <c r="H474" i="23"/>
  <c r="W476" i="25" s="1"/>
  <c r="I472" i="23"/>
  <c r="H472" i="23"/>
  <c r="I470" i="23"/>
  <c r="H470" i="23"/>
  <c r="I468" i="23"/>
  <c r="X470" i="25" s="1"/>
  <c r="H468" i="23"/>
  <c r="W470" i="25" s="1"/>
  <c r="I466" i="23"/>
  <c r="H466" i="23"/>
  <c r="I464" i="23"/>
  <c r="H464" i="23"/>
  <c r="I462" i="23"/>
  <c r="X464" i="25" s="1"/>
  <c r="H462" i="23"/>
  <c r="W464" i="25" s="1"/>
  <c r="I460" i="23"/>
  <c r="H460" i="23"/>
  <c r="I458" i="23"/>
  <c r="H458" i="23"/>
  <c r="I456" i="23"/>
  <c r="H456" i="23"/>
  <c r="W458" i="25" s="1"/>
  <c r="I454" i="23"/>
  <c r="AD455" i="1" s="1"/>
  <c r="H454" i="23"/>
  <c r="I452" i="23"/>
  <c r="H452" i="23"/>
  <c r="I450" i="23"/>
  <c r="X452" i="25" s="1"/>
  <c r="H450" i="23"/>
  <c r="W452" i="25" s="1"/>
  <c r="I448" i="23"/>
  <c r="H448" i="23"/>
  <c r="I446" i="23"/>
  <c r="H446" i="23"/>
  <c r="I444" i="23"/>
  <c r="X446" i="25" s="1"/>
  <c r="H444" i="23"/>
  <c r="W446" i="25" s="1"/>
  <c r="I442" i="23"/>
  <c r="H442" i="23"/>
  <c r="I440" i="23"/>
  <c r="H440" i="23"/>
  <c r="I438" i="23"/>
  <c r="X440" i="25" s="1"/>
  <c r="H438" i="23"/>
  <c r="W440" i="25" s="1"/>
  <c r="I436" i="23"/>
  <c r="AD437" i="1" s="1"/>
  <c r="H436" i="23"/>
  <c r="I434" i="23"/>
  <c r="H434" i="23"/>
  <c r="I432" i="23"/>
  <c r="X434" i="25" s="1"/>
  <c r="H432" i="23"/>
  <c r="W434" i="25" s="1"/>
  <c r="I430" i="23"/>
  <c r="H430" i="23"/>
  <c r="I428" i="23"/>
  <c r="H428" i="23"/>
  <c r="I426" i="23"/>
  <c r="H426" i="23"/>
  <c r="I424" i="23"/>
  <c r="AD425" i="1" s="1"/>
  <c r="H424" i="23"/>
  <c r="AC425" i="1" s="1"/>
  <c r="I422" i="23"/>
  <c r="H422" i="23"/>
  <c r="I420" i="23"/>
  <c r="X422" i="25" s="1"/>
  <c r="H420" i="23"/>
  <c r="W422" i="25" s="1"/>
  <c r="I418" i="23"/>
  <c r="H418" i="23"/>
  <c r="I416" i="23"/>
  <c r="H416" i="23"/>
  <c r="W418" i="25"/>
  <c r="I414" i="23"/>
  <c r="X416" i="25" s="1"/>
  <c r="H414" i="23"/>
  <c r="W416" i="25" s="1"/>
  <c r="I412" i="23"/>
  <c r="H412" i="23"/>
  <c r="I410" i="23"/>
  <c r="H410" i="23"/>
  <c r="I408" i="23"/>
  <c r="X410" i="25" s="1"/>
  <c r="H408" i="23"/>
  <c r="W410" i="25" s="1"/>
  <c r="I406" i="23"/>
  <c r="AD407" i="1" s="1"/>
  <c r="H406" i="23"/>
  <c r="I404" i="23"/>
  <c r="H404" i="23"/>
  <c r="I402" i="23"/>
  <c r="X404" i="25" s="1"/>
  <c r="H402" i="23"/>
  <c r="W404" i="25" s="1"/>
  <c r="I400" i="23"/>
  <c r="H400" i="23"/>
  <c r="I398" i="23"/>
  <c r="H398" i="23"/>
  <c r="I396" i="23"/>
  <c r="H396" i="23"/>
  <c r="W398" i="25" s="1"/>
  <c r="I394" i="23"/>
  <c r="AD395" i="1" s="1"/>
  <c r="H394" i="23"/>
  <c r="I392" i="23"/>
  <c r="H392" i="23"/>
  <c r="I390" i="23"/>
  <c r="X392" i="25" s="1"/>
  <c r="H390" i="23"/>
  <c r="W392" i="25" s="1"/>
  <c r="I388" i="23"/>
  <c r="H388" i="23"/>
  <c r="I386" i="23"/>
  <c r="H386" i="23"/>
  <c r="I384" i="23"/>
  <c r="X386" i="25" s="1"/>
  <c r="H384" i="23"/>
  <c r="W386" i="25" s="1"/>
  <c r="I382" i="23"/>
  <c r="H382" i="23"/>
  <c r="I380" i="23"/>
  <c r="H380" i="23"/>
  <c r="I378" i="23"/>
  <c r="X380" i="25" s="1"/>
  <c r="H378" i="23"/>
  <c r="W380" i="25" s="1"/>
  <c r="I376" i="23"/>
  <c r="AD377" i="1" s="1"/>
  <c r="H376" i="23"/>
  <c r="I374" i="23"/>
  <c r="H374" i="23"/>
  <c r="I372" i="23"/>
  <c r="X374" i="25" s="1"/>
  <c r="H372" i="23"/>
  <c r="W374" i="25" s="1"/>
  <c r="I370" i="23"/>
  <c r="H370" i="23"/>
  <c r="I368" i="23"/>
  <c r="H368" i="23"/>
  <c r="I366" i="23"/>
  <c r="H366" i="23"/>
  <c r="I364" i="23"/>
  <c r="AD365" i="1" s="1"/>
  <c r="H364" i="23"/>
  <c r="AC365" i="1" s="1"/>
  <c r="I362" i="23"/>
  <c r="H362" i="23"/>
  <c r="I360" i="23"/>
  <c r="X362" i="25" s="1"/>
  <c r="H360" i="23"/>
  <c r="W362" i="25" s="1"/>
  <c r="I358" i="23"/>
  <c r="H358" i="23"/>
  <c r="I356" i="23"/>
  <c r="H356" i="23"/>
  <c r="W358" i="25"/>
  <c r="I354" i="23"/>
  <c r="X356" i="25" s="1"/>
  <c r="H354" i="23"/>
  <c r="W356" i="25" s="1"/>
  <c r="I352" i="23"/>
  <c r="H352" i="23"/>
  <c r="I350" i="23"/>
  <c r="H350" i="23"/>
  <c r="I348" i="23"/>
  <c r="X350" i="25" s="1"/>
  <c r="H348" i="23"/>
  <c r="W350" i="25" s="1"/>
  <c r="I346" i="23"/>
  <c r="H346" i="23"/>
  <c r="I344" i="23"/>
  <c r="H344" i="23"/>
  <c r="I342" i="23"/>
  <c r="X344" i="25" s="1"/>
  <c r="H342" i="23"/>
  <c r="W344" i="25" s="1"/>
  <c r="I340" i="23"/>
  <c r="H340" i="23"/>
  <c r="I338" i="23"/>
  <c r="H338" i="23"/>
  <c r="I336" i="23"/>
  <c r="H336" i="23"/>
  <c r="W338" i="25" s="1"/>
  <c r="I334" i="23"/>
  <c r="AD335" i="1" s="1"/>
  <c r="H334" i="23"/>
  <c r="I332" i="23"/>
  <c r="H332" i="23"/>
  <c r="I330" i="23"/>
  <c r="X332" i="25" s="1"/>
  <c r="H330" i="23"/>
  <c r="W332" i="25" s="1"/>
  <c r="I328" i="23"/>
  <c r="H328" i="23"/>
  <c r="I326" i="23"/>
  <c r="H326" i="23"/>
  <c r="W328" i="25"/>
  <c r="I324" i="23"/>
  <c r="X326" i="25" s="1"/>
  <c r="H324" i="23"/>
  <c r="W326" i="25" s="1"/>
  <c r="I322" i="23"/>
  <c r="H322" i="23"/>
  <c r="I320" i="23"/>
  <c r="H320" i="23"/>
  <c r="I318" i="23"/>
  <c r="X320" i="25" s="1"/>
  <c r="H318" i="23"/>
  <c r="W320" i="25" s="1"/>
  <c r="I316" i="23"/>
  <c r="AD317" i="1" s="1"/>
  <c r="H316" i="23"/>
  <c r="I314" i="23"/>
  <c r="H314" i="23"/>
  <c r="I312" i="23"/>
  <c r="X314" i="25" s="1"/>
  <c r="H312" i="23"/>
  <c r="W314" i="25" s="1"/>
  <c r="I310" i="23"/>
  <c r="H310" i="23"/>
  <c r="I308" i="23"/>
  <c r="H308" i="23"/>
  <c r="I306" i="23"/>
  <c r="H306" i="23"/>
  <c r="W308" i="25" s="1"/>
  <c r="I304" i="23"/>
  <c r="AD305" i="1" s="1"/>
  <c r="H304" i="23"/>
  <c r="I302" i="23"/>
  <c r="H302" i="23"/>
  <c r="I300" i="23"/>
  <c r="X302" i="25" s="1"/>
  <c r="H300" i="23"/>
  <c r="W302" i="25" s="1"/>
  <c r="I298" i="23"/>
  <c r="H298" i="23"/>
  <c r="I296" i="23"/>
  <c r="H296" i="23"/>
  <c r="W298" i="25"/>
  <c r="I294" i="23"/>
  <c r="X296" i="25" s="1"/>
  <c r="H294" i="23"/>
  <c r="W296" i="25" s="1"/>
  <c r="I292" i="23"/>
  <c r="H292" i="23"/>
  <c r="I290" i="23"/>
  <c r="H290" i="23"/>
  <c r="I288" i="23"/>
  <c r="X290" i="25" s="1"/>
  <c r="H288" i="23"/>
  <c r="W290" i="25" s="1"/>
  <c r="I286" i="23"/>
  <c r="H286" i="23"/>
  <c r="I284" i="23"/>
  <c r="H284" i="23"/>
  <c r="I282" i="23"/>
  <c r="X284" i="25" s="1"/>
  <c r="H282" i="23"/>
  <c r="W284" i="25" s="1"/>
  <c r="I280" i="23"/>
  <c r="H280" i="23"/>
  <c r="I278" i="23"/>
  <c r="H278" i="23"/>
  <c r="I276" i="23"/>
  <c r="H276" i="23"/>
  <c r="W278" i="25" s="1"/>
  <c r="I274" i="23"/>
  <c r="AD275" i="1" s="1"/>
  <c r="H274" i="23"/>
  <c r="I272" i="23"/>
  <c r="H272" i="23"/>
  <c r="I270" i="23"/>
  <c r="X272" i="25" s="1"/>
  <c r="H270" i="23"/>
  <c r="W272" i="25" s="1"/>
  <c r="I268" i="23"/>
  <c r="H268" i="23"/>
  <c r="I266" i="23"/>
  <c r="H266" i="23"/>
  <c r="W268" i="25"/>
  <c r="I264" i="23"/>
  <c r="X266" i="25" s="1"/>
  <c r="H264" i="23"/>
  <c r="W266" i="25" s="1"/>
  <c r="I262" i="23"/>
  <c r="H262" i="23"/>
  <c r="H260" i="23"/>
  <c r="I260" i="23"/>
  <c r="H258" i="23"/>
  <c r="W260" i="25" s="1"/>
  <c r="I258" i="23"/>
  <c r="X260" i="25" s="1"/>
  <c r="H256" i="23"/>
  <c r="I256" i="23"/>
  <c r="AD257" i="1" s="1"/>
  <c r="H254" i="23"/>
  <c r="I254" i="23"/>
  <c r="H252" i="23"/>
  <c r="W254" i="25" s="1"/>
  <c r="I252" i="23"/>
  <c r="X254" i="25" s="1"/>
  <c r="H250" i="23"/>
  <c r="I250" i="23"/>
  <c r="I248" i="23"/>
  <c r="H248" i="23"/>
  <c r="I246" i="23"/>
  <c r="H246" i="23"/>
  <c r="W248" i="25" s="1"/>
  <c r="I244" i="23"/>
  <c r="AD245" i="1" s="1"/>
  <c r="H244" i="23"/>
  <c r="I242" i="23"/>
  <c r="H242" i="23"/>
  <c r="I240" i="23"/>
  <c r="X242" i="25" s="1"/>
  <c r="H240" i="23"/>
  <c r="W242" i="25" s="1"/>
  <c r="I238" i="23"/>
  <c r="H238" i="23"/>
  <c r="I236" i="23"/>
  <c r="H236" i="23"/>
  <c r="W238" i="25"/>
  <c r="I234" i="23"/>
  <c r="X236" i="25" s="1"/>
  <c r="H234" i="23"/>
  <c r="W236" i="25" s="1"/>
  <c r="I232" i="23"/>
  <c r="H232" i="23"/>
  <c r="I230" i="23"/>
  <c r="H230" i="23"/>
  <c r="I228" i="23"/>
  <c r="X230" i="25" s="1"/>
  <c r="H228" i="23"/>
  <c r="W230" i="25" s="1"/>
  <c r="I226" i="23"/>
  <c r="H226" i="23"/>
  <c r="I224" i="23"/>
  <c r="H224" i="23"/>
  <c r="I222" i="23"/>
  <c r="X224" i="25" s="1"/>
  <c r="H222" i="23"/>
  <c r="W224" i="25" s="1"/>
  <c r="I220" i="23"/>
  <c r="H220" i="23"/>
  <c r="I218" i="23"/>
  <c r="H218" i="23"/>
  <c r="I216" i="23"/>
  <c r="H216" i="23"/>
  <c r="W218" i="25" s="1"/>
  <c r="I214" i="23"/>
  <c r="AD215" i="1" s="1"/>
  <c r="H214" i="23"/>
  <c r="I212" i="23"/>
  <c r="H212" i="23"/>
  <c r="I210" i="23"/>
  <c r="X212" i="25" s="1"/>
  <c r="H210" i="23"/>
  <c r="W212" i="25" s="1"/>
  <c r="I208" i="23"/>
  <c r="H208" i="23"/>
  <c r="I206" i="23"/>
  <c r="H206" i="23"/>
  <c r="W208" i="25"/>
  <c r="I204" i="23"/>
  <c r="X206" i="25" s="1"/>
  <c r="H204" i="23"/>
  <c r="W206" i="25" s="1"/>
  <c r="I202" i="23"/>
  <c r="H202" i="23"/>
  <c r="I200" i="23"/>
  <c r="H200" i="23"/>
  <c r="I198" i="23"/>
  <c r="X200" i="25" s="1"/>
  <c r="H198" i="23"/>
  <c r="W200" i="25" s="1"/>
  <c r="I196" i="23"/>
  <c r="AD197" i="1" s="1"/>
  <c r="H196" i="23"/>
  <c r="I194" i="23"/>
  <c r="H194" i="23"/>
  <c r="I192" i="23"/>
  <c r="X194" i="25" s="1"/>
  <c r="H192" i="23"/>
  <c r="W194" i="25" s="1"/>
  <c r="I190" i="23"/>
  <c r="H190" i="23"/>
  <c r="I188" i="23"/>
  <c r="H188" i="23"/>
  <c r="I186" i="23"/>
  <c r="H186" i="23"/>
  <c r="W188" i="25" s="1"/>
  <c r="I184" i="23"/>
  <c r="AD185" i="1" s="1"/>
  <c r="H184" i="23"/>
  <c r="I182" i="23"/>
  <c r="H182" i="23"/>
  <c r="I180" i="23"/>
  <c r="X182" i="25" s="1"/>
  <c r="H180" i="23"/>
  <c r="W182" i="25" s="1"/>
  <c r="I178" i="23"/>
  <c r="H178" i="23"/>
  <c r="I176" i="23"/>
  <c r="H176" i="23"/>
  <c r="W178" i="25"/>
  <c r="I174" i="23"/>
  <c r="X176" i="25" s="1"/>
  <c r="H174" i="23"/>
  <c r="W176" i="25" s="1"/>
  <c r="I172" i="23"/>
  <c r="H172" i="23"/>
  <c r="I170" i="23"/>
  <c r="H170" i="23"/>
  <c r="I168" i="23"/>
  <c r="X170" i="25" s="1"/>
  <c r="H168" i="23"/>
  <c r="W170" i="25" s="1"/>
  <c r="I166" i="23"/>
  <c r="AD167" i="1" s="1"/>
  <c r="H166" i="23"/>
  <c r="I164" i="23"/>
  <c r="H164" i="23"/>
  <c r="I162" i="23"/>
  <c r="X164" i="25" s="1"/>
  <c r="H162" i="23"/>
  <c r="W164" i="25" s="1"/>
  <c r="I160" i="23"/>
  <c r="H160" i="23"/>
  <c r="I158" i="23"/>
  <c r="H158" i="23"/>
  <c r="I156" i="23"/>
  <c r="H156" i="23"/>
  <c r="W158" i="25" s="1"/>
  <c r="I154" i="23"/>
  <c r="AD155" i="1" s="1"/>
  <c r="H154" i="23"/>
  <c r="I152" i="23"/>
  <c r="H152" i="23"/>
  <c r="I150" i="23"/>
  <c r="X152" i="25" s="1"/>
  <c r="H150" i="23"/>
  <c r="W152" i="25" s="1"/>
  <c r="I148" i="23"/>
  <c r="H148" i="23"/>
  <c r="I146" i="23"/>
  <c r="H146" i="23"/>
  <c r="W148" i="25"/>
  <c r="I144" i="23"/>
  <c r="X146" i="25" s="1"/>
  <c r="H144" i="23"/>
  <c r="W146" i="25" s="1"/>
  <c r="I142" i="23"/>
  <c r="H142" i="23"/>
  <c r="I140" i="23"/>
  <c r="H140" i="23"/>
  <c r="I138" i="23"/>
  <c r="X140" i="25" s="1"/>
  <c r="H138" i="23"/>
  <c r="W140" i="25" s="1"/>
  <c r="I136" i="23"/>
  <c r="AD137" i="1" s="1"/>
  <c r="H136" i="23"/>
  <c r="I134" i="23"/>
  <c r="H134" i="23"/>
  <c r="I132" i="23"/>
  <c r="X134" i="25" s="1"/>
  <c r="H132" i="23"/>
  <c r="W134" i="25" s="1"/>
  <c r="I130" i="23"/>
  <c r="H130" i="23"/>
  <c r="I128" i="23"/>
  <c r="H128" i="23"/>
  <c r="I126" i="23"/>
  <c r="H126" i="23"/>
  <c r="W128" i="25" s="1"/>
  <c r="I124" i="23"/>
  <c r="AD125" i="1" s="1"/>
  <c r="H124" i="23"/>
  <c r="I122" i="23"/>
  <c r="H122" i="23"/>
  <c r="H645" i="23"/>
  <c r="H644" i="23"/>
  <c r="H643" i="23"/>
  <c r="H642" i="23"/>
  <c r="H641" i="23"/>
  <c r="H640" i="23"/>
  <c r="H639" i="23"/>
  <c r="H638" i="23"/>
  <c r="H637" i="23"/>
  <c r="H636" i="23"/>
  <c r="H635" i="23"/>
  <c r="H634" i="23"/>
  <c r="H633" i="23"/>
  <c r="H632" i="23"/>
  <c r="H631" i="23"/>
  <c r="H630" i="23"/>
  <c r="H629" i="23"/>
  <c r="H628" i="23"/>
  <c r="H627" i="23"/>
  <c r="H626" i="23"/>
  <c r="H625" i="23"/>
  <c r="H624" i="23"/>
  <c r="H623" i="23"/>
  <c r="H622" i="23"/>
  <c r="H621" i="23"/>
  <c r="H620" i="23"/>
  <c r="H619" i="23"/>
  <c r="H618" i="23"/>
  <c r="H617" i="23"/>
  <c r="H616" i="23"/>
  <c r="H615" i="23"/>
  <c r="H614" i="23"/>
  <c r="H613" i="23"/>
  <c r="H612" i="23"/>
  <c r="H611" i="23"/>
  <c r="H610" i="23"/>
  <c r="H609" i="23"/>
  <c r="H608" i="23"/>
  <c r="H607" i="23"/>
  <c r="H606" i="23"/>
  <c r="H605" i="23"/>
  <c r="H604" i="23"/>
  <c r="H603" i="23"/>
  <c r="H602" i="23"/>
  <c r="H601" i="23"/>
  <c r="H600" i="23"/>
  <c r="H599" i="23"/>
  <c r="H598" i="23"/>
  <c r="H597" i="23"/>
  <c r="H596" i="23"/>
  <c r="H595" i="23"/>
  <c r="H594" i="23"/>
  <c r="H593" i="23"/>
  <c r="H592" i="23"/>
  <c r="H591" i="23"/>
  <c r="H590" i="23"/>
  <c r="H589" i="23"/>
  <c r="H588" i="23"/>
  <c r="H587" i="23"/>
  <c r="H586" i="23"/>
  <c r="H585" i="23"/>
  <c r="H584" i="23"/>
  <c r="H583" i="23"/>
  <c r="H582" i="23"/>
  <c r="H581" i="23"/>
  <c r="H580" i="23"/>
  <c r="H579" i="23"/>
  <c r="H578" i="23"/>
  <c r="H577" i="23"/>
  <c r="H576" i="23"/>
  <c r="H575" i="23"/>
  <c r="H574" i="23"/>
  <c r="H573" i="23"/>
  <c r="H572" i="23"/>
  <c r="H571" i="23"/>
  <c r="H570" i="23"/>
  <c r="H569" i="23"/>
  <c r="H568" i="23"/>
  <c r="H567" i="23"/>
  <c r="H566" i="23"/>
  <c r="H565" i="23"/>
  <c r="H564" i="23"/>
  <c r="H563" i="23"/>
  <c r="H562" i="23"/>
  <c r="H561" i="23"/>
  <c r="H560" i="23"/>
  <c r="H559" i="23"/>
  <c r="H558" i="23"/>
  <c r="H557" i="23"/>
  <c r="H556" i="23"/>
  <c r="H555" i="23"/>
  <c r="H554" i="23"/>
  <c r="H553" i="23"/>
  <c r="H552" i="23"/>
  <c r="H551" i="23"/>
  <c r="H550" i="23"/>
  <c r="H549" i="23"/>
  <c r="H548" i="23"/>
  <c r="H547" i="23"/>
  <c r="H546" i="23"/>
  <c r="H545" i="23"/>
  <c r="H544" i="23"/>
  <c r="H543" i="23"/>
  <c r="H542" i="23"/>
  <c r="H541" i="23"/>
  <c r="I539" i="23"/>
  <c r="I537" i="23"/>
  <c r="I535" i="23"/>
  <c r="I533" i="23"/>
  <c r="I531" i="23"/>
  <c r="I529" i="23"/>
  <c r="I527" i="23"/>
  <c r="I525" i="23"/>
  <c r="I523" i="23"/>
  <c r="I521" i="23"/>
  <c r="I519" i="23"/>
  <c r="I517" i="23"/>
  <c r="I515" i="23"/>
  <c r="I513" i="23"/>
  <c r="I511" i="23"/>
  <c r="X118" i="25"/>
  <c r="I114" i="23"/>
  <c r="X116" i="25" s="1"/>
  <c r="H114" i="23"/>
  <c r="W116" i="25" s="1"/>
  <c r="I118" i="23"/>
  <c r="H118" i="23"/>
  <c r="I509" i="23"/>
  <c r="H509" i="23"/>
  <c r="I507" i="23"/>
  <c r="H507" i="23"/>
  <c r="I505" i="23"/>
  <c r="H505" i="23"/>
  <c r="I503" i="23"/>
  <c r="H503" i="23"/>
  <c r="I501" i="23"/>
  <c r="H501" i="23"/>
  <c r="W503" i="25" s="1"/>
  <c r="I499" i="23"/>
  <c r="AD500" i="1" s="1"/>
  <c r="H499" i="23"/>
  <c r="I497" i="23"/>
  <c r="H497" i="23"/>
  <c r="I495" i="23"/>
  <c r="X497" i="25" s="1"/>
  <c r="H495" i="23"/>
  <c r="W497" i="25" s="1"/>
  <c r="I493" i="23"/>
  <c r="H493" i="23"/>
  <c r="I491" i="23"/>
  <c r="H491" i="23"/>
  <c r="W493" i="25"/>
  <c r="I489" i="23"/>
  <c r="X491" i="25" s="1"/>
  <c r="H489" i="23"/>
  <c r="W491" i="25" s="1"/>
  <c r="I487" i="23"/>
  <c r="H487" i="23"/>
  <c r="I485" i="23"/>
  <c r="H485" i="23"/>
  <c r="I483" i="23"/>
  <c r="X485" i="25" s="1"/>
  <c r="H483" i="23"/>
  <c r="W485" i="25" s="1"/>
  <c r="I481" i="23"/>
  <c r="H481" i="23"/>
  <c r="I479" i="23"/>
  <c r="H479" i="23"/>
  <c r="I477" i="23"/>
  <c r="X479" i="25" s="1"/>
  <c r="H477" i="23"/>
  <c r="W479" i="25" s="1"/>
  <c r="I475" i="23"/>
  <c r="H475" i="23"/>
  <c r="I473" i="23"/>
  <c r="H473" i="23"/>
  <c r="I471" i="23"/>
  <c r="H471" i="23"/>
  <c r="W473" i="25" s="1"/>
  <c r="I469" i="23"/>
  <c r="AD470" i="1" s="1"/>
  <c r="H469" i="23"/>
  <c r="I467" i="23"/>
  <c r="H467" i="23"/>
  <c r="I465" i="23"/>
  <c r="X467" i="25" s="1"/>
  <c r="H465" i="23"/>
  <c r="W467" i="25" s="1"/>
  <c r="I463" i="23"/>
  <c r="H463" i="23"/>
  <c r="I461" i="23"/>
  <c r="H461" i="23"/>
  <c r="W463" i="25"/>
  <c r="I459" i="23"/>
  <c r="X461" i="25" s="1"/>
  <c r="H459" i="23"/>
  <c r="W461" i="25" s="1"/>
  <c r="I457" i="23"/>
  <c r="H457" i="23"/>
  <c r="I455" i="23"/>
  <c r="H455" i="23"/>
  <c r="I453" i="23"/>
  <c r="X455" i="25" s="1"/>
  <c r="H453" i="23"/>
  <c r="W455" i="25" s="1"/>
  <c r="I451" i="23"/>
  <c r="AD452" i="1" s="1"/>
  <c r="H451" i="23"/>
  <c r="I449" i="23"/>
  <c r="H449" i="23"/>
  <c r="I447" i="23"/>
  <c r="X449" i="25" s="1"/>
  <c r="H447" i="23"/>
  <c r="W449" i="25" s="1"/>
  <c r="I445" i="23"/>
  <c r="H445" i="23"/>
  <c r="I443" i="23"/>
  <c r="H443" i="23"/>
  <c r="I441" i="23"/>
  <c r="H441" i="23"/>
  <c r="W443" i="25" s="1"/>
  <c r="I439" i="23"/>
  <c r="AD440" i="1" s="1"/>
  <c r="H439" i="23"/>
  <c r="I437" i="23"/>
  <c r="H437" i="23"/>
  <c r="I435" i="23"/>
  <c r="X437" i="25" s="1"/>
  <c r="H435" i="23"/>
  <c r="W437" i="25" s="1"/>
  <c r="I433" i="23"/>
  <c r="H433" i="23"/>
  <c r="I431" i="23"/>
  <c r="H431" i="23"/>
  <c r="I429" i="23"/>
  <c r="X431" i="25" s="1"/>
  <c r="H429" i="23"/>
  <c r="W431" i="25" s="1"/>
  <c r="I427" i="23"/>
  <c r="H427" i="23"/>
  <c r="I425" i="23"/>
  <c r="H425" i="23"/>
  <c r="I423" i="23"/>
  <c r="X425" i="25" s="1"/>
  <c r="H423" i="23"/>
  <c r="W425" i="25" s="1"/>
  <c r="I421" i="23"/>
  <c r="H421" i="23"/>
  <c r="I419" i="23"/>
  <c r="H419" i="23"/>
  <c r="I417" i="23"/>
  <c r="X419" i="25" s="1"/>
  <c r="H417" i="23"/>
  <c r="W419" i="25" s="1"/>
  <c r="I415" i="23"/>
  <c r="H415" i="23"/>
  <c r="I413" i="23"/>
  <c r="H413" i="23"/>
  <c r="I411" i="23"/>
  <c r="H411" i="23"/>
  <c r="I409" i="23"/>
  <c r="AD410" i="1" s="1"/>
  <c r="H409" i="23"/>
  <c r="AC410" i="1" s="1"/>
  <c r="I407" i="23"/>
  <c r="H407" i="23"/>
  <c r="I405" i="23"/>
  <c r="X407" i="25" s="1"/>
  <c r="H405" i="23"/>
  <c r="W407" i="25" s="1"/>
  <c r="I403" i="23"/>
  <c r="H403" i="23"/>
  <c r="I401" i="23"/>
  <c r="H401" i="23"/>
  <c r="W403" i="25"/>
  <c r="I399" i="23"/>
  <c r="X401" i="25" s="1"/>
  <c r="H399" i="23"/>
  <c r="W401" i="25" s="1"/>
  <c r="I397" i="23"/>
  <c r="H397" i="23"/>
  <c r="I395" i="23"/>
  <c r="H395" i="23"/>
  <c r="I393" i="23"/>
  <c r="X395" i="25" s="1"/>
  <c r="H393" i="23"/>
  <c r="W395" i="25" s="1"/>
  <c r="I391" i="23"/>
  <c r="AD392" i="1" s="1"/>
  <c r="H391" i="23"/>
  <c r="I389" i="23"/>
  <c r="H389" i="23"/>
  <c r="I387" i="23"/>
  <c r="X389" i="25" s="1"/>
  <c r="H387" i="23"/>
  <c r="W389" i="25" s="1"/>
  <c r="I385" i="23"/>
  <c r="H385" i="23"/>
  <c r="I383" i="23"/>
  <c r="H383" i="23"/>
  <c r="I381" i="23"/>
  <c r="H381" i="23"/>
  <c r="W383" i="25" s="1"/>
  <c r="I379" i="23"/>
  <c r="AD380" i="1" s="1"/>
  <c r="H379" i="23"/>
  <c r="AC380" i="1" s="1"/>
  <c r="W381" i="25" s="1"/>
  <c r="I377" i="23"/>
  <c r="H377" i="23"/>
  <c r="I375" i="23"/>
  <c r="X377" i="25" s="1"/>
  <c r="H375" i="23"/>
  <c r="W377" i="25" s="1"/>
  <c r="I373" i="23"/>
  <c r="H373" i="23"/>
  <c r="I371" i="23"/>
  <c r="H371" i="23"/>
  <c r="I369" i="23"/>
  <c r="X371" i="25" s="1"/>
  <c r="H369" i="23"/>
  <c r="W371" i="25" s="1"/>
  <c r="I367" i="23"/>
  <c r="H367" i="23"/>
  <c r="I365" i="23"/>
  <c r="H365" i="23"/>
  <c r="I363" i="23"/>
  <c r="X365" i="25" s="1"/>
  <c r="H363" i="23"/>
  <c r="W365" i="25" s="1"/>
  <c r="I361" i="23"/>
  <c r="AD362" i="1" s="1"/>
  <c r="H361" i="23"/>
  <c r="I359" i="23"/>
  <c r="H359" i="23"/>
  <c r="I357" i="23"/>
  <c r="X359" i="25" s="1"/>
  <c r="H357" i="23"/>
  <c r="W359" i="25" s="1"/>
  <c r="I355" i="23"/>
  <c r="H355" i="23"/>
  <c r="I353" i="23"/>
  <c r="H353" i="23"/>
  <c r="I351" i="23"/>
  <c r="H351" i="23"/>
  <c r="W353" i="25" s="1"/>
  <c r="I349" i="23"/>
  <c r="AD350" i="1" s="1"/>
  <c r="H349" i="23"/>
  <c r="I347" i="23"/>
  <c r="H347" i="23"/>
  <c r="I345" i="23"/>
  <c r="X347" i="25" s="1"/>
  <c r="H345" i="23"/>
  <c r="W347" i="25" s="1"/>
  <c r="I343" i="23"/>
  <c r="H343" i="23"/>
  <c r="I341" i="23"/>
  <c r="H341" i="23"/>
  <c r="W343" i="25"/>
  <c r="I339" i="23"/>
  <c r="X341" i="25" s="1"/>
  <c r="H339" i="23"/>
  <c r="W341" i="25" s="1"/>
  <c r="I337" i="23"/>
  <c r="H337" i="23"/>
  <c r="I335" i="23"/>
  <c r="H335" i="23"/>
  <c r="I333" i="23"/>
  <c r="X335" i="25" s="1"/>
  <c r="H333" i="23"/>
  <c r="W335" i="25" s="1"/>
  <c r="I331" i="23"/>
  <c r="AD332" i="1" s="1"/>
  <c r="H331" i="23"/>
  <c r="I329" i="23"/>
  <c r="H329" i="23"/>
  <c r="I327" i="23"/>
  <c r="X329" i="25" s="1"/>
  <c r="H327" i="23"/>
  <c r="W329" i="25" s="1"/>
  <c r="I325" i="23"/>
  <c r="H325" i="23"/>
  <c r="I323" i="23"/>
  <c r="H323" i="23"/>
  <c r="I321" i="23"/>
  <c r="H321" i="23"/>
  <c r="W323" i="25" s="1"/>
  <c r="I319" i="23"/>
  <c r="AD320" i="1" s="1"/>
  <c r="H319" i="23"/>
  <c r="I317" i="23"/>
  <c r="H317" i="23"/>
  <c r="I315" i="23"/>
  <c r="X317" i="25" s="1"/>
  <c r="H315" i="23"/>
  <c r="W317" i="25" s="1"/>
  <c r="I313" i="23"/>
  <c r="H313" i="23"/>
  <c r="I311" i="23"/>
  <c r="H311" i="23"/>
  <c r="W313" i="25"/>
  <c r="I309" i="23"/>
  <c r="X311" i="25" s="1"/>
  <c r="H309" i="23"/>
  <c r="W311" i="25" s="1"/>
  <c r="I307" i="23"/>
  <c r="H307" i="23"/>
  <c r="I305" i="23"/>
  <c r="H305" i="23"/>
  <c r="I303" i="23"/>
  <c r="X305" i="25" s="1"/>
  <c r="H303" i="23"/>
  <c r="W305" i="25" s="1"/>
  <c r="I301" i="23"/>
  <c r="AD302" i="1" s="1"/>
  <c r="H301" i="23"/>
  <c r="I299" i="23"/>
  <c r="H299" i="23"/>
  <c r="I297" i="23"/>
  <c r="X299" i="25" s="1"/>
  <c r="H297" i="23"/>
  <c r="W299" i="25" s="1"/>
  <c r="I295" i="23"/>
  <c r="H295" i="23"/>
  <c r="I293" i="23"/>
  <c r="H293" i="23"/>
  <c r="I291" i="23"/>
  <c r="H291" i="23"/>
  <c r="W293" i="25" s="1"/>
  <c r="I289" i="23"/>
  <c r="AD290" i="1" s="1"/>
  <c r="H289" i="23"/>
  <c r="I287" i="23"/>
  <c r="H287" i="23"/>
  <c r="I285" i="23"/>
  <c r="X287" i="25" s="1"/>
  <c r="H285" i="23"/>
  <c r="W287" i="25" s="1"/>
  <c r="I283" i="23"/>
  <c r="H283" i="23"/>
  <c r="I281" i="23"/>
  <c r="H281" i="23"/>
  <c r="W283" i="25"/>
  <c r="I279" i="23"/>
  <c r="X281" i="25" s="1"/>
  <c r="H279" i="23"/>
  <c r="W281" i="25" s="1"/>
  <c r="I277" i="23"/>
  <c r="H277" i="23"/>
  <c r="I275" i="23"/>
  <c r="H275" i="23"/>
  <c r="I273" i="23"/>
  <c r="X275" i="25" s="1"/>
  <c r="H273" i="23"/>
  <c r="W275" i="25" s="1"/>
  <c r="I271" i="23"/>
  <c r="AD272" i="1" s="1"/>
  <c r="H271" i="23"/>
  <c r="I269" i="23"/>
  <c r="H269" i="23"/>
  <c r="I267" i="23"/>
  <c r="X269" i="25" s="1"/>
  <c r="H267" i="23"/>
  <c r="W269" i="25" s="1"/>
  <c r="I265" i="23"/>
  <c r="H265" i="23"/>
  <c r="I263" i="23"/>
  <c r="H263" i="23"/>
  <c r="I261" i="23"/>
  <c r="H261" i="23"/>
  <c r="W263" i="25" s="1"/>
  <c r="H259" i="23"/>
  <c r="I259" i="23"/>
  <c r="AD260" i="1" s="1"/>
  <c r="H257" i="23"/>
  <c r="I257" i="23"/>
  <c r="H255" i="23"/>
  <c r="W257" i="25" s="1"/>
  <c r="I255" i="23"/>
  <c r="X257" i="25" s="1"/>
  <c r="H253" i="23"/>
  <c r="I253" i="23"/>
  <c r="H251" i="23"/>
  <c r="I251" i="23"/>
  <c r="W253" i="25"/>
  <c r="H249" i="23"/>
  <c r="W251" i="25" s="1"/>
  <c r="I249" i="23"/>
  <c r="X251" i="25" s="1"/>
  <c r="I247" i="23"/>
  <c r="H247" i="23"/>
  <c r="I245" i="23"/>
  <c r="H245" i="23"/>
  <c r="I243" i="23"/>
  <c r="X245" i="25" s="1"/>
  <c r="H243" i="23"/>
  <c r="W245" i="25" s="1"/>
  <c r="I241" i="23"/>
  <c r="H241" i="23"/>
  <c r="I239" i="23"/>
  <c r="H239" i="23"/>
  <c r="I237" i="23"/>
  <c r="X239" i="25" s="1"/>
  <c r="H237" i="23"/>
  <c r="W239" i="25" s="1"/>
  <c r="I235" i="23"/>
  <c r="H235" i="23"/>
  <c r="I233" i="23"/>
  <c r="H233" i="23"/>
  <c r="I231" i="23"/>
  <c r="H231" i="23"/>
  <c r="W233" i="25" s="1"/>
  <c r="I229" i="23"/>
  <c r="AD230" i="1" s="1"/>
  <c r="H229" i="23"/>
  <c r="I227" i="23"/>
  <c r="H227" i="23"/>
  <c r="I225" i="23"/>
  <c r="X227" i="25" s="1"/>
  <c r="H225" i="23"/>
  <c r="W227" i="25" s="1"/>
  <c r="I223" i="23"/>
  <c r="H223" i="23"/>
  <c r="I221" i="23"/>
  <c r="H221" i="23"/>
  <c r="W223" i="25"/>
  <c r="I219" i="23"/>
  <c r="X221" i="25" s="1"/>
  <c r="H219" i="23"/>
  <c r="W221" i="25" s="1"/>
  <c r="I217" i="23"/>
  <c r="H217" i="23"/>
  <c r="I215" i="23"/>
  <c r="H215" i="23"/>
  <c r="I213" i="23"/>
  <c r="X215" i="25" s="1"/>
  <c r="H213" i="23"/>
  <c r="W215" i="25" s="1"/>
  <c r="I211" i="23"/>
  <c r="AD212" i="1" s="1"/>
  <c r="H211" i="23"/>
  <c r="I209" i="23"/>
  <c r="H209" i="23"/>
  <c r="I207" i="23"/>
  <c r="X209" i="25" s="1"/>
  <c r="H207" i="23"/>
  <c r="W209" i="25" s="1"/>
  <c r="I205" i="23"/>
  <c r="H205" i="23"/>
  <c r="I203" i="23"/>
  <c r="H203" i="23"/>
  <c r="I201" i="23"/>
  <c r="H201" i="23"/>
  <c r="W203" i="25" s="1"/>
  <c r="I199" i="23"/>
  <c r="AD200" i="1" s="1"/>
  <c r="H199" i="23"/>
  <c r="I197" i="23"/>
  <c r="H197" i="23"/>
  <c r="I195" i="23"/>
  <c r="X197" i="25" s="1"/>
  <c r="H195" i="23"/>
  <c r="W197" i="25" s="1"/>
  <c r="I193" i="23"/>
  <c r="H193" i="23"/>
  <c r="I191" i="23"/>
  <c r="H191" i="23"/>
  <c r="W193" i="25"/>
  <c r="I189" i="23"/>
  <c r="X191" i="25" s="1"/>
  <c r="H189" i="23"/>
  <c r="W191" i="25" s="1"/>
  <c r="I187" i="23"/>
  <c r="H187" i="23"/>
  <c r="I185" i="23"/>
  <c r="H185" i="23"/>
  <c r="I183" i="23"/>
  <c r="X185" i="25" s="1"/>
  <c r="H183" i="23"/>
  <c r="W185" i="25" s="1"/>
  <c r="I181" i="23"/>
  <c r="AD182" i="1" s="1"/>
  <c r="H181" i="23"/>
  <c r="I179" i="23"/>
  <c r="H179" i="23"/>
  <c r="I177" i="23"/>
  <c r="X179" i="25" s="1"/>
  <c r="H177" i="23"/>
  <c r="W179" i="25" s="1"/>
  <c r="I175" i="23"/>
  <c r="H175" i="23"/>
  <c r="I173" i="23"/>
  <c r="H173" i="23"/>
  <c r="I171" i="23"/>
  <c r="H171" i="23"/>
  <c r="W173" i="25" s="1"/>
  <c r="I169" i="23"/>
  <c r="AD170" i="1" s="1"/>
  <c r="H169" i="23"/>
  <c r="I167" i="23"/>
  <c r="H167" i="23"/>
  <c r="I165" i="23"/>
  <c r="X167" i="25" s="1"/>
  <c r="H165" i="23"/>
  <c r="W167" i="25" s="1"/>
  <c r="I163" i="23"/>
  <c r="H163" i="23"/>
  <c r="I161" i="23"/>
  <c r="H161" i="23"/>
  <c r="W163" i="25"/>
  <c r="I159" i="23"/>
  <c r="X161" i="25" s="1"/>
  <c r="H159" i="23"/>
  <c r="W161" i="25" s="1"/>
  <c r="I157" i="23"/>
  <c r="H157" i="23"/>
  <c r="I155" i="23"/>
  <c r="H155" i="23"/>
  <c r="I153" i="23"/>
  <c r="X155" i="25" s="1"/>
  <c r="H153" i="23"/>
  <c r="W155" i="25" s="1"/>
  <c r="I151" i="23"/>
  <c r="AD152" i="1" s="1"/>
  <c r="H151" i="23"/>
  <c r="I149" i="23"/>
  <c r="H149" i="23"/>
  <c r="I147" i="23"/>
  <c r="X149" i="25" s="1"/>
  <c r="H147" i="23"/>
  <c r="W149" i="25" s="1"/>
  <c r="I145" i="23"/>
  <c r="H145" i="23"/>
  <c r="I143" i="23"/>
  <c r="H143" i="23"/>
  <c r="I141" i="23"/>
  <c r="H141" i="23"/>
  <c r="W143" i="25" s="1"/>
  <c r="I139" i="23"/>
  <c r="AD140" i="1" s="1"/>
  <c r="H139" i="23"/>
  <c r="I137" i="23"/>
  <c r="H137" i="23"/>
  <c r="I135" i="23"/>
  <c r="X137" i="25" s="1"/>
  <c r="H135" i="23"/>
  <c r="W137" i="25" s="1"/>
  <c r="I133" i="23"/>
  <c r="H133" i="23"/>
  <c r="I131" i="23"/>
  <c r="H131" i="23"/>
  <c r="W133" i="25"/>
  <c r="I129" i="23"/>
  <c r="X131" i="25" s="1"/>
  <c r="H129" i="23"/>
  <c r="W131" i="25" s="1"/>
  <c r="I127" i="23"/>
  <c r="H127" i="23"/>
  <c r="I125" i="23"/>
  <c r="H125" i="23"/>
  <c r="I123" i="23"/>
  <c r="X125" i="25" s="1"/>
  <c r="H123" i="23"/>
  <c r="W125" i="25" s="1"/>
  <c r="I540" i="23"/>
  <c r="I538" i="23"/>
  <c r="I536" i="23"/>
  <c r="I534" i="23"/>
  <c r="I532" i="23"/>
  <c r="I530" i="23"/>
  <c r="I528" i="23"/>
  <c r="I526" i="23"/>
  <c r="I524" i="23"/>
  <c r="I522" i="23"/>
  <c r="I520" i="23"/>
  <c r="I518" i="23"/>
  <c r="I516" i="23"/>
  <c r="I514" i="23"/>
  <c r="I512" i="23"/>
  <c r="I4" i="23"/>
  <c r="AD5" i="1" s="1"/>
  <c r="H4" i="23"/>
  <c r="AC5" i="1" s="1"/>
  <c r="X53" i="25"/>
  <c r="X28" i="25"/>
  <c r="X13" i="25"/>
  <c r="X478" i="25"/>
  <c r="X238" i="25"/>
  <c r="X358" i="25"/>
  <c r="X298" i="25"/>
  <c r="X178" i="25"/>
  <c r="W448" i="25"/>
  <c r="X448" i="25"/>
  <c r="W373" i="25"/>
  <c r="X373" i="25"/>
  <c r="W433" i="25"/>
  <c r="X433" i="25"/>
  <c r="W388" i="25"/>
  <c r="X388" i="25"/>
  <c r="X493" i="25"/>
  <c r="X418" i="25"/>
  <c r="X328" i="25"/>
  <c r="X313" i="25"/>
  <c r="X268" i="25"/>
  <c r="X253" i="25"/>
  <c r="X208" i="25"/>
  <c r="X193" i="25"/>
  <c r="X148" i="25"/>
  <c r="X133" i="25"/>
  <c r="X463" i="25"/>
  <c r="X403" i="25"/>
  <c r="X343" i="25"/>
  <c r="X283" i="25"/>
  <c r="X223" i="25"/>
  <c r="X163" i="25"/>
  <c r="W118" i="25"/>
  <c r="W103" i="25"/>
  <c r="W88" i="25"/>
  <c r="W73" i="25"/>
  <c r="W58" i="25"/>
  <c r="W43" i="25"/>
  <c r="B3" i="37"/>
  <c r="B4" i="37" s="1"/>
  <c r="B5" i="37" s="1"/>
  <c r="B6" i="37" s="1"/>
  <c r="AA3" i="37"/>
  <c r="W8" i="37"/>
  <c r="T8" i="26"/>
  <c r="B7" i="37" l="1"/>
  <c r="B8" i="37" s="1"/>
  <c r="B9" i="37" s="1"/>
  <c r="B10" i="37" s="1"/>
  <c r="B11" i="37" s="1"/>
  <c r="B12" i="37" s="1"/>
  <c r="B13" i="37" s="1"/>
  <c r="B14" i="37" s="1"/>
  <c r="B15" i="37" s="1"/>
  <c r="B16" i="37" s="1"/>
  <c r="B17" i="37" s="1"/>
  <c r="B18" i="37" s="1"/>
  <c r="B19" i="37" s="1"/>
  <c r="B20" i="37" s="1"/>
  <c r="B21" i="37" s="1"/>
  <c r="B22" i="37" s="1"/>
  <c r="B23" i="37" s="1"/>
  <c r="AD158" i="1"/>
  <c r="X159" i="25" s="1"/>
  <c r="AC164" i="1"/>
  <c r="W165" i="25" s="1"/>
  <c r="AC188" i="1"/>
  <c r="W189" i="25" s="1"/>
  <c r="AD206" i="1"/>
  <c r="X207" i="25" s="1"/>
  <c r="AD218" i="1"/>
  <c r="X219" i="25" s="1"/>
  <c r="AC254" i="1"/>
  <c r="W255" i="25" s="1"/>
  <c r="AC260" i="1"/>
  <c r="W261" i="25" s="1"/>
  <c r="AD266" i="1"/>
  <c r="X267" i="25" s="1"/>
  <c r="AD338" i="1"/>
  <c r="X339" i="25" s="1"/>
  <c r="AC344" i="1"/>
  <c r="W345" i="25" s="1"/>
  <c r="AC350" i="1"/>
  <c r="W351" i="25" s="1"/>
  <c r="AC362" i="1"/>
  <c r="W363" i="25" s="1"/>
  <c r="AC368" i="1"/>
  <c r="W369" i="25" s="1"/>
  <c r="AC392" i="1"/>
  <c r="W393" i="25" s="1"/>
  <c r="AD422" i="1"/>
  <c r="X423" i="25" s="1"/>
  <c r="AD458" i="1"/>
  <c r="X459" i="25" s="1"/>
  <c r="AC488" i="1"/>
  <c r="W489" i="25" s="1"/>
  <c r="AC125" i="1"/>
  <c r="W126" i="25" s="1"/>
  <c r="AD161" i="1"/>
  <c r="X162" i="25" s="1"/>
  <c r="AC203" i="1"/>
  <c r="W204" i="25" s="1"/>
  <c r="AD209" i="1"/>
  <c r="X210" i="25" s="1"/>
  <c r="AC245" i="1"/>
  <c r="W246" i="25" s="1"/>
  <c r="AC263" i="1"/>
  <c r="W264" i="25" s="1"/>
  <c r="AD269" i="1"/>
  <c r="X270" i="25" s="1"/>
  <c r="AD329" i="1"/>
  <c r="X330" i="25" s="1"/>
  <c r="AD353" i="1"/>
  <c r="X354" i="25" s="1"/>
  <c r="AC359" i="1"/>
  <c r="W360" i="25" s="1"/>
  <c r="AC371" i="1"/>
  <c r="W372" i="25" s="1"/>
  <c r="AC377" i="1"/>
  <c r="W378" i="25" s="1"/>
  <c r="AC383" i="1"/>
  <c r="W384" i="25" s="1"/>
  <c r="AC389" i="1"/>
  <c r="W390" i="25" s="1"/>
  <c r="AC395" i="1"/>
  <c r="W396" i="25" s="1"/>
  <c r="AC401" i="1"/>
  <c r="W402" i="25" s="1"/>
  <c r="AC407" i="1"/>
  <c r="W408" i="25" s="1"/>
  <c r="AC413" i="1"/>
  <c r="W414" i="25" s="1"/>
  <c r="AD419" i="1"/>
  <c r="X420" i="25" s="1"/>
  <c r="AD431" i="1"/>
  <c r="X432" i="25" s="1"/>
  <c r="AD443" i="1"/>
  <c r="X444" i="25" s="1"/>
  <c r="AD449" i="1"/>
  <c r="X450" i="25" s="1"/>
  <c r="AD461" i="1"/>
  <c r="X462" i="25" s="1"/>
  <c r="AD467" i="1"/>
  <c r="X468" i="25" s="1"/>
  <c r="AD473" i="1"/>
  <c r="X474" i="25" s="1"/>
  <c r="AC479" i="1"/>
  <c r="W480" i="25" s="1"/>
  <c r="AC485" i="1"/>
  <c r="W486" i="25" s="1"/>
  <c r="AC491" i="1"/>
  <c r="W492" i="25" s="1"/>
  <c r="AC497" i="1"/>
  <c r="W498" i="25" s="1"/>
  <c r="AC122" i="1"/>
  <c r="W123" i="25" s="1"/>
  <c r="AC116" i="1"/>
  <c r="W117" i="25" s="1"/>
  <c r="AC104" i="1"/>
  <c r="W105" i="25" s="1"/>
  <c r="AD98" i="1"/>
  <c r="X99" i="25" s="1"/>
  <c r="AD92" i="1"/>
  <c r="X93" i="25" s="1"/>
  <c r="AD86" i="1"/>
  <c r="X87" i="25" s="1"/>
  <c r="AD80" i="1"/>
  <c r="X81" i="25" s="1"/>
  <c r="AD74" i="1"/>
  <c r="X75" i="25" s="1"/>
  <c r="AC68" i="1"/>
  <c r="W69" i="25" s="1"/>
  <c r="AC56" i="1"/>
  <c r="W57" i="25" s="1"/>
  <c r="AC44" i="1"/>
  <c r="W45" i="25" s="1"/>
  <c r="AD38" i="1"/>
  <c r="X39" i="25" s="1"/>
  <c r="AD32" i="1"/>
  <c r="X33" i="25" s="1"/>
  <c r="AD26" i="1"/>
  <c r="X27" i="25" s="1"/>
  <c r="AD20" i="1"/>
  <c r="X21" i="25" s="1"/>
  <c r="AD14" i="1"/>
  <c r="X15" i="25" s="1"/>
  <c r="AD65" i="1"/>
  <c r="X66" i="25" s="1"/>
  <c r="AD59" i="1"/>
  <c r="X60" i="25" s="1"/>
  <c r="AD53" i="1"/>
  <c r="X54" i="25" s="1"/>
  <c r="AD23" i="1"/>
  <c r="X24" i="25" s="1"/>
  <c r="AD17" i="1"/>
  <c r="X18" i="25" s="1"/>
  <c r="AD11" i="1"/>
  <c r="X12" i="25" s="1"/>
  <c r="AD113" i="1"/>
  <c r="X114" i="25" s="1"/>
  <c r="AD107" i="1"/>
  <c r="X108" i="25" s="1"/>
  <c r="AD101" i="1"/>
  <c r="X102" i="25" s="1"/>
  <c r="AD95" i="1"/>
  <c r="X96" i="25" s="1"/>
  <c r="AD89" i="1"/>
  <c r="X90" i="25" s="1"/>
  <c r="AC83" i="1"/>
  <c r="W84" i="25" s="1"/>
  <c r="AC71" i="1"/>
  <c r="W72" i="25" s="1"/>
  <c r="AD47" i="1"/>
  <c r="X48" i="25" s="1"/>
  <c r="AD41" i="1"/>
  <c r="X42" i="25" s="1"/>
  <c r="AD35" i="1"/>
  <c r="X36" i="25" s="1"/>
  <c r="AD29" i="1"/>
  <c r="X30" i="25" s="1"/>
  <c r="AC128" i="1"/>
  <c r="W129" i="25" s="1"/>
  <c r="AD134" i="1"/>
  <c r="X135" i="25" s="1"/>
  <c r="AD146" i="1"/>
  <c r="X147" i="25" s="1"/>
  <c r="AC170" i="1"/>
  <c r="W171" i="25" s="1"/>
  <c r="AC176" i="1"/>
  <c r="W177" i="25" s="1"/>
  <c r="AC182" i="1"/>
  <c r="W183" i="25" s="1"/>
  <c r="AD194" i="1"/>
  <c r="X195" i="25" s="1"/>
  <c r="AC224" i="1"/>
  <c r="W225" i="25" s="1"/>
  <c r="AC230" i="1"/>
  <c r="W231" i="25" s="1"/>
  <c r="AC236" i="1"/>
  <c r="W237" i="25" s="1"/>
  <c r="AC242" i="1"/>
  <c r="W243" i="25" s="1"/>
  <c r="AC248" i="1"/>
  <c r="W249" i="25" s="1"/>
  <c r="AD278" i="1"/>
  <c r="X279" i="25" s="1"/>
  <c r="AC284" i="1"/>
  <c r="W285" i="25" s="1"/>
  <c r="AC290" i="1"/>
  <c r="W291" i="25" s="1"/>
  <c r="AC296" i="1"/>
  <c r="W297" i="25" s="1"/>
  <c r="AC302" i="1"/>
  <c r="W303" i="25" s="1"/>
  <c r="AC308" i="1"/>
  <c r="W309" i="25" s="1"/>
  <c r="AD314" i="1"/>
  <c r="X315" i="25" s="1"/>
  <c r="AD326" i="1"/>
  <c r="X327" i="25" s="1"/>
  <c r="AC356" i="1"/>
  <c r="W357" i="25" s="1"/>
  <c r="AC374" i="1"/>
  <c r="W375" i="25" s="1"/>
  <c r="AC386" i="1"/>
  <c r="W387" i="25" s="1"/>
  <c r="AC398" i="1"/>
  <c r="W399" i="25" s="1"/>
  <c r="AD404" i="1"/>
  <c r="X405" i="25" s="1"/>
  <c r="AD416" i="1"/>
  <c r="X417" i="25" s="1"/>
  <c r="AD428" i="1"/>
  <c r="X429" i="25" s="1"/>
  <c r="AD434" i="1"/>
  <c r="X435" i="25" s="1"/>
  <c r="AD446" i="1"/>
  <c r="X447" i="25" s="1"/>
  <c r="AC464" i="1"/>
  <c r="W465" i="25" s="1"/>
  <c r="AC470" i="1"/>
  <c r="W471" i="25" s="1"/>
  <c r="AC476" i="1"/>
  <c r="W477" i="25" s="1"/>
  <c r="AC482" i="1"/>
  <c r="W483" i="25" s="1"/>
  <c r="AD494" i="1"/>
  <c r="X495" i="25" s="1"/>
  <c r="AD119" i="1"/>
  <c r="X120" i="25" s="1"/>
  <c r="AC131" i="1"/>
  <c r="W132" i="25" s="1"/>
  <c r="AC137" i="1"/>
  <c r="W138" i="25" s="1"/>
  <c r="AC143" i="1"/>
  <c r="W144" i="25" s="1"/>
  <c r="AD149" i="1"/>
  <c r="X150" i="25" s="1"/>
  <c r="AD173" i="1"/>
  <c r="X174" i="25" s="1"/>
  <c r="AC179" i="1"/>
  <c r="W180" i="25" s="1"/>
  <c r="AC185" i="1"/>
  <c r="W186" i="25" s="1"/>
  <c r="AC191" i="1"/>
  <c r="W192" i="25" s="1"/>
  <c r="AC197" i="1"/>
  <c r="W198" i="25" s="1"/>
  <c r="AD221" i="1"/>
  <c r="X222" i="25" s="1"/>
  <c r="AD227" i="1"/>
  <c r="X228" i="25" s="1"/>
  <c r="AD233" i="1"/>
  <c r="X234" i="25" s="1"/>
  <c r="AC239" i="1"/>
  <c r="W240" i="25" s="1"/>
  <c r="AD251" i="1"/>
  <c r="X252" i="25" s="1"/>
  <c r="AD281" i="1"/>
  <c r="X282" i="25" s="1"/>
  <c r="AD287" i="1"/>
  <c r="X288" i="25" s="1"/>
  <c r="AD293" i="1"/>
  <c r="X294" i="25" s="1"/>
  <c r="AC299" i="1"/>
  <c r="W300" i="25" s="1"/>
  <c r="AC305" i="1"/>
  <c r="W306" i="25" s="1"/>
  <c r="AC311" i="1"/>
  <c r="W312" i="25" s="1"/>
  <c r="AC317" i="1"/>
  <c r="W318" i="25" s="1"/>
  <c r="AC323" i="1"/>
  <c r="W324" i="25" s="1"/>
  <c r="AD341" i="1"/>
  <c r="X342" i="25" s="1"/>
  <c r="AD347" i="1"/>
  <c r="X348" i="25" s="1"/>
  <c r="AD128" i="1"/>
  <c r="X129" i="25" s="1"/>
  <c r="AC134" i="1"/>
  <c r="W135" i="25" s="1"/>
  <c r="AC140" i="1"/>
  <c r="W141" i="25" s="1"/>
  <c r="AC146" i="1"/>
  <c r="W147" i="25" s="1"/>
  <c r="AC152" i="1"/>
  <c r="W153" i="25" s="1"/>
  <c r="AC158" i="1"/>
  <c r="W159" i="25" s="1"/>
  <c r="AD164" i="1"/>
  <c r="X165" i="25" s="1"/>
  <c r="AD176" i="1"/>
  <c r="X177" i="25" s="1"/>
  <c r="AD188" i="1"/>
  <c r="X189" i="25" s="1"/>
  <c r="AC194" i="1"/>
  <c r="W195" i="25" s="1"/>
  <c r="AC200" i="1"/>
  <c r="W201" i="25" s="1"/>
  <c r="AC206" i="1"/>
  <c r="W207" i="25" s="1"/>
  <c r="AC212" i="1"/>
  <c r="W213" i="25" s="1"/>
  <c r="AC218" i="1"/>
  <c r="W219" i="25" s="1"/>
  <c r="AD224" i="1"/>
  <c r="X225" i="25" s="1"/>
  <c r="AD236" i="1"/>
  <c r="X237" i="25" s="1"/>
  <c r="AD242" i="1"/>
  <c r="X243" i="25" s="1"/>
  <c r="AD248" i="1"/>
  <c r="X249" i="25" s="1"/>
  <c r="AD254" i="1"/>
  <c r="X255" i="25" s="1"/>
  <c r="AC266" i="1"/>
  <c r="W267" i="25" s="1"/>
  <c r="AC272" i="1"/>
  <c r="W273" i="25" s="1"/>
  <c r="AC278" i="1"/>
  <c r="W279" i="25" s="1"/>
  <c r="AD284" i="1"/>
  <c r="X285" i="25" s="1"/>
  <c r="AD296" i="1"/>
  <c r="X297" i="25" s="1"/>
  <c r="AD308" i="1"/>
  <c r="X309" i="25" s="1"/>
  <c r="AC314" i="1"/>
  <c r="W315" i="25" s="1"/>
  <c r="AC320" i="1"/>
  <c r="W321" i="25" s="1"/>
  <c r="AC326" i="1"/>
  <c r="W327" i="25" s="1"/>
  <c r="AC332" i="1"/>
  <c r="W333" i="25" s="1"/>
  <c r="AC338" i="1"/>
  <c r="W339" i="25" s="1"/>
  <c r="AD344" i="1"/>
  <c r="X345" i="25" s="1"/>
  <c r="AD356" i="1"/>
  <c r="X357" i="25" s="1"/>
  <c r="AD368" i="1"/>
  <c r="X369" i="25" s="1"/>
  <c r="AD374" i="1"/>
  <c r="X375" i="25" s="1"/>
  <c r="AD386" i="1"/>
  <c r="X387" i="25" s="1"/>
  <c r="AD398" i="1"/>
  <c r="X399" i="25" s="1"/>
  <c r="AC404" i="1"/>
  <c r="W405" i="25" s="1"/>
  <c r="AC416" i="1"/>
  <c r="W417" i="25" s="1"/>
  <c r="AC422" i="1"/>
  <c r="W423" i="25" s="1"/>
  <c r="AC428" i="1"/>
  <c r="W429" i="25" s="1"/>
  <c r="AC434" i="1"/>
  <c r="W435" i="25" s="1"/>
  <c r="AC440" i="1"/>
  <c r="W441" i="25" s="1"/>
  <c r="AC446" i="1"/>
  <c r="W447" i="25" s="1"/>
  <c r="AC452" i="1"/>
  <c r="W453" i="25" s="1"/>
  <c r="AC458" i="1"/>
  <c r="W459" i="25" s="1"/>
  <c r="AD464" i="1"/>
  <c r="X465" i="25" s="1"/>
  <c r="AD476" i="1"/>
  <c r="X477" i="25" s="1"/>
  <c r="AD482" i="1"/>
  <c r="X483" i="25" s="1"/>
  <c r="AD488" i="1"/>
  <c r="X489" i="25" s="1"/>
  <c r="AC494" i="1"/>
  <c r="W495" i="25" s="1"/>
  <c r="AC500" i="1"/>
  <c r="W501" i="25" s="1"/>
  <c r="AC119" i="1"/>
  <c r="W120" i="25" s="1"/>
  <c r="AD131" i="1"/>
  <c r="X132" i="25" s="1"/>
  <c r="AD143" i="1"/>
  <c r="X144" i="25" s="1"/>
  <c r="AC149" i="1"/>
  <c r="W150" i="25" s="1"/>
  <c r="AC155" i="1"/>
  <c r="W156" i="25" s="1"/>
  <c r="AC161" i="1"/>
  <c r="W162" i="25" s="1"/>
  <c r="AC167" i="1"/>
  <c r="W168" i="25" s="1"/>
  <c r="AC173" i="1"/>
  <c r="W174" i="25" s="1"/>
  <c r="AD179" i="1"/>
  <c r="X180" i="25" s="1"/>
  <c r="AD191" i="1"/>
  <c r="X192" i="25" s="1"/>
  <c r="AD203" i="1"/>
  <c r="X204" i="25" s="1"/>
  <c r="AC209" i="1"/>
  <c r="W210" i="25" s="1"/>
  <c r="AC215" i="1"/>
  <c r="W216" i="25" s="1"/>
  <c r="AC221" i="1"/>
  <c r="W222" i="25" s="1"/>
  <c r="AC227" i="1"/>
  <c r="W228" i="25" s="1"/>
  <c r="AC233" i="1"/>
  <c r="W234" i="25" s="1"/>
  <c r="AD239" i="1"/>
  <c r="X240" i="25" s="1"/>
  <c r="AC251" i="1"/>
  <c r="W252" i="25" s="1"/>
  <c r="AC257" i="1"/>
  <c r="W258" i="25" s="1"/>
  <c r="AD263" i="1"/>
  <c r="X264" i="25" s="1"/>
  <c r="AC269" i="1"/>
  <c r="W270" i="25" s="1"/>
  <c r="AC275" i="1"/>
  <c r="W276" i="25" s="1"/>
  <c r="AC281" i="1"/>
  <c r="W282" i="25" s="1"/>
  <c r="AC287" i="1"/>
  <c r="W288" i="25" s="1"/>
  <c r="AC293" i="1"/>
  <c r="W294" i="25" s="1"/>
  <c r="AD299" i="1"/>
  <c r="X300" i="25" s="1"/>
  <c r="AD311" i="1"/>
  <c r="X312" i="25" s="1"/>
  <c r="AD323" i="1"/>
  <c r="X324" i="25" s="1"/>
  <c r="AC329" i="1"/>
  <c r="W330" i="25" s="1"/>
  <c r="AC335" i="1"/>
  <c r="W336" i="25" s="1"/>
  <c r="AC341" i="1"/>
  <c r="W342" i="25" s="1"/>
  <c r="AC347" i="1"/>
  <c r="W348" i="25" s="1"/>
  <c r="AC353" i="1"/>
  <c r="W354" i="25" s="1"/>
  <c r="AD359" i="1"/>
  <c r="X360" i="25" s="1"/>
  <c r="AD371" i="1"/>
  <c r="X372" i="25" s="1"/>
  <c r="AD383" i="1"/>
  <c r="X384" i="25" s="1"/>
  <c r="AD389" i="1"/>
  <c r="X390" i="25" s="1"/>
  <c r="AD401" i="1"/>
  <c r="X402" i="25" s="1"/>
  <c r="AD413" i="1"/>
  <c r="X414" i="25" s="1"/>
  <c r="AC419" i="1"/>
  <c r="W420" i="25" s="1"/>
  <c r="AC431" i="1"/>
  <c r="W432" i="25" s="1"/>
  <c r="AC437" i="1"/>
  <c r="W438" i="25" s="1"/>
  <c r="AC443" i="1"/>
  <c r="W444" i="25" s="1"/>
  <c r="AC449" i="1"/>
  <c r="W450" i="25" s="1"/>
  <c r="AC455" i="1"/>
  <c r="W456" i="25" s="1"/>
  <c r="AC461" i="1"/>
  <c r="W462" i="25" s="1"/>
  <c r="AC467" i="1"/>
  <c r="W468" i="25" s="1"/>
  <c r="AC473" i="1"/>
  <c r="W474" i="25" s="1"/>
  <c r="AD479" i="1"/>
  <c r="X480" i="25" s="1"/>
  <c r="AD122" i="1"/>
  <c r="X123" i="25" s="1"/>
  <c r="AD116" i="1"/>
  <c r="X117" i="25" s="1"/>
  <c r="AD110" i="1"/>
  <c r="X111" i="25" s="1"/>
  <c r="AD104" i="1"/>
  <c r="X105" i="25" s="1"/>
  <c r="AC98" i="1"/>
  <c r="W99" i="25" s="1"/>
  <c r="AC86" i="1"/>
  <c r="W87" i="25" s="1"/>
  <c r="AC74" i="1"/>
  <c r="W75" i="25" s="1"/>
  <c r="AD68" i="1"/>
  <c r="X69" i="25" s="1"/>
  <c r="AD62" i="1"/>
  <c r="X63" i="25" s="1"/>
  <c r="AD56" i="1"/>
  <c r="X57" i="25" s="1"/>
  <c r="AD44" i="1"/>
  <c r="X45" i="25" s="1"/>
  <c r="AC38" i="1"/>
  <c r="W39" i="25" s="1"/>
  <c r="AC59" i="1"/>
  <c r="W60" i="25" s="1"/>
  <c r="AC53" i="1"/>
  <c r="W54" i="25" s="1"/>
  <c r="AC113" i="1"/>
  <c r="W114" i="25" s="1"/>
  <c r="AC101" i="1"/>
  <c r="W102" i="25" s="1"/>
  <c r="AC89" i="1"/>
  <c r="W90" i="25" s="1"/>
  <c r="AD83" i="1"/>
  <c r="X84" i="25" s="1"/>
  <c r="AD77" i="1"/>
  <c r="X78" i="25" s="1"/>
  <c r="AD71" i="1"/>
  <c r="X72" i="25" s="1"/>
  <c r="AC41" i="1"/>
  <c r="W42" i="25" s="1"/>
  <c r="W7" i="25"/>
  <c r="W8" i="25"/>
  <c r="W6" i="25"/>
  <c r="W108" i="25"/>
  <c r="W48" i="25"/>
  <c r="W78" i="25"/>
  <c r="W33" i="25"/>
  <c r="W93" i="25"/>
  <c r="W63" i="25"/>
  <c r="X363" i="25"/>
  <c r="X213" i="25"/>
  <c r="X333" i="25"/>
  <c r="X378" i="25"/>
  <c r="X138" i="25"/>
  <c r="X438" i="25"/>
  <c r="X498" i="25"/>
  <c r="W12" i="25"/>
  <c r="W24" i="25"/>
  <c r="W30" i="25"/>
  <c r="W68" i="25"/>
  <c r="W66" i="25"/>
  <c r="W98" i="25"/>
  <c r="W96" i="25"/>
  <c r="X203" i="25"/>
  <c r="X201" i="25"/>
  <c r="X323" i="25"/>
  <c r="X321" i="25"/>
  <c r="X443" i="25"/>
  <c r="X441" i="25"/>
  <c r="X173" i="25"/>
  <c r="X171" i="25"/>
  <c r="X233" i="25"/>
  <c r="X231" i="25"/>
  <c r="X293" i="25"/>
  <c r="X291" i="25"/>
  <c r="X353" i="25"/>
  <c r="X351" i="25"/>
  <c r="X458" i="25"/>
  <c r="X456" i="25"/>
  <c r="W368" i="25"/>
  <c r="W366" i="25"/>
  <c r="W15" i="25"/>
  <c r="W27" i="25"/>
  <c r="W53" i="25"/>
  <c r="W51" i="25"/>
  <c r="W83" i="25"/>
  <c r="W81" i="25"/>
  <c r="W113" i="25"/>
  <c r="W111" i="25"/>
  <c r="X143" i="25"/>
  <c r="X141" i="25"/>
  <c r="X263" i="25"/>
  <c r="X261" i="25"/>
  <c r="X383" i="25"/>
  <c r="X381" i="25"/>
  <c r="X503" i="25"/>
  <c r="X501" i="25"/>
  <c r="X128" i="25"/>
  <c r="X126" i="25"/>
  <c r="X188" i="25"/>
  <c r="X186" i="25"/>
  <c r="X248" i="25"/>
  <c r="X246" i="25"/>
  <c r="X308" i="25"/>
  <c r="X306" i="25"/>
  <c r="X488" i="25"/>
  <c r="X486" i="25"/>
  <c r="X428" i="25"/>
  <c r="X426" i="25"/>
  <c r="X368" i="25"/>
  <c r="X366" i="25"/>
  <c r="X413" i="25"/>
  <c r="X411" i="25"/>
  <c r="X338" i="25"/>
  <c r="X336" i="25"/>
  <c r="X158" i="25"/>
  <c r="X156" i="25"/>
  <c r="X398" i="25"/>
  <c r="X396" i="25"/>
  <c r="X153" i="25"/>
  <c r="X273" i="25"/>
  <c r="X183" i="25"/>
  <c r="X303" i="25"/>
  <c r="X168" i="25"/>
  <c r="X393" i="25"/>
  <c r="X408" i="25"/>
  <c r="X453" i="25"/>
  <c r="X258" i="25"/>
  <c r="X318" i="25"/>
  <c r="X198" i="25"/>
  <c r="W38" i="25"/>
  <c r="W36" i="25"/>
  <c r="X473" i="25"/>
  <c r="X471" i="25"/>
  <c r="W428" i="25"/>
  <c r="W426" i="25"/>
  <c r="W413" i="25"/>
  <c r="W411" i="25"/>
  <c r="X218" i="25"/>
  <c r="X216" i="25"/>
  <c r="X278" i="25"/>
  <c r="X276" i="25"/>
  <c r="W28" i="25"/>
  <c r="W13" i="25"/>
  <c r="W23" i="25"/>
  <c r="W21" i="25"/>
  <c r="W18" i="25"/>
  <c r="AS13" i="1"/>
  <c r="W9" i="25" l="1"/>
  <c r="X6" i="25"/>
  <c r="S41" i="6"/>
  <c r="K9" i="6"/>
  <c r="AS6" i="1"/>
  <c r="AP3" i="1" s="1"/>
  <c r="U6" i="10"/>
  <c r="U5" i="10"/>
  <c r="T5" i="10"/>
  <c r="B3" i="1"/>
  <c r="AS11" i="1"/>
  <c r="K29" i="6"/>
  <c r="T6" i="10"/>
  <c r="AL4" i="1"/>
  <c r="AL5" i="1" s="1"/>
  <c r="AL6" i="1" s="1"/>
  <c r="AL7" i="1" s="1"/>
  <c r="AL8" i="1" s="1"/>
  <c r="AL9" i="1" s="1"/>
  <c r="AL10" i="1" s="1"/>
  <c r="AL11" i="1" s="1"/>
  <c r="AL12" i="1" s="1"/>
  <c r="AL13" i="1" s="1"/>
  <c r="AL14" i="1" s="1"/>
  <c r="AL15" i="1" s="1"/>
  <c r="AL16" i="1" s="1"/>
  <c r="AL17" i="1" s="1"/>
  <c r="AL18" i="1" s="1"/>
  <c r="AL19" i="1" s="1"/>
  <c r="AL20" i="1" s="1"/>
  <c r="AL21" i="1" s="1"/>
  <c r="AL22" i="1" s="1"/>
  <c r="AL23" i="1" s="1"/>
  <c r="AL24" i="1" s="1"/>
  <c r="AL25" i="1" s="1"/>
  <c r="AL26" i="1" s="1"/>
  <c r="AL27" i="1" s="1"/>
  <c r="AL28" i="1" s="1"/>
  <c r="AL29" i="1" s="1"/>
  <c r="AL30" i="1" s="1"/>
  <c r="AL31" i="1" s="1"/>
  <c r="AL32" i="1" s="1"/>
  <c r="AL33" i="1" s="1"/>
  <c r="AL34" i="1" s="1"/>
  <c r="AL35" i="1" s="1"/>
  <c r="AL36" i="1" s="1"/>
  <c r="AL37" i="1" s="1"/>
  <c r="AL38" i="1" s="1"/>
  <c r="AL39" i="1" s="1"/>
  <c r="AL40" i="1" s="1"/>
  <c r="AL41" i="1" s="1"/>
  <c r="AL42" i="1" s="1"/>
  <c r="AL43" i="1" s="1"/>
  <c r="AL44" i="1" s="1"/>
  <c r="AL45" i="1" s="1"/>
  <c r="AL46" i="1" s="1"/>
  <c r="AL47" i="1" s="1"/>
  <c r="AL48" i="1" s="1"/>
  <c r="AL49" i="1" s="1"/>
  <c r="AL50" i="1" s="1"/>
  <c r="AL51" i="1" s="1"/>
  <c r="AL52" i="1" s="1"/>
  <c r="AL53" i="1" s="1"/>
  <c r="AL54" i="1" s="1"/>
  <c r="AL55" i="1" s="1"/>
  <c r="AL56" i="1" s="1"/>
  <c r="AL57" i="1" s="1"/>
  <c r="AL58" i="1" s="1"/>
  <c r="AL59" i="1" s="1"/>
  <c r="AL60" i="1" s="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AL82" i="1" s="1"/>
  <c r="AL83" i="1" s="1"/>
  <c r="AL84" i="1" s="1"/>
  <c r="AL85" i="1" s="1"/>
  <c r="AL86" i="1" s="1"/>
  <c r="AL87" i="1" s="1"/>
  <c r="AL88" i="1" s="1"/>
  <c r="AL89" i="1" s="1"/>
  <c r="AL90" i="1" s="1"/>
  <c r="AL91" i="1" s="1"/>
  <c r="AL92" i="1" s="1"/>
  <c r="AL93" i="1" s="1"/>
  <c r="AL94" i="1" s="1"/>
  <c r="AL95" i="1" s="1"/>
  <c r="AL96" i="1" s="1"/>
  <c r="AL97" i="1" s="1"/>
  <c r="AL98" i="1" s="1"/>
  <c r="AL99" i="1" s="1"/>
  <c r="AL100" i="1" s="1"/>
  <c r="AL101" i="1" s="1"/>
  <c r="AL102" i="1" s="1"/>
  <c r="AL103" i="1" s="1"/>
  <c r="AL104" i="1" s="1"/>
  <c r="AL105" i="1" s="1"/>
  <c r="AL106" i="1" s="1"/>
  <c r="AL107" i="1" s="1"/>
  <c r="AL108" i="1" s="1"/>
  <c r="AL109" i="1" s="1"/>
  <c r="AL110" i="1" s="1"/>
  <c r="AL111" i="1" s="1"/>
  <c r="AL112" i="1" s="1"/>
  <c r="AL113" i="1" s="1"/>
  <c r="AL114" i="1" s="1"/>
  <c r="AL115" i="1" s="1"/>
  <c r="AL116" i="1" s="1"/>
  <c r="AL117" i="1" s="1"/>
  <c r="AL118" i="1" s="1"/>
  <c r="AL119" i="1" s="1"/>
  <c r="AL120" i="1" s="1"/>
  <c r="AL121" i="1" s="1"/>
  <c r="AL122" i="1" s="1"/>
  <c r="AL123" i="1" s="1"/>
  <c r="AL124" i="1" s="1"/>
  <c r="AL125" i="1" s="1"/>
  <c r="AL126" i="1" s="1"/>
  <c r="AL127" i="1" s="1"/>
  <c r="AL128" i="1" s="1"/>
  <c r="AL129" i="1" s="1"/>
  <c r="AL130" i="1" s="1"/>
  <c r="AL131" i="1" s="1"/>
  <c r="AL132" i="1" s="1"/>
  <c r="AL133" i="1" s="1"/>
  <c r="AL134" i="1" s="1"/>
  <c r="AL135" i="1" s="1"/>
  <c r="AL136" i="1" s="1"/>
  <c r="AL137" i="1" s="1"/>
  <c r="AL138" i="1" s="1"/>
  <c r="AL139" i="1" s="1"/>
  <c r="AL140" i="1" s="1"/>
  <c r="AL141" i="1" s="1"/>
  <c r="AL142" i="1" s="1"/>
  <c r="AL143" i="1" s="1"/>
  <c r="AL144" i="1" s="1"/>
  <c r="AL145" i="1" s="1"/>
  <c r="AL146" i="1" s="1"/>
  <c r="AL147" i="1" s="1"/>
  <c r="AL148" i="1" s="1"/>
  <c r="AL149" i="1" s="1"/>
  <c r="AL150" i="1" s="1"/>
  <c r="AL151" i="1" s="1"/>
  <c r="AL152" i="1" s="1"/>
  <c r="AL153" i="1" s="1"/>
  <c r="AL154" i="1" s="1"/>
  <c r="AL155" i="1" s="1"/>
  <c r="AL156" i="1" s="1"/>
  <c r="AL157" i="1" s="1"/>
  <c r="AL158" i="1" s="1"/>
  <c r="AL159" i="1" s="1"/>
  <c r="AL160" i="1" s="1"/>
  <c r="AL161" i="1" s="1"/>
  <c r="AL162" i="1" s="1"/>
  <c r="AL163" i="1" s="1"/>
  <c r="AL164" i="1" s="1"/>
  <c r="AL165" i="1" s="1"/>
  <c r="AL166" i="1" s="1"/>
  <c r="AL167" i="1" s="1"/>
  <c r="AL168" i="1" s="1"/>
  <c r="AL169" i="1" s="1"/>
  <c r="AL170" i="1" s="1"/>
  <c r="AL171" i="1" s="1"/>
  <c r="AL172" i="1" s="1"/>
  <c r="AL173" i="1" s="1"/>
  <c r="AL174" i="1" s="1"/>
  <c r="AL175" i="1" s="1"/>
  <c r="AL176" i="1" s="1"/>
  <c r="AL177" i="1" s="1"/>
  <c r="AL178" i="1" s="1"/>
  <c r="AL179" i="1" s="1"/>
  <c r="AL180" i="1" s="1"/>
  <c r="AL181" i="1" s="1"/>
  <c r="AL182" i="1" s="1"/>
  <c r="AL183" i="1" s="1"/>
  <c r="AL184" i="1" s="1"/>
  <c r="AL185" i="1" s="1"/>
  <c r="AL186" i="1" s="1"/>
  <c r="AL187" i="1" s="1"/>
  <c r="AL188" i="1" s="1"/>
  <c r="AL189" i="1" s="1"/>
  <c r="AL190" i="1" s="1"/>
  <c r="AL191" i="1" s="1"/>
  <c r="AL192" i="1" s="1"/>
  <c r="AL193" i="1" s="1"/>
  <c r="AL194" i="1" s="1"/>
  <c r="AL195" i="1" s="1"/>
  <c r="AL196" i="1" s="1"/>
  <c r="AL197" i="1" s="1"/>
  <c r="AL198" i="1" s="1"/>
  <c r="AL199" i="1" s="1"/>
  <c r="AL200" i="1" s="1"/>
  <c r="AL201" i="1" s="1"/>
  <c r="AL202" i="1" s="1"/>
  <c r="AL203" i="1" s="1"/>
  <c r="AL204" i="1" s="1"/>
  <c r="AL205" i="1" s="1"/>
  <c r="AL206" i="1" s="1"/>
  <c r="AL207" i="1" s="1"/>
  <c r="AL208" i="1" s="1"/>
  <c r="AL209" i="1" s="1"/>
  <c r="AL210" i="1" s="1"/>
  <c r="AL211" i="1" s="1"/>
  <c r="AL212" i="1" s="1"/>
  <c r="AL213" i="1" s="1"/>
  <c r="AL214" i="1" s="1"/>
  <c r="AL215" i="1" s="1"/>
  <c r="AL216" i="1" s="1"/>
  <c r="AL217" i="1" s="1"/>
  <c r="AL218" i="1" s="1"/>
  <c r="AL219" i="1" s="1"/>
  <c r="AL220" i="1" s="1"/>
  <c r="AL221" i="1" s="1"/>
  <c r="AL222" i="1" s="1"/>
  <c r="AL223" i="1" s="1"/>
  <c r="AL224" i="1" s="1"/>
  <c r="AL225" i="1" s="1"/>
  <c r="AL226" i="1" s="1"/>
  <c r="AL227" i="1" s="1"/>
  <c r="AL228" i="1" s="1"/>
  <c r="AL229" i="1" s="1"/>
  <c r="AL230" i="1" s="1"/>
  <c r="AL231" i="1" s="1"/>
  <c r="AL232" i="1" s="1"/>
  <c r="AL233" i="1" s="1"/>
  <c r="AL234" i="1" s="1"/>
  <c r="AL235" i="1" s="1"/>
  <c r="AL236" i="1" s="1"/>
  <c r="AL237" i="1" s="1"/>
  <c r="AL238" i="1" s="1"/>
  <c r="AL239" i="1" s="1"/>
  <c r="AL240" i="1" s="1"/>
  <c r="AL241" i="1" s="1"/>
  <c r="AL242" i="1" s="1"/>
  <c r="AL243" i="1" s="1"/>
  <c r="AL244" i="1" s="1"/>
  <c r="AL245" i="1" s="1"/>
  <c r="AL246" i="1" s="1"/>
  <c r="AL247" i="1" s="1"/>
  <c r="AL248" i="1" s="1"/>
  <c r="AL249" i="1" s="1"/>
  <c r="AL250" i="1" s="1"/>
  <c r="AL251" i="1" s="1"/>
  <c r="AL252" i="1" s="1"/>
  <c r="AL253" i="1" s="1"/>
  <c r="AL254" i="1" s="1"/>
  <c r="AL255" i="1" s="1"/>
  <c r="AL256" i="1" s="1"/>
  <c r="AL257" i="1" s="1"/>
  <c r="AL258" i="1" s="1"/>
  <c r="AL259" i="1" s="1"/>
  <c r="AL260" i="1" s="1"/>
  <c r="AL261" i="1" s="1"/>
  <c r="AL262" i="1" s="1"/>
  <c r="AL263" i="1" s="1"/>
  <c r="AL264" i="1" s="1"/>
  <c r="AL265" i="1" s="1"/>
  <c r="AL266" i="1" s="1"/>
  <c r="AL267" i="1" s="1"/>
  <c r="AL268" i="1" s="1"/>
  <c r="AL269" i="1" s="1"/>
  <c r="AL270" i="1" s="1"/>
  <c r="AL271" i="1" s="1"/>
  <c r="AL272" i="1" s="1"/>
  <c r="AL273" i="1" s="1"/>
  <c r="AL274" i="1" s="1"/>
  <c r="AL275" i="1" s="1"/>
  <c r="AL276" i="1" s="1"/>
  <c r="AL277" i="1" s="1"/>
  <c r="AL278" i="1" s="1"/>
  <c r="AL279" i="1" s="1"/>
  <c r="AL280" i="1" s="1"/>
  <c r="AL281" i="1" s="1"/>
  <c r="AL282" i="1" s="1"/>
  <c r="AL283" i="1" s="1"/>
  <c r="AL284" i="1" s="1"/>
  <c r="AL285" i="1" s="1"/>
  <c r="AL286" i="1" s="1"/>
  <c r="AL287" i="1" s="1"/>
  <c r="AL288" i="1" s="1"/>
  <c r="AL289" i="1" s="1"/>
  <c r="AL290" i="1" s="1"/>
  <c r="AL291" i="1" s="1"/>
  <c r="AL292" i="1" s="1"/>
  <c r="AL293" i="1" s="1"/>
  <c r="AL294" i="1" s="1"/>
  <c r="AL295" i="1" s="1"/>
  <c r="AL296" i="1" s="1"/>
  <c r="AL297" i="1" s="1"/>
  <c r="AL298" i="1" s="1"/>
  <c r="AL299" i="1" s="1"/>
  <c r="AL300" i="1" s="1"/>
  <c r="AL301" i="1" s="1"/>
  <c r="AL302" i="1" s="1"/>
  <c r="AL303" i="1" s="1"/>
  <c r="AL304" i="1" s="1"/>
  <c r="AL305" i="1" s="1"/>
  <c r="AL306" i="1" s="1"/>
  <c r="AL307" i="1" s="1"/>
  <c r="AL308" i="1" s="1"/>
  <c r="AL309" i="1" s="1"/>
  <c r="AL310" i="1" s="1"/>
  <c r="AL311" i="1" s="1"/>
  <c r="AL312" i="1" s="1"/>
  <c r="AL313" i="1" s="1"/>
  <c r="AL314" i="1" s="1"/>
  <c r="AL315" i="1" s="1"/>
  <c r="AL316" i="1" s="1"/>
  <c r="AL317" i="1" s="1"/>
  <c r="AL318" i="1" s="1"/>
  <c r="AL319" i="1" s="1"/>
  <c r="AL320" i="1" s="1"/>
  <c r="AL321" i="1" s="1"/>
  <c r="AL322" i="1" s="1"/>
  <c r="AL323" i="1" s="1"/>
  <c r="AL324" i="1" s="1"/>
  <c r="AL325" i="1" s="1"/>
  <c r="AL326" i="1" s="1"/>
  <c r="AL327" i="1" s="1"/>
  <c r="AL328" i="1" s="1"/>
  <c r="AL329" i="1" s="1"/>
  <c r="AL330" i="1" s="1"/>
  <c r="AL331" i="1" s="1"/>
  <c r="AL332" i="1" s="1"/>
  <c r="AL333" i="1" s="1"/>
  <c r="AL334" i="1" s="1"/>
  <c r="AL335" i="1" s="1"/>
  <c r="AL336" i="1" s="1"/>
  <c r="AL337" i="1" s="1"/>
  <c r="AL338" i="1" s="1"/>
  <c r="AL339" i="1" s="1"/>
  <c r="AL340" i="1" s="1"/>
  <c r="AL341" i="1" s="1"/>
  <c r="AL342" i="1" s="1"/>
  <c r="AL343" i="1" s="1"/>
  <c r="AL344" i="1" s="1"/>
  <c r="AL345" i="1" s="1"/>
  <c r="AL346" i="1" s="1"/>
  <c r="AL347" i="1" s="1"/>
  <c r="AL348" i="1" s="1"/>
  <c r="AL349" i="1" s="1"/>
  <c r="AL350" i="1" s="1"/>
  <c r="AL351" i="1" s="1"/>
  <c r="AL352" i="1" s="1"/>
  <c r="AL353" i="1" s="1"/>
  <c r="AL354" i="1" s="1"/>
  <c r="AL355" i="1" s="1"/>
  <c r="AL356" i="1" s="1"/>
  <c r="AL357" i="1" s="1"/>
  <c r="AL358" i="1" s="1"/>
  <c r="AL359" i="1" s="1"/>
  <c r="AL360" i="1" s="1"/>
  <c r="AL361" i="1" s="1"/>
  <c r="AL362" i="1" s="1"/>
  <c r="AL363" i="1" s="1"/>
  <c r="AL364" i="1" s="1"/>
  <c r="AL365" i="1" s="1"/>
  <c r="AL366" i="1" s="1"/>
  <c r="AL367" i="1" s="1"/>
  <c r="AL368" i="1" s="1"/>
  <c r="AL369" i="1" s="1"/>
  <c r="AL370" i="1" s="1"/>
  <c r="AL371" i="1" s="1"/>
  <c r="AL372" i="1" s="1"/>
  <c r="AL373" i="1" s="1"/>
  <c r="AL374" i="1" s="1"/>
  <c r="AL375" i="1" s="1"/>
  <c r="AL376" i="1" s="1"/>
  <c r="AL377" i="1" s="1"/>
  <c r="AL378" i="1" s="1"/>
  <c r="AL379" i="1" s="1"/>
  <c r="AL380" i="1" s="1"/>
  <c r="AL381" i="1" s="1"/>
  <c r="AL382" i="1" s="1"/>
  <c r="AL383" i="1" s="1"/>
  <c r="AL384" i="1" s="1"/>
  <c r="AL385" i="1" s="1"/>
  <c r="AL386" i="1" s="1"/>
  <c r="AL387" i="1" s="1"/>
  <c r="AL388" i="1" s="1"/>
  <c r="AL389" i="1" s="1"/>
  <c r="AL390" i="1" s="1"/>
  <c r="AL391" i="1" s="1"/>
  <c r="AL392" i="1" s="1"/>
  <c r="AL393" i="1" s="1"/>
  <c r="AL394" i="1" s="1"/>
  <c r="AL395" i="1" s="1"/>
  <c r="AL396" i="1" s="1"/>
  <c r="AL397" i="1" s="1"/>
  <c r="AL398" i="1" s="1"/>
  <c r="AL399" i="1" s="1"/>
  <c r="AL400" i="1" s="1"/>
  <c r="AL401" i="1" s="1"/>
  <c r="AL402" i="1" s="1"/>
  <c r="AL403" i="1" s="1"/>
  <c r="AL404" i="1" s="1"/>
  <c r="AL405" i="1" s="1"/>
  <c r="AL406" i="1" s="1"/>
  <c r="AL407" i="1" s="1"/>
  <c r="AL408" i="1" s="1"/>
  <c r="AL409" i="1" s="1"/>
  <c r="AL410" i="1" s="1"/>
  <c r="AL411" i="1" s="1"/>
  <c r="AL412" i="1" s="1"/>
  <c r="AL413" i="1" s="1"/>
  <c r="AL414" i="1" s="1"/>
  <c r="AL415" i="1" s="1"/>
  <c r="AL416" i="1" s="1"/>
  <c r="AL417" i="1" s="1"/>
  <c r="AL418" i="1" s="1"/>
  <c r="AL419" i="1" s="1"/>
  <c r="AL420" i="1" s="1"/>
  <c r="AL421" i="1" s="1"/>
  <c r="AL422" i="1" s="1"/>
  <c r="AL423" i="1" s="1"/>
  <c r="AL424" i="1" s="1"/>
  <c r="AL425" i="1" s="1"/>
  <c r="AL426" i="1" s="1"/>
  <c r="AL427" i="1" s="1"/>
  <c r="AL428" i="1" s="1"/>
  <c r="AL429" i="1" s="1"/>
  <c r="AL430" i="1" s="1"/>
  <c r="AL431" i="1" s="1"/>
  <c r="AL432" i="1" s="1"/>
  <c r="AL433" i="1" s="1"/>
  <c r="AL434" i="1" s="1"/>
  <c r="AL435" i="1" s="1"/>
  <c r="AL436" i="1" s="1"/>
  <c r="AL437" i="1" s="1"/>
  <c r="AL438" i="1" s="1"/>
  <c r="AL439" i="1" s="1"/>
  <c r="AL440" i="1" s="1"/>
  <c r="AL441" i="1" s="1"/>
  <c r="AL442" i="1" s="1"/>
  <c r="AL443" i="1" s="1"/>
  <c r="AL444" i="1" s="1"/>
  <c r="AL445" i="1" s="1"/>
  <c r="AL446" i="1" s="1"/>
  <c r="AL447" i="1" s="1"/>
  <c r="AL448" i="1" s="1"/>
  <c r="AL449" i="1" s="1"/>
  <c r="AL450" i="1" s="1"/>
  <c r="AL451" i="1" s="1"/>
  <c r="AL452" i="1" s="1"/>
  <c r="AL453" i="1" s="1"/>
  <c r="AL454" i="1" s="1"/>
  <c r="AL455" i="1" s="1"/>
  <c r="AL456" i="1" s="1"/>
  <c r="AL457" i="1" s="1"/>
  <c r="AL458" i="1" s="1"/>
  <c r="AL459" i="1" s="1"/>
  <c r="AL460" i="1" s="1"/>
  <c r="AL461" i="1" s="1"/>
  <c r="AL462" i="1" s="1"/>
  <c r="AL463" i="1" s="1"/>
  <c r="AL464" i="1" s="1"/>
  <c r="AL465" i="1" s="1"/>
  <c r="AL466" i="1" s="1"/>
  <c r="AL467" i="1" s="1"/>
  <c r="AL468" i="1" s="1"/>
  <c r="AL469" i="1" s="1"/>
  <c r="AL470" i="1" s="1"/>
  <c r="AL471" i="1" s="1"/>
  <c r="AL472" i="1" s="1"/>
  <c r="AL473" i="1" s="1"/>
  <c r="AL474" i="1" s="1"/>
  <c r="AL475" i="1" s="1"/>
  <c r="AL476" i="1" s="1"/>
  <c r="AL477" i="1" s="1"/>
  <c r="AL478" i="1" s="1"/>
  <c r="AL479" i="1" s="1"/>
  <c r="AL480" i="1" s="1"/>
  <c r="AL481" i="1" s="1"/>
  <c r="AL482" i="1" s="1"/>
  <c r="AL483" i="1" s="1"/>
  <c r="AL484" i="1" s="1"/>
  <c r="AL485" i="1" s="1"/>
  <c r="AL486" i="1" s="1"/>
  <c r="AL487" i="1" s="1"/>
  <c r="AL488" i="1" s="1"/>
  <c r="AL489" i="1" s="1"/>
  <c r="AL490" i="1" s="1"/>
  <c r="AL491" i="1" s="1"/>
  <c r="AL492" i="1" s="1"/>
  <c r="AL493" i="1" s="1"/>
  <c r="AL494" i="1" s="1"/>
  <c r="AL495" i="1" s="1"/>
  <c r="AL496" i="1" s="1"/>
  <c r="AL497" i="1" s="1"/>
  <c r="AL498" i="1" s="1"/>
  <c r="AL499" i="1" s="1"/>
  <c r="AL500" i="1" s="1"/>
  <c r="AL501" i="1" s="1"/>
  <c r="AL502" i="1" s="1"/>
  <c r="T7" i="10"/>
  <c r="L4" i="11"/>
  <c r="T8" i="10"/>
  <c r="AS8" i="1"/>
  <c r="AS7" i="1"/>
  <c r="L5" i="11"/>
  <c r="AA8" i="1"/>
  <c r="B30" i="23"/>
  <c r="AA9" i="1"/>
  <c r="U10" i="10"/>
  <c r="C31" i="23"/>
  <c r="B31" i="23" s="1"/>
  <c r="L7" i="11"/>
  <c r="AA10" i="1"/>
  <c r="U11" i="10"/>
  <c r="AA11" i="1"/>
  <c r="U12" i="10"/>
  <c r="AA12" i="1"/>
  <c r="U13" i="10"/>
  <c r="AA13" i="1"/>
  <c r="U14" i="10"/>
  <c r="B9" i="23"/>
  <c r="AD9" i="25" s="1"/>
  <c r="AA14" i="1"/>
  <c r="U15" i="10"/>
  <c r="AA15" i="1"/>
  <c r="U16" i="10"/>
  <c r="AA16" i="1"/>
  <c r="U17" i="10"/>
  <c r="AA17" i="1"/>
  <c r="U18" i="10"/>
  <c r="AA18" i="1"/>
  <c r="U19" i="10"/>
  <c r="AA19" i="1"/>
  <c r="U20" i="10"/>
  <c r="AA20" i="1"/>
  <c r="U21" i="10"/>
  <c r="AA21" i="1"/>
  <c r="U22" i="10"/>
  <c r="AA22" i="1"/>
  <c r="U23" i="10"/>
  <c r="AA23" i="1"/>
  <c r="U24" i="10"/>
  <c r="AA24" i="1"/>
  <c r="U25" i="10"/>
  <c r="AA25" i="1"/>
  <c r="U26" i="10"/>
  <c r="AA26" i="1"/>
  <c r="U27" i="10"/>
  <c r="AA27" i="1"/>
  <c r="U28" i="10"/>
  <c r="AA28" i="1"/>
  <c r="U29" i="10"/>
  <c r="AA29" i="1"/>
  <c r="U30" i="10"/>
  <c r="AA30" i="1"/>
  <c r="U31" i="10"/>
  <c r="AA31" i="1"/>
  <c r="U32" i="10"/>
  <c r="AA32" i="1"/>
  <c r="U33" i="10"/>
  <c r="AA33" i="1"/>
  <c r="U34" i="10"/>
  <c r="AA34" i="1"/>
  <c r="U35" i="10"/>
  <c r="AA35" i="1"/>
  <c r="U36" i="10"/>
  <c r="AA36" i="1"/>
  <c r="U37" i="10"/>
  <c r="AA37" i="1"/>
  <c r="U38" i="10"/>
  <c r="AA38" i="1"/>
  <c r="U39" i="10"/>
  <c r="AA39" i="1"/>
  <c r="U40" i="10"/>
  <c r="AA40" i="1"/>
  <c r="U41" i="10"/>
  <c r="AA41" i="1"/>
  <c r="U42" i="10"/>
  <c r="AA42" i="1"/>
  <c r="U43" i="10"/>
  <c r="AA43" i="1"/>
  <c r="U44" i="10"/>
  <c r="AA44" i="1"/>
  <c r="U45" i="10"/>
  <c r="AA45" i="1"/>
  <c r="U46" i="10"/>
  <c r="AA46" i="1"/>
  <c r="U47" i="10"/>
  <c r="AA47" i="1"/>
  <c r="U48" i="10"/>
  <c r="AA48" i="1"/>
  <c r="U49" i="10"/>
  <c r="AA49" i="1"/>
  <c r="U50" i="10"/>
  <c r="AA50" i="1"/>
  <c r="U51" i="10"/>
  <c r="AA51" i="1"/>
  <c r="U52" i="10"/>
  <c r="AA52" i="1"/>
  <c r="U53" i="10"/>
  <c r="AA53" i="1"/>
  <c r="U54" i="10"/>
  <c r="AA54" i="1"/>
  <c r="U55" i="10"/>
  <c r="AA55" i="1"/>
  <c r="U56" i="10"/>
  <c r="AA56" i="1"/>
  <c r="U57" i="10"/>
  <c r="AA57" i="1"/>
  <c r="U58" i="10"/>
  <c r="AA58" i="1"/>
  <c r="U59" i="10"/>
  <c r="AA59" i="1"/>
  <c r="U60" i="10"/>
  <c r="AA60" i="1"/>
  <c r="U61" i="10"/>
  <c r="AA61" i="1"/>
  <c r="U62" i="10"/>
  <c r="AA62" i="1"/>
  <c r="U63" i="10"/>
  <c r="AA63" i="1"/>
  <c r="U64" i="10"/>
  <c r="AA64" i="1"/>
  <c r="U65" i="10"/>
  <c r="AA65" i="1"/>
  <c r="U66" i="10"/>
  <c r="AA66" i="1"/>
  <c r="U67" i="10"/>
  <c r="AA67" i="1"/>
  <c r="U68" i="10"/>
  <c r="AA68" i="1"/>
  <c r="U69" i="10"/>
  <c r="AA69" i="1"/>
  <c r="U70" i="10"/>
  <c r="AA70" i="1"/>
  <c r="U71" i="10"/>
  <c r="AA71" i="1"/>
  <c r="U72" i="10"/>
  <c r="AA72" i="1"/>
  <c r="U73" i="10"/>
  <c r="AA73" i="1"/>
  <c r="U74" i="10"/>
  <c r="AA74" i="1"/>
  <c r="U75" i="10"/>
  <c r="AA75" i="1"/>
  <c r="U76" i="10"/>
  <c r="AA76" i="1"/>
  <c r="U77" i="10"/>
  <c r="AA77" i="1"/>
  <c r="U78" i="10"/>
  <c r="AA78" i="1"/>
  <c r="U79" i="10"/>
  <c r="AA79" i="1"/>
  <c r="U80" i="10"/>
  <c r="AA80" i="1"/>
  <c r="U81" i="10"/>
  <c r="AA81" i="1"/>
  <c r="U82" i="10"/>
  <c r="AA82" i="1"/>
  <c r="U83" i="10"/>
  <c r="AA83" i="1"/>
  <c r="U84" i="10"/>
  <c r="AA84" i="1"/>
  <c r="U85" i="10"/>
  <c r="AA85" i="1"/>
  <c r="U86" i="10"/>
  <c r="AA86" i="1"/>
  <c r="U87" i="10"/>
  <c r="AA87" i="1"/>
  <c r="U88" i="10"/>
  <c r="L85" i="11"/>
  <c r="AA88" i="1"/>
  <c r="U89" i="10"/>
  <c r="L86" i="11"/>
  <c r="AA89" i="1"/>
  <c r="U90" i="10"/>
  <c r="AA90" i="1"/>
  <c r="U91" i="10"/>
  <c r="AA91" i="1"/>
  <c r="U92" i="10"/>
  <c r="AA92" i="1"/>
  <c r="U93" i="10"/>
  <c r="AA93" i="1"/>
  <c r="U94" i="10"/>
  <c r="AA94" i="1"/>
  <c r="U95" i="10"/>
  <c r="AA95" i="1"/>
  <c r="U96" i="10"/>
  <c r="AA96" i="1"/>
  <c r="U97" i="10"/>
  <c r="AA97" i="1"/>
  <c r="U98" i="10"/>
  <c r="AA98" i="1"/>
  <c r="U99" i="10"/>
  <c r="AA99" i="1"/>
  <c r="U100" i="10"/>
  <c r="AA100" i="1"/>
  <c r="U101" i="10"/>
  <c r="AA101" i="1"/>
  <c r="U102" i="10"/>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G4" i="25"/>
  <c r="U18" i="25" s="1"/>
  <c r="M4" i="25"/>
  <c r="AG5" i="25"/>
  <c r="AG8" i="25" s="1"/>
  <c r="AF21" i="25"/>
  <c r="W8" i="26"/>
  <c r="J23" i="26"/>
  <c r="Y11" i="27"/>
  <c r="T4" i="10"/>
  <c r="B4" i="10" s="1"/>
  <c r="U4" i="10"/>
  <c r="K4" i="10"/>
  <c r="R4" i="13" s="1"/>
  <c r="R7" i="10"/>
  <c r="R9" i="10"/>
  <c r="R8"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AA6" i="1"/>
  <c r="AA7" i="1"/>
  <c r="AR20" i="1"/>
  <c r="K8" i="31"/>
  <c r="H3" i="31"/>
  <c r="Q4" i="13" s="1"/>
  <c r="A17" i="22"/>
  <c r="D19" i="22"/>
  <c r="D20" i="22"/>
  <c r="D21" i="22"/>
  <c r="D22" i="22"/>
  <c r="S43" i="6"/>
  <c r="D24" i="22"/>
  <c r="D25" i="22"/>
  <c r="D26" i="22"/>
  <c r="S42" i="6"/>
  <c r="D18" i="14"/>
  <c r="D19" i="14"/>
  <c r="D20" i="14"/>
  <c r="D21" i="14"/>
  <c r="F28" i="14"/>
  <c r="T42" i="6"/>
  <c r="T43" i="6"/>
  <c r="B2" i="23"/>
  <c r="B3" i="23"/>
  <c r="B41" i="23"/>
  <c r="B42" i="23"/>
  <c r="D18" i="30"/>
  <c r="D19" i="30"/>
  <c r="D20" i="30"/>
  <c r="D21" i="30"/>
  <c r="D22" i="30"/>
  <c r="L3" i="1" l="1"/>
  <c r="M3" i="1"/>
  <c r="AV3" i="1"/>
  <c r="AV4" i="1" s="1"/>
  <c r="M30" i="40"/>
  <c r="L36" i="6"/>
  <c r="F36" i="6"/>
  <c r="A23" i="22"/>
  <c r="A15" i="40"/>
  <c r="D15" i="40"/>
  <c r="Z4" i="25"/>
  <c r="Z4" i="13"/>
  <c r="Q26" i="6"/>
  <c r="F31" i="6"/>
  <c r="F24" i="6"/>
  <c r="I10" i="6"/>
  <c r="L21" i="25"/>
  <c r="L17" i="25"/>
  <c r="Q22" i="6"/>
  <c r="Q16" i="6"/>
  <c r="Q15" i="6"/>
  <c r="L31" i="6"/>
  <c r="Q4" i="6"/>
  <c r="K23" i="25"/>
  <c r="K22" i="25"/>
  <c r="K20" i="25"/>
  <c r="K18" i="25"/>
  <c r="X7" i="25"/>
  <c r="U7" i="10"/>
  <c r="A22" i="14"/>
  <c r="L23" i="25"/>
  <c r="L22" i="25"/>
  <c r="K21" i="25"/>
  <c r="L20" i="25"/>
  <c r="L18" i="25"/>
  <c r="K17" i="25"/>
  <c r="W5" i="37"/>
  <c r="K19" i="1"/>
  <c r="AS5" i="1"/>
  <c r="I6" i="1" s="1"/>
  <c r="I4" i="25"/>
  <c r="I4" i="10"/>
  <c r="H3" i="1"/>
  <c r="AD4" i="25"/>
  <c r="W5" i="26"/>
  <c r="K21" i="1"/>
  <c r="K17" i="1"/>
  <c r="K22" i="1"/>
  <c r="K20" i="1"/>
  <c r="K16" i="1"/>
  <c r="B4" i="25"/>
  <c r="B5" i="25" s="1"/>
  <c r="B6" i="25" s="1"/>
  <c r="B7" i="25" s="1"/>
  <c r="U8" i="25"/>
  <c r="U16" i="25"/>
  <c r="U20" i="25"/>
  <c r="U23" i="25"/>
  <c r="U24" i="25"/>
  <c r="U25" i="25"/>
  <c r="U26" i="25"/>
  <c r="U27" i="25"/>
  <c r="U28" i="25"/>
  <c r="U29" i="25"/>
  <c r="U30" i="25"/>
  <c r="U31" i="25"/>
  <c r="U32" i="25"/>
  <c r="U33" i="25"/>
  <c r="U34" i="25"/>
  <c r="U35" i="25"/>
  <c r="U36" i="25"/>
  <c r="U37" i="25"/>
  <c r="U38" i="25"/>
  <c r="U39" i="25"/>
  <c r="U40" i="25"/>
  <c r="U41" i="25"/>
  <c r="U42" i="25"/>
  <c r="U43" i="25"/>
  <c r="U44" i="25"/>
  <c r="U45" i="25"/>
  <c r="U46" i="25"/>
  <c r="U47" i="25"/>
  <c r="U48" i="25"/>
  <c r="U49" i="25"/>
  <c r="U50" i="25"/>
  <c r="U51" i="25"/>
  <c r="U52" i="25"/>
  <c r="U53" i="25"/>
  <c r="U54" i="25"/>
  <c r="U55" i="25"/>
  <c r="U56" i="25"/>
  <c r="U57" i="25"/>
  <c r="U58" i="25"/>
  <c r="U59" i="25"/>
  <c r="U60" i="25"/>
  <c r="U61" i="25"/>
  <c r="U62" i="25"/>
  <c r="U63" i="25"/>
  <c r="U64" i="25"/>
  <c r="U65" i="25"/>
  <c r="U66" i="25"/>
  <c r="U67" i="25"/>
  <c r="U68" i="25"/>
  <c r="U69" i="25"/>
  <c r="U70" i="25"/>
  <c r="U71" i="25"/>
  <c r="U72" i="25"/>
  <c r="U73" i="25"/>
  <c r="U74" i="25"/>
  <c r="U75" i="25"/>
  <c r="U76" i="25"/>
  <c r="U77" i="25"/>
  <c r="U78" i="25"/>
  <c r="U79" i="25"/>
  <c r="U80" i="25"/>
  <c r="U81" i="25"/>
  <c r="U82" i="25"/>
  <c r="U83" i="25"/>
  <c r="U84" i="25"/>
  <c r="U85" i="25"/>
  <c r="U86" i="25"/>
  <c r="U87" i="25"/>
  <c r="U88" i="25"/>
  <c r="U89" i="25"/>
  <c r="U90" i="25"/>
  <c r="U91" i="25"/>
  <c r="U92" i="25"/>
  <c r="U93" i="25"/>
  <c r="U94" i="25"/>
  <c r="U95" i="25"/>
  <c r="U96" i="25"/>
  <c r="U97" i="25"/>
  <c r="U98" i="25"/>
  <c r="U99" i="25"/>
  <c r="U100" i="25"/>
  <c r="U101" i="25"/>
  <c r="U102" i="25"/>
  <c r="U103" i="25"/>
  <c r="U104" i="25"/>
  <c r="U105" i="25"/>
  <c r="U106" i="25"/>
  <c r="U107" i="25"/>
  <c r="U108" i="25"/>
  <c r="U109" i="25"/>
  <c r="U110" i="25"/>
  <c r="U111" i="25"/>
  <c r="U112" i="25"/>
  <c r="U113" i="25"/>
  <c r="U114" i="25"/>
  <c r="U115" i="25"/>
  <c r="U116" i="25"/>
  <c r="U117" i="25"/>
  <c r="U118" i="25"/>
  <c r="U119" i="25"/>
  <c r="U120" i="25"/>
  <c r="U121" i="25"/>
  <c r="U122" i="25"/>
  <c r="U123" i="25"/>
  <c r="U124" i="25"/>
  <c r="U125" i="25"/>
  <c r="U126" i="25"/>
  <c r="U127" i="25"/>
  <c r="U128" i="25"/>
  <c r="U129" i="25"/>
  <c r="U130" i="25"/>
  <c r="U131" i="25"/>
  <c r="U132" i="25"/>
  <c r="U133" i="25"/>
  <c r="U134" i="25"/>
  <c r="U135" i="25"/>
  <c r="U136" i="25"/>
  <c r="U137" i="25"/>
  <c r="U138" i="25"/>
  <c r="U139" i="25"/>
  <c r="U140" i="25"/>
  <c r="U141" i="25"/>
  <c r="U142" i="25"/>
  <c r="U143" i="25"/>
  <c r="U144" i="25"/>
  <c r="U145" i="25"/>
  <c r="U146" i="25"/>
  <c r="U147" i="25"/>
  <c r="U148" i="25"/>
  <c r="U149" i="25"/>
  <c r="U150" i="25"/>
  <c r="U151" i="25"/>
  <c r="U152" i="25"/>
  <c r="U153" i="25"/>
  <c r="U154" i="25"/>
  <c r="U155" i="25"/>
  <c r="U156" i="25"/>
  <c r="U157" i="25"/>
  <c r="U158" i="25"/>
  <c r="U159" i="25"/>
  <c r="U160" i="25"/>
  <c r="U161" i="25"/>
  <c r="U162" i="25"/>
  <c r="U163" i="25"/>
  <c r="U164" i="25"/>
  <c r="U165" i="25"/>
  <c r="U166" i="25"/>
  <c r="U167" i="25"/>
  <c r="U168" i="25"/>
  <c r="U169" i="25"/>
  <c r="U170" i="25"/>
  <c r="U171" i="25"/>
  <c r="U172" i="25"/>
  <c r="U173" i="25"/>
  <c r="U174" i="25"/>
  <c r="U175" i="25"/>
  <c r="U176" i="25"/>
  <c r="U177" i="25"/>
  <c r="U178" i="25"/>
  <c r="U179" i="25"/>
  <c r="U180" i="25"/>
  <c r="U181" i="25"/>
  <c r="U182" i="25"/>
  <c r="U183" i="25"/>
  <c r="U184" i="25"/>
  <c r="U185" i="25"/>
  <c r="U186" i="25"/>
  <c r="U187" i="25"/>
  <c r="U188" i="25"/>
  <c r="U189" i="25"/>
  <c r="U190" i="25"/>
  <c r="U191" i="25"/>
  <c r="U192" i="25"/>
  <c r="U193" i="25"/>
  <c r="U194" i="25"/>
  <c r="U195" i="25"/>
  <c r="U196" i="25"/>
  <c r="U197" i="25"/>
  <c r="U198" i="25"/>
  <c r="U199" i="25"/>
  <c r="U200" i="25"/>
  <c r="U201" i="25"/>
  <c r="U202" i="25"/>
  <c r="U203" i="25"/>
  <c r="U204" i="25"/>
  <c r="U205" i="25"/>
  <c r="U206" i="25"/>
  <c r="U207" i="25"/>
  <c r="U208" i="25"/>
  <c r="U209" i="25"/>
  <c r="U210" i="25"/>
  <c r="U211" i="25"/>
  <c r="U212" i="25"/>
  <c r="U213" i="25"/>
  <c r="U214" i="25"/>
  <c r="U215" i="25"/>
  <c r="U216" i="25"/>
  <c r="U217" i="25"/>
  <c r="U218" i="25"/>
  <c r="U219" i="25"/>
  <c r="U220" i="25"/>
  <c r="U221" i="25"/>
  <c r="U222" i="25"/>
  <c r="U223" i="25"/>
  <c r="U224" i="25"/>
  <c r="U225" i="25"/>
  <c r="U226" i="25"/>
  <c r="U227" i="25"/>
  <c r="U228" i="25"/>
  <c r="U229" i="25"/>
  <c r="U230" i="25"/>
  <c r="U231" i="25"/>
  <c r="U232" i="25"/>
  <c r="U233" i="25"/>
  <c r="U234" i="25"/>
  <c r="U235" i="25"/>
  <c r="U236" i="25"/>
  <c r="U237" i="25"/>
  <c r="U238" i="25"/>
  <c r="U239" i="25"/>
  <c r="U240" i="25"/>
  <c r="U241" i="25"/>
  <c r="U242" i="25"/>
  <c r="U243" i="25"/>
  <c r="U244" i="25"/>
  <c r="U245" i="25"/>
  <c r="U246" i="25"/>
  <c r="U247" i="25"/>
  <c r="U248" i="25"/>
  <c r="U249" i="25"/>
  <c r="U250" i="25"/>
  <c r="U251" i="25"/>
  <c r="U252" i="25"/>
  <c r="U253" i="25"/>
  <c r="U254" i="25"/>
  <c r="U255" i="25"/>
  <c r="U256" i="25"/>
  <c r="U257" i="25"/>
  <c r="U258" i="25"/>
  <c r="U259" i="25"/>
  <c r="U260" i="25"/>
  <c r="U261" i="25"/>
  <c r="U262" i="25"/>
  <c r="U263" i="25"/>
  <c r="U264" i="25"/>
  <c r="U265" i="25"/>
  <c r="U266" i="25"/>
  <c r="U267" i="25"/>
  <c r="U268" i="25"/>
  <c r="U269" i="25"/>
  <c r="U270" i="25"/>
  <c r="U271" i="25"/>
  <c r="U272" i="25"/>
  <c r="U273" i="25"/>
  <c r="U274" i="25"/>
  <c r="U275" i="25"/>
  <c r="U503" i="25"/>
  <c r="U502" i="25"/>
  <c r="U501" i="25"/>
  <c r="U500" i="25"/>
  <c r="U499" i="25"/>
  <c r="U498" i="25"/>
  <c r="U497" i="25"/>
  <c r="U496" i="25"/>
  <c r="U495" i="25"/>
  <c r="U494" i="25"/>
  <c r="U493" i="25"/>
  <c r="U492" i="25"/>
  <c r="U491" i="25"/>
  <c r="U490" i="25"/>
  <c r="U489" i="25"/>
  <c r="U488" i="25"/>
  <c r="U487" i="25"/>
  <c r="U486" i="25"/>
  <c r="U485" i="25"/>
  <c r="U484" i="25"/>
  <c r="U483" i="25"/>
  <c r="U482" i="25"/>
  <c r="U481" i="25"/>
  <c r="U480" i="25"/>
  <c r="U479" i="25"/>
  <c r="U478" i="25"/>
  <c r="U477" i="25"/>
  <c r="U476" i="25"/>
  <c r="U475" i="25"/>
  <c r="U474" i="25"/>
  <c r="U473" i="25"/>
  <c r="U472" i="25"/>
  <c r="U471" i="25"/>
  <c r="U470" i="25"/>
  <c r="U469" i="25"/>
  <c r="U468" i="25"/>
  <c r="U467" i="25"/>
  <c r="U466" i="25"/>
  <c r="U465" i="25"/>
  <c r="U464" i="25"/>
  <c r="U463" i="25"/>
  <c r="U462" i="25"/>
  <c r="U461" i="25"/>
  <c r="U460" i="25"/>
  <c r="U459" i="25"/>
  <c r="U458" i="25"/>
  <c r="U457" i="25"/>
  <c r="U456" i="25"/>
  <c r="U455" i="25"/>
  <c r="U454" i="25"/>
  <c r="U453" i="25"/>
  <c r="U452" i="25"/>
  <c r="U451" i="25"/>
  <c r="U450" i="25"/>
  <c r="U449" i="25"/>
  <c r="U448" i="25"/>
  <c r="U447" i="25"/>
  <c r="U446" i="25"/>
  <c r="U445" i="25"/>
  <c r="U444" i="25"/>
  <c r="U443" i="25"/>
  <c r="U442" i="25"/>
  <c r="U441" i="25"/>
  <c r="U440" i="25"/>
  <c r="U439" i="25"/>
  <c r="U438" i="25"/>
  <c r="U437" i="25"/>
  <c r="U436" i="25"/>
  <c r="U435" i="25"/>
  <c r="U434" i="25"/>
  <c r="U433" i="25"/>
  <c r="U432" i="25"/>
  <c r="U431" i="25"/>
  <c r="U430" i="25"/>
  <c r="U429" i="25"/>
  <c r="U428" i="25"/>
  <c r="U427" i="25"/>
  <c r="U426" i="25"/>
  <c r="U425" i="25"/>
  <c r="U424" i="25"/>
  <c r="U423" i="25"/>
  <c r="U422" i="25"/>
  <c r="U421" i="25"/>
  <c r="U420" i="25"/>
  <c r="U419" i="25"/>
  <c r="U418" i="25"/>
  <c r="U417" i="25"/>
  <c r="U416" i="25"/>
  <c r="U415" i="25"/>
  <c r="U414" i="25"/>
  <c r="U413" i="25"/>
  <c r="U412" i="25"/>
  <c r="U411" i="25"/>
  <c r="U410" i="25"/>
  <c r="U409" i="25"/>
  <c r="U408" i="25"/>
  <c r="U407" i="25"/>
  <c r="U406" i="25"/>
  <c r="U405" i="25"/>
  <c r="U404" i="25"/>
  <c r="U403" i="25"/>
  <c r="U402" i="25"/>
  <c r="U401" i="25"/>
  <c r="U400" i="25"/>
  <c r="U399" i="25"/>
  <c r="U398" i="25"/>
  <c r="U397" i="25"/>
  <c r="U396" i="25"/>
  <c r="U395" i="25"/>
  <c r="U394" i="25"/>
  <c r="U393" i="25"/>
  <c r="U392" i="25"/>
  <c r="U391" i="25"/>
  <c r="U390" i="25"/>
  <c r="U389" i="25"/>
  <c r="U388" i="25"/>
  <c r="U387" i="25"/>
  <c r="U386" i="25"/>
  <c r="U385" i="25"/>
  <c r="U384" i="25"/>
  <c r="U383" i="25"/>
  <c r="U382" i="25"/>
  <c r="U381" i="25"/>
  <c r="U380" i="25"/>
  <c r="U379" i="25"/>
  <c r="U378" i="25"/>
  <c r="U377" i="25"/>
  <c r="U376" i="25"/>
  <c r="U375" i="25"/>
  <c r="U374" i="25"/>
  <c r="U373" i="25"/>
  <c r="U372" i="25"/>
  <c r="U371" i="25"/>
  <c r="U370" i="25"/>
  <c r="U369" i="25"/>
  <c r="U368" i="25"/>
  <c r="U367" i="25"/>
  <c r="U366" i="25"/>
  <c r="U365" i="25"/>
  <c r="U364" i="25"/>
  <c r="U363" i="25"/>
  <c r="U362" i="25"/>
  <c r="U361" i="25"/>
  <c r="U360" i="25"/>
  <c r="U359" i="25"/>
  <c r="U358" i="25"/>
  <c r="U357" i="25"/>
  <c r="U356" i="25"/>
  <c r="U355" i="25"/>
  <c r="U354" i="25"/>
  <c r="U353" i="25"/>
  <c r="U352" i="25"/>
  <c r="U351" i="25"/>
  <c r="U350" i="25"/>
  <c r="U349" i="25"/>
  <c r="U348" i="25"/>
  <c r="U347" i="25"/>
  <c r="U346" i="25"/>
  <c r="U345" i="25"/>
  <c r="U344" i="25"/>
  <c r="U343" i="25"/>
  <c r="U342" i="25"/>
  <c r="U341" i="25"/>
  <c r="U340" i="25"/>
  <c r="U339" i="25"/>
  <c r="U338" i="25"/>
  <c r="U337" i="25"/>
  <c r="U336" i="25"/>
  <c r="U335" i="25"/>
  <c r="U334" i="25"/>
  <c r="U333" i="25"/>
  <c r="U332" i="25"/>
  <c r="U331" i="25"/>
  <c r="U330" i="25"/>
  <c r="U329" i="25"/>
  <c r="U328" i="25"/>
  <c r="U327" i="25"/>
  <c r="U326" i="25"/>
  <c r="U325" i="25"/>
  <c r="U324" i="25"/>
  <c r="U323" i="25"/>
  <c r="U322" i="25"/>
  <c r="U321" i="25"/>
  <c r="U320" i="25"/>
  <c r="U319" i="25"/>
  <c r="U318" i="25"/>
  <c r="U317" i="25"/>
  <c r="U316" i="25"/>
  <c r="U315" i="25"/>
  <c r="U314" i="25"/>
  <c r="U313" i="25"/>
  <c r="U312" i="25"/>
  <c r="U311" i="25"/>
  <c r="U310" i="25"/>
  <c r="U309" i="25"/>
  <c r="U308" i="25"/>
  <c r="U307" i="25"/>
  <c r="U306" i="25"/>
  <c r="U305" i="25"/>
  <c r="U304" i="25"/>
  <c r="U303" i="25"/>
  <c r="U302" i="25"/>
  <c r="U301" i="25"/>
  <c r="U300" i="25"/>
  <c r="U299" i="25"/>
  <c r="U298" i="25"/>
  <c r="U297" i="25"/>
  <c r="U296" i="25"/>
  <c r="U295" i="25"/>
  <c r="U294" i="25"/>
  <c r="U293" i="25"/>
  <c r="U292" i="25"/>
  <c r="U291" i="25"/>
  <c r="U290" i="25"/>
  <c r="U289" i="25"/>
  <c r="U288" i="25"/>
  <c r="U287" i="25"/>
  <c r="U286" i="25"/>
  <c r="U285" i="25"/>
  <c r="U284" i="25"/>
  <c r="U283" i="25"/>
  <c r="U282" i="25"/>
  <c r="U281" i="25"/>
  <c r="U280" i="25"/>
  <c r="U279" i="25"/>
  <c r="U278" i="25"/>
  <c r="U277" i="25"/>
  <c r="U276" i="25"/>
  <c r="U22" i="25"/>
  <c r="U12" i="25"/>
  <c r="J22" i="1"/>
  <c r="J21" i="1"/>
  <c r="J20" i="1"/>
  <c r="J19" i="1"/>
  <c r="J17" i="1"/>
  <c r="J16" i="1"/>
  <c r="AV5" i="1"/>
  <c r="U21" i="25"/>
  <c r="U19" i="25"/>
  <c r="U17" i="25"/>
  <c r="U14" i="25"/>
  <c r="AA3" i="26"/>
  <c r="B3" i="26"/>
  <c r="B4" i="26" s="1"/>
  <c r="B5" i="26" s="1"/>
  <c r="B6" i="26" s="1"/>
  <c r="C4" i="10"/>
  <c r="C5" i="10" s="1"/>
  <c r="C6" i="10" s="1"/>
  <c r="C7" i="10" s="1"/>
  <c r="C8" i="10" s="1"/>
  <c r="E4" i="13"/>
  <c r="AP8" i="1"/>
  <c r="F3" i="11"/>
  <c r="M37" i="14"/>
  <c r="B4" i="1"/>
  <c r="AP10" i="1" s="1"/>
  <c r="Q8" i="6"/>
  <c r="V38" i="6"/>
  <c r="Q11" i="6"/>
  <c r="A16" i="14"/>
  <c r="Q24" i="6"/>
  <c r="A16" i="30"/>
  <c r="F29" i="6"/>
  <c r="D23" i="30"/>
  <c r="Q7" i="6"/>
  <c r="B5" i="10"/>
  <c r="B6" i="10" s="1"/>
  <c r="B7" i="10" s="1"/>
  <c r="B8" i="10" s="1"/>
  <c r="D22" i="14"/>
  <c r="Q10" i="6"/>
  <c r="V16" i="6"/>
  <c r="B31" i="6"/>
  <c r="L32" i="6"/>
  <c r="P36" i="6"/>
  <c r="V39" i="6"/>
  <c r="Q13" i="6"/>
  <c r="S35" i="6"/>
  <c r="D23" i="22"/>
  <c r="V22" i="6"/>
  <c r="A23" i="30"/>
  <c r="U15" i="25"/>
  <c r="U13" i="25"/>
  <c r="U11" i="25"/>
  <c r="U10" i="25"/>
  <c r="U9" i="25"/>
  <c r="AG9" i="25"/>
  <c r="U7" i="25"/>
  <c r="M37" i="22"/>
  <c r="F32" i="6"/>
  <c r="Q39" i="6"/>
  <c r="V10" i="6"/>
  <c r="Q38" i="6"/>
  <c r="Q19" i="6"/>
  <c r="V8" i="6"/>
  <c r="AF3" i="1" l="1"/>
  <c r="G4" i="10"/>
  <c r="E3" i="26"/>
  <c r="D3" i="26" s="1"/>
  <c r="G3" i="26" s="1"/>
  <c r="K18" i="27"/>
  <c r="E3" i="37"/>
  <c r="D3" i="37" s="1"/>
  <c r="O3" i="37" s="1"/>
  <c r="X8" i="25"/>
  <c r="U8" i="10"/>
  <c r="AP9" i="1"/>
  <c r="I5" i="1"/>
  <c r="I4" i="1" s="1"/>
  <c r="I3" i="1" s="1"/>
  <c r="AG6" i="25"/>
  <c r="J7" i="25" s="1"/>
  <c r="J6" i="25" s="1"/>
  <c r="J5" i="25" s="1"/>
  <c r="N4" i="25" s="1"/>
  <c r="AD4" i="13" s="1"/>
  <c r="B5" i="1"/>
  <c r="F3" i="1"/>
  <c r="B7" i="26"/>
  <c r="B8" i="26" s="1"/>
  <c r="B9" i="26" s="1"/>
  <c r="B10" i="26" s="1"/>
  <c r="B11" i="26" s="1"/>
  <c r="B12" i="26" s="1"/>
  <c r="B13" i="26" s="1"/>
  <c r="B14" i="26" s="1"/>
  <c r="B15" i="26" s="1"/>
  <c r="B16" i="26" s="1"/>
  <c r="B17" i="26" s="1"/>
  <c r="B18" i="26" s="1"/>
  <c r="B19" i="26" s="1"/>
  <c r="B20" i="26" s="1"/>
  <c r="B21" i="26" s="1"/>
  <c r="B22" i="26" s="1"/>
  <c r="B23" i="26" s="1"/>
  <c r="J7" i="10"/>
  <c r="J6" i="10" s="1"/>
  <c r="J5" i="10" s="1"/>
  <c r="J4" i="10" s="1"/>
  <c r="G4" i="25"/>
  <c r="F4" i="25" s="1"/>
  <c r="E4" i="25" s="1"/>
  <c r="Y4" i="13" s="1"/>
  <c r="T9" i="10"/>
  <c r="B9" i="10" s="1"/>
  <c r="AA4" i="13" l="1"/>
  <c r="J3" i="37"/>
  <c r="G3" i="1"/>
  <c r="E3" i="1" s="1"/>
  <c r="K7" i="31" s="1"/>
  <c r="X9" i="25"/>
  <c r="U9" i="10"/>
  <c r="B6" i="1"/>
  <c r="E27" i="37"/>
  <c r="E4" i="37" s="1"/>
  <c r="J4" i="37" s="1"/>
  <c r="G3" i="37"/>
  <c r="E27" i="26"/>
  <c r="E4" i="26" s="1"/>
  <c r="J3" i="26" s="1"/>
  <c r="C9" i="10"/>
  <c r="I5" i="25"/>
  <c r="S4" i="25" s="1"/>
  <c r="D4" i="25"/>
  <c r="J23" i="27"/>
  <c r="T10" i="10"/>
  <c r="B10" i="10" s="1"/>
  <c r="H4" i="10"/>
  <c r="F4" i="10" s="1"/>
  <c r="E4" i="10" s="1"/>
  <c r="L4" i="10"/>
  <c r="X4" i="13" s="1"/>
  <c r="J4" i="25"/>
  <c r="H5" i="25"/>
  <c r="B7" i="1" l="1"/>
  <c r="B8" i="1" s="1"/>
  <c r="B9" i="1" s="1"/>
  <c r="B10" i="1" s="1"/>
  <c r="R4" i="25"/>
  <c r="Q4" i="25" s="1"/>
  <c r="P4" i="25" s="1"/>
  <c r="O4" i="25" s="1"/>
  <c r="AC4" i="13" s="1"/>
  <c r="T4" i="13"/>
  <c r="S4" i="13"/>
  <c r="U4" i="13"/>
  <c r="F4" i="34"/>
  <c r="E4" i="34" s="1"/>
  <c r="F24" i="27"/>
  <c r="F4" i="38"/>
  <c r="E4" i="38" s="1"/>
  <c r="G23" i="27"/>
  <c r="B35" i="23"/>
  <c r="K3" i="26"/>
  <c r="H5" i="10"/>
  <c r="I3" i="37"/>
  <c r="K4" i="38" s="1"/>
  <c r="I26" i="37"/>
  <c r="T3" i="1"/>
  <c r="D3" i="1"/>
  <c r="K3" i="37"/>
  <c r="G5" i="25"/>
  <c r="F5" i="25" s="1"/>
  <c r="E5" i="25" s="1"/>
  <c r="Y5" i="13" s="1"/>
  <c r="H3" i="26"/>
  <c r="I23" i="27"/>
  <c r="C10" i="10"/>
  <c r="T11" i="10"/>
  <c r="B11" i="10" s="1"/>
  <c r="H4" i="25"/>
  <c r="Y4" i="25"/>
  <c r="I5" i="10"/>
  <c r="P4" i="10" s="1"/>
  <c r="O4" i="10" s="1"/>
  <c r="N4" i="10" s="1"/>
  <c r="M4" i="10" s="1"/>
  <c r="W4" i="13" s="1"/>
  <c r="AA5" i="13" l="1"/>
  <c r="L8" i="11"/>
  <c r="G4" i="13"/>
  <c r="G4" i="38"/>
  <c r="C4" i="38"/>
  <c r="AEA4" i="38" s="1"/>
  <c r="C26" i="38" s="1"/>
  <c r="D26" i="38" s="1"/>
  <c r="B4" i="38"/>
  <c r="C4" i="34"/>
  <c r="AEA4" i="34" s="1"/>
  <c r="C26" i="34" s="1"/>
  <c r="B4" i="34"/>
  <c r="K4" i="34"/>
  <c r="J4" i="34" s="1"/>
  <c r="J26" i="34" s="1"/>
  <c r="K26" i="34" s="1"/>
  <c r="H26" i="34"/>
  <c r="I26" i="34" s="1"/>
  <c r="AEB4" i="34"/>
  <c r="J4" i="38"/>
  <c r="J26" i="38" s="1"/>
  <c r="K26" i="38" s="1"/>
  <c r="L26" i="38" s="1"/>
  <c r="H4" i="38"/>
  <c r="H26" i="38"/>
  <c r="I26" i="38" s="1"/>
  <c r="AEB4" i="38"/>
  <c r="Y5" i="25"/>
  <c r="C4" i="13"/>
  <c r="G3" i="31"/>
  <c r="E3" i="31" s="1"/>
  <c r="A2" i="11"/>
  <c r="L4" i="13" s="1"/>
  <c r="B4" i="13"/>
  <c r="H4" i="1"/>
  <c r="AH3" i="1" s="1"/>
  <c r="AE3" i="1"/>
  <c r="G2" i="11"/>
  <c r="H2" i="11" s="1"/>
  <c r="J4" i="13" s="1"/>
  <c r="H23" i="27"/>
  <c r="I6" i="25"/>
  <c r="S5" i="25" s="1"/>
  <c r="C5" i="25"/>
  <c r="AB5" i="13" s="1"/>
  <c r="D5" i="25"/>
  <c r="M5" i="25"/>
  <c r="Z5" i="13" s="1"/>
  <c r="D4" i="26"/>
  <c r="G4" i="26" s="1"/>
  <c r="G4" i="34"/>
  <c r="B11" i="1"/>
  <c r="T12" i="10"/>
  <c r="B12" i="10" s="1"/>
  <c r="C11" i="10"/>
  <c r="G5" i="10"/>
  <c r="F5" i="10" s="1"/>
  <c r="E5" i="10" s="1"/>
  <c r="R5" i="25" l="1"/>
  <c r="Q5" i="25" s="1"/>
  <c r="P5" i="25" s="1"/>
  <c r="O5" i="25" s="1"/>
  <c r="U5" i="13"/>
  <c r="T5" i="13"/>
  <c r="S5" i="13"/>
  <c r="K4" i="26"/>
  <c r="E26" i="38"/>
  <c r="F26" i="38" s="1"/>
  <c r="I6" i="10"/>
  <c r="P5" i="10" s="1"/>
  <c r="H4" i="34"/>
  <c r="D26" i="34"/>
  <c r="E26" i="34"/>
  <c r="F26" i="34" s="1"/>
  <c r="Y3" i="1"/>
  <c r="X3" i="1" s="1"/>
  <c r="C12" i="10"/>
  <c r="Z5" i="25"/>
  <c r="J24" i="27"/>
  <c r="E28" i="26"/>
  <c r="E5" i="26" s="1"/>
  <c r="J4" i="26" s="1"/>
  <c r="C4" i="26"/>
  <c r="T13" i="10"/>
  <c r="B13" i="10" s="1"/>
  <c r="B12" i="1"/>
  <c r="D5" i="10"/>
  <c r="V5" i="13" s="1"/>
  <c r="K5" i="10"/>
  <c r="R5" i="13" s="1"/>
  <c r="O5" i="10" l="1"/>
  <c r="N5" i="10" s="1"/>
  <c r="M5" i="10" s="1"/>
  <c r="L5" i="10" s="1"/>
  <c r="N5" i="25"/>
  <c r="AD5" i="13" s="1"/>
  <c r="AC5" i="13"/>
  <c r="F5" i="38"/>
  <c r="F5" i="34"/>
  <c r="E5" i="34" s="1"/>
  <c r="F25" i="27"/>
  <c r="G24" i="27"/>
  <c r="W3" i="1"/>
  <c r="V3" i="1" s="1"/>
  <c r="U3" i="1" s="1"/>
  <c r="H4" i="26"/>
  <c r="I24" i="27"/>
  <c r="B13" i="1"/>
  <c r="C13" i="10"/>
  <c r="T14" i="10"/>
  <c r="B14" i="10" s="1"/>
  <c r="C14" i="10" s="1"/>
  <c r="W5" i="13" l="1"/>
  <c r="X5" i="13"/>
  <c r="G5" i="38"/>
  <c r="C5" i="34"/>
  <c r="D5" i="34" s="1"/>
  <c r="B5" i="34"/>
  <c r="C5" i="38"/>
  <c r="D5" i="38" s="1"/>
  <c r="E5" i="38"/>
  <c r="B5" i="38"/>
  <c r="F4" i="13"/>
  <c r="AEB5" i="34"/>
  <c r="G6" i="25"/>
  <c r="F6" i="25" s="1"/>
  <c r="E6" i="25" s="1"/>
  <c r="Y6" i="13" s="1"/>
  <c r="H6" i="25"/>
  <c r="G5" i="34"/>
  <c r="D5" i="26"/>
  <c r="H24" i="27"/>
  <c r="T15" i="10"/>
  <c r="B15" i="10" s="1"/>
  <c r="C15" i="10" s="1"/>
  <c r="B14" i="1"/>
  <c r="AA6" i="13" l="1"/>
  <c r="AEA5" i="34"/>
  <c r="C27" i="34" s="1"/>
  <c r="D27" i="34" s="1"/>
  <c r="AEA5" i="38"/>
  <c r="C27" i="38" s="1"/>
  <c r="D27" i="38" s="1"/>
  <c r="AEB5" i="38"/>
  <c r="E27" i="38" s="1"/>
  <c r="F27" i="38" s="1"/>
  <c r="E27" i="34"/>
  <c r="F27" i="34" s="1"/>
  <c r="C6" i="25"/>
  <c r="AB6" i="13" s="1"/>
  <c r="M6" i="25"/>
  <c r="D6" i="25"/>
  <c r="I7" i="25"/>
  <c r="S6" i="25" s="1"/>
  <c r="Y6" i="25"/>
  <c r="G6" i="10"/>
  <c r="H6" i="10"/>
  <c r="G5" i="26"/>
  <c r="E29" i="26"/>
  <c r="E6" i="26" s="1"/>
  <c r="J5" i="26" s="1"/>
  <c r="C5" i="26"/>
  <c r="J25" i="27"/>
  <c r="B15" i="1"/>
  <c r="T16" i="10"/>
  <c r="B16" i="10" s="1"/>
  <c r="C16" i="10" s="1"/>
  <c r="Z6" i="13" l="1"/>
  <c r="R6" i="25"/>
  <c r="Q6" i="25" s="1"/>
  <c r="P6" i="25" s="1"/>
  <c r="O6" i="25" s="1"/>
  <c r="N6" i="25" s="1"/>
  <c r="K5" i="26"/>
  <c r="F6" i="10"/>
  <c r="E6" i="10" s="1"/>
  <c r="Z6" i="25"/>
  <c r="I25" i="27"/>
  <c r="H5" i="26"/>
  <c r="B16" i="1"/>
  <c r="T17" i="10"/>
  <c r="B17" i="10" s="1"/>
  <c r="C17" i="10" s="1"/>
  <c r="D6" i="10" l="1"/>
  <c r="V6" i="13" s="1"/>
  <c r="T6" i="13"/>
  <c r="U6" i="13"/>
  <c r="S6" i="13"/>
  <c r="H7" i="25"/>
  <c r="AC6" i="13"/>
  <c r="F6" i="38"/>
  <c r="G6" i="38" s="1"/>
  <c r="G25" i="27"/>
  <c r="F6" i="34"/>
  <c r="G6" i="34" s="1"/>
  <c r="F26" i="27"/>
  <c r="K6" i="10"/>
  <c r="I7" i="10"/>
  <c r="P6" i="10" s="1"/>
  <c r="H25" i="27"/>
  <c r="D6" i="26"/>
  <c r="T18" i="10"/>
  <c r="B18" i="10" s="1"/>
  <c r="C18" i="10" s="1"/>
  <c r="B17" i="1"/>
  <c r="R6" i="13" l="1"/>
  <c r="O6" i="10"/>
  <c r="N6" i="10" s="1"/>
  <c r="M6" i="10" s="1"/>
  <c r="L6" i="10" s="1"/>
  <c r="G7" i="25"/>
  <c r="F7" i="25" s="1"/>
  <c r="E7" i="25" s="1"/>
  <c r="Y7" i="13" s="1"/>
  <c r="AD6" i="13"/>
  <c r="B6" i="34"/>
  <c r="C6" i="34"/>
  <c r="D6" i="34" s="1"/>
  <c r="E6" i="34"/>
  <c r="B6" i="38"/>
  <c r="C6" i="38"/>
  <c r="D6" i="38" s="1"/>
  <c r="E6" i="38"/>
  <c r="E30" i="26"/>
  <c r="E7" i="26" s="1"/>
  <c r="J6" i="26" s="1"/>
  <c r="G6" i="26"/>
  <c r="C6" i="26"/>
  <c r="J26" i="27"/>
  <c r="B18" i="1"/>
  <c r="T19" i="10"/>
  <c r="B19" i="10" s="1"/>
  <c r="C19" i="10" s="1"/>
  <c r="H7" i="10" l="1"/>
  <c r="W6" i="13"/>
  <c r="AA7" i="13"/>
  <c r="C7" i="25"/>
  <c r="AB7" i="13" s="1"/>
  <c r="M7" i="25"/>
  <c r="B8" i="25"/>
  <c r="I8" i="25"/>
  <c r="Y7" i="25"/>
  <c r="D7" i="25"/>
  <c r="J8" i="25"/>
  <c r="L9" i="25" s="1"/>
  <c r="AEB6" i="34"/>
  <c r="E28" i="34" s="1"/>
  <c r="F28" i="34" s="1"/>
  <c r="AEA6" i="34"/>
  <c r="C28" i="34" s="1"/>
  <c r="D28" i="34" s="1"/>
  <c r="K6" i="26"/>
  <c r="AEA6" i="38"/>
  <c r="C28" i="38" s="1"/>
  <c r="D28" i="38" s="1"/>
  <c r="AEB6" i="38"/>
  <c r="E28" i="38" s="1"/>
  <c r="F28" i="38" s="1"/>
  <c r="I26" i="27"/>
  <c r="H6" i="26"/>
  <c r="B19" i="1"/>
  <c r="T20" i="10"/>
  <c r="B20" i="10" s="1"/>
  <c r="C20" i="10" s="1"/>
  <c r="G7" i="10" l="1"/>
  <c r="F7" i="10" s="1"/>
  <c r="E7" i="10" s="1"/>
  <c r="I8" i="10" s="1"/>
  <c r="X6" i="13"/>
  <c r="K9" i="25"/>
  <c r="S7" i="25"/>
  <c r="Z7" i="13"/>
  <c r="Z7" i="25"/>
  <c r="F7" i="38"/>
  <c r="F7" i="34"/>
  <c r="G7" i="34" s="1"/>
  <c r="F27" i="27"/>
  <c r="G26" i="27"/>
  <c r="F6" i="23"/>
  <c r="D7" i="26"/>
  <c r="H26" i="27"/>
  <c r="B20" i="1"/>
  <c r="T21" i="10"/>
  <c r="B21" i="10" s="1"/>
  <c r="C21" i="10" s="1"/>
  <c r="R7" i="25" l="1"/>
  <c r="Q7" i="25" s="1"/>
  <c r="P7" i="25" s="1"/>
  <c r="O7" i="25" s="1"/>
  <c r="D7" i="10"/>
  <c r="V7" i="13" s="1"/>
  <c r="J8" i="10"/>
  <c r="P7" i="10" s="1"/>
  <c r="K7" i="10"/>
  <c r="T7" i="13"/>
  <c r="S7" i="13"/>
  <c r="U7" i="13"/>
  <c r="B7" i="38"/>
  <c r="C7" i="38"/>
  <c r="D7" i="38" s="1"/>
  <c r="E7" i="38"/>
  <c r="B7" i="34"/>
  <c r="C7" i="34"/>
  <c r="D7" i="34" s="1"/>
  <c r="E7" i="34"/>
  <c r="G7" i="38"/>
  <c r="G7" i="26"/>
  <c r="J27" i="27"/>
  <c r="C7" i="26"/>
  <c r="E31" i="26"/>
  <c r="E8" i="26" s="1"/>
  <c r="J7" i="26" s="1"/>
  <c r="B21" i="1"/>
  <c r="T22" i="10"/>
  <c r="B22" i="10" s="1"/>
  <c r="C22" i="10" s="1"/>
  <c r="R7" i="13" l="1"/>
  <c r="O7" i="10"/>
  <c r="N7" i="10" s="1"/>
  <c r="M7" i="10" s="1"/>
  <c r="L7" i="10" s="1"/>
  <c r="N7" i="25"/>
  <c r="AD5" i="25" s="1"/>
  <c r="AC7" i="13"/>
  <c r="K7" i="26"/>
  <c r="AEA7" i="34"/>
  <c r="C29" i="34" s="1"/>
  <c r="D29" i="34" s="1"/>
  <c r="AEB7" i="34"/>
  <c r="E29" i="34" s="1"/>
  <c r="F29" i="34" s="1"/>
  <c r="AEA7" i="38"/>
  <c r="C29" i="38" s="1"/>
  <c r="D29" i="38" s="1"/>
  <c r="AEB7" i="38"/>
  <c r="E29" i="38" s="1"/>
  <c r="F29" i="38" s="1"/>
  <c r="H7" i="26"/>
  <c r="I27" i="27"/>
  <c r="B22" i="1"/>
  <c r="T23" i="10"/>
  <c r="B23" i="10" s="1"/>
  <c r="G8" i="10" l="1"/>
  <c r="G8" i="25"/>
  <c r="F8" i="25" s="1"/>
  <c r="E8" i="25" s="1"/>
  <c r="Y8" i="13" s="1"/>
  <c r="AD7" i="13"/>
  <c r="H8" i="25"/>
  <c r="W7" i="13"/>
  <c r="AD6" i="25"/>
  <c r="AD7" i="25"/>
  <c r="F8" i="38"/>
  <c r="G27" i="27"/>
  <c r="F8" i="34"/>
  <c r="G8" i="34" s="1"/>
  <c r="F28" i="27"/>
  <c r="H27" i="27"/>
  <c r="D8" i="26"/>
  <c r="T24" i="10"/>
  <c r="B24" i="10" s="1"/>
  <c r="C24" i="10" s="1"/>
  <c r="B23" i="1"/>
  <c r="C23" i="10"/>
  <c r="X7" i="13" l="1"/>
  <c r="H8" i="10"/>
  <c r="J9" i="10" s="1"/>
  <c r="Y8" i="25"/>
  <c r="AA8" i="13"/>
  <c r="I9" i="25"/>
  <c r="K10" i="25" s="1"/>
  <c r="C8" i="25"/>
  <c r="AB8" i="13" s="1"/>
  <c r="B9" i="25"/>
  <c r="D8" i="25"/>
  <c r="M8" i="25"/>
  <c r="Z8" i="25" s="1"/>
  <c r="J9" i="25"/>
  <c r="L10" i="25" s="1"/>
  <c r="C8" i="34"/>
  <c r="D8" i="34" s="1"/>
  <c r="B8" i="34"/>
  <c r="E8" i="34"/>
  <c r="B8" i="38"/>
  <c r="C8" i="38"/>
  <c r="D8" i="38" s="1"/>
  <c r="E8" i="38"/>
  <c r="G8" i="38"/>
  <c r="C8" i="26"/>
  <c r="G8" i="26"/>
  <c r="J28" i="27"/>
  <c r="E32" i="26"/>
  <c r="E9" i="26" s="1"/>
  <c r="J8" i="26" s="1"/>
  <c r="B24" i="1"/>
  <c r="T25" i="10"/>
  <c r="B25" i="10" s="1"/>
  <c r="C25" i="10" s="1"/>
  <c r="F8" i="10" l="1"/>
  <c r="E8" i="10" s="1"/>
  <c r="K8" i="10" s="1"/>
  <c r="S8" i="25"/>
  <c r="R8" i="25" s="1"/>
  <c r="Q8" i="25" s="1"/>
  <c r="P8" i="25" s="1"/>
  <c r="O8" i="25" s="1"/>
  <c r="Z8" i="13"/>
  <c r="AEA8" i="38"/>
  <c r="C30" i="38" s="1"/>
  <c r="D30" i="38" s="1"/>
  <c r="AEB8" i="38"/>
  <c r="E30" i="38" s="1"/>
  <c r="F30" i="38" s="1"/>
  <c r="K8" i="26"/>
  <c r="AEB8" i="34"/>
  <c r="E30" i="34" s="1"/>
  <c r="F30" i="34" s="1"/>
  <c r="AEA8" i="34"/>
  <c r="C30" i="34" s="1"/>
  <c r="D30" i="34" s="1"/>
  <c r="H8" i="26"/>
  <c r="I28" i="27"/>
  <c r="T26" i="10"/>
  <c r="B26" i="10" s="1"/>
  <c r="B25" i="1"/>
  <c r="R8" i="13" l="1"/>
  <c r="U8" i="13"/>
  <c r="T8" i="13"/>
  <c r="S8" i="13"/>
  <c r="D8" i="10"/>
  <c r="V8" i="13" s="1"/>
  <c r="N8" i="25"/>
  <c r="H9" i="25" s="1"/>
  <c r="AC8" i="13"/>
  <c r="F9" i="38"/>
  <c r="F9" i="34"/>
  <c r="G9" i="34" s="1"/>
  <c r="G28" i="27"/>
  <c r="F29" i="27"/>
  <c r="H28" i="27"/>
  <c r="D9" i="26"/>
  <c r="C26" i="10"/>
  <c r="B26" i="1"/>
  <c r="T27" i="10"/>
  <c r="B27" i="10" s="1"/>
  <c r="C27" i="10" s="1"/>
  <c r="G9" i="25" l="1"/>
  <c r="F9" i="25" s="1"/>
  <c r="E9" i="25" s="1"/>
  <c r="Y9" i="13" s="1"/>
  <c r="AD8" i="13"/>
  <c r="B9" i="38"/>
  <c r="C9" i="38"/>
  <c r="D9" i="38" s="1"/>
  <c r="E9" i="38"/>
  <c r="B9" i="34"/>
  <c r="C9" i="34"/>
  <c r="D9" i="34" s="1"/>
  <c r="E9" i="34"/>
  <c r="G9" i="38"/>
  <c r="J29" i="27"/>
  <c r="C9" i="26"/>
  <c r="G9" i="26"/>
  <c r="E33" i="26"/>
  <c r="E10" i="26" s="1"/>
  <c r="J9" i="26" s="1"/>
  <c r="T28" i="10"/>
  <c r="B28" i="10" s="1"/>
  <c r="C28" i="10" s="1"/>
  <c r="B27" i="1"/>
  <c r="Y9" i="25" l="1"/>
  <c r="M9" i="25"/>
  <c r="Z9" i="25" s="1"/>
  <c r="I10" i="25"/>
  <c r="K11" i="25" s="1"/>
  <c r="D9" i="25"/>
  <c r="C9" i="25"/>
  <c r="AB9" i="13" s="1"/>
  <c r="J10" i="25"/>
  <c r="L11" i="25" s="1"/>
  <c r="AA9" i="13"/>
  <c r="B10" i="25"/>
  <c r="AEA9" i="34"/>
  <c r="C31" i="34" s="1"/>
  <c r="D31" i="34" s="1"/>
  <c r="AEB9" i="34"/>
  <c r="E31" i="34" s="1"/>
  <c r="F31" i="34" s="1"/>
  <c r="K9" i="26"/>
  <c r="AEB9" i="38"/>
  <c r="E31" i="38" s="1"/>
  <c r="F31" i="38" s="1"/>
  <c r="AEA9" i="38"/>
  <c r="C31" i="38" s="1"/>
  <c r="D31" i="38" s="1"/>
  <c r="I29" i="27"/>
  <c r="H9" i="26"/>
  <c r="B28" i="1"/>
  <c r="T29" i="10"/>
  <c r="B29" i="10" s="1"/>
  <c r="C29" i="10" s="1"/>
  <c r="S9" i="25" l="1"/>
  <c r="R9" i="25" s="1"/>
  <c r="Q9" i="25" s="1"/>
  <c r="P9" i="25" s="1"/>
  <c r="O9" i="25" s="1"/>
  <c r="Z9" i="13"/>
  <c r="F10" i="38"/>
  <c r="G29" i="27"/>
  <c r="F10" i="34"/>
  <c r="G10" i="34" s="1"/>
  <c r="F30" i="27"/>
  <c r="H29" i="27"/>
  <c r="D10" i="26"/>
  <c r="T30" i="10"/>
  <c r="B30" i="10" s="1"/>
  <c r="C30" i="10" s="1"/>
  <c r="B29" i="1"/>
  <c r="N9" i="25" l="1"/>
  <c r="AD9" i="13" s="1"/>
  <c r="AC9" i="13"/>
  <c r="B10" i="34"/>
  <c r="C10" i="34"/>
  <c r="D10" i="34" s="1"/>
  <c r="E10" i="34"/>
  <c r="C10" i="38"/>
  <c r="D10" i="38" s="1"/>
  <c r="B10" i="38"/>
  <c r="E10" i="38"/>
  <c r="G10" i="38"/>
  <c r="G10" i="26"/>
  <c r="E34" i="26"/>
  <c r="E11" i="26" s="1"/>
  <c r="J30" i="27"/>
  <c r="C10" i="26"/>
  <c r="B30" i="1"/>
  <c r="T31" i="10"/>
  <c r="B31" i="10" s="1"/>
  <c r="C31" i="10" s="1"/>
  <c r="H10" i="25" l="1"/>
  <c r="G10" i="25"/>
  <c r="F10" i="25" s="1"/>
  <c r="E10" i="25" s="1"/>
  <c r="Y10" i="13" s="1"/>
  <c r="K10" i="26"/>
  <c r="AEA10" i="38"/>
  <c r="C32" i="38" s="1"/>
  <c r="D32" i="38" s="1"/>
  <c r="AEB10" i="38"/>
  <c r="E32" i="38" s="1"/>
  <c r="F32" i="38" s="1"/>
  <c r="AEA10" i="34"/>
  <c r="C32" i="34" s="1"/>
  <c r="D32" i="34" s="1"/>
  <c r="AEB10" i="34"/>
  <c r="E32" i="34" s="1"/>
  <c r="F32" i="34" s="1"/>
  <c r="J10" i="26"/>
  <c r="I30" i="27"/>
  <c r="T32" i="10"/>
  <c r="B32" i="10" s="1"/>
  <c r="B31" i="1"/>
  <c r="M10" i="25" l="1"/>
  <c r="Z10" i="25" s="1"/>
  <c r="Y10" i="25"/>
  <c r="AA10" i="13"/>
  <c r="J11" i="25"/>
  <c r="L12" i="25" s="1"/>
  <c r="I11" i="25"/>
  <c r="K12" i="25" s="1"/>
  <c r="B11" i="25"/>
  <c r="D10" i="25"/>
  <c r="C10" i="25"/>
  <c r="AB10" i="13" s="1"/>
  <c r="F11" i="38"/>
  <c r="F11" i="34"/>
  <c r="F31" i="27"/>
  <c r="G30" i="27"/>
  <c r="B36" i="23"/>
  <c r="C35" i="23"/>
  <c r="H10" i="26"/>
  <c r="C32" i="10"/>
  <c r="B32" i="1"/>
  <c r="T33" i="10"/>
  <c r="B33" i="10" s="1"/>
  <c r="S10" i="25" l="1"/>
  <c r="R10" i="25" s="1"/>
  <c r="Q10" i="25" s="1"/>
  <c r="P10" i="25" s="1"/>
  <c r="O10" i="25" s="1"/>
  <c r="Z10" i="13"/>
  <c r="G11" i="38"/>
  <c r="H30" i="27"/>
  <c r="G11" i="34"/>
  <c r="D11" i="26"/>
  <c r="E35" i="26" s="1"/>
  <c r="E12" i="26" s="1"/>
  <c r="C11" i="34"/>
  <c r="D11" i="34" s="1"/>
  <c r="B11" i="34"/>
  <c r="E11" i="34"/>
  <c r="B11" i="38"/>
  <c r="C11" i="38"/>
  <c r="D11" i="38" s="1"/>
  <c r="E11" i="38"/>
  <c r="T34" i="10"/>
  <c r="B34" i="10" s="1"/>
  <c r="C34" i="10" s="1"/>
  <c r="B33" i="1"/>
  <c r="C33" i="10"/>
  <c r="N10" i="25" l="1"/>
  <c r="G11" i="25" s="1"/>
  <c r="F11" i="25" s="1"/>
  <c r="E11" i="25" s="1"/>
  <c r="Y11" i="13" s="1"/>
  <c r="AC10" i="13"/>
  <c r="J31" i="27"/>
  <c r="C11" i="26"/>
  <c r="G11" i="26"/>
  <c r="K11" i="26" s="1"/>
  <c r="AEB11" i="38"/>
  <c r="E33" i="38" s="1"/>
  <c r="F33" i="38" s="1"/>
  <c r="AEA11" i="38"/>
  <c r="C33" i="38" s="1"/>
  <c r="D33" i="38" s="1"/>
  <c r="AEA11" i="34"/>
  <c r="C33" i="34" s="1"/>
  <c r="D33" i="34" s="1"/>
  <c r="AEB11" i="34"/>
  <c r="E33" i="34" s="1"/>
  <c r="F33" i="34" s="1"/>
  <c r="J11" i="26"/>
  <c r="B34" i="1"/>
  <c r="T35" i="10"/>
  <c r="B35" i="10" s="1"/>
  <c r="C35" i="10" s="1"/>
  <c r="H11" i="25" l="1"/>
  <c r="AD10" i="13"/>
  <c r="B12" i="25"/>
  <c r="AA11" i="13"/>
  <c r="Y11" i="25"/>
  <c r="D11" i="25"/>
  <c r="M11" i="25"/>
  <c r="J12" i="25"/>
  <c r="L13" i="25" s="1"/>
  <c r="C11" i="25"/>
  <c r="AB11" i="13" s="1"/>
  <c r="I12" i="25"/>
  <c r="I31" i="27"/>
  <c r="F12" i="38"/>
  <c r="G31" i="27"/>
  <c r="F12" i="34"/>
  <c r="F32" i="27"/>
  <c r="H11" i="26"/>
  <c r="T36" i="10"/>
  <c r="B36" i="10" s="1"/>
  <c r="C36" i="10" s="1"/>
  <c r="B35" i="1"/>
  <c r="G12" i="38" l="1"/>
  <c r="Z11" i="13"/>
  <c r="Z11" i="25"/>
  <c r="K13" i="25"/>
  <c r="S11" i="25"/>
  <c r="R11" i="25" s="1"/>
  <c r="G12" i="34"/>
  <c r="D12" i="26"/>
  <c r="G12" i="26" s="1"/>
  <c r="H31" i="27"/>
  <c r="B12" i="34"/>
  <c r="C12" i="34"/>
  <c r="D12" i="34" s="1"/>
  <c r="E12" i="34"/>
  <c r="C12" i="38"/>
  <c r="D12" i="38" s="1"/>
  <c r="B12" i="38"/>
  <c r="E12" i="38"/>
  <c r="B36" i="1"/>
  <c r="T37" i="10"/>
  <c r="B37" i="10" s="1"/>
  <c r="J32" i="27" l="1"/>
  <c r="Q11" i="25"/>
  <c r="P11" i="25" s="1"/>
  <c r="O11" i="25" s="1"/>
  <c r="N11" i="25" s="1"/>
  <c r="C12" i="26"/>
  <c r="E36" i="26"/>
  <c r="E13" i="26" s="1"/>
  <c r="J12" i="26" s="1"/>
  <c r="K12" i="26"/>
  <c r="AEB12" i="34"/>
  <c r="E34" i="34" s="1"/>
  <c r="F34" i="34" s="1"/>
  <c r="AEA12" i="34"/>
  <c r="C34" i="34" s="1"/>
  <c r="D34" i="34" s="1"/>
  <c r="AEB12" i="38"/>
  <c r="E34" i="38" s="1"/>
  <c r="F34" i="38" s="1"/>
  <c r="AEA12" i="38"/>
  <c r="C34" i="38" s="1"/>
  <c r="D34" i="38" s="1"/>
  <c r="I32" i="27"/>
  <c r="T38" i="10"/>
  <c r="B38" i="10" s="1"/>
  <c r="C38" i="10" s="1"/>
  <c r="B37" i="1"/>
  <c r="C37" i="10"/>
  <c r="AC11" i="13" l="1"/>
  <c r="AD11" i="13"/>
  <c r="H12" i="25"/>
  <c r="G12" i="25"/>
  <c r="F12" i="25" s="1"/>
  <c r="E12" i="25" s="1"/>
  <c r="Y12" i="13" s="1"/>
  <c r="F13" i="38"/>
  <c r="F13" i="34"/>
  <c r="G32" i="27"/>
  <c r="F33" i="27"/>
  <c r="H12" i="26"/>
  <c r="B38" i="1"/>
  <c r="T39" i="10"/>
  <c r="B39" i="10" s="1"/>
  <c r="C39" i="10" s="1"/>
  <c r="G13" i="38" l="1"/>
  <c r="B13" i="25"/>
  <c r="AA12" i="13"/>
  <c r="C12" i="25"/>
  <c r="AB12" i="13" s="1"/>
  <c r="M12" i="25"/>
  <c r="D12" i="25"/>
  <c r="Y12" i="25"/>
  <c r="I13" i="25"/>
  <c r="J13" i="25"/>
  <c r="L14" i="25" s="1"/>
  <c r="H32" i="27"/>
  <c r="D13" i="26"/>
  <c r="C13" i="26" s="1"/>
  <c r="G13" i="34"/>
  <c r="B13" i="34"/>
  <c r="C13" i="34"/>
  <c r="D13" i="34" s="1"/>
  <c r="E13" i="34"/>
  <c r="B13" i="38"/>
  <c r="C13" i="38"/>
  <c r="D13" i="38" s="1"/>
  <c r="E13" i="38"/>
  <c r="T40" i="10"/>
  <c r="B40" i="10" s="1"/>
  <c r="C40" i="10" s="1"/>
  <c r="B39" i="1"/>
  <c r="Z12" i="13" l="1"/>
  <c r="Z12" i="25"/>
  <c r="K14" i="25"/>
  <c r="S12" i="25"/>
  <c r="J33" i="27"/>
  <c r="G13" i="26"/>
  <c r="K13" i="26" s="1"/>
  <c r="E37" i="26"/>
  <c r="E14" i="26" s="1"/>
  <c r="J13" i="26" s="1"/>
  <c r="AEB13" i="38"/>
  <c r="E35" i="38" s="1"/>
  <c r="F35" i="38" s="1"/>
  <c r="AEA13" i="38"/>
  <c r="C35" i="38" s="1"/>
  <c r="D35" i="38" s="1"/>
  <c r="AEA13" i="34"/>
  <c r="C35" i="34" s="1"/>
  <c r="D35" i="34" s="1"/>
  <c r="AEB13" i="34"/>
  <c r="E35" i="34" s="1"/>
  <c r="F35" i="34" s="1"/>
  <c r="B40" i="1"/>
  <c r="T41" i="10"/>
  <c r="B41" i="10" s="1"/>
  <c r="C41" i="10" s="1"/>
  <c r="R12" i="25" l="1"/>
  <c r="Q12" i="25" s="1"/>
  <c r="P12" i="25" s="1"/>
  <c r="O12" i="25" s="1"/>
  <c r="I33" i="27"/>
  <c r="T42" i="10"/>
  <c r="B42" i="10" s="1"/>
  <c r="C42" i="10" s="1"/>
  <c r="B41" i="1"/>
  <c r="AC12" i="13" l="1"/>
  <c r="N12" i="25"/>
  <c r="G13" i="25" s="1"/>
  <c r="F13" i="25" s="1"/>
  <c r="E13" i="25" s="1"/>
  <c r="Y13" i="13" s="1"/>
  <c r="F14" i="38"/>
  <c r="G33" i="27"/>
  <c r="F14" i="34"/>
  <c r="F34" i="27"/>
  <c r="H13" i="26"/>
  <c r="B42" i="1"/>
  <c r="T43" i="10"/>
  <c r="B43" i="10" s="1"/>
  <c r="H13" i="25" l="1"/>
  <c r="AD12" i="13"/>
  <c r="B14" i="25"/>
  <c r="AA13" i="13"/>
  <c r="Y13" i="25"/>
  <c r="M13" i="25"/>
  <c r="D13" i="25"/>
  <c r="C13" i="25"/>
  <c r="AB13" i="13" s="1"/>
  <c r="J14" i="25"/>
  <c r="L15" i="25" s="1"/>
  <c r="I14" i="25"/>
  <c r="D14" i="26"/>
  <c r="H33" i="27"/>
  <c r="C14" i="34"/>
  <c r="D14" i="34" s="1"/>
  <c r="B14" i="34"/>
  <c r="E14" i="34"/>
  <c r="G14" i="34"/>
  <c r="C14" i="38"/>
  <c r="D14" i="38" s="1"/>
  <c r="B14" i="38"/>
  <c r="E14" i="38"/>
  <c r="G14" i="38"/>
  <c r="C43" i="10"/>
  <c r="B43" i="1"/>
  <c r="T44" i="10"/>
  <c r="B44" i="10" s="1"/>
  <c r="K15" i="25" l="1"/>
  <c r="S13" i="25"/>
  <c r="Z13" i="13"/>
  <c r="Z13" i="25"/>
  <c r="AEB14" i="38"/>
  <c r="E36" i="38" s="1"/>
  <c r="F36" i="38" s="1"/>
  <c r="AEA14" i="38"/>
  <c r="C36" i="38" s="1"/>
  <c r="D36" i="38" s="1"/>
  <c r="AEB14" i="34"/>
  <c r="E36" i="34" s="1"/>
  <c r="F36" i="34" s="1"/>
  <c r="AEA14" i="34"/>
  <c r="C36" i="34" s="1"/>
  <c r="D36" i="34" s="1"/>
  <c r="E38" i="26"/>
  <c r="E15" i="26" s="1"/>
  <c r="J14" i="26" s="1"/>
  <c r="G14" i="26"/>
  <c r="J34" i="27"/>
  <c r="C14" i="26"/>
  <c r="T45" i="10"/>
  <c r="B45" i="10" s="1"/>
  <c r="C45" i="10" s="1"/>
  <c r="B44" i="1"/>
  <c r="C44" i="10"/>
  <c r="R13" i="25" l="1"/>
  <c r="Q13" i="25" s="1"/>
  <c r="P13" i="25" s="1"/>
  <c r="O13" i="25" s="1"/>
  <c r="K14" i="26"/>
  <c r="I34" i="27"/>
  <c r="B45" i="1"/>
  <c r="T46" i="10"/>
  <c r="B46" i="10" s="1"/>
  <c r="C46" i="10" s="1"/>
  <c r="N13" i="25" l="1"/>
  <c r="AD13" i="13" s="1"/>
  <c r="AC13" i="13"/>
  <c r="F15" i="38"/>
  <c r="F15" i="34"/>
  <c r="G34" i="27"/>
  <c r="F35" i="27"/>
  <c r="H14" i="26"/>
  <c r="H34" i="27" s="1"/>
  <c r="T47" i="10"/>
  <c r="B47" i="10" s="1"/>
  <c r="C47" i="10" s="1"/>
  <c r="B46" i="1"/>
  <c r="H14" i="25" l="1"/>
  <c r="G14" i="25"/>
  <c r="F14" i="25" s="1"/>
  <c r="E14" i="25" s="1"/>
  <c r="Y14" i="13" s="1"/>
  <c r="C15" i="34"/>
  <c r="D15" i="34" s="1"/>
  <c r="B15" i="34"/>
  <c r="E15" i="34"/>
  <c r="G15" i="34"/>
  <c r="G15" i="38"/>
  <c r="D15" i="26"/>
  <c r="B15" i="38"/>
  <c r="C15" i="38"/>
  <c r="D15" i="38" s="1"/>
  <c r="E15" i="38"/>
  <c r="B47" i="1"/>
  <c r="T48" i="10"/>
  <c r="B48" i="10" s="1"/>
  <c r="B15" i="25" l="1"/>
  <c r="J15" i="25"/>
  <c r="L16" i="25" s="1"/>
  <c r="M14" i="25"/>
  <c r="Z14" i="25" s="1"/>
  <c r="I15" i="25"/>
  <c r="K16" i="25" s="1"/>
  <c r="C14" i="25"/>
  <c r="AB14" i="13" s="1"/>
  <c r="D14" i="25"/>
  <c r="Y14" i="25"/>
  <c r="AA14" i="13"/>
  <c r="AEA15" i="38"/>
  <c r="C37" i="38" s="1"/>
  <c r="D37" i="38" s="1"/>
  <c r="AEB15" i="38"/>
  <c r="E37" i="38" s="1"/>
  <c r="F37" i="38" s="1"/>
  <c r="C15" i="26"/>
  <c r="E39" i="26"/>
  <c r="E16" i="26" s="1"/>
  <c r="J35" i="27"/>
  <c r="G15" i="26"/>
  <c r="AEB15" i="34"/>
  <c r="E37" i="34" s="1"/>
  <c r="F37" i="34" s="1"/>
  <c r="AEA15" i="34"/>
  <c r="C37" i="34" s="1"/>
  <c r="D37" i="34" s="1"/>
  <c r="T49" i="10"/>
  <c r="B49" i="10" s="1"/>
  <c r="C49" i="10" s="1"/>
  <c r="B48" i="1"/>
  <c r="C48" i="10"/>
  <c r="S14" i="25" l="1"/>
  <c r="R14" i="25" s="1"/>
  <c r="Q14" i="25" s="1"/>
  <c r="P14" i="25" s="1"/>
  <c r="O14" i="25" s="1"/>
  <c r="Z14" i="13"/>
  <c r="K15" i="26"/>
  <c r="I35" i="27"/>
  <c r="J15" i="26"/>
  <c r="B49" i="1"/>
  <c r="T50" i="10"/>
  <c r="B50" i="10" s="1"/>
  <c r="C50" i="10" s="1"/>
  <c r="N14" i="25" l="1"/>
  <c r="AD14" i="13" s="1"/>
  <c r="AC14" i="13"/>
  <c r="T51" i="10"/>
  <c r="B51" i="10" s="1"/>
  <c r="B50" i="1"/>
  <c r="G15" i="25" l="1"/>
  <c r="F15" i="25" s="1"/>
  <c r="E15" i="25" s="1"/>
  <c r="Y15" i="13" s="1"/>
  <c r="H15" i="25"/>
  <c r="F16" i="38"/>
  <c r="G35" i="27"/>
  <c r="F16" i="34"/>
  <c r="F36" i="27"/>
  <c r="H15" i="26"/>
  <c r="H35" i="27" s="1"/>
  <c r="C51" i="10"/>
  <c r="B51" i="1"/>
  <c r="T52" i="10"/>
  <c r="B52" i="10" s="1"/>
  <c r="D15" i="25" l="1"/>
  <c r="C15" i="25"/>
  <c r="AB15" i="13" s="1"/>
  <c r="M15" i="25"/>
  <c r="Z15" i="13" s="1"/>
  <c r="AA15" i="13"/>
  <c r="I16" i="25"/>
  <c r="B16" i="25"/>
  <c r="J16" i="25"/>
  <c r="Y15" i="25"/>
  <c r="G16" i="38"/>
  <c r="D16" i="26"/>
  <c r="B16" i="34"/>
  <c r="C16" i="34"/>
  <c r="D16" i="34" s="1"/>
  <c r="E16" i="34"/>
  <c r="G16" i="34"/>
  <c r="B16" i="38"/>
  <c r="C16" i="38"/>
  <c r="D16" i="38" s="1"/>
  <c r="E16" i="38"/>
  <c r="C52" i="10"/>
  <c r="T53" i="10"/>
  <c r="B53" i="10" s="1"/>
  <c r="C53" i="10" s="1"/>
  <c r="B52" i="1"/>
  <c r="S15" i="25" l="1"/>
  <c r="R15" i="25" s="1"/>
  <c r="Q15" i="25" s="1"/>
  <c r="P15" i="25" s="1"/>
  <c r="O15" i="25" s="1"/>
  <c r="Z15" i="25"/>
  <c r="AEA16" i="38"/>
  <c r="C38" i="38" s="1"/>
  <c r="D38" i="38" s="1"/>
  <c r="AEB16" i="38"/>
  <c r="E38" i="38" s="1"/>
  <c r="F38" i="38" s="1"/>
  <c r="AEA16" i="34"/>
  <c r="C38" i="34" s="1"/>
  <c r="D38" i="34" s="1"/>
  <c r="AEB16" i="34"/>
  <c r="E38" i="34" s="1"/>
  <c r="F38" i="34" s="1"/>
  <c r="G16" i="26"/>
  <c r="E40" i="26"/>
  <c r="E17" i="26" s="1"/>
  <c r="C16" i="26"/>
  <c r="J36" i="27"/>
  <c r="B53" i="1"/>
  <c r="T54" i="10"/>
  <c r="B54" i="10" s="1"/>
  <c r="C54" i="10" s="1"/>
  <c r="N15" i="25" l="1"/>
  <c r="G16" i="25" s="1"/>
  <c r="F16" i="25" s="1"/>
  <c r="E16" i="25" s="1"/>
  <c r="Y16" i="13" s="1"/>
  <c r="AC15" i="13"/>
  <c r="K16" i="26"/>
  <c r="I36" i="27"/>
  <c r="J16" i="26"/>
  <c r="T55" i="10"/>
  <c r="B55" i="10" s="1"/>
  <c r="C55" i="10" s="1"/>
  <c r="B54" i="1"/>
  <c r="H16" i="25" l="1"/>
  <c r="AD15" i="13"/>
  <c r="B17" i="25"/>
  <c r="AA16" i="13"/>
  <c r="D16" i="25"/>
  <c r="C16" i="25"/>
  <c r="AB16" i="13" s="1"/>
  <c r="I17" i="25"/>
  <c r="Y16" i="25"/>
  <c r="J17" i="25"/>
  <c r="M16" i="25"/>
  <c r="F17" i="38"/>
  <c r="F17" i="34"/>
  <c r="G36" i="27"/>
  <c r="F37" i="27"/>
  <c r="H16" i="26"/>
  <c r="H36" i="27" s="1"/>
  <c r="B55" i="1"/>
  <c r="T56" i="10"/>
  <c r="B56" i="10" s="1"/>
  <c r="C56" i="10" s="1"/>
  <c r="S16" i="25" l="1"/>
  <c r="Z16" i="13"/>
  <c r="Z16" i="25"/>
  <c r="E17" i="34"/>
  <c r="B17" i="34"/>
  <c r="C17" i="34"/>
  <c r="D17" i="34" s="1"/>
  <c r="G17" i="34"/>
  <c r="D17" i="26"/>
  <c r="C17" i="38"/>
  <c r="D17" i="38" s="1"/>
  <c r="B17" i="38"/>
  <c r="E17" i="38"/>
  <c r="G17" i="38"/>
  <c r="T57" i="10"/>
  <c r="B57" i="10" s="1"/>
  <c r="C57" i="10" s="1"/>
  <c r="B56" i="1"/>
  <c r="R16" i="25" l="1"/>
  <c r="Q16" i="25" s="1"/>
  <c r="P16" i="25" s="1"/>
  <c r="O16" i="25" s="1"/>
  <c r="AEB17" i="38"/>
  <c r="E39" i="38" s="1"/>
  <c r="F39" i="38" s="1"/>
  <c r="AEA17" i="38"/>
  <c r="C39" i="38" s="1"/>
  <c r="D39" i="38" s="1"/>
  <c r="E41" i="26"/>
  <c r="E18" i="26" s="1"/>
  <c r="C17" i="26"/>
  <c r="G17" i="26"/>
  <c r="J37" i="27"/>
  <c r="AEA17" i="34"/>
  <c r="C39" i="34" s="1"/>
  <c r="D39" i="34" s="1"/>
  <c r="AEB17" i="34"/>
  <c r="E39" i="34" s="1"/>
  <c r="F39" i="34" s="1"/>
  <c r="B57" i="1"/>
  <c r="T58" i="10"/>
  <c r="B58" i="10" s="1"/>
  <c r="C58" i="10" s="1"/>
  <c r="N16" i="25" l="1"/>
  <c r="H17" i="25" s="1"/>
  <c r="AC16" i="13"/>
  <c r="K17" i="26"/>
  <c r="I37" i="27"/>
  <c r="J17" i="26"/>
  <c r="T59" i="10"/>
  <c r="B59" i="10" s="1"/>
  <c r="B58" i="1"/>
  <c r="G17" i="25" l="1"/>
  <c r="F17" i="25" s="1"/>
  <c r="E17" i="25" s="1"/>
  <c r="Y17" i="13" s="1"/>
  <c r="AD16" i="13"/>
  <c r="F18" i="38"/>
  <c r="G37" i="27"/>
  <c r="F18" i="34"/>
  <c r="F38" i="27"/>
  <c r="C36" i="23"/>
  <c r="B37" i="23"/>
  <c r="H17" i="26"/>
  <c r="H37" i="27" s="1"/>
  <c r="B59" i="1"/>
  <c r="T60" i="10"/>
  <c r="B60" i="10" s="1"/>
  <c r="C60" i="10" s="1"/>
  <c r="C59" i="10"/>
  <c r="Y17" i="25" l="1"/>
  <c r="C17" i="25"/>
  <c r="AB17" i="13" s="1"/>
  <c r="D17" i="25"/>
  <c r="M17" i="25"/>
  <c r="Z17" i="13" s="1"/>
  <c r="AA17" i="13"/>
  <c r="B18" i="25"/>
  <c r="J18" i="25"/>
  <c r="L19" i="25" s="1"/>
  <c r="I18" i="25"/>
  <c r="K19" i="25"/>
  <c r="G18" i="38"/>
  <c r="D18" i="26"/>
  <c r="C18" i="34"/>
  <c r="D18" i="34" s="1"/>
  <c r="B18" i="34"/>
  <c r="E18" i="34"/>
  <c r="G18" i="34"/>
  <c r="B18" i="38"/>
  <c r="C18" i="38"/>
  <c r="D18" i="38" s="1"/>
  <c r="E18" i="38"/>
  <c r="T61" i="10"/>
  <c r="B61" i="10" s="1"/>
  <c r="B60" i="1"/>
  <c r="S17" i="25" l="1"/>
  <c r="R17" i="25" s="1"/>
  <c r="Q17" i="25" s="1"/>
  <c r="P17" i="25" s="1"/>
  <c r="O17" i="25" s="1"/>
  <c r="Z17" i="25"/>
  <c r="AEA18" i="38"/>
  <c r="C40" i="38" s="1"/>
  <c r="D40" i="38" s="1"/>
  <c r="AEB18" i="38"/>
  <c r="E40" i="38" s="1"/>
  <c r="F40" i="38" s="1"/>
  <c r="AEA18" i="34"/>
  <c r="C40" i="34" s="1"/>
  <c r="D40" i="34" s="1"/>
  <c r="AEB18" i="34"/>
  <c r="E40" i="34" s="1"/>
  <c r="F40" i="34" s="1"/>
  <c r="E42" i="26"/>
  <c r="E19" i="26" s="1"/>
  <c r="J18" i="26" s="1"/>
  <c r="C18" i="26"/>
  <c r="G18" i="26"/>
  <c r="J38" i="27"/>
  <c r="C61" i="10"/>
  <c r="B61" i="1"/>
  <c r="T62" i="10"/>
  <c r="B62" i="10" s="1"/>
  <c r="C62" i="10" s="1"/>
  <c r="N17" i="25" l="1"/>
  <c r="AD17" i="13" s="1"/>
  <c r="AC17" i="13"/>
  <c r="K18" i="26"/>
  <c r="I38" i="27"/>
  <c r="B62" i="1"/>
  <c r="T63" i="10"/>
  <c r="B63" i="10" s="1"/>
  <c r="C63" i="10" s="1"/>
  <c r="G18" i="25" l="1"/>
  <c r="F18" i="25" s="1"/>
  <c r="E18" i="25" s="1"/>
  <c r="Y18" i="13" s="1"/>
  <c r="H18" i="25"/>
  <c r="F19" i="38"/>
  <c r="F19" i="34"/>
  <c r="G38" i="27"/>
  <c r="F39" i="27"/>
  <c r="H18" i="26"/>
  <c r="D19" i="26" s="1"/>
  <c r="J39" i="27" s="1"/>
  <c r="T64" i="10"/>
  <c r="B64" i="10" s="1"/>
  <c r="C64" i="10" s="1"/>
  <c r="B63" i="1"/>
  <c r="Y18" i="25" l="1"/>
  <c r="C18" i="25"/>
  <c r="AB18" i="13" s="1"/>
  <c r="AA18" i="13"/>
  <c r="D18" i="25"/>
  <c r="I19" i="25"/>
  <c r="B19" i="25"/>
  <c r="J19" i="25"/>
  <c r="M18" i="25"/>
  <c r="Z18" i="25" s="1"/>
  <c r="H38" i="27"/>
  <c r="C19" i="34"/>
  <c r="D19" i="34" s="1"/>
  <c r="B19" i="34"/>
  <c r="E19" i="34"/>
  <c r="G19" i="34"/>
  <c r="C19" i="26"/>
  <c r="E43" i="26"/>
  <c r="E20" i="26" s="1"/>
  <c r="G19" i="26"/>
  <c r="C19" i="38"/>
  <c r="D19" i="38" s="1"/>
  <c r="B19" i="38"/>
  <c r="E19" i="38"/>
  <c r="G19" i="38"/>
  <c r="B64" i="1"/>
  <c r="T65" i="10"/>
  <c r="B65" i="10" s="1"/>
  <c r="C65" i="10" s="1"/>
  <c r="S18" i="25" l="1"/>
  <c r="R18" i="25" s="1"/>
  <c r="Q18" i="25" s="1"/>
  <c r="P18" i="25" s="1"/>
  <c r="O18" i="25" s="1"/>
  <c r="Z18" i="13"/>
  <c r="K19" i="26"/>
  <c r="I39" i="27"/>
  <c r="AEA19" i="38"/>
  <c r="C41" i="38" s="1"/>
  <c r="AEB19" i="38"/>
  <c r="E41" i="38" s="1"/>
  <c r="F41" i="38" s="1"/>
  <c r="J19" i="26"/>
  <c r="AEA19" i="34"/>
  <c r="C41" i="34" s="1"/>
  <c r="D41" i="34" s="1"/>
  <c r="AEB19" i="34"/>
  <c r="E41" i="34" s="1"/>
  <c r="F41" i="34" s="1"/>
  <c r="T66" i="10"/>
  <c r="B66" i="10" s="1"/>
  <c r="C66" i="10" s="1"/>
  <c r="B65" i="1"/>
  <c r="N18" i="25" l="1"/>
  <c r="AD18" i="13" s="1"/>
  <c r="AC18" i="13"/>
  <c r="D41" i="38"/>
  <c r="B66" i="1"/>
  <c r="T67" i="10"/>
  <c r="B67" i="10" s="1"/>
  <c r="C67" i="10" s="1"/>
  <c r="G19" i="25" l="1"/>
  <c r="F19" i="25" s="1"/>
  <c r="E19" i="25" s="1"/>
  <c r="Y19" i="13" s="1"/>
  <c r="H19" i="25"/>
  <c r="F20" i="38"/>
  <c r="G39" i="27"/>
  <c r="F20" i="34"/>
  <c r="F40" i="27"/>
  <c r="H19" i="26"/>
  <c r="D20" i="26" s="1"/>
  <c r="J40" i="27" s="1"/>
  <c r="T68" i="10"/>
  <c r="B68" i="10" s="1"/>
  <c r="C68" i="10" s="1"/>
  <c r="B67" i="1"/>
  <c r="Y19" i="25" l="1"/>
  <c r="M19" i="25"/>
  <c r="Z19" i="25" s="1"/>
  <c r="J20" i="25"/>
  <c r="AA19" i="13"/>
  <c r="B20" i="25"/>
  <c r="I20" i="25"/>
  <c r="D19" i="25"/>
  <c r="C19" i="25"/>
  <c r="AB19" i="13" s="1"/>
  <c r="H39" i="27"/>
  <c r="C20" i="26"/>
  <c r="E44" i="26"/>
  <c r="G20" i="26"/>
  <c r="B20" i="34"/>
  <c r="C20" i="34"/>
  <c r="D20" i="34" s="1"/>
  <c r="E20" i="34"/>
  <c r="G20" i="34"/>
  <c r="B20" i="38"/>
  <c r="E20" i="38"/>
  <c r="G20" i="38"/>
  <c r="C20" i="38"/>
  <c r="D20" i="38" s="1"/>
  <c r="B68" i="1"/>
  <c r="T69" i="10"/>
  <c r="B69" i="10" s="1"/>
  <c r="C69" i="10" s="1"/>
  <c r="S19" i="25" l="1"/>
  <c r="R19" i="25" s="1"/>
  <c r="Q19" i="25" s="1"/>
  <c r="P19" i="25" s="1"/>
  <c r="O19" i="25" s="1"/>
  <c r="Z19" i="13"/>
  <c r="AEB20" i="38"/>
  <c r="E42" i="38" s="1"/>
  <c r="AEA20" i="38"/>
  <c r="C42" i="38" s="1"/>
  <c r="K20" i="26"/>
  <c r="I40" i="27"/>
  <c r="AEA20" i="34"/>
  <c r="C42" i="34" s="1"/>
  <c r="D42" i="34" s="1"/>
  <c r="AEB20" i="34"/>
  <c r="E42" i="34" s="1"/>
  <c r="F42" i="34" s="1"/>
  <c r="E21" i="26"/>
  <c r="T70" i="10"/>
  <c r="B70" i="10" s="1"/>
  <c r="B69" i="1"/>
  <c r="N19" i="25" l="1"/>
  <c r="AC19" i="13"/>
  <c r="J20" i="26"/>
  <c r="D42" i="38"/>
  <c r="F42" i="38"/>
  <c r="C70" i="10"/>
  <c r="B70" i="1"/>
  <c r="T71" i="10"/>
  <c r="B71" i="10" s="1"/>
  <c r="C71" i="10" s="1"/>
  <c r="H20" i="25" l="1"/>
  <c r="G20" i="25"/>
  <c r="F20" i="25" s="1"/>
  <c r="E20" i="25" s="1"/>
  <c r="AD19" i="13"/>
  <c r="T72" i="10"/>
  <c r="B72" i="10" s="1"/>
  <c r="C72" i="10" s="1"/>
  <c r="B71" i="1"/>
  <c r="Y20" i="13" l="1"/>
  <c r="C20" i="25"/>
  <c r="AB20" i="13" s="1"/>
  <c r="Y20" i="25"/>
  <c r="D20" i="25"/>
  <c r="J21" i="25"/>
  <c r="AA20" i="13"/>
  <c r="B21" i="25"/>
  <c r="I21" i="25"/>
  <c r="M20" i="25"/>
  <c r="F21" i="38"/>
  <c r="F21" i="34"/>
  <c r="G40" i="27"/>
  <c r="F41" i="27"/>
  <c r="H20" i="26"/>
  <c r="D21" i="26" s="1"/>
  <c r="J41" i="27" s="1"/>
  <c r="B72" i="1"/>
  <c r="T73" i="10"/>
  <c r="B73" i="10" s="1"/>
  <c r="C73" i="10" s="1"/>
  <c r="S20" i="25" l="1"/>
  <c r="R20" i="25" s="1"/>
  <c r="Q20" i="25" s="1"/>
  <c r="P20" i="25" s="1"/>
  <c r="O20" i="25" s="1"/>
  <c r="Z20" i="13"/>
  <c r="Z20" i="25"/>
  <c r="H40" i="27"/>
  <c r="B21" i="34"/>
  <c r="C21" i="34"/>
  <c r="D21" i="34" s="1"/>
  <c r="E21" i="34"/>
  <c r="G21" i="34"/>
  <c r="E45" i="26"/>
  <c r="C21" i="26"/>
  <c r="G21" i="26"/>
  <c r="C21" i="38"/>
  <c r="D21" i="38" s="1"/>
  <c r="B21" i="38"/>
  <c r="E21" i="38"/>
  <c r="G21" i="38"/>
  <c r="T74" i="10"/>
  <c r="B74" i="10" s="1"/>
  <c r="B73" i="1"/>
  <c r="N20" i="25" l="1"/>
  <c r="AC20" i="13"/>
  <c r="AEA21" i="38"/>
  <c r="C43" i="38" s="1"/>
  <c r="AEB21" i="38"/>
  <c r="E43" i="38" s="1"/>
  <c r="K21" i="26"/>
  <c r="I41" i="27"/>
  <c r="L9" i="27" s="1"/>
  <c r="E22" i="26"/>
  <c r="AEB21" i="34"/>
  <c r="E43" i="34" s="1"/>
  <c r="F43" i="34" s="1"/>
  <c r="AEA21" i="34"/>
  <c r="C43" i="34" s="1"/>
  <c r="D43" i="34" s="1"/>
  <c r="C74" i="10"/>
  <c r="B74" i="1"/>
  <c r="T75" i="10"/>
  <c r="B75" i="10" s="1"/>
  <c r="C75" i="10" s="1"/>
  <c r="AD20" i="13" l="1"/>
  <c r="G21" i="25"/>
  <c r="F21" i="25" s="1"/>
  <c r="E21" i="25" s="1"/>
  <c r="H21" i="25"/>
  <c r="J21" i="26"/>
  <c r="F43" i="38"/>
  <c r="D43" i="38"/>
  <c r="T76" i="10"/>
  <c r="B76" i="10" s="1"/>
  <c r="B75" i="1"/>
  <c r="B76" i="1" s="1"/>
  <c r="Y21" i="13" l="1"/>
  <c r="D21" i="25"/>
  <c r="I22" i="25"/>
  <c r="C21" i="25"/>
  <c r="AB21" i="13" s="1"/>
  <c r="M21" i="25"/>
  <c r="J22" i="25"/>
  <c r="AA21" i="13"/>
  <c r="B22" i="25"/>
  <c r="Y21" i="25"/>
  <c r="T77" i="10"/>
  <c r="B77" i="10" s="1"/>
  <c r="C77" i="10" s="1"/>
  <c r="C76" i="10"/>
  <c r="S21" i="25" l="1"/>
  <c r="R21" i="25" s="1"/>
  <c r="Q21" i="25" s="1"/>
  <c r="P21" i="25" s="1"/>
  <c r="O21" i="25" s="1"/>
  <c r="Z21" i="13"/>
  <c r="Z21" i="25"/>
  <c r="F22" i="38"/>
  <c r="G41" i="27"/>
  <c r="F22" i="34"/>
  <c r="F42" i="27"/>
  <c r="H21" i="26"/>
  <c r="D22" i="26" s="1"/>
  <c r="J42" i="27" s="1"/>
  <c r="T78" i="10"/>
  <c r="B78" i="10" s="1"/>
  <c r="C78" i="10" s="1"/>
  <c r="B77" i="1"/>
  <c r="N21" i="25" l="1"/>
  <c r="AC21" i="13"/>
  <c r="H41" i="27"/>
  <c r="C22" i="26"/>
  <c r="E23" i="26"/>
  <c r="G22" i="26"/>
  <c r="B22" i="34"/>
  <c r="C22" i="34"/>
  <c r="D22" i="34" s="1"/>
  <c r="E22" i="34"/>
  <c r="G22" i="34"/>
  <c r="B22" i="38"/>
  <c r="C22" i="38"/>
  <c r="D22" i="38" s="1"/>
  <c r="E22" i="38"/>
  <c r="G22" i="38"/>
  <c r="B78" i="1"/>
  <c r="T79" i="10"/>
  <c r="B79" i="10" s="1"/>
  <c r="H22" i="25" l="1"/>
  <c r="AD21" i="13"/>
  <c r="G22" i="25"/>
  <c r="F22" i="25" s="1"/>
  <c r="E22" i="25" s="1"/>
  <c r="AEB22" i="38"/>
  <c r="E44" i="38" s="1"/>
  <c r="AEA22" i="38"/>
  <c r="C44" i="38" s="1"/>
  <c r="AEA22" i="34"/>
  <c r="C44" i="34" s="1"/>
  <c r="D44" i="34" s="1"/>
  <c r="D25" i="34" s="1"/>
  <c r="K8" i="39" s="1"/>
  <c r="AEB22" i="34"/>
  <c r="E44" i="34" s="1"/>
  <c r="F44" i="34" s="1"/>
  <c r="F25" i="34" s="1"/>
  <c r="K9" i="39" s="1"/>
  <c r="J22" i="26"/>
  <c r="K22" i="26"/>
  <c r="I42" i="27"/>
  <c r="T80" i="10"/>
  <c r="B80" i="10" s="1"/>
  <c r="B79" i="1"/>
  <c r="C79" i="10"/>
  <c r="Y22" i="13" l="1"/>
  <c r="D22" i="25"/>
  <c r="Y22" i="25"/>
  <c r="C22" i="25"/>
  <c r="AB22" i="13" s="1"/>
  <c r="M22" i="25"/>
  <c r="I23" i="25"/>
  <c r="B23" i="25"/>
  <c r="J23" i="25"/>
  <c r="AA22" i="13"/>
  <c r="K10" i="39"/>
  <c r="F23" i="38"/>
  <c r="G42" i="27"/>
  <c r="L33" i="27" s="1"/>
  <c r="F23" i="34"/>
  <c r="H22" i="26"/>
  <c r="D23" i="26" s="1"/>
  <c r="B38" i="23"/>
  <c r="C37" i="23"/>
  <c r="D44" i="38"/>
  <c r="C25" i="38"/>
  <c r="F44" i="38"/>
  <c r="E25" i="38"/>
  <c r="C80" i="10"/>
  <c r="B80" i="1"/>
  <c r="T81" i="10"/>
  <c r="B81" i="10" s="1"/>
  <c r="S22" i="25" l="1"/>
  <c r="R22" i="25" s="1"/>
  <c r="Q22" i="25" s="1"/>
  <c r="P22" i="25" s="1"/>
  <c r="O22" i="25" s="1"/>
  <c r="Z22" i="13"/>
  <c r="Z22" i="25"/>
  <c r="K42" i="27"/>
  <c r="E4" i="39"/>
  <c r="C9" i="39" s="1"/>
  <c r="B34" i="38"/>
  <c r="H42" i="27"/>
  <c r="O23" i="26"/>
  <c r="C23" i="26"/>
  <c r="G23" i="26"/>
  <c r="K23" i="27"/>
  <c r="K24" i="27"/>
  <c r="L25" i="27"/>
  <c r="N33" i="27"/>
  <c r="L27" i="27"/>
  <c r="L36" i="27"/>
  <c r="N25" i="27"/>
  <c r="L38" i="27"/>
  <c r="L41" i="27"/>
  <c r="N30" i="27"/>
  <c r="N23" i="27"/>
  <c r="N41" i="27"/>
  <c r="L35" i="27"/>
  <c r="L26" i="27"/>
  <c r="N34" i="27"/>
  <c r="N24" i="27"/>
  <c r="L37" i="27"/>
  <c r="N26" i="27"/>
  <c r="L28" i="27"/>
  <c r="T51" i="27"/>
  <c r="L30" i="27"/>
  <c r="N40" i="27"/>
  <c r="S42" i="27"/>
  <c r="N42" i="27"/>
  <c r="L39" i="27"/>
  <c r="L32" i="27"/>
  <c r="L23" i="27"/>
  <c r="L31" i="27"/>
  <c r="L24" i="27"/>
  <c r="T52" i="27"/>
  <c r="N35" i="27"/>
  <c r="L29" i="27"/>
  <c r="N37" i="27"/>
  <c r="N27" i="27"/>
  <c r="L40" i="27"/>
  <c r="N29" i="27"/>
  <c r="N32" i="27"/>
  <c r="N39" i="27"/>
  <c r="K25" i="27"/>
  <c r="N38" i="27"/>
  <c r="N31" i="27"/>
  <c r="L42" i="27"/>
  <c r="N36" i="27"/>
  <c r="S43" i="27"/>
  <c r="L34" i="27"/>
  <c r="N28" i="27"/>
  <c r="K26" i="27"/>
  <c r="K27" i="27"/>
  <c r="K28" i="27"/>
  <c r="K29" i="27"/>
  <c r="K30" i="27"/>
  <c r="K31" i="27"/>
  <c r="K33" i="27"/>
  <c r="K32" i="27"/>
  <c r="K34" i="27"/>
  <c r="K35" i="27"/>
  <c r="K36" i="27"/>
  <c r="K40" i="27"/>
  <c r="K38" i="27"/>
  <c r="K37" i="27"/>
  <c r="K39" i="27"/>
  <c r="K41" i="27"/>
  <c r="B23" i="34"/>
  <c r="C23" i="34"/>
  <c r="D23" i="34" s="1"/>
  <c r="E23" i="34"/>
  <c r="G23" i="34"/>
  <c r="C23" i="38"/>
  <c r="D23" i="38" s="1"/>
  <c r="B23" i="38"/>
  <c r="E23" i="38"/>
  <c r="G23" i="38"/>
  <c r="C81" i="10"/>
  <c r="T82" i="10"/>
  <c r="B82" i="10" s="1"/>
  <c r="B81" i="1"/>
  <c r="N22" i="25" l="1"/>
  <c r="AC22" i="13"/>
  <c r="AEA23" i="38"/>
  <c r="AEB23" i="38"/>
  <c r="AEA23" i="34"/>
  <c r="AEB23" i="34"/>
  <c r="H23" i="26"/>
  <c r="P23" i="26"/>
  <c r="B82" i="1"/>
  <c r="C82" i="10"/>
  <c r="T83" i="10"/>
  <c r="B83" i="10" s="1"/>
  <c r="AD22" i="13" l="1"/>
  <c r="G23" i="25"/>
  <c r="F23" i="25" s="1"/>
  <c r="E23" i="25" s="1"/>
  <c r="H23" i="25"/>
  <c r="T84" i="10"/>
  <c r="B84" i="10" s="1"/>
  <c r="C84" i="10" s="1"/>
  <c r="B83" i="1"/>
  <c r="C83" i="10"/>
  <c r="Y23" i="13" l="1"/>
  <c r="Y23" i="25"/>
  <c r="I24" i="25"/>
  <c r="AA23" i="13"/>
  <c r="J24" i="25"/>
  <c r="M23" i="25"/>
  <c r="C23" i="25"/>
  <c r="AB23" i="13" s="1"/>
  <c r="B24" i="25"/>
  <c r="D23" i="25"/>
  <c r="B84" i="1"/>
  <c r="T85" i="10"/>
  <c r="B85" i="10" s="1"/>
  <c r="C85" i="10" s="1"/>
  <c r="S23" i="25" l="1"/>
  <c r="R23" i="25" s="1"/>
  <c r="Q23" i="25" s="1"/>
  <c r="P23" i="25" s="1"/>
  <c r="O23" i="25" s="1"/>
  <c r="Z23" i="13"/>
  <c r="Z23" i="25"/>
  <c r="B85" i="1"/>
  <c r="T86" i="10"/>
  <c r="B86" i="10" s="1"/>
  <c r="C86" i="10" s="1"/>
  <c r="N23" i="25" l="1"/>
  <c r="AC23" i="13"/>
  <c r="B86" i="1"/>
  <c r="T87" i="10"/>
  <c r="B87" i="10" s="1"/>
  <c r="C87" i="10" s="1"/>
  <c r="G24" i="25" l="1"/>
  <c r="F24" i="25" s="1"/>
  <c r="E24" i="25" s="1"/>
  <c r="H24" i="25"/>
  <c r="AD23" i="13"/>
  <c r="T88" i="10"/>
  <c r="B88" i="10" s="1"/>
  <c r="C88" i="10" s="1"/>
  <c r="B87" i="1"/>
  <c r="Y24" i="13" l="1"/>
  <c r="B25" i="25"/>
  <c r="Y24" i="25"/>
  <c r="AA24" i="13"/>
  <c r="I25" i="25"/>
  <c r="D24" i="25"/>
  <c r="M24" i="25"/>
  <c r="J25" i="25"/>
  <c r="C24" i="25"/>
  <c r="AB24" i="13" s="1"/>
  <c r="B88" i="1"/>
  <c r="T89" i="10"/>
  <c r="B89" i="10" s="1"/>
  <c r="C89" i="10" s="1"/>
  <c r="S24" i="25" l="1"/>
  <c r="R24" i="25" s="1"/>
  <c r="Q24" i="25" s="1"/>
  <c r="P24" i="25" s="1"/>
  <c r="O24" i="25" s="1"/>
  <c r="Z24" i="13"/>
  <c r="Z24" i="25"/>
  <c r="T90" i="10"/>
  <c r="B90" i="10" s="1"/>
  <c r="B89" i="1"/>
  <c r="N24" i="25" l="1"/>
  <c r="AC24" i="13"/>
  <c r="T91" i="10"/>
  <c r="B91" i="10" s="1"/>
  <c r="C91" i="10" s="1"/>
  <c r="C90" i="10"/>
  <c r="B90" i="1"/>
  <c r="AD24" i="13" l="1"/>
  <c r="G25" i="25"/>
  <c r="F25" i="25" s="1"/>
  <c r="E25" i="25" s="1"/>
  <c r="H25" i="25"/>
  <c r="B91" i="1"/>
  <c r="T92" i="10"/>
  <c r="B92" i="10" s="1"/>
  <c r="Y25" i="13" l="1"/>
  <c r="M25" i="25"/>
  <c r="Y25" i="25"/>
  <c r="B26" i="25"/>
  <c r="I26" i="25"/>
  <c r="J26" i="25"/>
  <c r="D25" i="25"/>
  <c r="AA25" i="13"/>
  <c r="C25" i="25"/>
  <c r="AB25" i="13" s="1"/>
  <c r="T93" i="10"/>
  <c r="B93" i="10" s="1"/>
  <c r="C93" i="10" s="1"/>
  <c r="B92" i="1"/>
  <c r="C92" i="10"/>
  <c r="S25" i="25" l="1"/>
  <c r="R25" i="25" s="1"/>
  <c r="Q25" i="25" s="1"/>
  <c r="P25" i="25" s="1"/>
  <c r="O25" i="25" s="1"/>
  <c r="Z25" i="13"/>
  <c r="Z25" i="25"/>
  <c r="B93" i="1"/>
  <c r="T94" i="10"/>
  <c r="B94" i="10" s="1"/>
  <c r="C94" i="10" s="1"/>
  <c r="N25" i="25" l="1"/>
  <c r="AC25" i="13"/>
  <c r="T95" i="10"/>
  <c r="B95" i="10" s="1"/>
  <c r="C95" i="10" s="1"/>
  <c r="B94" i="1"/>
  <c r="AD25" i="13" l="1"/>
  <c r="H26" i="25"/>
  <c r="G26" i="25"/>
  <c r="F26" i="25" s="1"/>
  <c r="E26" i="25" s="1"/>
  <c r="B95" i="1"/>
  <c r="T96" i="10"/>
  <c r="B96" i="10" s="1"/>
  <c r="Y26" i="13" l="1"/>
  <c r="B27" i="25"/>
  <c r="C26" i="25"/>
  <c r="AB26" i="13" s="1"/>
  <c r="AA26" i="13"/>
  <c r="J27" i="25"/>
  <c r="I27" i="25"/>
  <c r="D26" i="25"/>
  <c r="M26" i="25"/>
  <c r="Y26" i="25"/>
  <c r="T97" i="10"/>
  <c r="B97" i="10" s="1"/>
  <c r="C97" i="10" s="1"/>
  <c r="B96" i="1"/>
  <c r="C96" i="10"/>
  <c r="S26" i="25" l="1"/>
  <c r="R26" i="25" s="1"/>
  <c r="Q26" i="25" s="1"/>
  <c r="P26" i="25" s="1"/>
  <c r="O26" i="25" s="1"/>
  <c r="Z26" i="13"/>
  <c r="Z26" i="25"/>
  <c r="T98" i="10"/>
  <c r="B98" i="10" s="1"/>
  <c r="C98" i="10" s="1"/>
  <c r="B97" i="1"/>
  <c r="N26" i="25" l="1"/>
  <c r="AC26" i="13"/>
  <c r="T99" i="10"/>
  <c r="B99" i="10" s="1"/>
  <c r="C99" i="10" s="1"/>
  <c r="B98" i="1"/>
  <c r="AD26" i="13" l="1"/>
  <c r="G27" i="25"/>
  <c r="F27" i="25" s="1"/>
  <c r="E27" i="25" s="1"/>
  <c r="H27" i="25"/>
  <c r="B99" i="1"/>
  <c r="T100" i="10"/>
  <c r="B100" i="10" s="1"/>
  <c r="C100" i="10" s="1"/>
  <c r="Y27" i="13" l="1"/>
  <c r="B28" i="25"/>
  <c r="I28" i="25"/>
  <c r="AA27" i="13"/>
  <c r="M27" i="25"/>
  <c r="J28" i="25"/>
  <c r="C27" i="25"/>
  <c r="AB27" i="13" s="1"/>
  <c r="Y27" i="25"/>
  <c r="D27" i="25"/>
  <c r="T101" i="10"/>
  <c r="B101" i="10" s="1"/>
  <c r="B100" i="1"/>
  <c r="S27" i="25" l="1"/>
  <c r="R27" i="25" s="1"/>
  <c r="Q27" i="25" s="1"/>
  <c r="P27" i="25" s="1"/>
  <c r="O27" i="25" s="1"/>
  <c r="Z27" i="13"/>
  <c r="Z27" i="25"/>
  <c r="T102" i="10"/>
  <c r="B102" i="10" s="1"/>
  <c r="C102" i="10" s="1"/>
  <c r="C101" i="10"/>
  <c r="B101" i="1"/>
  <c r="N27" i="25" l="1"/>
  <c r="AC27" i="13"/>
  <c r="B102" i="1"/>
  <c r="B103" i="1" s="1"/>
  <c r="B104" i="1" s="1"/>
  <c r="AD27" i="13" l="1"/>
  <c r="G28" i="25"/>
  <c r="F28" i="25" s="1"/>
  <c r="E28" i="25" s="1"/>
  <c r="H28" i="25"/>
  <c r="B105" i="1"/>
  <c r="Y28" i="13" l="1"/>
  <c r="B29" i="25"/>
  <c r="J29" i="25"/>
  <c r="AA28" i="13"/>
  <c r="M28" i="25"/>
  <c r="I29" i="25"/>
  <c r="D28" i="25"/>
  <c r="C28" i="25"/>
  <c r="AB28" i="13" s="1"/>
  <c r="Y28" i="25"/>
  <c r="B106" i="1"/>
  <c r="S28" i="25" l="1"/>
  <c r="R28" i="25" s="1"/>
  <c r="Q28" i="25" s="1"/>
  <c r="P28" i="25" s="1"/>
  <c r="O28" i="25" s="1"/>
  <c r="Z28" i="13"/>
  <c r="Z28" i="25"/>
  <c r="B107" i="1"/>
  <c r="N28" i="25" l="1"/>
  <c r="AC28" i="13"/>
  <c r="B108" i="1"/>
  <c r="AD28" i="13" l="1"/>
  <c r="H29" i="25"/>
  <c r="G29" i="25"/>
  <c r="F29" i="25" s="1"/>
  <c r="E29" i="25" s="1"/>
  <c r="B109" i="1"/>
  <c r="Y29" i="13" l="1"/>
  <c r="I30" i="25"/>
  <c r="D29" i="25"/>
  <c r="Y29" i="25"/>
  <c r="J30" i="25"/>
  <c r="B30" i="25"/>
  <c r="AA29" i="13"/>
  <c r="M29" i="25"/>
  <c r="C29" i="25"/>
  <c r="AB29" i="13" s="1"/>
  <c r="B110" i="1"/>
  <c r="S29" i="25" l="1"/>
  <c r="R29" i="25" s="1"/>
  <c r="Q29" i="25" s="1"/>
  <c r="P29" i="25" s="1"/>
  <c r="O29" i="25" s="1"/>
  <c r="Z29" i="13"/>
  <c r="Z29" i="25"/>
  <c r="B111" i="1"/>
  <c r="N29" i="25" l="1"/>
  <c r="AC29" i="13"/>
  <c r="B112" i="1"/>
  <c r="AD29" i="13" l="1"/>
  <c r="H30" i="25"/>
  <c r="G30" i="25"/>
  <c r="F30" i="25" s="1"/>
  <c r="E30" i="25" s="1"/>
  <c r="B113" i="1"/>
  <c r="Y30" i="13" l="1"/>
  <c r="B31" i="25"/>
  <c r="Y30" i="25"/>
  <c r="AA30" i="13"/>
  <c r="D30" i="25"/>
  <c r="I31" i="25"/>
  <c r="J31" i="25"/>
  <c r="M30" i="25"/>
  <c r="C30" i="25"/>
  <c r="AB30" i="13" s="1"/>
  <c r="B114" i="1"/>
  <c r="S30" i="25" l="1"/>
  <c r="R30" i="25" s="1"/>
  <c r="Q30" i="25" s="1"/>
  <c r="P30" i="25" s="1"/>
  <c r="O30" i="25" s="1"/>
  <c r="Z30" i="13"/>
  <c r="Z30" i="25"/>
  <c r="B115" i="1"/>
  <c r="N30" i="25" l="1"/>
  <c r="AC30" i="13"/>
  <c r="B116" i="1"/>
  <c r="AD30" i="13" l="1"/>
  <c r="H31" i="25"/>
  <c r="G31" i="25"/>
  <c r="F31" i="25" s="1"/>
  <c r="E31" i="25" s="1"/>
  <c r="B117" i="1"/>
  <c r="Y31" i="13" l="1"/>
  <c r="B32" i="25"/>
  <c r="C31" i="25"/>
  <c r="AB31" i="13" s="1"/>
  <c r="AA31" i="13"/>
  <c r="M31" i="25"/>
  <c r="I32" i="25"/>
  <c r="D31" i="25"/>
  <c r="J32" i="25"/>
  <c r="Y31" i="25"/>
  <c r="B118" i="1"/>
  <c r="S31" i="25" l="1"/>
  <c r="R31" i="25" s="1"/>
  <c r="Q31" i="25" s="1"/>
  <c r="P31" i="25" s="1"/>
  <c r="O31" i="25" s="1"/>
  <c r="Z31" i="13"/>
  <c r="Z31" i="25"/>
  <c r="B119" i="1"/>
  <c r="N31" i="25" l="1"/>
  <c r="AC31" i="13"/>
  <c r="B120" i="1"/>
  <c r="AD31" i="13" l="1"/>
  <c r="G32" i="25"/>
  <c r="F32" i="25" s="1"/>
  <c r="E32" i="25" s="1"/>
  <c r="H32" i="25"/>
  <c r="B121" i="1"/>
  <c r="Y32" i="13" l="1"/>
  <c r="I33" i="25"/>
  <c r="D32" i="25"/>
  <c r="M32" i="25"/>
  <c r="B33" i="25"/>
  <c r="AA32" i="13"/>
  <c r="J33" i="25"/>
  <c r="C32" i="25"/>
  <c r="AB32" i="13" s="1"/>
  <c r="Y32" i="25"/>
  <c r="B122" i="1"/>
  <c r="S32" i="25" l="1"/>
  <c r="R32" i="25" s="1"/>
  <c r="Q32" i="25" s="1"/>
  <c r="P32" i="25" s="1"/>
  <c r="O32" i="25" s="1"/>
  <c r="Z32" i="13"/>
  <c r="Z32" i="25"/>
  <c r="B123" i="1"/>
  <c r="N32" i="25" l="1"/>
  <c r="AC32" i="13"/>
  <c r="B124" i="1"/>
  <c r="AD32" i="13" l="1"/>
  <c r="H33" i="25"/>
  <c r="G33" i="25"/>
  <c r="F33" i="25" s="1"/>
  <c r="E33" i="25" s="1"/>
  <c r="B125" i="1"/>
  <c r="Y33" i="13" l="1"/>
  <c r="B34" i="25"/>
  <c r="I34" i="25"/>
  <c r="M33" i="25"/>
  <c r="AA33" i="13"/>
  <c r="J34" i="25"/>
  <c r="C33" i="25"/>
  <c r="AB33" i="13" s="1"/>
  <c r="Y33" i="25"/>
  <c r="D33" i="25"/>
  <c r="B126" i="1"/>
  <c r="S33" i="25" l="1"/>
  <c r="R33" i="25" s="1"/>
  <c r="Q33" i="25" s="1"/>
  <c r="P33" i="25" s="1"/>
  <c r="O33" i="25" s="1"/>
  <c r="Z33" i="13"/>
  <c r="Z33" i="25"/>
  <c r="B127" i="1"/>
  <c r="N33" i="25" l="1"/>
  <c r="AC33" i="13"/>
  <c r="B128" i="1"/>
  <c r="AD33" i="13" l="1"/>
  <c r="H34" i="25"/>
  <c r="G34" i="25"/>
  <c r="F34" i="25" s="1"/>
  <c r="E34" i="25" s="1"/>
  <c r="B129" i="1"/>
  <c r="Y34" i="13" l="1"/>
  <c r="B35" i="25"/>
  <c r="I35" i="25"/>
  <c r="J35" i="25"/>
  <c r="C34" i="25"/>
  <c r="AB34" i="13" s="1"/>
  <c r="Y34" i="25"/>
  <c r="AA34" i="13"/>
  <c r="M34" i="25"/>
  <c r="D34" i="25"/>
  <c r="B130" i="1"/>
  <c r="S34" i="25" l="1"/>
  <c r="R34" i="25" s="1"/>
  <c r="Q34" i="25" s="1"/>
  <c r="P34" i="25" s="1"/>
  <c r="O34" i="25" s="1"/>
  <c r="Z34" i="13"/>
  <c r="Z34" i="25"/>
  <c r="B131" i="1"/>
  <c r="N34" i="25" l="1"/>
  <c r="AC34" i="13"/>
  <c r="B132" i="1"/>
  <c r="AD34" i="13" l="1"/>
  <c r="G35" i="25"/>
  <c r="F35" i="25" s="1"/>
  <c r="E35" i="25" s="1"/>
  <c r="H35" i="25"/>
  <c r="B133" i="1"/>
  <c r="Y35" i="13" l="1"/>
  <c r="J36" i="25"/>
  <c r="Y35" i="25"/>
  <c r="M35" i="25"/>
  <c r="D35" i="25"/>
  <c r="B36" i="25"/>
  <c r="I36" i="25"/>
  <c r="AA35" i="13"/>
  <c r="C35" i="25"/>
  <c r="AB35" i="13" s="1"/>
  <c r="B134" i="1"/>
  <c r="S35" i="25" l="1"/>
  <c r="R35" i="25" s="1"/>
  <c r="Q35" i="25" s="1"/>
  <c r="P35" i="25" s="1"/>
  <c r="O35" i="25" s="1"/>
  <c r="Z35" i="13"/>
  <c r="Z35" i="25"/>
  <c r="B135" i="1"/>
  <c r="N35" i="25" l="1"/>
  <c r="AC35" i="13"/>
  <c r="B136" i="1"/>
  <c r="AD35" i="13" l="1"/>
  <c r="H36" i="25"/>
  <c r="G36" i="25"/>
  <c r="F36" i="25" s="1"/>
  <c r="E36" i="25" s="1"/>
  <c r="B137" i="1"/>
  <c r="Y36" i="13" l="1"/>
  <c r="B37" i="25"/>
  <c r="Y36" i="25"/>
  <c r="J37" i="25"/>
  <c r="AA36" i="13"/>
  <c r="M36" i="25"/>
  <c r="D36" i="25"/>
  <c r="C36" i="25"/>
  <c r="AB36" i="13" s="1"/>
  <c r="I37" i="25"/>
  <c r="B138" i="1"/>
  <c r="S36" i="25" l="1"/>
  <c r="R36" i="25" s="1"/>
  <c r="Q36" i="25" s="1"/>
  <c r="P36" i="25" s="1"/>
  <c r="O36" i="25" s="1"/>
  <c r="Z36" i="13"/>
  <c r="Z36" i="25"/>
  <c r="B139" i="1"/>
  <c r="N36" i="25" l="1"/>
  <c r="AC36" i="13"/>
  <c r="B140" i="1"/>
  <c r="AD36" i="13" l="1"/>
  <c r="H37" i="25"/>
  <c r="G37" i="25"/>
  <c r="F37" i="25" s="1"/>
  <c r="E37" i="25" s="1"/>
  <c r="B141" i="1"/>
  <c r="Y37" i="13" l="1"/>
  <c r="Y37" i="25"/>
  <c r="D37" i="25"/>
  <c r="B38" i="25"/>
  <c r="AA37" i="13"/>
  <c r="C37" i="25"/>
  <c r="AB37" i="13" s="1"/>
  <c r="I38" i="25"/>
  <c r="J38" i="25"/>
  <c r="M37" i="25"/>
  <c r="B142" i="1"/>
  <c r="S37" i="25" l="1"/>
  <c r="R37" i="25" s="1"/>
  <c r="Q37" i="25" s="1"/>
  <c r="P37" i="25" s="1"/>
  <c r="O37" i="25" s="1"/>
  <c r="Z37" i="13"/>
  <c r="Z37" i="25"/>
  <c r="B143" i="1"/>
  <c r="N37" i="25" l="1"/>
  <c r="AC37" i="13"/>
  <c r="B144" i="1"/>
  <c r="AD37" i="13" l="1"/>
  <c r="G38" i="25"/>
  <c r="F38" i="25" s="1"/>
  <c r="E38" i="25" s="1"/>
  <c r="H38" i="25"/>
  <c r="B145" i="1"/>
  <c r="Y38" i="13" l="1"/>
  <c r="I39" i="25"/>
  <c r="C38" i="25"/>
  <c r="AB38" i="13" s="1"/>
  <c r="B39" i="25"/>
  <c r="M38" i="25"/>
  <c r="AA38" i="13"/>
  <c r="D38" i="25"/>
  <c r="J39" i="25"/>
  <c r="Y38" i="25"/>
  <c r="B146" i="1"/>
  <c r="S38" i="25" l="1"/>
  <c r="R38" i="25" s="1"/>
  <c r="Q38" i="25" s="1"/>
  <c r="P38" i="25" s="1"/>
  <c r="O38" i="25" s="1"/>
  <c r="Z38" i="13"/>
  <c r="Z38" i="25"/>
  <c r="B147" i="1"/>
  <c r="N38" i="25" l="1"/>
  <c r="AC38" i="13"/>
  <c r="B148" i="1"/>
  <c r="AD38" i="13" l="1"/>
  <c r="G39" i="25"/>
  <c r="F39" i="25" s="1"/>
  <c r="E39" i="25" s="1"/>
  <c r="H39" i="25"/>
  <c r="B149" i="1"/>
  <c r="Y39" i="13" l="1"/>
  <c r="J40" i="25"/>
  <c r="D39" i="25"/>
  <c r="B40" i="25"/>
  <c r="M39" i="25"/>
  <c r="C39" i="25"/>
  <c r="AB39" i="13" s="1"/>
  <c r="I40" i="25"/>
  <c r="AA39" i="13"/>
  <c r="Y39" i="25"/>
  <c r="B150" i="1"/>
  <c r="S39" i="25" l="1"/>
  <c r="R39" i="25" s="1"/>
  <c r="Q39" i="25" s="1"/>
  <c r="P39" i="25" s="1"/>
  <c r="O39" i="25" s="1"/>
  <c r="Z39" i="13"/>
  <c r="Z39" i="25"/>
  <c r="B151" i="1"/>
  <c r="N39" i="25" l="1"/>
  <c r="AC39" i="13"/>
  <c r="B152" i="1"/>
  <c r="AD39" i="13" l="1"/>
  <c r="G40" i="25"/>
  <c r="F40" i="25" s="1"/>
  <c r="E40" i="25" s="1"/>
  <c r="H40" i="25"/>
  <c r="B153" i="1"/>
  <c r="Y40" i="13" l="1"/>
  <c r="B41" i="25"/>
  <c r="J41" i="25"/>
  <c r="M40" i="25"/>
  <c r="AA40" i="13"/>
  <c r="D40" i="25"/>
  <c r="Y40" i="25"/>
  <c r="C40" i="25"/>
  <c r="AB40" i="13" s="1"/>
  <c r="I41" i="25"/>
  <c r="B154" i="1"/>
  <c r="S40" i="25" l="1"/>
  <c r="R40" i="25" s="1"/>
  <c r="Q40" i="25" s="1"/>
  <c r="P40" i="25" s="1"/>
  <c r="O40" i="25" s="1"/>
  <c r="Z40" i="13"/>
  <c r="Z40" i="25"/>
  <c r="B155" i="1"/>
  <c r="N40" i="25" l="1"/>
  <c r="AC40" i="13"/>
  <c r="B156" i="1"/>
  <c r="AD40" i="13" l="1"/>
  <c r="G41" i="25"/>
  <c r="F41" i="25" s="1"/>
  <c r="E41" i="25" s="1"/>
  <c r="H41" i="25"/>
  <c r="B157" i="1"/>
  <c r="Y41" i="13" l="1"/>
  <c r="B42" i="25"/>
  <c r="J42" i="25"/>
  <c r="AA41" i="13"/>
  <c r="C41" i="25"/>
  <c r="AB41" i="13" s="1"/>
  <c r="D41" i="25"/>
  <c r="M41" i="25"/>
  <c r="I42" i="25"/>
  <c r="Y41" i="25"/>
  <c r="B158" i="1"/>
  <c r="S41" i="25" l="1"/>
  <c r="R41" i="25" s="1"/>
  <c r="Q41" i="25" s="1"/>
  <c r="P41" i="25" s="1"/>
  <c r="O41" i="25" s="1"/>
  <c r="Z41" i="13"/>
  <c r="Z41" i="25"/>
  <c r="B159" i="1"/>
  <c r="N41" i="25" l="1"/>
  <c r="AC41" i="13"/>
  <c r="B160" i="1"/>
  <c r="AD41" i="13" l="1"/>
  <c r="H42" i="25"/>
  <c r="G42" i="25"/>
  <c r="F42" i="25" s="1"/>
  <c r="E42" i="25" s="1"/>
  <c r="B161" i="1"/>
  <c r="Y42" i="13" l="1"/>
  <c r="Y42" i="25"/>
  <c r="D42" i="25"/>
  <c r="B43" i="25"/>
  <c r="M42" i="25"/>
  <c r="I43" i="25"/>
  <c r="J43" i="25"/>
  <c r="AA42" i="13"/>
  <c r="C42" i="25"/>
  <c r="AB42" i="13" s="1"/>
  <c r="B162" i="1"/>
  <c r="S42" i="25" l="1"/>
  <c r="R42" i="25" s="1"/>
  <c r="Q42" i="25" s="1"/>
  <c r="P42" i="25" s="1"/>
  <c r="O42" i="25" s="1"/>
  <c r="Z42" i="13"/>
  <c r="Z42" i="25"/>
  <c r="B163" i="1"/>
  <c r="N42" i="25" l="1"/>
  <c r="AC42" i="13"/>
  <c r="B164" i="1"/>
  <c r="AD42" i="13" l="1"/>
  <c r="H43" i="25"/>
  <c r="G43" i="25"/>
  <c r="F43" i="25" s="1"/>
  <c r="E43" i="25" s="1"/>
  <c r="B165" i="1"/>
  <c r="Y43" i="13" l="1"/>
  <c r="C43" i="25"/>
  <c r="AB43" i="13" s="1"/>
  <c r="D43" i="25"/>
  <c r="I44" i="25"/>
  <c r="B44" i="25"/>
  <c r="J44" i="25"/>
  <c r="Y43" i="25"/>
  <c r="AA43" i="13"/>
  <c r="M43" i="25"/>
  <c r="B166" i="1"/>
  <c r="S43" i="25" l="1"/>
  <c r="R43" i="25" s="1"/>
  <c r="Q43" i="25" s="1"/>
  <c r="P43" i="25" s="1"/>
  <c r="O43" i="25" s="1"/>
  <c r="Z43" i="13"/>
  <c r="Z43" i="25"/>
  <c r="B167" i="1"/>
  <c r="N43" i="25" l="1"/>
  <c r="AC43" i="13"/>
  <c r="B168" i="1"/>
  <c r="AD43" i="13" l="1"/>
  <c r="H44" i="25"/>
  <c r="G44" i="25"/>
  <c r="F44" i="25" s="1"/>
  <c r="E44" i="25" s="1"/>
  <c r="B169" i="1"/>
  <c r="Y44" i="13" l="1"/>
  <c r="C44" i="25"/>
  <c r="AB44" i="13" s="1"/>
  <c r="D44" i="25"/>
  <c r="J45" i="25"/>
  <c r="B45" i="25"/>
  <c r="M44" i="25"/>
  <c r="AA44" i="13"/>
  <c r="Y44" i="25"/>
  <c r="I45" i="25"/>
  <c r="B170" i="1"/>
  <c r="S44" i="25" l="1"/>
  <c r="R44" i="25" s="1"/>
  <c r="Q44" i="25" s="1"/>
  <c r="P44" i="25" s="1"/>
  <c r="O44" i="25" s="1"/>
  <c r="Z44" i="13"/>
  <c r="Z44" i="25"/>
  <c r="B171" i="1"/>
  <c r="N44" i="25" l="1"/>
  <c r="AC44" i="13"/>
  <c r="B172" i="1"/>
  <c r="AD44" i="13" l="1"/>
  <c r="G45" i="25"/>
  <c r="F45" i="25" s="1"/>
  <c r="E45" i="25" s="1"/>
  <c r="H45" i="25"/>
  <c r="B173" i="1"/>
  <c r="Y45" i="13" l="1"/>
  <c r="I46" i="25"/>
  <c r="C45" i="25"/>
  <c r="AB45" i="13" s="1"/>
  <c r="D45" i="25"/>
  <c r="Y45" i="25"/>
  <c r="J46" i="25"/>
  <c r="B46" i="25"/>
  <c r="AA45" i="13"/>
  <c r="M45" i="25"/>
  <c r="B174" i="1"/>
  <c r="S45" i="25" l="1"/>
  <c r="R45" i="25" s="1"/>
  <c r="Q45" i="25" s="1"/>
  <c r="P45" i="25" s="1"/>
  <c r="O45" i="25" s="1"/>
  <c r="Z45" i="13"/>
  <c r="Z45" i="25"/>
  <c r="B175" i="1"/>
  <c r="N45" i="25" l="1"/>
  <c r="AC45" i="13"/>
  <c r="B176" i="1"/>
  <c r="AD45" i="13" l="1"/>
  <c r="H46" i="25"/>
  <c r="G46" i="25"/>
  <c r="F46" i="25" s="1"/>
  <c r="E46" i="25" s="1"/>
  <c r="B177" i="1"/>
  <c r="Y46" i="13" l="1"/>
  <c r="B47" i="25"/>
  <c r="I47" i="25"/>
  <c r="Y46" i="25"/>
  <c r="M46" i="25"/>
  <c r="AA46" i="13"/>
  <c r="C46" i="25"/>
  <c r="AB46" i="13" s="1"/>
  <c r="J47" i="25"/>
  <c r="D46" i="25"/>
  <c r="B178" i="1"/>
  <c r="S46" i="25" l="1"/>
  <c r="R46" i="25" s="1"/>
  <c r="Q46" i="25" s="1"/>
  <c r="P46" i="25" s="1"/>
  <c r="O46" i="25" s="1"/>
  <c r="Z46" i="13"/>
  <c r="Z46" i="25"/>
  <c r="B179" i="1"/>
  <c r="N46" i="25" l="1"/>
  <c r="AC46" i="13"/>
  <c r="B180" i="1"/>
  <c r="AD46" i="13" l="1"/>
  <c r="G47" i="25"/>
  <c r="F47" i="25" s="1"/>
  <c r="E47" i="25" s="1"/>
  <c r="H47" i="25"/>
  <c r="B181" i="1"/>
  <c r="Y47" i="13" l="1"/>
  <c r="J48" i="25"/>
  <c r="C47" i="25"/>
  <c r="AB47" i="13" s="1"/>
  <c r="B48" i="25"/>
  <c r="M47" i="25"/>
  <c r="Y47" i="25"/>
  <c r="D47" i="25"/>
  <c r="AA47" i="13"/>
  <c r="I48" i="25"/>
  <c r="B182" i="1"/>
  <c r="S47" i="25" l="1"/>
  <c r="R47" i="25" s="1"/>
  <c r="Q47" i="25" s="1"/>
  <c r="P47" i="25" s="1"/>
  <c r="O47" i="25" s="1"/>
  <c r="Z47" i="13"/>
  <c r="Z47" i="25"/>
  <c r="B183" i="1"/>
  <c r="N47" i="25" l="1"/>
  <c r="AC47" i="13"/>
  <c r="B184" i="1"/>
  <c r="AD47" i="13" l="1"/>
  <c r="H48" i="25"/>
  <c r="G48" i="25"/>
  <c r="F48" i="25" s="1"/>
  <c r="E48" i="25" s="1"/>
  <c r="B185" i="1"/>
  <c r="Y48" i="13" l="1"/>
  <c r="D48" i="25"/>
  <c r="C48" i="25"/>
  <c r="AB48" i="13" s="1"/>
  <c r="B49" i="25"/>
  <c r="M48" i="25"/>
  <c r="AA48" i="13"/>
  <c r="Y48" i="25"/>
  <c r="J49" i="25"/>
  <c r="I49" i="25"/>
  <c r="B186" i="1"/>
  <c r="S48" i="25" l="1"/>
  <c r="R48" i="25" s="1"/>
  <c r="Q48" i="25" s="1"/>
  <c r="P48" i="25" s="1"/>
  <c r="O48" i="25" s="1"/>
  <c r="Z48" i="13"/>
  <c r="Z48" i="25"/>
  <c r="B187" i="1"/>
  <c r="N48" i="25" l="1"/>
  <c r="AC48" i="13"/>
  <c r="B188" i="1"/>
  <c r="AD48" i="13" l="1"/>
  <c r="G49" i="25"/>
  <c r="F49" i="25" s="1"/>
  <c r="E49" i="25" s="1"/>
  <c r="H49" i="25"/>
  <c r="B189" i="1"/>
  <c r="Y49" i="13" l="1"/>
  <c r="Y49" i="25"/>
  <c r="D49" i="25"/>
  <c r="I50" i="25"/>
  <c r="J50" i="25"/>
  <c r="C49" i="25"/>
  <c r="AB49" i="13" s="1"/>
  <c r="B50" i="25"/>
  <c r="AA49" i="13"/>
  <c r="M49" i="25"/>
  <c r="B190" i="1"/>
  <c r="S49" i="25" l="1"/>
  <c r="R49" i="25" s="1"/>
  <c r="Q49" i="25" s="1"/>
  <c r="P49" i="25" s="1"/>
  <c r="O49" i="25" s="1"/>
  <c r="Z49" i="13"/>
  <c r="Z49" i="25"/>
  <c r="B191" i="1"/>
  <c r="N49" i="25" l="1"/>
  <c r="AC49" i="13"/>
  <c r="B192" i="1"/>
  <c r="AD49" i="13" l="1"/>
  <c r="H50" i="25"/>
  <c r="G50" i="25"/>
  <c r="F50" i="25" s="1"/>
  <c r="E50" i="25" s="1"/>
  <c r="B193" i="1"/>
  <c r="Y50" i="13" l="1"/>
  <c r="Y50" i="25"/>
  <c r="C50" i="25"/>
  <c r="AB50" i="13" s="1"/>
  <c r="I51" i="25"/>
  <c r="J51" i="25"/>
  <c r="B51" i="25"/>
  <c r="M50" i="25"/>
  <c r="AA50" i="13"/>
  <c r="D50" i="25"/>
  <c r="B194" i="1"/>
  <c r="S50" i="25" l="1"/>
  <c r="R50" i="25" s="1"/>
  <c r="Q50" i="25" s="1"/>
  <c r="P50" i="25" s="1"/>
  <c r="O50" i="25" s="1"/>
  <c r="Z50" i="13"/>
  <c r="Z50" i="25"/>
  <c r="B195" i="1"/>
  <c r="N50" i="25" l="1"/>
  <c r="AC50" i="13"/>
  <c r="B196" i="1"/>
  <c r="AD50" i="13" l="1"/>
  <c r="H51" i="25"/>
  <c r="G51" i="25"/>
  <c r="F51" i="25" s="1"/>
  <c r="E51" i="25" s="1"/>
  <c r="B197" i="1"/>
  <c r="Y51" i="13" l="1"/>
  <c r="Y51" i="25"/>
  <c r="C51" i="25"/>
  <c r="AB51" i="13" s="1"/>
  <c r="B52" i="25"/>
  <c r="J52" i="25"/>
  <c r="I52" i="25"/>
  <c r="D51" i="25"/>
  <c r="AA51" i="13"/>
  <c r="M51" i="25"/>
  <c r="B198" i="1"/>
  <c r="S51" i="25" l="1"/>
  <c r="R51" i="25" s="1"/>
  <c r="Q51" i="25" s="1"/>
  <c r="P51" i="25" s="1"/>
  <c r="O51" i="25" s="1"/>
  <c r="Z51" i="13"/>
  <c r="Z51" i="25"/>
  <c r="B199" i="1"/>
  <c r="N51" i="25" l="1"/>
  <c r="AC51" i="13"/>
  <c r="B200" i="1"/>
  <c r="AD51" i="13" l="1"/>
  <c r="H52" i="25"/>
  <c r="G52" i="25"/>
  <c r="F52" i="25" s="1"/>
  <c r="E52" i="25" s="1"/>
  <c r="B201" i="1"/>
  <c r="Y52" i="13" l="1"/>
  <c r="J53" i="25"/>
  <c r="D52" i="25"/>
  <c r="B53" i="25"/>
  <c r="M52" i="25"/>
  <c r="I53" i="25"/>
  <c r="Y52" i="25"/>
  <c r="AA52" i="13"/>
  <c r="C52" i="25"/>
  <c r="AB52" i="13" s="1"/>
  <c r="B202" i="1"/>
  <c r="S52" i="25" l="1"/>
  <c r="R52" i="25" s="1"/>
  <c r="Q52" i="25" s="1"/>
  <c r="P52" i="25" s="1"/>
  <c r="O52" i="25" s="1"/>
  <c r="Z52" i="13"/>
  <c r="Z52" i="25"/>
  <c r="B203" i="1"/>
  <c r="N52" i="25" l="1"/>
  <c r="AC52" i="13"/>
  <c r="B204" i="1"/>
  <c r="AD52" i="13" l="1"/>
  <c r="H53" i="25"/>
  <c r="G53" i="25"/>
  <c r="F53" i="25" s="1"/>
  <c r="E53" i="25" s="1"/>
  <c r="B205" i="1"/>
  <c r="Y53" i="13" l="1"/>
  <c r="B54" i="25"/>
  <c r="J54" i="25"/>
  <c r="M53" i="25"/>
  <c r="C53" i="25"/>
  <c r="AB53" i="13" s="1"/>
  <c r="D53" i="25"/>
  <c r="AA53" i="13"/>
  <c r="I54" i="25"/>
  <c r="Y53" i="25"/>
  <c r="B206" i="1"/>
  <c r="S53" i="25" l="1"/>
  <c r="R53" i="25" s="1"/>
  <c r="Q53" i="25" s="1"/>
  <c r="P53" i="25" s="1"/>
  <c r="O53" i="25" s="1"/>
  <c r="Z53" i="13"/>
  <c r="Z53" i="25"/>
  <c r="B207" i="1"/>
  <c r="N53" i="25" l="1"/>
  <c r="AC53" i="13"/>
  <c r="B208" i="1"/>
  <c r="AD53" i="13" l="1"/>
  <c r="H54" i="25"/>
  <c r="G54" i="25"/>
  <c r="F54" i="25" s="1"/>
  <c r="E54" i="25" s="1"/>
  <c r="B209" i="1"/>
  <c r="Y54" i="13" l="1"/>
  <c r="Y54" i="25"/>
  <c r="C54" i="25"/>
  <c r="AB54" i="13" s="1"/>
  <c r="I55" i="25"/>
  <c r="D54" i="25"/>
  <c r="B55" i="25"/>
  <c r="AA54" i="13"/>
  <c r="M54" i="25"/>
  <c r="J55" i="25"/>
  <c r="B210" i="1"/>
  <c r="S54" i="25" l="1"/>
  <c r="R54" i="25" s="1"/>
  <c r="Q54" i="25" s="1"/>
  <c r="P54" i="25" s="1"/>
  <c r="O54" i="25" s="1"/>
  <c r="Z54" i="13"/>
  <c r="Z54" i="25"/>
  <c r="B211" i="1"/>
  <c r="N54" i="25" l="1"/>
  <c r="AC54" i="13"/>
  <c r="B212" i="1"/>
  <c r="AD54" i="13" l="1"/>
  <c r="H55" i="25"/>
  <c r="G55" i="25"/>
  <c r="F55" i="25" s="1"/>
  <c r="E55" i="25" s="1"/>
  <c r="B213" i="1"/>
  <c r="Y55" i="13" l="1"/>
  <c r="J56" i="25"/>
  <c r="D55" i="25"/>
  <c r="B56" i="25"/>
  <c r="M55" i="25"/>
  <c r="Y55" i="25"/>
  <c r="AA55" i="13"/>
  <c r="I56" i="25"/>
  <c r="C55" i="25"/>
  <c r="AB55" i="13" s="1"/>
  <c r="B214" i="1"/>
  <c r="S55" i="25" l="1"/>
  <c r="R55" i="25" s="1"/>
  <c r="Q55" i="25" s="1"/>
  <c r="P55" i="25" s="1"/>
  <c r="O55" i="25" s="1"/>
  <c r="Z55" i="13"/>
  <c r="Z55" i="25"/>
  <c r="B215" i="1"/>
  <c r="N55" i="25" l="1"/>
  <c r="AC55" i="13"/>
  <c r="B216" i="1"/>
  <c r="AD55" i="13" l="1"/>
  <c r="H56" i="25"/>
  <c r="G56" i="25"/>
  <c r="F56" i="25" s="1"/>
  <c r="E56" i="25" s="1"/>
  <c r="B217" i="1"/>
  <c r="Y56" i="13" l="1"/>
  <c r="Y56" i="25"/>
  <c r="C56" i="25"/>
  <c r="AB56" i="13" s="1"/>
  <c r="J57" i="25"/>
  <c r="D56" i="25"/>
  <c r="B57" i="25"/>
  <c r="I57" i="25"/>
  <c r="AA56" i="13"/>
  <c r="M56" i="25"/>
  <c r="B218" i="1"/>
  <c r="S56" i="25" l="1"/>
  <c r="R56" i="25" s="1"/>
  <c r="Q56" i="25" s="1"/>
  <c r="P56" i="25" s="1"/>
  <c r="O56" i="25" s="1"/>
  <c r="Z56" i="13"/>
  <c r="Z56" i="25"/>
  <c r="B219" i="1"/>
  <c r="N56" i="25" l="1"/>
  <c r="AC56" i="13"/>
  <c r="B220" i="1"/>
  <c r="AD56" i="13" l="1"/>
  <c r="G57" i="25"/>
  <c r="F57" i="25" s="1"/>
  <c r="E57" i="25" s="1"/>
  <c r="H57" i="25"/>
  <c r="B221" i="1"/>
  <c r="Y57" i="13" l="1"/>
  <c r="I58" i="25"/>
  <c r="D57" i="25"/>
  <c r="J58" i="25"/>
  <c r="M57" i="25"/>
  <c r="B58" i="25"/>
  <c r="AA57" i="13"/>
  <c r="Y57" i="25"/>
  <c r="C57" i="25"/>
  <c r="AB57" i="13" s="1"/>
  <c r="B222" i="1"/>
  <c r="S57" i="25" l="1"/>
  <c r="R57" i="25" s="1"/>
  <c r="Q57" i="25" s="1"/>
  <c r="P57" i="25" s="1"/>
  <c r="O57" i="25" s="1"/>
  <c r="Z57" i="13"/>
  <c r="Z57" i="25"/>
  <c r="B223" i="1"/>
  <c r="N57" i="25" l="1"/>
  <c r="AC57" i="13"/>
  <c r="B224" i="1"/>
  <c r="AD57" i="13" l="1"/>
  <c r="G58" i="25"/>
  <c r="F58" i="25" s="1"/>
  <c r="E58" i="25" s="1"/>
  <c r="H58" i="25"/>
  <c r="B225" i="1"/>
  <c r="Y58" i="13" l="1"/>
  <c r="J59" i="25"/>
  <c r="C58" i="25"/>
  <c r="AB58" i="13" s="1"/>
  <c r="D58" i="25"/>
  <c r="M58" i="25"/>
  <c r="B59" i="25"/>
  <c r="Y58" i="25"/>
  <c r="I59" i="25"/>
  <c r="AA58" i="13"/>
  <c r="B226" i="1"/>
  <c r="S58" i="25" l="1"/>
  <c r="R58" i="25" s="1"/>
  <c r="Q58" i="25" s="1"/>
  <c r="P58" i="25" s="1"/>
  <c r="O58" i="25" s="1"/>
  <c r="Z58" i="13"/>
  <c r="Z58" i="25"/>
  <c r="B227" i="1"/>
  <c r="N58" i="25" l="1"/>
  <c r="AC58" i="13"/>
  <c r="B228" i="1"/>
  <c r="AD58" i="13" l="1"/>
  <c r="H59" i="25"/>
  <c r="G59" i="25"/>
  <c r="F59" i="25" s="1"/>
  <c r="E59" i="25" s="1"/>
  <c r="B229" i="1"/>
  <c r="Y59" i="13" l="1"/>
  <c r="D59" i="25"/>
  <c r="C59" i="25"/>
  <c r="AB59" i="13" s="1"/>
  <c r="B60" i="25"/>
  <c r="Y59" i="25"/>
  <c r="I60" i="25"/>
  <c r="AA59" i="13"/>
  <c r="J60" i="25"/>
  <c r="M59" i="25"/>
  <c r="B230" i="1"/>
  <c r="S59" i="25" l="1"/>
  <c r="R59" i="25" s="1"/>
  <c r="Q59" i="25" s="1"/>
  <c r="P59" i="25" s="1"/>
  <c r="O59" i="25" s="1"/>
  <c r="Z59" i="13"/>
  <c r="Z59" i="25"/>
  <c r="B231" i="1"/>
  <c r="N59" i="25" l="1"/>
  <c r="AC59" i="13"/>
  <c r="B232" i="1"/>
  <c r="AD59" i="13" l="1"/>
  <c r="G60" i="25"/>
  <c r="F60" i="25" s="1"/>
  <c r="E60" i="25" s="1"/>
  <c r="H60" i="25"/>
  <c r="B233" i="1"/>
  <c r="Y60" i="13" l="1"/>
  <c r="J61" i="25"/>
  <c r="C60" i="25"/>
  <c r="AB60" i="13" s="1"/>
  <c r="B61" i="25"/>
  <c r="Y60" i="25"/>
  <c r="M60" i="25"/>
  <c r="I61" i="25"/>
  <c r="AA60" i="13"/>
  <c r="D60" i="25"/>
  <c r="B234" i="1"/>
  <c r="S60" i="25" l="1"/>
  <c r="R60" i="25" s="1"/>
  <c r="Q60" i="25" s="1"/>
  <c r="P60" i="25" s="1"/>
  <c r="O60" i="25" s="1"/>
  <c r="Z60" i="13"/>
  <c r="Z60" i="25"/>
  <c r="B235" i="1"/>
  <c r="N60" i="25" l="1"/>
  <c r="AC60" i="13"/>
  <c r="B236" i="1"/>
  <c r="AD60" i="13" l="1"/>
  <c r="H61" i="25"/>
  <c r="G61" i="25"/>
  <c r="F61" i="25" s="1"/>
  <c r="E61" i="25" s="1"/>
  <c r="B237" i="1"/>
  <c r="Y61" i="13" l="1"/>
  <c r="M61" i="25"/>
  <c r="Y61" i="25"/>
  <c r="D61" i="25"/>
  <c r="B62" i="25"/>
  <c r="J62" i="25"/>
  <c r="I62" i="25"/>
  <c r="C61" i="25"/>
  <c r="AB61" i="13" s="1"/>
  <c r="AA61" i="13"/>
  <c r="B238" i="1"/>
  <c r="S61" i="25" l="1"/>
  <c r="R61" i="25" s="1"/>
  <c r="Q61" i="25" s="1"/>
  <c r="P61" i="25" s="1"/>
  <c r="O61" i="25" s="1"/>
  <c r="Z61" i="13"/>
  <c r="Z61" i="25"/>
  <c r="B239" i="1"/>
  <c r="N61" i="25" l="1"/>
  <c r="AC61" i="13"/>
  <c r="B240" i="1"/>
  <c r="AD61" i="13" l="1"/>
  <c r="G62" i="25"/>
  <c r="F62" i="25" s="1"/>
  <c r="E62" i="25" s="1"/>
  <c r="H62" i="25"/>
  <c r="B241" i="1"/>
  <c r="Y62" i="13" l="1"/>
  <c r="C62" i="25"/>
  <c r="AB62" i="13" s="1"/>
  <c r="D62" i="25"/>
  <c r="B63" i="25"/>
  <c r="Y62" i="25"/>
  <c r="J63" i="25"/>
  <c r="M62" i="25"/>
  <c r="I63" i="25"/>
  <c r="AA62" i="13"/>
  <c r="B242" i="1"/>
  <c r="S62" i="25" l="1"/>
  <c r="R62" i="25" s="1"/>
  <c r="Q62" i="25" s="1"/>
  <c r="P62" i="25" s="1"/>
  <c r="O62" i="25" s="1"/>
  <c r="Z62" i="13"/>
  <c r="Z62" i="25"/>
  <c r="B243" i="1"/>
  <c r="N62" i="25" l="1"/>
  <c r="AC62" i="13"/>
  <c r="B244" i="1"/>
  <c r="AD62" i="13" l="1"/>
  <c r="H63" i="25"/>
  <c r="G63" i="25"/>
  <c r="F63" i="25" s="1"/>
  <c r="E63" i="25" s="1"/>
  <c r="B245" i="1"/>
  <c r="Y63" i="13" l="1"/>
  <c r="M63" i="25"/>
  <c r="D63" i="25"/>
  <c r="C63" i="25"/>
  <c r="AB63" i="13" s="1"/>
  <c r="B64" i="25"/>
  <c r="AA63" i="13"/>
  <c r="J64" i="25"/>
  <c r="I64" i="25"/>
  <c r="Y63" i="25"/>
  <c r="B246" i="1"/>
  <c r="S63" i="25" l="1"/>
  <c r="R63" i="25" s="1"/>
  <c r="Q63" i="25" s="1"/>
  <c r="P63" i="25" s="1"/>
  <c r="O63" i="25" s="1"/>
  <c r="Z63" i="13"/>
  <c r="Z63" i="25"/>
  <c r="B247" i="1"/>
  <c r="N63" i="25" l="1"/>
  <c r="AC63" i="13"/>
  <c r="B248" i="1"/>
  <c r="AD63" i="13" l="1"/>
  <c r="H64" i="25"/>
  <c r="G64" i="25"/>
  <c r="F64" i="25" s="1"/>
  <c r="E64" i="25" s="1"/>
  <c r="B249" i="1"/>
  <c r="Y64" i="13" l="1"/>
  <c r="C64" i="25"/>
  <c r="AB64" i="13" s="1"/>
  <c r="D64" i="25"/>
  <c r="Y64" i="25"/>
  <c r="M64" i="25"/>
  <c r="B65" i="25"/>
  <c r="J65" i="25"/>
  <c r="AA64" i="13"/>
  <c r="I65" i="25"/>
  <c r="B250" i="1"/>
  <c r="S64" i="25" l="1"/>
  <c r="R64" i="25" s="1"/>
  <c r="Q64" i="25" s="1"/>
  <c r="P64" i="25" s="1"/>
  <c r="O64" i="25" s="1"/>
  <c r="Z64" i="13"/>
  <c r="Z64" i="25"/>
  <c r="B251" i="1"/>
  <c r="N64" i="25" l="1"/>
  <c r="AC64" i="13"/>
  <c r="B252" i="1"/>
  <c r="AD64" i="13" l="1"/>
  <c r="H65" i="25"/>
  <c r="G65" i="25"/>
  <c r="F65" i="25" s="1"/>
  <c r="E65" i="25" s="1"/>
  <c r="B253" i="1"/>
  <c r="Y65" i="13" l="1"/>
  <c r="I66" i="25"/>
  <c r="D65" i="25"/>
  <c r="J66" i="25"/>
  <c r="Y65" i="25"/>
  <c r="B66" i="25"/>
  <c r="M65" i="25"/>
  <c r="AA65" i="13"/>
  <c r="C65" i="25"/>
  <c r="AB65" i="13" s="1"/>
  <c r="B254" i="1"/>
  <c r="S65" i="25" l="1"/>
  <c r="R65" i="25" s="1"/>
  <c r="Q65" i="25" s="1"/>
  <c r="P65" i="25" s="1"/>
  <c r="O65" i="25" s="1"/>
  <c r="Z65" i="13"/>
  <c r="Z65" i="25"/>
  <c r="B255" i="1"/>
  <c r="N65" i="25" l="1"/>
  <c r="AC65" i="13"/>
  <c r="B256" i="1"/>
  <c r="AD65" i="13" l="1"/>
  <c r="G66" i="25"/>
  <c r="F66" i="25" s="1"/>
  <c r="E66" i="25" s="1"/>
  <c r="H66" i="25"/>
  <c r="B257" i="1"/>
  <c r="Y66" i="13" l="1"/>
  <c r="M66" i="25"/>
  <c r="C66" i="25"/>
  <c r="AB66" i="13" s="1"/>
  <c r="D66" i="25"/>
  <c r="I67" i="25"/>
  <c r="B67" i="25"/>
  <c r="AA66" i="13"/>
  <c r="J67" i="25"/>
  <c r="Y66" i="25"/>
  <c r="B258" i="1"/>
  <c r="S66" i="25" l="1"/>
  <c r="R66" i="25" s="1"/>
  <c r="Q66" i="25" s="1"/>
  <c r="P66" i="25" s="1"/>
  <c r="O66" i="25" s="1"/>
  <c r="Z66" i="13"/>
  <c r="Z66" i="25"/>
  <c r="B259" i="1"/>
  <c r="N66" i="25" l="1"/>
  <c r="AC66" i="13"/>
  <c r="B260" i="1"/>
  <c r="AD66" i="13" l="1"/>
  <c r="G67" i="25"/>
  <c r="F67" i="25" s="1"/>
  <c r="E67" i="25" s="1"/>
  <c r="H67" i="25"/>
  <c r="B261" i="1"/>
  <c r="Y67" i="13" l="1"/>
  <c r="D67" i="25"/>
  <c r="C67" i="25"/>
  <c r="AB67" i="13" s="1"/>
  <c r="M67" i="25"/>
  <c r="B68" i="25"/>
  <c r="AA67" i="13"/>
  <c r="I68" i="25"/>
  <c r="Y67" i="25"/>
  <c r="J68" i="25"/>
  <c r="B262" i="1"/>
  <c r="S67" i="25" l="1"/>
  <c r="R67" i="25" s="1"/>
  <c r="Q67" i="25" s="1"/>
  <c r="P67" i="25" s="1"/>
  <c r="O67" i="25" s="1"/>
  <c r="Z67" i="13"/>
  <c r="Z67" i="25"/>
  <c r="B263" i="1"/>
  <c r="N67" i="25" l="1"/>
  <c r="AC67" i="13"/>
  <c r="B264" i="1"/>
  <c r="AD67" i="13" l="1"/>
  <c r="G68" i="25"/>
  <c r="F68" i="25" s="1"/>
  <c r="E68" i="25" s="1"/>
  <c r="H68" i="25"/>
  <c r="B265" i="1"/>
  <c r="Y68" i="13" l="1"/>
  <c r="C68" i="25"/>
  <c r="AB68" i="13" s="1"/>
  <c r="D68" i="25"/>
  <c r="B69" i="25"/>
  <c r="I69" i="25"/>
  <c r="J69" i="25"/>
  <c r="AA68" i="13"/>
  <c r="Y68" i="25"/>
  <c r="M68" i="25"/>
  <c r="B266" i="1"/>
  <c r="S68" i="25" l="1"/>
  <c r="R68" i="25" s="1"/>
  <c r="Q68" i="25" s="1"/>
  <c r="P68" i="25" s="1"/>
  <c r="O68" i="25" s="1"/>
  <c r="Z68" i="13"/>
  <c r="Z68" i="25"/>
  <c r="B267" i="1"/>
  <c r="N68" i="25" l="1"/>
  <c r="AC68" i="13"/>
  <c r="B268" i="1"/>
  <c r="AD68" i="13" l="1"/>
  <c r="G69" i="25"/>
  <c r="F69" i="25" s="1"/>
  <c r="E69" i="25" s="1"/>
  <c r="H69" i="25"/>
  <c r="B269" i="1"/>
  <c r="Y69" i="13" l="1"/>
  <c r="J70" i="25"/>
  <c r="M69" i="25"/>
  <c r="D69" i="25"/>
  <c r="B70" i="25"/>
  <c r="C69" i="25"/>
  <c r="AB69" i="13" s="1"/>
  <c r="I70" i="25"/>
  <c r="Y69" i="25"/>
  <c r="AA69" i="13"/>
  <c r="B270" i="1"/>
  <c r="S69" i="25" l="1"/>
  <c r="R69" i="25" s="1"/>
  <c r="Q69" i="25" s="1"/>
  <c r="P69" i="25" s="1"/>
  <c r="O69" i="25" s="1"/>
  <c r="Z69" i="13"/>
  <c r="Z69" i="25"/>
  <c r="B271" i="1"/>
  <c r="N69" i="25" l="1"/>
  <c r="AC69" i="13"/>
  <c r="B272" i="1"/>
  <c r="AD69" i="13" l="1"/>
  <c r="H70" i="25"/>
  <c r="G70" i="25"/>
  <c r="F70" i="25" s="1"/>
  <c r="E70" i="25" s="1"/>
  <c r="B273" i="1"/>
  <c r="Y70" i="13" l="1"/>
  <c r="I71" i="25"/>
  <c r="C70" i="25"/>
  <c r="AB70" i="13" s="1"/>
  <c r="B71" i="25"/>
  <c r="J71" i="25"/>
  <c r="M70" i="25"/>
  <c r="AA70" i="13"/>
  <c r="Y70" i="25"/>
  <c r="D70" i="25"/>
  <c r="B274" i="1"/>
  <c r="S70" i="25" l="1"/>
  <c r="R70" i="25" s="1"/>
  <c r="Q70" i="25" s="1"/>
  <c r="P70" i="25" s="1"/>
  <c r="O70" i="25" s="1"/>
  <c r="Z70" i="13"/>
  <c r="Z70" i="25"/>
  <c r="B275" i="1"/>
  <c r="N70" i="25" l="1"/>
  <c r="AC70" i="13"/>
  <c r="B276" i="1"/>
  <c r="AD70" i="13" l="1"/>
  <c r="H71" i="25"/>
  <c r="G71" i="25"/>
  <c r="F71" i="25" s="1"/>
  <c r="E71" i="25" s="1"/>
  <c r="B277" i="1"/>
  <c r="Y71" i="13" l="1"/>
  <c r="B72" i="25"/>
  <c r="M71" i="25"/>
  <c r="C71" i="25"/>
  <c r="AB71" i="13" s="1"/>
  <c r="AA71" i="13"/>
  <c r="I72" i="25"/>
  <c r="D71" i="25"/>
  <c r="Y71" i="25"/>
  <c r="J72" i="25"/>
  <c r="B278" i="1"/>
  <c r="S71" i="25" l="1"/>
  <c r="R71" i="25" s="1"/>
  <c r="Q71" i="25" s="1"/>
  <c r="P71" i="25" s="1"/>
  <c r="O71" i="25" s="1"/>
  <c r="Z71" i="13"/>
  <c r="Z71" i="25"/>
  <c r="B279" i="1"/>
  <c r="N71" i="25" l="1"/>
  <c r="AC71" i="13"/>
  <c r="B280" i="1"/>
  <c r="AD71" i="13" l="1"/>
  <c r="H72" i="25"/>
  <c r="G72" i="25"/>
  <c r="F72" i="25" s="1"/>
  <c r="E72" i="25" s="1"/>
  <c r="B281" i="1"/>
  <c r="Y72" i="13" l="1"/>
  <c r="B73" i="25"/>
  <c r="M72" i="25"/>
  <c r="C72" i="25"/>
  <c r="AB72" i="13" s="1"/>
  <c r="Y72" i="25"/>
  <c r="D72" i="25"/>
  <c r="AA72" i="13"/>
  <c r="I73" i="25"/>
  <c r="J73" i="25"/>
  <c r="B282" i="1"/>
  <c r="S72" i="25" l="1"/>
  <c r="R72" i="25" s="1"/>
  <c r="Q72" i="25" s="1"/>
  <c r="P72" i="25" s="1"/>
  <c r="O72" i="25" s="1"/>
  <c r="Z72" i="13"/>
  <c r="Z72" i="25"/>
  <c r="B283" i="1"/>
  <c r="N72" i="25" l="1"/>
  <c r="AC72" i="13"/>
  <c r="B284" i="1"/>
  <c r="AD72" i="13" l="1"/>
  <c r="H73" i="25"/>
  <c r="G73" i="25"/>
  <c r="F73" i="25" s="1"/>
  <c r="E73" i="25" s="1"/>
  <c r="B285" i="1"/>
  <c r="Y73" i="13" l="1"/>
  <c r="J74" i="25"/>
  <c r="C73" i="25"/>
  <c r="AB73" i="13" s="1"/>
  <c r="B74" i="25"/>
  <c r="M73" i="25"/>
  <c r="Y73" i="25"/>
  <c r="D73" i="25"/>
  <c r="AA73" i="13"/>
  <c r="I74" i="25"/>
  <c r="B286" i="1"/>
  <c r="S73" i="25" l="1"/>
  <c r="R73" i="25" s="1"/>
  <c r="Q73" i="25" s="1"/>
  <c r="P73" i="25" s="1"/>
  <c r="O73" i="25" s="1"/>
  <c r="Z73" i="13"/>
  <c r="Z73" i="25"/>
  <c r="B287" i="1"/>
  <c r="N73" i="25" l="1"/>
  <c r="AC73" i="13"/>
  <c r="B288" i="1"/>
  <c r="AD73" i="13" l="1"/>
  <c r="H74" i="25"/>
  <c r="G74" i="25"/>
  <c r="F74" i="25" s="1"/>
  <c r="E74" i="25" s="1"/>
  <c r="B289" i="1"/>
  <c r="Y74" i="13" l="1"/>
  <c r="Y74" i="25"/>
  <c r="D74" i="25"/>
  <c r="M74" i="25"/>
  <c r="I75" i="25"/>
  <c r="J75" i="25"/>
  <c r="B75" i="25"/>
  <c r="AA74" i="13"/>
  <c r="C74" i="25"/>
  <c r="AB74" i="13" s="1"/>
  <c r="B290" i="1"/>
  <c r="S74" i="25" l="1"/>
  <c r="R74" i="25" s="1"/>
  <c r="Q74" i="25" s="1"/>
  <c r="P74" i="25" s="1"/>
  <c r="O74" i="25" s="1"/>
  <c r="Z74" i="13"/>
  <c r="Z74" i="25"/>
  <c r="B291" i="1"/>
  <c r="N74" i="25" l="1"/>
  <c r="AC74" i="13"/>
  <c r="B292" i="1"/>
  <c r="AD74" i="13" l="1"/>
  <c r="H75" i="25"/>
  <c r="G75" i="25"/>
  <c r="F75" i="25" s="1"/>
  <c r="E75" i="25" s="1"/>
  <c r="B293" i="1"/>
  <c r="Y75" i="13" l="1"/>
  <c r="B76" i="25"/>
  <c r="J76" i="25"/>
  <c r="M75" i="25"/>
  <c r="D75" i="25"/>
  <c r="AA75" i="13"/>
  <c r="C75" i="25"/>
  <c r="AB75" i="13" s="1"/>
  <c r="I76" i="25"/>
  <c r="Y75" i="25"/>
  <c r="B294" i="1"/>
  <c r="S75" i="25" l="1"/>
  <c r="R75" i="25" s="1"/>
  <c r="Q75" i="25" s="1"/>
  <c r="P75" i="25" s="1"/>
  <c r="O75" i="25" s="1"/>
  <c r="Z75" i="13"/>
  <c r="Z75" i="25"/>
  <c r="B295" i="1"/>
  <c r="N75" i="25" l="1"/>
  <c r="AC75" i="13"/>
  <c r="B296" i="1"/>
  <c r="AD75" i="13" l="1"/>
  <c r="H76" i="25"/>
  <c r="G76" i="25"/>
  <c r="F76" i="25" s="1"/>
  <c r="E76" i="25" s="1"/>
  <c r="B297" i="1"/>
  <c r="Y76" i="13" l="1"/>
  <c r="C76" i="25"/>
  <c r="AB76" i="13" s="1"/>
  <c r="D76" i="25"/>
  <c r="I77" i="25"/>
  <c r="M76" i="25"/>
  <c r="B77" i="25"/>
  <c r="AA76" i="13"/>
  <c r="Y76" i="25"/>
  <c r="J77" i="25"/>
  <c r="B298" i="1"/>
  <c r="S76" i="25" l="1"/>
  <c r="R76" i="25" s="1"/>
  <c r="Q76" i="25" s="1"/>
  <c r="P76" i="25" s="1"/>
  <c r="O76" i="25" s="1"/>
  <c r="Z76" i="13"/>
  <c r="Z76" i="25"/>
  <c r="B299" i="1"/>
  <c r="N76" i="25" l="1"/>
  <c r="AC76" i="13"/>
  <c r="B300" i="1"/>
  <c r="AD76" i="13" l="1"/>
  <c r="G77" i="25"/>
  <c r="F77" i="25" s="1"/>
  <c r="E77" i="25" s="1"/>
  <c r="H77" i="25"/>
  <c r="B301" i="1"/>
  <c r="Y77" i="13" l="1"/>
  <c r="Y77" i="25"/>
  <c r="C77" i="25"/>
  <c r="AB77" i="13" s="1"/>
  <c r="I78" i="25"/>
  <c r="B78" i="25"/>
  <c r="AA77" i="13"/>
  <c r="D77" i="25"/>
  <c r="J78" i="25"/>
  <c r="M77" i="25"/>
  <c r="B302" i="1"/>
  <c r="S77" i="25" l="1"/>
  <c r="R77" i="25" s="1"/>
  <c r="Q77" i="25" s="1"/>
  <c r="P77" i="25" s="1"/>
  <c r="O77" i="25" s="1"/>
  <c r="Z77" i="13"/>
  <c r="Z77" i="25"/>
  <c r="B303" i="1"/>
  <c r="N77" i="25" l="1"/>
  <c r="AC77" i="13"/>
  <c r="B304" i="1"/>
  <c r="AD77" i="13" l="1"/>
  <c r="H78" i="25"/>
  <c r="G78" i="25"/>
  <c r="F78" i="25" s="1"/>
  <c r="E78" i="25" s="1"/>
  <c r="B305" i="1"/>
  <c r="Y78" i="13" l="1"/>
  <c r="I79" i="25"/>
  <c r="M78" i="25"/>
  <c r="AA78" i="13"/>
  <c r="C78" i="25"/>
  <c r="AB78" i="13" s="1"/>
  <c r="D78" i="25"/>
  <c r="B79" i="25"/>
  <c r="J79" i="25"/>
  <c r="Y78" i="25"/>
  <c r="B306" i="1"/>
  <c r="S78" i="25" l="1"/>
  <c r="R78" i="25" s="1"/>
  <c r="Q78" i="25" s="1"/>
  <c r="P78" i="25" s="1"/>
  <c r="O78" i="25" s="1"/>
  <c r="Z78" i="13"/>
  <c r="Z78" i="25"/>
  <c r="B307" i="1"/>
  <c r="N78" i="25" l="1"/>
  <c r="AC78" i="13"/>
  <c r="B308" i="1"/>
  <c r="AD78" i="13" l="1"/>
  <c r="G79" i="25"/>
  <c r="F79" i="25" s="1"/>
  <c r="E79" i="25" s="1"/>
  <c r="H79" i="25"/>
  <c r="B309" i="1"/>
  <c r="Y79" i="13" l="1"/>
  <c r="I80" i="25"/>
  <c r="D79" i="25"/>
  <c r="J80" i="25"/>
  <c r="Y79" i="25"/>
  <c r="B80" i="25"/>
  <c r="AA79" i="13"/>
  <c r="C79" i="25"/>
  <c r="AB79" i="13" s="1"/>
  <c r="M79" i="25"/>
  <c r="B310" i="1"/>
  <c r="S79" i="25" l="1"/>
  <c r="R79" i="25" s="1"/>
  <c r="Q79" i="25" s="1"/>
  <c r="P79" i="25" s="1"/>
  <c r="O79" i="25" s="1"/>
  <c r="Z79" i="13"/>
  <c r="Z79" i="25"/>
  <c r="B311" i="1"/>
  <c r="N79" i="25" l="1"/>
  <c r="AC79" i="13"/>
  <c r="B312" i="1"/>
  <c r="AD79" i="13" l="1"/>
  <c r="G80" i="25"/>
  <c r="F80" i="25" s="1"/>
  <c r="E80" i="25" s="1"/>
  <c r="H80" i="25"/>
  <c r="B313" i="1"/>
  <c r="Y80" i="13" l="1"/>
  <c r="C80" i="25"/>
  <c r="AB80" i="13" s="1"/>
  <c r="Y80" i="25"/>
  <c r="J81" i="25"/>
  <c r="D80" i="25"/>
  <c r="B81" i="25"/>
  <c r="AA80" i="13"/>
  <c r="I81" i="25"/>
  <c r="M80" i="25"/>
  <c r="B314" i="1"/>
  <c r="S80" i="25" l="1"/>
  <c r="R80" i="25" s="1"/>
  <c r="Q80" i="25" s="1"/>
  <c r="P80" i="25" s="1"/>
  <c r="O80" i="25" s="1"/>
  <c r="Z80" i="13"/>
  <c r="Z80" i="25"/>
  <c r="B315" i="1"/>
  <c r="N80" i="25" l="1"/>
  <c r="AC80" i="13"/>
  <c r="B316" i="1"/>
  <c r="AD80" i="13" l="1"/>
  <c r="H81" i="25"/>
  <c r="G81" i="25"/>
  <c r="F81" i="25" s="1"/>
  <c r="E81" i="25" s="1"/>
  <c r="B317" i="1"/>
  <c r="Y81" i="13" l="1"/>
  <c r="M81" i="25"/>
  <c r="Y81" i="25"/>
  <c r="AA81" i="13"/>
  <c r="I82" i="25"/>
  <c r="D81" i="25"/>
  <c r="J82" i="25"/>
  <c r="B82" i="25"/>
  <c r="C81" i="25"/>
  <c r="AB81" i="13" s="1"/>
  <c r="B318" i="1"/>
  <c r="S81" i="25" l="1"/>
  <c r="R81" i="25" s="1"/>
  <c r="Q81" i="25" s="1"/>
  <c r="P81" i="25" s="1"/>
  <c r="O81" i="25" s="1"/>
  <c r="Z81" i="13"/>
  <c r="Z81" i="25"/>
  <c r="B319" i="1"/>
  <c r="N81" i="25" l="1"/>
  <c r="AC81" i="13"/>
  <c r="B320" i="1"/>
  <c r="AD81" i="13" l="1"/>
  <c r="H82" i="25"/>
  <c r="G82" i="25"/>
  <c r="F82" i="25" s="1"/>
  <c r="E82" i="25" s="1"/>
  <c r="B321" i="1"/>
  <c r="Y82" i="13" l="1"/>
  <c r="B83" i="25"/>
  <c r="J83" i="25"/>
  <c r="M82" i="25"/>
  <c r="D82" i="25"/>
  <c r="C82" i="25"/>
  <c r="AB82" i="13" s="1"/>
  <c r="AA82" i="13"/>
  <c r="Y82" i="25"/>
  <c r="I83" i="25"/>
  <c r="B322" i="1"/>
  <c r="S82" i="25" l="1"/>
  <c r="R82" i="25" s="1"/>
  <c r="Q82" i="25" s="1"/>
  <c r="P82" i="25" s="1"/>
  <c r="O82" i="25" s="1"/>
  <c r="Z82" i="13"/>
  <c r="Z82" i="25"/>
  <c r="B323" i="1"/>
  <c r="N82" i="25" l="1"/>
  <c r="AC82" i="13"/>
  <c r="B324" i="1"/>
  <c r="AD82" i="13" l="1"/>
  <c r="H83" i="25"/>
  <c r="G83" i="25"/>
  <c r="F83" i="25" s="1"/>
  <c r="E83" i="25" s="1"/>
  <c r="B325" i="1"/>
  <c r="Y83" i="13" l="1"/>
  <c r="B84" i="25"/>
  <c r="M83" i="25"/>
  <c r="C83" i="25"/>
  <c r="AB83" i="13" s="1"/>
  <c r="I84" i="25"/>
  <c r="D83" i="25"/>
  <c r="AA83" i="13"/>
  <c r="Y83" i="25"/>
  <c r="J84" i="25"/>
  <c r="B326" i="1"/>
  <c r="S83" i="25" l="1"/>
  <c r="R83" i="25" s="1"/>
  <c r="Q83" i="25" s="1"/>
  <c r="P83" i="25" s="1"/>
  <c r="O83" i="25" s="1"/>
  <c r="Z83" i="13"/>
  <c r="Z83" i="25"/>
  <c r="B327" i="1"/>
  <c r="N83" i="25" l="1"/>
  <c r="AC83" i="13"/>
  <c r="B328" i="1"/>
  <c r="AD83" i="13" l="1"/>
  <c r="G84" i="25"/>
  <c r="F84" i="25" s="1"/>
  <c r="E84" i="25" s="1"/>
  <c r="H84" i="25"/>
  <c r="B329" i="1"/>
  <c r="Y84" i="13" l="1"/>
  <c r="M84" i="25"/>
  <c r="D84" i="25"/>
  <c r="I85" i="25"/>
  <c r="J85" i="25"/>
  <c r="C84" i="25"/>
  <c r="AB84" i="13" s="1"/>
  <c r="B85" i="25"/>
  <c r="AA84" i="13"/>
  <c r="Y84" i="25"/>
  <c r="B330" i="1"/>
  <c r="S84" i="25" l="1"/>
  <c r="R84" i="25" s="1"/>
  <c r="Q84" i="25" s="1"/>
  <c r="P84" i="25" s="1"/>
  <c r="O84" i="25" s="1"/>
  <c r="Z84" i="13"/>
  <c r="Z84" i="25"/>
  <c r="B331" i="1"/>
  <c r="N84" i="25" l="1"/>
  <c r="AC84" i="13"/>
  <c r="B332" i="1"/>
  <c r="AD84" i="13" l="1"/>
  <c r="H85" i="25"/>
  <c r="G85" i="25"/>
  <c r="F85" i="25" s="1"/>
  <c r="E85" i="25" s="1"/>
  <c r="B333" i="1"/>
  <c r="Y85" i="13" l="1"/>
  <c r="Y85" i="25"/>
  <c r="D85" i="25"/>
  <c r="M85" i="25"/>
  <c r="B86" i="25"/>
  <c r="AA85" i="13"/>
  <c r="C85" i="25"/>
  <c r="AB85" i="13" s="1"/>
  <c r="J86" i="25"/>
  <c r="I86" i="25"/>
  <c r="B334" i="1"/>
  <c r="S85" i="25" l="1"/>
  <c r="R85" i="25" s="1"/>
  <c r="Q85" i="25" s="1"/>
  <c r="P85" i="25" s="1"/>
  <c r="O85" i="25" s="1"/>
  <c r="Z85" i="13"/>
  <c r="Z85" i="25"/>
  <c r="B335" i="1"/>
  <c r="N85" i="25" l="1"/>
  <c r="AC85" i="13"/>
  <c r="B336" i="1"/>
  <c r="AD85" i="13" l="1"/>
  <c r="G86" i="25"/>
  <c r="F86" i="25" s="1"/>
  <c r="E86" i="25" s="1"/>
  <c r="H86" i="25"/>
  <c r="B337" i="1"/>
  <c r="Y86" i="13" l="1"/>
  <c r="I87" i="25"/>
  <c r="Y86" i="25"/>
  <c r="J87" i="25"/>
  <c r="AA86" i="13"/>
  <c r="M86" i="25"/>
  <c r="B87" i="25"/>
  <c r="D86" i="25"/>
  <c r="C86" i="25"/>
  <c r="AB86" i="13" s="1"/>
  <c r="B338" i="1"/>
  <c r="S86" i="25" l="1"/>
  <c r="R86" i="25" s="1"/>
  <c r="Q86" i="25" s="1"/>
  <c r="P86" i="25" s="1"/>
  <c r="O86" i="25" s="1"/>
  <c r="Z86" i="13"/>
  <c r="Z86" i="25"/>
  <c r="B339" i="1"/>
  <c r="N86" i="25" l="1"/>
  <c r="AC86" i="13"/>
  <c r="B340" i="1"/>
  <c r="AD86" i="13" l="1"/>
  <c r="G87" i="25"/>
  <c r="F87" i="25" s="1"/>
  <c r="E87" i="25" s="1"/>
  <c r="H87" i="25"/>
  <c r="B341" i="1"/>
  <c r="Y87" i="13" l="1"/>
  <c r="J88" i="25"/>
  <c r="C87" i="25"/>
  <c r="AB87" i="13" s="1"/>
  <c r="D87" i="25"/>
  <c r="I88" i="25"/>
  <c r="B88" i="25"/>
  <c r="AA87" i="13"/>
  <c r="Y87" i="25"/>
  <c r="M87" i="25"/>
  <c r="B342" i="1"/>
  <c r="S87" i="25" l="1"/>
  <c r="R87" i="25" s="1"/>
  <c r="Q87" i="25" s="1"/>
  <c r="P87" i="25" s="1"/>
  <c r="O87" i="25" s="1"/>
  <c r="Z87" i="13"/>
  <c r="Z87" i="25"/>
  <c r="B343" i="1"/>
  <c r="N87" i="25" l="1"/>
  <c r="AC87" i="13"/>
  <c r="B344" i="1"/>
  <c r="AD87" i="13" l="1"/>
  <c r="H88" i="25"/>
  <c r="G88" i="25"/>
  <c r="F88" i="25" s="1"/>
  <c r="E88" i="25" s="1"/>
  <c r="B345" i="1"/>
  <c r="Y88" i="13" l="1"/>
  <c r="B89" i="25"/>
  <c r="I89" i="25"/>
  <c r="AA88" i="13"/>
  <c r="D88" i="25"/>
  <c r="Y88" i="25"/>
  <c r="J89" i="25"/>
  <c r="C88" i="25"/>
  <c r="AB88" i="13" s="1"/>
  <c r="M88" i="25"/>
  <c r="B346" i="1"/>
  <c r="S88" i="25" l="1"/>
  <c r="R88" i="25" s="1"/>
  <c r="Q88" i="25" s="1"/>
  <c r="P88" i="25" s="1"/>
  <c r="O88" i="25" s="1"/>
  <c r="Z88" i="13"/>
  <c r="Z88" i="25"/>
  <c r="B347" i="1"/>
  <c r="N88" i="25" l="1"/>
  <c r="AC88" i="13"/>
  <c r="B348" i="1"/>
  <c r="AD88" i="13" l="1"/>
  <c r="G89" i="25"/>
  <c r="F89" i="25" s="1"/>
  <c r="E89" i="25" s="1"/>
  <c r="H89" i="25"/>
  <c r="B349" i="1"/>
  <c r="Y89" i="13" l="1"/>
  <c r="M89" i="25"/>
  <c r="C89" i="25"/>
  <c r="AB89" i="13" s="1"/>
  <c r="I90" i="25"/>
  <c r="D89" i="25"/>
  <c r="B90" i="25"/>
  <c r="AA89" i="13"/>
  <c r="J90" i="25"/>
  <c r="Y89" i="25"/>
  <c r="B350" i="1"/>
  <c r="S89" i="25" l="1"/>
  <c r="R89" i="25" s="1"/>
  <c r="Q89" i="25" s="1"/>
  <c r="P89" i="25" s="1"/>
  <c r="O89" i="25" s="1"/>
  <c r="Z89" i="13"/>
  <c r="Z89" i="25"/>
  <c r="B351" i="1"/>
  <c r="N89" i="25" l="1"/>
  <c r="AC89" i="13"/>
  <c r="B352" i="1"/>
  <c r="AD89" i="13" l="1"/>
  <c r="H90" i="25"/>
  <c r="G90" i="25"/>
  <c r="F90" i="25" s="1"/>
  <c r="E90" i="25" s="1"/>
  <c r="B353" i="1"/>
  <c r="Y90" i="13" l="1"/>
  <c r="M90" i="25"/>
  <c r="Y90" i="25"/>
  <c r="I91" i="25"/>
  <c r="D90" i="25"/>
  <c r="C90" i="25"/>
  <c r="AB90" i="13" s="1"/>
  <c r="J91" i="25"/>
  <c r="B91" i="25"/>
  <c r="AA90" i="13"/>
  <c r="B354" i="1"/>
  <c r="S90" i="25" l="1"/>
  <c r="R90" i="25" s="1"/>
  <c r="Q90" i="25" s="1"/>
  <c r="P90" i="25" s="1"/>
  <c r="O90" i="25" s="1"/>
  <c r="Z90" i="13"/>
  <c r="Z90" i="25"/>
  <c r="B355" i="1"/>
  <c r="N90" i="25" l="1"/>
  <c r="AC90" i="13"/>
  <c r="B356" i="1"/>
  <c r="AD90" i="13" l="1"/>
  <c r="H91" i="25"/>
  <c r="G91" i="25"/>
  <c r="F91" i="25" s="1"/>
  <c r="E91" i="25" s="1"/>
  <c r="B357" i="1"/>
  <c r="Y91" i="13" l="1"/>
  <c r="M91" i="25"/>
  <c r="D91" i="25"/>
  <c r="C91" i="25"/>
  <c r="AB91" i="13" s="1"/>
  <c r="I92" i="25"/>
  <c r="Y91" i="25"/>
  <c r="B92" i="25"/>
  <c r="AA91" i="13"/>
  <c r="J92" i="25"/>
  <c r="B358" i="1"/>
  <c r="S91" i="25" l="1"/>
  <c r="R91" i="25" s="1"/>
  <c r="Q91" i="25" s="1"/>
  <c r="P91" i="25" s="1"/>
  <c r="O91" i="25" s="1"/>
  <c r="Z91" i="13"/>
  <c r="Z91" i="25"/>
  <c r="B359" i="1"/>
  <c r="N91" i="25" l="1"/>
  <c r="AC91" i="13"/>
  <c r="B360" i="1"/>
  <c r="AD91" i="13" l="1"/>
  <c r="G92" i="25"/>
  <c r="F92" i="25" s="1"/>
  <c r="E92" i="25" s="1"/>
  <c r="H92" i="25"/>
  <c r="B361" i="1"/>
  <c r="Y92" i="13" l="1"/>
  <c r="B93" i="25"/>
  <c r="D92" i="25"/>
  <c r="AA92" i="13"/>
  <c r="J93" i="25"/>
  <c r="C92" i="25"/>
  <c r="AB92" i="13" s="1"/>
  <c r="I93" i="25"/>
  <c r="M92" i="25"/>
  <c r="Y92" i="25"/>
  <c r="B362" i="1"/>
  <c r="S92" i="25" l="1"/>
  <c r="R92" i="25" s="1"/>
  <c r="Q92" i="25" s="1"/>
  <c r="P92" i="25" s="1"/>
  <c r="O92" i="25" s="1"/>
  <c r="Z92" i="13"/>
  <c r="Z92" i="25"/>
  <c r="B363" i="1"/>
  <c r="N92" i="25" l="1"/>
  <c r="AC92" i="13"/>
  <c r="B364" i="1"/>
  <c r="AD92" i="13" l="1"/>
  <c r="H93" i="25"/>
  <c r="G93" i="25"/>
  <c r="F93" i="25" s="1"/>
  <c r="E93" i="25" s="1"/>
  <c r="B365" i="1"/>
  <c r="Y93" i="13" l="1"/>
  <c r="B94" i="25"/>
  <c r="I94" i="25"/>
  <c r="AA93" i="13"/>
  <c r="Y93" i="25"/>
  <c r="M93" i="25"/>
  <c r="C93" i="25"/>
  <c r="AB93" i="13" s="1"/>
  <c r="J94" i="25"/>
  <c r="D93" i="25"/>
  <c r="B366" i="1"/>
  <c r="S93" i="25" l="1"/>
  <c r="R93" i="25" s="1"/>
  <c r="Q93" i="25" s="1"/>
  <c r="P93" i="25" s="1"/>
  <c r="O93" i="25" s="1"/>
  <c r="Z93" i="13"/>
  <c r="Z93" i="25"/>
  <c r="B367" i="1"/>
  <c r="N93" i="25" l="1"/>
  <c r="AC93" i="13"/>
  <c r="B368" i="1"/>
  <c r="AD93" i="13" l="1"/>
  <c r="G94" i="25"/>
  <c r="F94" i="25" s="1"/>
  <c r="E94" i="25" s="1"/>
  <c r="H94" i="25"/>
  <c r="B369" i="1"/>
  <c r="Y94" i="13" l="1"/>
  <c r="Y94" i="25"/>
  <c r="C94" i="25"/>
  <c r="AB94" i="13" s="1"/>
  <c r="M94" i="25"/>
  <c r="B95" i="25"/>
  <c r="AA94" i="13"/>
  <c r="J95" i="25"/>
  <c r="I95" i="25"/>
  <c r="D94" i="25"/>
  <c r="B370" i="1"/>
  <c r="S94" i="25" l="1"/>
  <c r="R94" i="25" s="1"/>
  <c r="Q94" i="25" s="1"/>
  <c r="P94" i="25" s="1"/>
  <c r="O94" i="25" s="1"/>
  <c r="Z94" i="13"/>
  <c r="Z94" i="25"/>
  <c r="B371" i="1"/>
  <c r="N94" i="25" l="1"/>
  <c r="AC94" i="13"/>
  <c r="B372" i="1"/>
  <c r="AD94" i="13" l="1"/>
  <c r="H95" i="25"/>
  <c r="G95" i="25"/>
  <c r="F95" i="25" s="1"/>
  <c r="E95" i="25" s="1"/>
  <c r="B373" i="1"/>
  <c r="Y95" i="13" l="1"/>
  <c r="M95" i="25"/>
  <c r="C95" i="25"/>
  <c r="AB95" i="13" s="1"/>
  <c r="J96" i="25"/>
  <c r="I96" i="25"/>
  <c r="B96" i="25"/>
  <c r="Y95" i="25"/>
  <c r="AA95" i="13"/>
  <c r="D95" i="25"/>
  <c r="B374" i="1"/>
  <c r="S95" i="25" l="1"/>
  <c r="R95" i="25" s="1"/>
  <c r="Q95" i="25" s="1"/>
  <c r="P95" i="25" s="1"/>
  <c r="O95" i="25" s="1"/>
  <c r="Z95" i="13"/>
  <c r="Z95" i="25"/>
  <c r="B375" i="1"/>
  <c r="N95" i="25" l="1"/>
  <c r="AC95" i="13"/>
  <c r="B376" i="1"/>
  <c r="AD95" i="13" l="1"/>
  <c r="G96" i="25"/>
  <c r="F96" i="25" s="1"/>
  <c r="E96" i="25" s="1"/>
  <c r="H96" i="25"/>
  <c r="B377" i="1"/>
  <c r="Y96" i="13" l="1"/>
  <c r="Y96" i="25"/>
  <c r="D96" i="25"/>
  <c r="C96" i="25"/>
  <c r="AB96" i="13" s="1"/>
  <c r="AA96" i="13"/>
  <c r="B97" i="25"/>
  <c r="I97" i="25"/>
  <c r="J97" i="25"/>
  <c r="M96" i="25"/>
  <c r="B378" i="1"/>
  <c r="S96" i="25" l="1"/>
  <c r="R96" i="25" s="1"/>
  <c r="Q96" i="25" s="1"/>
  <c r="P96" i="25" s="1"/>
  <c r="O96" i="25" s="1"/>
  <c r="Z96" i="13"/>
  <c r="Z96" i="25"/>
  <c r="B379" i="1"/>
  <c r="N96" i="25" l="1"/>
  <c r="AC96" i="13"/>
  <c r="B380" i="1"/>
  <c r="AD96" i="13" l="1"/>
  <c r="G97" i="25"/>
  <c r="F97" i="25" s="1"/>
  <c r="E97" i="25" s="1"/>
  <c r="H97" i="25"/>
  <c r="B381" i="1"/>
  <c r="Y97" i="13" l="1"/>
  <c r="M97" i="25"/>
  <c r="Y97" i="25"/>
  <c r="B98" i="25"/>
  <c r="J98" i="25"/>
  <c r="C97" i="25"/>
  <c r="AB97" i="13" s="1"/>
  <c r="I98" i="25"/>
  <c r="AA97" i="13"/>
  <c r="D97" i="25"/>
  <c r="B382" i="1"/>
  <c r="S97" i="25" l="1"/>
  <c r="R97" i="25" s="1"/>
  <c r="Q97" i="25" s="1"/>
  <c r="P97" i="25" s="1"/>
  <c r="O97" i="25" s="1"/>
  <c r="Z97" i="13"/>
  <c r="Z97" i="25"/>
  <c r="B383" i="1"/>
  <c r="N97" i="25" l="1"/>
  <c r="AC97" i="13"/>
  <c r="B384" i="1"/>
  <c r="AD97" i="13" l="1"/>
  <c r="G98" i="25"/>
  <c r="F98" i="25" s="1"/>
  <c r="E98" i="25" s="1"/>
  <c r="H98" i="25"/>
  <c r="B385" i="1"/>
  <c r="Y98" i="13" l="1"/>
  <c r="B99" i="25"/>
  <c r="M98" i="25"/>
  <c r="AA98" i="13"/>
  <c r="Y98" i="25"/>
  <c r="J99" i="25"/>
  <c r="C98" i="25"/>
  <c r="AB98" i="13" s="1"/>
  <c r="I99" i="25"/>
  <c r="D98" i="25"/>
  <c r="B386" i="1"/>
  <c r="S98" i="25" l="1"/>
  <c r="R98" i="25" s="1"/>
  <c r="Q98" i="25" s="1"/>
  <c r="P98" i="25" s="1"/>
  <c r="O98" i="25" s="1"/>
  <c r="Z98" i="13"/>
  <c r="Z98" i="25"/>
  <c r="B387" i="1"/>
  <c r="N98" i="25" l="1"/>
  <c r="AC98" i="13"/>
  <c r="B388" i="1"/>
  <c r="AD98" i="13" l="1"/>
  <c r="H99" i="25"/>
  <c r="G99" i="25"/>
  <c r="F99" i="25" s="1"/>
  <c r="E99" i="25" s="1"/>
  <c r="B389" i="1"/>
  <c r="Y99" i="13" l="1"/>
  <c r="Y99" i="25"/>
  <c r="C99" i="25"/>
  <c r="AB99" i="13" s="1"/>
  <c r="B100" i="25"/>
  <c r="M99" i="25"/>
  <c r="I100" i="25"/>
  <c r="J100" i="25"/>
  <c r="AA99" i="13"/>
  <c r="D99" i="25"/>
  <c r="B390" i="1"/>
  <c r="S99" i="25" l="1"/>
  <c r="R99" i="25" s="1"/>
  <c r="Q99" i="25" s="1"/>
  <c r="P99" i="25" s="1"/>
  <c r="O99" i="25" s="1"/>
  <c r="Z99" i="13"/>
  <c r="Z99" i="25"/>
  <c r="B391" i="1"/>
  <c r="N99" i="25" l="1"/>
  <c r="AC99" i="13"/>
  <c r="B392" i="1"/>
  <c r="AD99" i="13" l="1"/>
  <c r="H100" i="25"/>
  <c r="G100" i="25"/>
  <c r="F100" i="25" s="1"/>
  <c r="E100" i="25" s="1"/>
  <c r="B393" i="1"/>
  <c r="Y100" i="13" l="1"/>
  <c r="B101" i="25"/>
  <c r="M100" i="25"/>
  <c r="Y100" i="25"/>
  <c r="D100" i="25"/>
  <c r="AA100" i="13"/>
  <c r="I101" i="25"/>
  <c r="J101" i="25"/>
  <c r="C100" i="25"/>
  <c r="AB100" i="13" s="1"/>
  <c r="B394" i="1"/>
  <c r="S100" i="25" l="1"/>
  <c r="R100" i="25" s="1"/>
  <c r="Q100" i="25" s="1"/>
  <c r="P100" i="25" s="1"/>
  <c r="O100" i="25" s="1"/>
  <c r="Z100" i="13"/>
  <c r="Z100" i="25"/>
  <c r="B395" i="1"/>
  <c r="N100" i="25" l="1"/>
  <c r="AC100" i="13"/>
  <c r="B396" i="1"/>
  <c r="AD100" i="13" l="1"/>
  <c r="H101" i="25"/>
  <c r="G101" i="25"/>
  <c r="F101" i="25" s="1"/>
  <c r="E101" i="25" s="1"/>
  <c r="B397" i="1"/>
  <c r="Y101" i="13" l="1"/>
  <c r="J102" i="25"/>
  <c r="I102" i="25"/>
  <c r="Y101" i="25"/>
  <c r="D101" i="25"/>
  <c r="C101" i="25"/>
  <c r="AB101" i="13" s="1"/>
  <c r="M101" i="25"/>
  <c r="AA101" i="13"/>
  <c r="B102" i="25"/>
  <c r="B398" i="1"/>
  <c r="S101" i="25" l="1"/>
  <c r="R101" i="25" s="1"/>
  <c r="Q101" i="25" s="1"/>
  <c r="P101" i="25" s="1"/>
  <c r="O101" i="25" s="1"/>
  <c r="Z101" i="13"/>
  <c r="Z101" i="25"/>
  <c r="B399" i="1"/>
  <c r="N101" i="25" l="1"/>
  <c r="AC101" i="13"/>
  <c r="B400" i="1"/>
  <c r="AD101" i="13" l="1"/>
  <c r="G102" i="25"/>
  <c r="F102" i="25" s="1"/>
  <c r="E102" i="25" s="1"/>
  <c r="H102" i="25"/>
  <c r="B401" i="1"/>
  <c r="Y102" i="13" l="1"/>
  <c r="B103" i="25"/>
  <c r="I103" i="25"/>
  <c r="C102" i="25"/>
  <c r="AB102" i="13" s="1"/>
  <c r="M102" i="25"/>
  <c r="Y102" i="25"/>
  <c r="AA102" i="13"/>
  <c r="J103" i="25"/>
  <c r="D102" i="25"/>
  <c r="B402" i="1"/>
  <c r="S102" i="25" l="1"/>
  <c r="R102" i="25" s="1"/>
  <c r="Q102" i="25" s="1"/>
  <c r="P102" i="25" s="1"/>
  <c r="O102" i="25" s="1"/>
  <c r="Z102" i="13"/>
  <c r="Z102" i="25"/>
  <c r="B403" i="1"/>
  <c r="N102" i="25" l="1"/>
  <c r="AC102" i="13"/>
  <c r="B404" i="1"/>
  <c r="AD102" i="13" l="1"/>
  <c r="G103" i="25"/>
  <c r="F103" i="25" s="1"/>
  <c r="E103" i="25" s="1"/>
  <c r="H103" i="25"/>
  <c r="B405" i="1"/>
  <c r="I104" i="25" l="1"/>
  <c r="C103" i="25"/>
  <c r="J104" i="25"/>
  <c r="B104" i="25"/>
  <c r="D103" i="25"/>
  <c r="M103" i="25"/>
  <c r="Y103" i="25"/>
  <c r="B406" i="1"/>
  <c r="Z103" i="25" l="1"/>
  <c r="S103" i="25"/>
  <c r="R103" i="25" s="1"/>
  <c r="B407" i="1"/>
  <c r="Q103" i="25" l="1"/>
  <c r="P103" i="25" s="1"/>
  <c r="O103" i="25" s="1"/>
  <c r="N103" i="25" s="1"/>
  <c r="B408" i="1"/>
  <c r="H104" i="25" l="1"/>
  <c r="G104" i="25"/>
  <c r="F104" i="25" s="1"/>
  <c r="E104" i="25" s="1"/>
  <c r="B409" i="1"/>
  <c r="Y104" i="25" l="1"/>
  <c r="D104" i="25"/>
  <c r="J105" i="25"/>
  <c r="C104" i="25"/>
  <c r="I105" i="25"/>
  <c r="B105" i="25"/>
  <c r="M104" i="25"/>
  <c r="B410" i="1"/>
  <c r="Z104" i="25" l="1"/>
  <c r="S104" i="25"/>
  <c r="R104" i="25" s="1"/>
  <c r="B411" i="1"/>
  <c r="Q104" i="25" l="1"/>
  <c r="P104" i="25" s="1"/>
  <c r="O104" i="25" s="1"/>
  <c r="N104" i="25" s="1"/>
  <c r="B412" i="1"/>
  <c r="H105" i="25" l="1"/>
  <c r="G105" i="25"/>
  <c r="F105" i="25" s="1"/>
  <c r="E105" i="25" s="1"/>
  <c r="B413" i="1"/>
  <c r="Y105" i="25" l="1"/>
  <c r="D105" i="25"/>
  <c r="C105" i="25"/>
  <c r="B106" i="25"/>
  <c r="M105" i="25"/>
  <c r="J106" i="25"/>
  <c r="I106" i="25"/>
  <c r="B414" i="1"/>
  <c r="S105" i="25" l="1"/>
  <c r="R105" i="25" s="1"/>
  <c r="Z105" i="25"/>
  <c r="B415" i="1"/>
  <c r="Q105" i="25" l="1"/>
  <c r="P105" i="25" s="1"/>
  <c r="O105" i="25" s="1"/>
  <c r="N105" i="25" s="1"/>
  <c r="B416" i="1"/>
  <c r="G106" i="25" l="1"/>
  <c r="F106" i="25" s="1"/>
  <c r="E106" i="25" s="1"/>
  <c r="H106" i="25"/>
  <c r="B417" i="1"/>
  <c r="Y106" i="25" l="1"/>
  <c r="D106" i="25"/>
  <c r="C106" i="25"/>
  <c r="B107" i="25"/>
  <c r="J107" i="25"/>
  <c r="M106" i="25"/>
  <c r="I107" i="25"/>
  <c r="B418" i="1"/>
  <c r="S106" i="25" l="1"/>
  <c r="R106" i="25" s="1"/>
  <c r="Z106" i="25"/>
  <c r="B419" i="1"/>
  <c r="Q106" i="25" l="1"/>
  <c r="P106" i="25" s="1"/>
  <c r="O106" i="25" s="1"/>
  <c r="N106" i="25" s="1"/>
  <c r="B420" i="1"/>
  <c r="G107" i="25" l="1"/>
  <c r="F107" i="25" s="1"/>
  <c r="E107" i="25" s="1"/>
  <c r="H107" i="25"/>
  <c r="B421" i="1"/>
  <c r="J108" i="25" l="1"/>
  <c r="D107" i="25"/>
  <c r="Y107" i="25"/>
  <c r="C107" i="25"/>
  <c r="B108" i="25"/>
  <c r="M107" i="25"/>
  <c r="I108" i="25"/>
  <c r="B422" i="1"/>
  <c r="S107" i="25" l="1"/>
  <c r="R107" i="25" s="1"/>
  <c r="Q107" i="25" s="1"/>
  <c r="P107" i="25" s="1"/>
  <c r="O107" i="25" s="1"/>
  <c r="N107" i="25" s="1"/>
  <c r="G108" i="25" s="1"/>
  <c r="F108" i="25" s="1"/>
  <c r="E108" i="25" s="1"/>
  <c r="J109" i="25" s="1"/>
  <c r="Z107" i="25"/>
  <c r="B423" i="1"/>
  <c r="Y108" i="25" l="1"/>
  <c r="D108" i="25"/>
  <c r="C108" i="25"/>
  <c r="B109" i="25"/>
  <c r="H108" i="25"/>
  <c r="I109" i="25"/>
  <c r="M108" i="25"/>
  <c r="B424" i="1"/>
  <c r="Z108" i="25" l="1"/>
  <c r="S108" i="25"/>
  <c r="R108" i="25" s="1"/>
  <c r="B425" i="1"/>
  <c r="Q108" i="25" l="1"/>
  <c r="P108" i="25" s="1"/>
  <c r="O108" i="25" s="1"/>
  <c r="N108" i="25" s="1"/>
  <c r="B426" i="1"/>
  <c r="H109" i="25" l="1"/>
  <c r="G109" i="25"/>
  <c r="F109" i="25" s="1"/>
  <c r="E109" i="25" s="1"/>
  <c r="B427" i="1"/>
  <c r="C109" i="25" l="1"/>
  <c r="Y109" i="25"/>
  <c r="D109" i="25"/>
  <c r="J110" i="25"/>
  <c r="B110" i="25"/>
  <c r="I110" i="25"/>
  <c r="M109" i="25"/>
  <c r="B428" i="1"/>
  <c r="S109" i="25" l="1"/>
  <c r="R109" i="25" s="1"/>
  <c r="Q109" i="25" s="1"/>
  <c r="P109" i="25" s="1"/>
  <c r="O109" i="25" s="1"/>
  <c r="N109" i="25" s="1"/>
  <c r="G110" i="25" s="1"/>
  <c r="F110" i="25" s="1"/>
  <c r="E110" i="25" s="1"/>
  <c r="Z109" i="25"/>
  <c r="B429" i="1"/>
  <c r="C110" i="25" l="1"/>
  <c r="D110" i="25"/>
  <c r="Y110" i="25"/>
  <c r="B111" i="25"/>
  <c r="M110" i="25"/>
  <c r="J111" i="25"/>
  <c r="I111" i="25"/>
  <c r="H110" i="25"/>
  <c r="B430" i="1"/>
  <c r="Z110" i="25" l="1"/>
  <c r="S110" i="25"/>
  <c r="R110" i="25" s="1"/>
  <c r="Q110" i="25" s="1"/>
  <c r="P110" i="25" s="1"/>
  <c r="O110" i="25" s="1"/>
  <c r="N110" i="25" s="1"/>
  <c r="H111" i="25" s="1"/>
  <c r="B431" i="1"/>
  <c r="G111" i="25" l="1"/>
  <c r="F111" i="25" s="1"/>
  <c r="E111" i="25" s="1"/>
  <c r="B432" i="1"/>
  <c r="C111" i="25" l="1"/>
  <c r="Y111" i="25"/>
  <c r="D111" i="25"/>
  <c r="B112" i="25"/>
  <c r="J112" i="25"/>
  <c r="I112" i="25"/>
  <c r="M111" i="25"/>
  <c r="B433" i="1"/>
  <c r="S111" i="25" l="1"/>
  <c r="R111" i="25" s="1"/>
  <c r="Z111" i="25"/>
  <c r="B434" i="1"/>
  <c r="Q111" i="25" l="1"/>
  <c r="P111" i="25" s="1"/>
  <c r="O111" i="25" s="1"/>
  <c r="N111" i="25" s="1"/>
  <c r="B435" i="1"/>
  <c r="H112" i="25" l="1"/>
  <c r="G112" i="25"/>
  <c r="F112" i="25" s="1"/>
  <c r="E112" i="25" s="1"/>
  <c r="B436" i="1"/>
  <c r="D112" i="25" l="1"/>
  <c r="C112" i="25"/>
  <c r="Y112" i="25"/>
  <c r="B113" i="25"/>
  <c r="I113" i="25"/>
  <c r="J113" i="25"/>
  <c r="M112" i="25"/>
  <c r="B437" i="1"/>
  <c r="S112" i="25" l="1"/>
  <c r="R112" i="25" s="1"/>
  <c r="Q112" i="25" s="1"/>
  <c r="P112" i="25" s="1"/>
  <c r="O112" i="25" s="1"/>
  <c r="N112" i="25" s="1"/>
  <c r="G113" i="25" s="1"/>
  <c r="F113" i="25" s="1"/>
  <c r="E113" i="25" s="1"/>
  <c r="Z112" i="25"/>
  <c r="B438" i="1"/>
  <c r="D113" i="25" l="1"/>
  <c r="C113" i="25"/>
  <c r="Y113" i="25"/>
  <c r="B114" i="25"/>
  <c r="H113" i="25"/>
  <c r="J114" i="25"/>
  <c r="I114" i="25"/>
  <c r="M113" i="25"/>
  <c r="B439" i="1"/>
  <c r="Z113" i="25" l="1"/>
  <c r="S113" i="25"/>
  <c r="R113" i="25" s="1"/>
  <c r="Q113" i="25" s="1"/>
  <c r="P113" i="25" s="1"/>
  <c r="O113" i="25" s="1"/>
  <c r="N113" i="25" s="1"/>
  <c r="B440" i="1"/>
  <c r="G114" i="25" l="1"/>
  <c r="F114" i="25" s="1"/>
  <c r="E114" i="25" s="1"/>
  <c r="H114" i="25"/>
  <c r="B441" i="1"/>
  <c r="C114" i="25" l="1"/>
  <c r="Y114" i="25"/>
  <c r="D114" i="25"/>
  <c r="B115" i="25"/>
  <c r="I115" i="25"/>
  <c r="J115" i="25"/>
  <c r="M114" i="25"/>
  <c r="B442" i="1"/>
  <c r="S114" i="25" l="1"/>
  <c r="R114" i="25" s="1"/>
  <c r="Z114" i="25"/>
  <c r="B443" i="1"/>
  <c r="Q114" i="25" l="1"/>
  <c r="P114" i="25" s="1"/>
  <c r="O114" i="25" s="1"/>
  <c r="N114" i="25" s="1"/>
  <c r="B444" i="1"/>
  <c r="G115" i="25" l="1"/>
  <c r="F115" i="25" s="1"/>
  <c r="E115" i="25" s="1"/>
  <c r="H115" i="25"/>
  <c r="B445" i="1"/>
  <c r="D115" i="25" l="1"/>
  <c r="Y115" i="25"/>
  <c r="C115" i="25"/>
  <c r="B116" i="25"/>
  <c r="M115" i="25"/>
  <c r="I116" i="25"/>
  <c r="J116" i="25"/>
  <c r="B446" i="1"/>
  <c r="Z115" i="25" l="1"/>
  <c r="S115" i="25"/>
  <c r="R115" i="25" s="1"/>
  <c r="Q115" i="25" s="1"/>
  <c r="P115" i="25" s="1"/>
  <c r="O115" i="25" s="1"/>
  <c r="N115" i="25" s="1"/>
  <c r="H116" i="25" s="1"/>
  <c r="B447" i="1"/>
  <c r="G116" i="25" l="1"/>
  <c r="F116" i="25" s="1"/>
  <c r="E116" i="25" s="1"/>
  <c r="B448" i="1"/>
  <c r="D116" i="25" l="1"/>
  <c r="Y116" i="25"/>
  <c r="C116" i="25"/>
  <c r="B117" i="25"/>
  <c r="I117" i="25"/>
  <c r="M116" i="25"/>
  <c r="J117" i="25"/>
  <c r="B449" i="1"/>
  <c r="S116" i="25" l="1"/>
  <c r="R116" i="25" s="1"/>
  <c r="Z116" i="25"/>
  <c r="B450" i="1"/>
  <c r="Q116" i="25" l="1"/>
  <c r="P116" i="25" s="1"/>
  <c r="O116" i="25" s="1"/>
  <c r="N116" i="25" s="1"/>
  <c r="B451" i="1"/>
  <c r="G117" i="25" l="1"/>
  <c r="F117" i="25" s="1"/>
  <c r="E117" i="25" s="1"/>
  <c r="H117" i="25"/>
  <c r="B452" i="1"/>
  <c r="M117" i="25" l="1"/>
  <c r="C117" i="25"/>
  <c r="Y117" i="25"/>
  <c r="D117" i="25"/>
  <c r="B118" i="25"/>
  <c r="J118" i="25"/>
  <c r="I118" i="25"/>
  <c r="B453" i="1"/>
  <c r="S117" i="25" l="1"/>
  <c r="R117" i="25" s="1"/>
  <c r="Z117" i="25"/>
  <c r="B454" i="1"/>
  <c r="Q117" i="25" l="1"/>
  <c r="P117" i="25" s="1"/>
  <c r="O117" i="25" s="1"/>
  <c r="N117" i="25" s="1"/>
  <c r="B455" i="1"/>
  <c r="G118" i="25" l="1"/>
  <c r="F118" i="25" s="1"/>
  <c r="E118" i="25" s="1"/>
  <c r="H118" i="25"/>
  <c r="B456" i="1"/>
  <c r="Y118" i="25" l="1"/>
  <c r="C118" i="25"/>
  <c r="D118" i="25"/>
  <c r="B119" i="25"/>
  <c r="J119" i="25"/>
  <c r="I119" i="25"/>
  <c r="M118" i="25"/>
  <c r="B457" i="1"/>
  <c r="S118" i="25" l="1"/>
  <c r="R118" i="25" s="1"/>
  <c r="Q118" i="25" s="1"/>
  <c r="P118" i="25" s="1"/>
  <c r="O118" i="25" s="1"/>
  <c r="N118" i="25" s="1"/>
  <c r="Z118" i="25"/>
  <c r="B458" i="1"/>
  <c r="G119" i="25" l="1"/>
  <c r="F119" i="25" s="1"/>
  <c r="E119" i="25" s="1"/>
  <c r="H119" i="25"/>
  <c r="B459" i="1"/>
  <c r="D119" i="25" l="1"/>
  <c r="C119" i="25"/>
  <c r="Y119" i="25"/>
  <c r="B120" i="25"/>
  <c r="I120" i="25"/>
  <c r="J120" i="25"/>
  <c r="M119" i="25"/>
  <c r="B460" i="1"/>
  <c r="S119" i="25" l="1"/>
  <c r="Z119" i="25"/>
  <c r="B461" i="1"/>
  <c r="R119" i="25" l="1"/>
  <c r="Q119" i="25" s="1"/>
  <c r="P119" i="25" s="1"/>
  <c r="O119" i="25" s="1"/>
  <c r="N119" i="25" s="1"/>
  <c r="B462" i="1"/>
  <c r="G120" i="25" l="1"/>
  <c r="F120" i="25" s="1"/>
  <c r="E120" i="25" s="1"/>
  <c r="H120" i="25"/>
  <c r="B463" i="1"/>
  <c r="C120" i="25" l="1"/>
  <c r="Y120" i="25"/>
  <c r="D120" i="25"/>
  <c r="B121" i="25"/>
  <c r="J121" i="25"/>
  <c r="M120" i="25"/>
  <c r="I121" i="25"/>
  <c r="B464" i="1"/>
  <c r="Z120" i="25" l="1"/>
  <c r="S120" i="25"/>
  <c r="R120" i="25" s="1"/>
  <c r="Q120" i="25" s="1"/>
  <c r="P120" i="25" s="1"/>
  <c r="O120" i="25" s="1"/>
  <c r="N120" i="25" s="1"/>
  <c r="B465" i="1"/>
  <c r="G121" i="25" l="1"/>
  <c r="F121" i="25" s="1"/>
  <c r="E121" i="25" s="1"/>
  <c r="H121" i="25"/>
  <c r="B466" i="1"/>
  <c r="B122" i="25" l="1"/>
  <c r="Y121" i="25"/>
  <c r="D121" i="25"/>
  <c r="C121" i="25"/>
  <c r="J122" i="25"/>
  <c r="I122" i="25"/>
  <c r="M121" i="25"/>
  <c r="B467" i="1"/>
  <c r="Z121" i="25" l="1"/>
  <c r="S121" i="25"/>
  <c r="R121" i="25" s="1"/>
  <c r="B468" i="1"/>
  <c r="Q121" i="25" l="1"/>
  <c r="P121" i="25" s="1"/>
  <c r="O121" i="25" s="1"/>
  <c r="N121" i="25" s="1"/>
  <c r="B469" i="1"/>
  <c r="G122" i="25" l="1"/>
  <c r="F122" i="25" s="1"/>
  <c r="E122" i="25" s="1"/>
  <c r="H122" i="25"/>
  <c r="B470" i="1"/>
  <c r="C122" i="25" l="1"/>
  <c r="D122" i="25"/>
  <c r="Y122" i="25"/>
  <c r="B123" i="25"/>
  <c r="J123" i="25"/>
  <c r="M122" i="25"/>
  <c r="I123" i="25"/>
  <c r="B471" i="1"/>
  <c r="S122" i="25" l="1"/>
  <c r="R122" i="25" s="1"/>
  <c r="Z122" i="25"/>
  <c r="B472" i="1"/>
  <c r="Q122" i="25" l="1"/>
  <c r="P122" i="25" s="1"/>
  <c r="O122" i="25" s="1"/>
  <c r="N122" i="25" s="1"/>
  <c r="B473" i="1"/>
  <c r="G123" i="25" l="1"/>
  <c r="F123" i="25" s="1"/>
  <c r="E123" i="25" s="1"/>
  <c r="H123" i="25"/>
  <c r="B474" i="1"/>
  <c r="C123" i="25" l="1"/>
  <c r="Y123" i="25"/>
  <c r="D123" i="25"/>
  <c r="B124" i="25"/>
  <c r="I124" i="25"/>
  <c r="M123" i="25"/>
  <c r="J124" i="25"/>
  <c r="B475" i="1"/>
  <c r="S123" i="25" l="1"/>
  <c r="R123" i="25" s="1"/>
  <c r="Z123" i="25"/>
  <c r="B476" i="1"/>
  <c r="Q123" i="25" l="1"/>
  <c r="P123" i="25" s="1"/>
  <c r="O123" i="25" s="1"/>
  <c r="N123" i="25" s="1"/>
  <c r="B477" i="1"/>
  <c r="G124" i="25" l="1"/>
  <c r="F124" i="25" s="1"/>
  <c r="E124" i="25" s="1"/>
  <c r="H124" i="25"/>
  <c r="B478" i="1"/>
  <c r="C124" i="25" l="1"/>
  <c r="D124" i="25"/>
  <c r="Y124" i="25"/>
  <c r="B125" i="25"/>
  <c r="M124" i="25"/>
  <c r="I125" i="25"/>
  <c r="J125" i="25"/>
  <c r="B479" i="1"/>
  <c r="S124" i="25" l="1"/>
  <c r="R124" i="25" s="1"/>
  <c r="Z124" i="25"/>
  <c r="B480" i="1"/>
  <c r="Q124" i="25" l="1"/>
  <c r="P124" i="25" s="1"/>
  <c r="O124" i="25" s="1"/>
  <c r="N124" i="25" s="1"/>
  <c r="B481" i="1"/>
  <c r="G125" i="25" l="1"/>
  <c r="F125" i="25" s="1"/>
  <c r="E125" i="25" s="1"/>
  <c r="H125" i="25"/>
  <c r="B482" i="1"/>
  <c r="C125" i="25" l="1"/>
  <c r="D125" i="25"/>
  <c r="Y125" i="25"/>
  <c r="B126" i="25"/>
  <c r="M125" i="25"/>
  <c r="J126" i="25"/>
  <c r="I126" i="25"/>
  <c r="B483" i="1"/>
  <c r="Z125" i="25" l="1"/>
  <c r="S125" i="25"/>
  <c r="R125" i="25" s="1"/>
  <c r="Q125" i="25" s="1"/>
  <c r="P125" i="25" s="1"/>
  <c r="O125" i="25" s="1"/>
  <c r="N125" i="25" s="1"/>
  <c r="B484" i="1"/>
  <c r="H126" i="25" l="1"/>
  <c r="G126" i="25"/>
  <c r="F126" i="25" s="1"/>
  <c r="E126" i="25" s="1"/>
  <c r="B485" i="1"/>
  <c r="C126" i="25" l="1"/>
  <c r="D126" i="25"/>
  <c r="Y126" i="25"/>
  <c r="B127" i="25"/>
  <c r="J127" i="25"/>
  <c r="I127" i="25"/>
  <c r="M126" i="25"/>
  <c r="B486" i="1"/>
  <c r="S126" i="25" l="1"/>
  <c r="R126" i="25" s="1"/>
  <c r="Q126" i="25" s="1"/>
  <c r="P126" i="25" s="1"/>
  <c r="O126" i="25" s="1"/>
  <c r="N126" i="25" s="1"/>
  <c r="G127" i="25" s="1"/>
  <c r="F127" i="25" s="1"/>
  <c r="E127" i="25" s="1"/>
  <c r="Z126" i="25"/>
  <c r="B487" i="1"/>
  <c r="B128" i="25" l="1"/>
  <c r="D127" i="25"/>
  <c r="Y127" i="25"/>
  <c r="C127" i="25"/>
  <c r="J128" i="25"/>
  <c r="I128" i="25"/>
  <c r="M127" i="25"/>
  <c r="H127" i="25"/>
  <c r="B488" i="1"/>
  <c r="Z127" i="25" l="1"/>
  <c r="S127" i="25"/>
  <c r="R127" i="25" s="1"/>
  <c r="Q127" i="25" s="1"/>
  <c r="P127" i="25" s="1"/>
  <c r="O127" i="25" s="1"/>
  <c r="N127" i="25" s="1"/>
  <c r="G128" i="25" s="1"/>
  <c r="F128" i="25" s="1"/>
  <c r="E128" i="25" s="1"/>
  <c r="B489" i="1"/>
  <c r="Y128" i="25" l="1"/>
  <c r="D128" i="25"/>
  <c r="C128" i="25"/>
  <c r="B129" i="25"/>
  <c r="I129" i="25"/>
  <c r="J129" i="25"/>
  <c r="M128" i="25"/>
  <c r="H128" i="25"/>
  <c r="B490" i="1"/>
  <c r="S128" i="25" l="1"/>
  <c r="R128" i="25" s="1"/>
  <c r="Z128" i="25"/>
  <c r="B491" i="1"/>
  <c r="Q128" i="25" l="1"/>
  <c r="P128" i="25" s="1"/>
  <c r="O128" i="25" s="1"/>
  <c r="N128" i="25" s="1"/>
  <c r="B492" i="1"/>
  <c r="G129" i="25" l="1"/>
  <c r="F129" i="25" s="1"/>
  <c r="E129" i="25" s="1"/>
  <c r="H129" i="25"/>
  <c r="B493" i="1"/>
  <c r="Y129" i="25" l="1"/>
  <c r="C129" i="25"/>
  <c r="D129" i="25"/>
  <c r="B130" i="25"/>
  <c r="M129" i="25"/>
  <c r="I130" i="25"/>
  <c r="J130" i="25"/>
  <c r="B494" i="1"/>
  <c r="Z129" i="25" l="1"/>
  <c r="S129" i="25"/>
  <c r="R129" i="25" s="1"/>
  <c r="B495" i="1"/>
  <c r="Q129" i="25" l="1"/>
  <c r="P129" i="25" s="1"/>
  <c r="O129" i="25" s="1"/>
  <c r="N129" i="25" s="1"/>
  <c r="B496" i="1"/>
  <c r="G130" i="25" l="1"/>
  <c r="F130" i="25" s="1"/>
  <c r="E130" i="25" s="1"/>
  <c r="H130" i="25"/>
  <c r="B497" i="1"/>
  <c r="D130" i="25" l="1"/>
  <c r="C130" i="25"/>
  <c r="Y130" i="25"/>
  <c r="B131" i="25"/>
  <c r="M130" i="25"/>
  <c r="J131" i="25"/>
  <c r="I131" i="25"/>
  <c r="B498" i="1"/>
  <c r="Z130" i="25" l="1"/>
  <c r="S130" i="25"/>
  <c r="B499" i="1"/>
  <c r="R130" i="25" l="1"/>
  <c r="Q130" i="25" s="1"/>
  <c r="P130" i="25" s="1"/>
  <c r="O130" i="25" s="1"/>
  <c r="N130" i="25" s="1"/>
  <c r="B500" i="1"/>
  <c r="G131" i="25" l="1"/>
  <c r="F131" i="25" s="1"/>
  <c r="E131" i="25" s="1"/>
  <c r="H131" i="25"/>
  <c r="B501" i="1"/>
  <c r="C131" i="25" l="1"/>
  <c r="D131" i="25"/>
  <c r="Y131" i="25"/>
  <c r="B132" i="25"/>
  <c r="I132" i="25"/>
  <c r="J132" i="25"/>
  <c r="M131" i="25"/>
  <c r="B502" i="1"/>
  <c r="Z131" i="25" l="1"/>
  <c r="S131" i="25"/>
  <c r="R131" i="25" l="1"/>
  <c r="Q131" i="25" s="1"/>
  <c r="P131" i="25" s="1"/>
  <c r="O131" i="25" s="1"/>
  <c r="N131" i="25" s="1"/>
  <c r="G132" i="25" l="1"/>
  <c r="F132" i="25" s="1"/>
  <c r="E132" i="25" s="1"/>
  <c r="H132" i="25"/>
  <c r="C132" i="25" l="1"/>
  <c r="D132" i="25"/>
  <c r="Y132" i="25"/>
  <c r="B133" i="25"/>
  <c r="I133" i="25"/>
  <c r="J133" i="25"/>
  <c r="M132" i="25"/>
  <c r="Z132" i="25" l="1"/>
  <c r="S132" i="25"/>
  <c r="R132" i="25" l="1"/>
  <c r="Q132" i="25" s="1"/>
  <c r="P132" i="25" s="1"/>
  <c r="O132" i="25" s="1"/>
  <c r="N132" i="25" s="1"/>
  <c r="G133" i="25" l="1"/>
  <c r="F133" i="25" s="1"/>
  <c r="E133" i="25" s="1"/>
  <c r="H133" i="25"/>
  <c r="C133" i="25" l="1"/>
  <c r="Y133" i="25"/>
  <c r="D133" i="25"/>
  <c r="B134" i="25"/>
  <c r="J134" i="25"/>
  <c r="M133" i="25"/>
  <c r="I134" i="25"/>
  <c r="S133" i="25" l="1"/>
  <c r="Z133" i="25"/>
  <c r="R133" i="25" l="1"/>
  <c r="Q133" i="25" s="1"/>
  <c r="P133" i="25" s="1"/>
  <c r="O133" i="25" s="1"/>
  <c r="N133" i="25" s="1"/>
  <c r="G134" i="25" l="1"/>
  <c r="F134" i="25" s="1"/>
  <c r="E134" i="25" s="1"/>
  <c r="H134" i="25"/>
  <c r="C134" i="25" l="1"/>
  <c r="D134" i="25"/>
  <c r="Y134" i="25"/>
  <c r="B135" i="25"/>
  <c r="J135" i="25"/>
  <c r="I135" i="25"/>
  <c r="M134" i="25"/>
  <c r="Z134" i="25" l="1"/>
  <c r="S134" i="25"/>
  <c r="R134" i="25" l="1"/>
  <c r="Q134" i="25" s="1"/>
  <c r="P134" i="25" s="1"/>
  <c r="O134" i="25" s="1"/>
  <c r="N134" i="25" s="1"/>
  <c r="G135" i="25" l="1"/>
  <c r="F135" i="25" s="1"/>
  <c r="E135" i="25" s="1"/>
  <c r="H135" i="25"/>
  <c r="C135" i="25" l="1"/>
  <c r="Y135" i="25"/>
  <c r="D135" i="25"/>
  <c r="B136" i="25"/>
  <c r="J136" i="25"/>
  <c r="M135" i="25"/>
  <c r="I136" i="25"/>
  <c r="S135" i="25" l="1"/>
  <c r="R135" i="25" s="1"/>
  <c r="Q135" i="25" s="1"/>
  <c r="P135" i="25" s="1"/>
  <c r="O135" i="25" s="1"/>
  <c r="N135" i="25" s="1"/>
  <c r="Z135" i="25"/>
  <c r="G136" i="25" l="1"/>
  <c r="F136" i="25" s="1"/>
  <c r="E136" i="25" s="1"/>
  <c r="H136" i="25"/>
  <c r="I137" i="25" l="1"/>
  <c r="D136" i="25"/>
  <c r="Y136" i="25"/>
  <c r="C136" i="25"/>
  <c r="B137" i="25"/>
  <c r="J137" i="25"/>
  <c r="M136" i="25"/>
  <c r="Z136" i="25" l="1"/>
  <c r="S136" i="25"/>
  <c r="R136" i="25" s="1"/>
  <c r="Q136" i="25" s="1"/>
  <c r="P136" i="25" s="1"/>
  <c r="O136" i="25" s="1"/>
  <c r="N136" i="25" s="1"/>
  <c r="H137" i="25" l="1"/>
  <c r="G137" i="25"/>
  <c r="F137" i="25" s="1"/>
  <c r="E137" i="25" s="1"/>
  <c r="D137" i="25" s="1"/>
  <c r="B138" i="25" l="1"/>
  <c r="C137" i="25"/>
  <c r="Y137" i="25"/>
  <c r="J138" i="25"/>
  <c r="M137" i="25"/>
  <c r="I138" i="25"/>
  <c r="S137" i="25" l="1"/>
  <c r="R137" i="25" s="1"/>
  <c r="Q137" i="25" s="1"/>
  <c r="P137" i="25" s="1"/>
  <c r="O137" i="25" s="1"/>
  <c r="N137" i="25" s="1"/>
  <c r="Z137" i="25"/>
  <c r="G138" i="25" l="1"/>
  <c r="F138" i="25" s="1"/>
  <c r="E138" i="25" s="1"/>
  <c r="H138" i="25"/>
  <c r="C138" i="25" l="1"/>
  <c r="J139" i="25"/>
  <c r="Y138" i="25"/>
  <c r="I139" i="25"/>
  <c r="B139" i="25"/>
  <c r="D138" i="25"/>
  <c r="M138" i="25"/>
  <c r="Z138" i="25" s="1"/>
  <c r="S138" i="25" l="1"/>
  <c r="R138" i="25" s="1"/>
  <c r="Q138" i="25" s="1"/>
  <c r="P138" i="25" s="1"/>
  <c r="O138" i="25" s="1"/>
  <c r="N138" i="25" s="1"/>
  <c r="H139" i="25" l="1"/>
  <c r="G139" i="25"/>
  <c r="F139" i="25" s="1"/>
  <c r="E139" i="25" s="1"/>
  <c r="D139" i="25" l="1"/>
  <c r="I140" i="25"/>
  <c r="C139" i="25"/>
  <c r="J140" i="25"/>
  <c r="M139" i="25"/>
  <c r="Y139" i="25"/>
  <c r="B140" i="25"/>
  <c r="S139" i="25" l="1"/>
  <c r="R139" i="25" s="1"/>
  <c r="Q139" i="25" s="1"/>
  <c r="P139" i="25" s="1"/>
  <c r="O139" i="25" s="1"/>
  <c r="N139" i="25" s="1"/>
  <c r="Z139" i="25"/>
  <c r="H140" i="25" l="1"/>
  <c r="G140" i="25"/>
  <c r="F140" i="25" s="1"/>
  <c r="E140" i="25" s="1"/>
  <c r="B141" i="25" l="1"/>
  <c r="Y140" i="25"/>
  <c r="D140" i="25"/>
  <c r="I141" i="25"/>
  <c r="C140" i="25"/>
  <c r="J141" i="25"/>
  <c r="M140" i="25"/>
  <c r="S140" i="25" l="1"/>
  <c r="R140" i="25" s="1"/>
  <c r="Q140" i="25" s="1"/>
  <c r="P140" i="25" s="1"/>
  <c r="O140" i="25" s="1"/>
  <c r="N140" i="25" s="1"/>
  <c r="Z140" i="25"/>
  <c r="G141" i="25" l="1"/>
  <c r="F141" i="25" s="1"/>
  <c r="E141" i="25" s="1"/>
  <c r="H141" i="25"/>
  <c r="Y141" i="25" l="1"/>
  <c r="I142" i="25"/>
  <c r="C141" i="25"/>
  <c r="B142" i="25"/>
  <c r="D141" i="25"/>
  <c r="J142" i="25"/>
  <c r="M141" i="25"/>
  <c r="S141" i="25" l="1"/>
  <c r="R141" i="25" s="1"/>
  <c r="Q141" i="25" s="1"/>
  <c r="P141" i="25" s="1"/>
  <c r="O141" i="25" s="1"/>
  <c r="N141" i="25" s="1"/>
  <c r="G142" i="25" s="1"/>
  <c r="F142" i="25" s="1"/>
  <c r="E142" i="25" s="1"/>
  <c r="Y142" i="25" s="1"/>
  <c r="Z141" i="25"/>
  <c r="M142" i="25" l="1"/>
  <c r="Z142" i="25" s="1"/>
  <c r="C142" i="25"/>
  <c r="B143" i="25"/>
  <c r="J143" i="25"/>
  <c r="D142" i="25"/>
  <c r="I143" i="25"/>
  <c r="H142" i="25"/>
  <c r="S142" i="25" l="1"/>
  <c r="R142" i="25" s="1"/>
  <c r="Q142" i="25" s="1"/>
  <c r="P142" i="25" s="1"/>
  <c r="O142" i="25" s="1"/>
  <c r="N142" i="25" s="1"/>
  <c r="G143" i="25" l="1"/>
  <c r="F143" i="25" s="1"/>
  <c r="E143" i="25" s="1"/>
  <c r="H143" i="25"/>
  <c r="Y143" i="25" l="1"/>
  <c r="C143" i="25"/>
  <c r="D143" i="25"/>
  <c r="B144" i="25"/>
  <c r="J144" i="25"/>
  <c r="M143" i="25"/>
  <c r="I144" i="25"/>
  <c r="S143" i="25" l="1"/>
  <c r="R143" i="25" s="1"/>
  <c r="Z143" i="25"/>
  <c r="Q143" i="25" l="1"/>
  <c r="P143" i="25" s="1"/>
  <c r="O143" i="25" s="1"/>
  <c r="N143" i="25" s="1"/>
  <c r="G144" i="25" l="1"/>
  <c r="F144" i="25" s="1"/>
  <c r="E144" i="25" s="1"/>
  <c r="H144" i="25"/>
  <c r="Y144" i="25" l="1"/>
  <c r="C144" i="25"/>
  <c r="D144" i="25"/>
  <c r="B145" i="25"/>
  <c r="J145" i="25"/>
  <c r="M144" i="25"/>
  <c r="I145" i="25"/>
  <c r="S144" i="25" l="1"/>
  <c r="Z144" i="25"/>
  <c r="R144" i="25" l="1"/>
  <c r="Q144" i="25" s="1"/>
  <c r="P144" i="25" s="1"/>
  <c r="O144" i="25" s="1"/>
  <c r="N144" i="25" s="1"/>
  <c r="G145" i="25" l="1"/>
  <c r="F145" i="25" s="1"/>
  <c r="E145" i="25" s="1"/>
  <c r="H145" i="25"/>
  <c r="C145" i="25" l="1"/>
  <c r="D145" i="25"/>
  <c r="Y145" i="25"/>
  <c r="B146" i="25"/>
  <c r="M145" i="25"/>
  <c r="I146" i="25"/>
  <c r="J146" i="25"/>
  <c r="Z145" i="25" l="1"/>
  <c r="S145" i="25"/>
  <c r="R145" i="25" l="1"/>
  <c r="Q145" i="25" s="1"/>
  <c r="P145" i="25" s="1"/>
  <c r="O145" i="25" s="1"/>
  <c r="N145" i="25" s="1"/>
  <c r="G146" i="25" l="1"/>
  <c r="F146" i="25" s="1"/>
  <c r="E146" i="25" s="1"/>
  <c r="H146" i="25"/>
  <c r="Y146" i="25" l="1"/>
  <c r="D146" i="25"/>
  <c r="C146" i="25"/>
  <c r="B147" i="25"/>
  <c r="J147" i="25"/>
  <c r="M146" i="25"/>
  <c r="I147" i="25"/>
  <c r="S146" i="25" l="1"/>
  <c r="R146" i="25" s="1"/>
  <c r="Z146" i="25"/>
  <c r="Q146" i="25" l="1"/>
  <c r="P146" i="25" s="1"/>
  <c r="O146" i="25" s="1"/>
  <c r="N146" i="25" s="1"/>
  <c r="G147" i="25" l="1"/>
  <c r="F147" i="25" s="1"/>
  <c r="E147" i="25" s="1"/>
  <c r="H147" i="25"/>
  <c r="D147" i="25" l="1"/>
  <c r="C147" i="25"/>
  <c r="Y147" i="25"/>
  <c r="B148" i="25"/>
  <c r="J148" i="25"/>
  <c r="M147" i="25"/>
  <c r="I148" i="25"/>
  <c r="S147" i="25" l="1"/>
  <c r="R147" i="25" s="1"/>
  <c r="Z147" i="25"/>
  <c r="Q147" i="25" l="1"/>
  <c r="P147" i="25" s="1"/>
  <c r="O147" i="25" s="1"/>
  <c r="N147" i="25" s="1"/>
  <c r="G148" i="25" l="1"/>
  <c r="F148" i="25" s="1"/>
  <c r="E148" i="25" s="1"/>
  <c r="H148" i="25"/>
  <c r="Y148" i="25" l="1"/>
  <c r="C148" i="25"/>
  <c r="D148" i="25"/>
  <c r="B149" i="25"/>
  <c r="I149" i="25"/>
  <c r="M148" i="25"/>
  <c r="J149" i="25"/>
  <c r="S148" i="25" l="1"/>
  <c r="R148" i="25" s="1"/>
  <c r="Z148" i="25"/>
  <c r="Q148" i="25" l="1"/>
  <c r="P148" i="25" s="1"/>
  <c r="O148" i="25" s="1"/>
  <c r="N148" i="25" s="1"/>
  <c r="G149" i="25" l="1"/>
  <c r="F149" i="25" s="1"/>
  <c r="E149" i="25" s="1"/>
  <c r="H149" i="25"/>
  <c r="C149" i="25" l="1"/>
  <c r="Y149" i="25"/>
  <c r="D149" i="25"/>
  <c r="B150" i="25"/>
  <c r="I150" i="25"/>
  <c r="J150" i="25"/>
  <c r="M149" i="25"/>
  <c r="Z149" i="25" l="1"/>
  <c r="S149" i="25"/>
  <c r="R149" i="25" s="1"/>
  <c r="Q149" i="25" l="1"/>
  <c r="P149" i="25" s="1"/>
  <c r="O149" i="25" s="1"/>
  <c r="N149" i="25" s="1"/>
  <c r="G150" i="25" l="1"/>
  <c r="F150" i="25" s="1"/>
  <c r="E150" i="25" s="1"/>
  <c r="H150" i="25"/>
  <c r="D150" i="25" l="1"/>
  <c r="C150" i="25"/>
  <c r="Y150" i="25"/>
  <c r="B151" i="25"/>
  <c r="I151" i="25"/>
  <c r="J151" i="25"/>
  <c r="M150" i="25"/>
  <c r="S150" i="25" l="1"/>
  <c r="R150" i="25" s="1"/>
  <c r="Z150" i="25"/>
  <c r="Q150" i="25" l="1"/>
  <c r="P150" i="25" s="1"/>
  <c r="O150" i="25" s="1"/>
  <c r="N150" i="25" s="1"/>
  <c r="G151" i="25" l="1"/>
  <c r="F151" i="25" s="1"/>
  <c r="E151" i="25" s="1"/>
  <c r="H151" i="25"/>
  <c r="C151" i="25" l="1"/>
  <c r="D151" i="25"/>
  <c r="Y151" i="25"/>
  <c r="B152" i="25"/>
  <c r="M151" i="25"/>
  <c r="I152" i="25"/>
  <c r="J152" i="25"/>
  <c r="Z151" i="25" l="1"/>
  <c r="S151" i="25"/>
  <c r="R151" i="25" l="1"/>
  <c r="Q151" i="25" s="1"/>
  <c r="P151" i="25" s="1"/>
  <c r="O151" i="25" s="1"/>
  <c r="N151" i="25" s="1"/>
  <c r="G152" i="25" l="1"/>
  <c r="F152" i="25" s="1"/>
  <c r="E152" i="25" s="1"/>
  <c r="H152" i="25"/>
  <c r="D152" i="25" l="1"/>
  <c r="Y152" i="25"/>
  <c r="C152" i="25"/>
  <c r="B153" i="25"/>
  <c r="M152" i="25"/>
  <c r="I153" i="25"/>
  <c r="J153" i="25"/>
  <c r="Z152" i="25" l="1"/>
  <c r="S152" i="25"/>
  <c r="R152" i="25" s="1"/>
  <c r="Q152" i="25" l="1"/>
  <c r="P152" i="25" s="1"/>
  <c r="O152" i="25" s="1"/>
  <c r="N152" i="25" s="1"/>
  <c r="G153" i="25" l="1"/>
  <c r="F153" i="25" s="1"/>
  <c r="E153" i="25" s="1"/>
  <c r="H153" i="25"/>
  <c r="Y153" i="25" l="1"/>
  <c r="C153" i="25"/>
  <c r="D153" i="25"/>
  <c r="B154" i="25"/>
  <c r="M153" i="25"/>
  <c r="I154" i="25"/>
  <c r="J154" i="25"/>
  <c r="Z153" i="25" l="1"/>
  <c r="S153" i="25"/>
  <c r="R153" i="25" s="1"/>
  <c r="Q153" i="25" l="1"/>
  <c r="P153" i="25" s="1"/>
  <c r="O153" i="25" s="1"/>
  <c r="N153" i="25" s="1"/>
  <c r="G154" i="25" l="1"/>
  <c r="F154" i="25" s="1"/>
  <c r="E154" i="25" s="1"/>
  <c r="H154" i="25"/>
  <c r="D154" i="25" l="1"/>
  <c r="C154" i="25"/>
  <c r="Y154" i="25"/>
  <c r="B155" i="25"/>
  <c r="I155" i="25"/>
  <c r="M154" i="25"/>
  <c r="J155" i="25"/>
  <c r="S154" i="25" l="1"/>
  <c r="R154" i="25" s="1"/>
  <c r="Z154" i="25"/>
  <c r="Q154" i="25" l="1"/>
  <c r="P154" i="25" s="1"/>
  <c r="O154" i="25" s="1"/>
  <c r="N154" i="25" s="1"/>
  <c r="G155" i="25" l="1"/>
  <c r="F155" i="25" s="1"/>
  <c r="E155" i="25" s="1"/>
  <c r="H155" i="25"/>
  <c r="Y155" i="25" l="1"/>
  <c r="D155" i="25"/>
  <c r="C155" i="25"/>
  <c r="B156" i="25"/>
  <c r="I156" i="25"/>
  <c r="J156" i="25"/>
  <c r="M155" i="25"/>
  <c r="S155" i="25" l="1"/>
  <c r="R155" i="25" s="1"/>
  <c r="Z155" i="25"/>
  <c r="Q155" i="25" l="1"/>
  <c r="P155" i="25" s="1"/>
  <c r="O155" i="25" s="1"/>
  <c r="N155" i="25" s="1"/>
  <c r="G156" i="25" l="1"/>
  <c r="F156" i="25" s="1"/>
  <c r="E156" i="25" s="1"/>
  <c r="H156" i="25"/>
  <c r="C156" i="25" l="1"/>
  <c r="D156" i="25"/>
  <c r="Y156" i="25"/>
  <c r="B157" i="25"/>
  <c r="M156" i="25"/>
  <c r="I157" i="25"/>
  <c r="J157" i="25"/>
  <c r="Z156" i="25" l="1"/>
  <c r="S156" i="25"/>
  <c r="R156" i="25" s="1"/>
  <c r="Q156" i="25" l="1"/>
  <c r="P156" i="25" s="1"/>
  <c r="O156" i="25" s="1"/>
  <c r="N156" i="25" s="1"/>
  <c r="G157" i="25" l="1"/>
  <c r="F157" i="25" s="1"/>
  <c r="E157" i="25" s="1"/>
  <c r="H157" i="25"/>
  <c r="Y157" i="25" l="1"/>
  <c r="C157" i="25"/>
  <c r="D157" i="25"/>
  <c r="B158" i="25"/>
  <c r="I158" i="25"/>
  <c r="J158" i="25"/>
  <c r="M157" i="25"/>
  <c r="S157" i="25" l="1"/>
  <c r="R157" i="25" s="1"/>
  <c r="Z157" i="25"/>
  <c r="Q157" i="25" l="1"/>
  <c r="P157" i="25" s="1"/>
  <c r="O157" i="25" s="1"/>
  <c r="N157" i="25" s="1"/>
  <c r="G158" i="25" l="1"/>
  <c r="F158" i="25" s="1"/>
  <c r="E158" i="25" s="1"/>
  <c r="H158" i="25"/>
  <c r="C158" i="25" l="1"/>
  <c r="D158" i="25"/>
  <c r="Y158" i="25"/>
  <c r="B159" i="25"/>
  <c r="M158" i="25"/>
  <c r="I159" i="25"/>
  <c r="J159" i="25"/>
  <c r="Z158" i="25" l="1"/>
  <c r="S158" i="25"/>
  <c r="R158" i="25" s="1"/>
  <c r="Q158" i="25" l="1"/>
  <c r="P158" i="25" s="1"/>
  <c r="O158" i="25" s="1"/>
  <c r="N158" i="25" s="1"/>
  <c r="G159" i="25" l="1"/>
  <c r="F159" i="25" s="1"/>
  <c r="E159" i="25" s="1"/>
  <c r="H159" i="25"/>
  <c r="D159" i="25" l="1"/>
  <c r="C159" i="25"/>
  <c r="Y159" i="25"/>
  <c r="B160" i="25"/>
  <c r="J160" i="25"/>
  <c r="M159" i="25"/>
  <c r="I160" i="25"/>
  <c r="S159" i="25" l="1"/>
  <c r="R159" i="25" s="1"/>
  <c r="Z159" i="25"/>
  <c r="Q159" i="25" l="1"/>
  <c r="P159" i="25" s="1"/>
  <c r="O159" i="25" s="1"/>
  <c r="N159" i="25" s="1"/>
  <c r="G160" i="25" l="1"/>
  <c r="F160" i="25" s="1"/>
  <c r="E160" i="25" s="1"/>
  <c r="H160" i="25"/>
  <c r="D160" i="25" l="1"/>
  <c r="C160" i="25"/>
  <c r="Y160" i="25"/>
  <c r="B161" i="25"/>
  <c r="J161" i="25"/>
  <c r="I161" i="25"/>
  <c r="M160" i="25"/>
  <c r="Z160" i="25" l="1"/>
  <c r="S160" i="25"/>
  <c r="R160" i="25" s="1"/>
  <c r="Q160" i="25" l="1"/>
  <c r="P160" i="25" s="1"/>
  <c r="O160" i="25" s="1"/>
  <c r="N160" i="25" s="1"/>
  <c r="G161" i="25" l="1"/>
  <c r="F161" i="25" s="1"/>
  <c r="E161" i="25" s="1"/>
  <c r="H161" i="25"/>
  <c r="D161" i="25" l="1"/>
  <c r="C161" i="25"/>
  <c r="Y161" i="25"/>
  <c r="B162" i="25"/>
  <c r="J162" i="25"/>
  <c r="M161" i="25"/>
  <c r="I162" i="25"/>
  <c r="S161" i="25" l="1"/>
  <c r="Z161" i="25"/>
  <c r="R161" i="25" l="1"/>
  <c r="Q161" i="25" s="1"/>
  <c r="P161" i="25" s="1"/>
  <c r="O161" i="25" s="1"/>
  <c r="N161" i="25" s="1"/>
  <c r="G162" i="25" l="1"/>
  <c r="F162" i="25" s="1"/>
  <c r="E162" i="25" s="1"/>
  <c r="H162" i="25"/>
  <c r="C162" i="25" l="1"/>
  <c r="D162" i="25"/>
  <c r="Y162" i="25"/>
  <c r="B163" i="25"/>
  <c r="J163" i="25"/>
  <c r="M162" i="25"/>
  <c r="I163" i="25"/>
  <c r="S162" i="25" l="1"/>
  <c r="Z162" i="25"/>
  <c r="R162" i="25" l="1"/>
  <c r="Q162" i="25" s="1"/>
  <c r="P162" i="25" s="1"/>
  <c r="O162" i="25" s="1"/>
  <c r="N162" i="25" s="1"/>
  <c r="G163" i="25" l="1"/>
  <c r="F163" i="25" s="1"/>
  <c r="E163" i="25" s="1"/>
  <c r="H163" i="25"/>
  <c r="Y163" i="25" l="1"/>
  <c r="C163" i="25"/>
  <c r="D163" i="25"/>
  <c r="B164" i="25"/>
  <c r="J164" i="25"/>
  <c r="M163" i="25"/>
  <c r="I164" i="25"/>
  <c r="S163" i="25" l="1"/>
  <c r="R163" i="25" s="1"/>
  <c r="Z163" i="25"/>
  <c r="Q163" i="25" l="1"/>
  <c r="P163" i="25" s="1"/>
  <c r="O163" i="25" s="1"/>
  <c r="N163" i="25" s="1"/>
  <c r="G164" i="25" l="1"/>
  <c r="F164" i="25" s="1"/>
  <c r="E164" i="25" s="1"/>
  <c r="H164" i="25"/>
  <c r="Y164" i="25" l="1"/>
  <c r="D164" i="25"/>
  <c r="C164" i="25"/>
  <c r="B165" i="25"/>
  <c r="J165" i="25"/>
  <c r="M164" i="25"/>
  <c r="I165" i="25"/>
  <c r="S164" i="25" l="1"/>
  <c r="Z164" i="25"/>
  <c r="R164" i="25" l="1"/>
  <c r="Q164" i="25" s="1"/>
  <c r="P164" i="25" s="1"/>
  <c r="O164" i="25" s="1"/>
  <c r="N164" i="25" s="1"/>
  <c r="G165" i="25" l="1"/>
  <c r="F165" i="25" s="1"/>
  <c r="E165" i="25" s="1"/>
  <c r="H165" i="25"/>
  <c r="Y165" i="25" l="1"/>
  <c r="C165" i="25"/>
  <c r="D165" i="25"/>
  <c r="B166" i="25"/>
  <c r="J166" i="25"/>
  <c r="M165" i="25"/>
  <c r="I166" i="25"/>
  <c r="S165" i="25" l="1"/>
  <c r="R165" i="25" s="1"/>
  <c r="Z165" i="25"/>
  <c r="Q165" i="25" l="1"/>
  <c r="P165" i="25" s="1"/>
  <c r="O165" i="25" s="1"/>
  <c r="N165" i="25" s="1"/>
  <c r="G166" i="25" l="1"/>
  <c r="F166" i="25" s="1"/>
  <c r="E166" i="25" s="1"/>
  <c r="H166" i="25"/>
  <c r="D166" i="25" l="1"/>
  <c r="C166" i="25"/>
  <c r="Y166" i="25"/>
  <c r="B167" i="25"/>
  <c r="J167" i="25"/>
  <c r="M166" i="25"/>
  <c r="I167" i="25"/>
  <c r="S166" i="25" l="1"/>
  <c r="R166" i="25" s="1"/>
  <c r="Z166" i="25"/>
  <c r="Q166" i="25" l="1"/>
  <c r="P166" i="25" s="1"/>
  <c r="O166" i="25" s="1"/>
  <c r="N166" i="25" s="1"/>
  <c r="G167" i="25" l="1"/>
  <c r="F167" i="25" s="1"/>
  <c r="E167" i="25" s="1"/>
  <c r="H167" i="25"/>
  <c r="Y167" i="25" l="1"/>
  <c r="C167" i="25"/>
  <c r="D167" i="25"/>
  <c r="B168" i="25"/>
  <c r="I168" i="25"/>
  <c r="M167" i="25"/>
  <c r="J168" i="25"/>
  <c r="S167" i="25" l="1"/>
  <c r="R167" i="25" s="1"/>
  <c r="Z167" i="25"/>
  <c r="Q167" i="25" l="1"/>
  <c r="P167" i="25" s="1"/>
  <c r="O167" i="25" s="1"/>
  <c r="N167" i="25" s="1"/>
  <c r="G168" i="25" l="1"/>
  <c r="F168" i="25" s="1"/>
  <c r="E168" i="25" s="1"/>
  <c r="H168" i="25"/>
  <c r="D168" i="25" l="1"/>
  <c r="C168" i="25"/>
  <c r="Y168" i="25"/>
  <c r="B169" i="25"/>
  <c r="I169" i="25"/>
  <c r="M168" i="25"/>
  <c r="J169" i="25"/>
  <c r="S168" i="25" l="1"/>
  <c r="R168" i="25" s="1"/>
  <c r="Z168" i="25"/>
  <c r="Q168" i="25" l="1"/>
  <c r="P168" i="25" s="1"/>
  <c r="O168" i="25" s="1"/>
  <c r="N168" i="25" s="1"/>
  <c r="H169" i="25" l="1"/>
  <c r="G169" i="25"/>
  <c r="F169" i="25" s="1"/>
  <c r="E169" i="25" s="1"/>
  <c r="D169" i="25" l="1"/>
  <c r="Y169" i="25"/>
  <c r="C169" i="25"/>
  <c r="B170" i="25"/>
  <c r="I170" i="25"/>
  <c r="M169" i="25"/>
  <c r="J170" i="25"/>
  <c r="Z169" i="25" l="1"/>
  <c r="S169" i="25"/>
  <c r="R169" i="25" s="1"/>
  <c r="Q169" i="25" l="1"/>
  <c r="P169" i="25" s="1"/>
  <c r="O169" i="25" s="1"/>
  <c r="N169" i="25" s="1"/>
  <c r="G170" i="25" l="1"/>
  <c r="F170" i="25" s="1"/>
  <c r="E170" i="25" s="1"/>
  <c r="H170" i="25"/>
  <c r="D170" i="25" l="1"/>
  <c r="C170" i="25"/>
  <c r="Y170" i="25"/>
  <c r="B171" i="25"/>
  <c r="J171" i="25"/>
  <c r="M170" i="25"/>
  <c r="I171" i="25"/>
  <c r="S170" i="25" l="1"/>
  <c r="R170" i="25" s="1"/>
  <c r="Z170" i="25"/>
  <c r="Q170" i="25" l="1"/>
  <c r="P170" i="25" s="1"/>
  <c r="O170" i="25" s="1"/>
  <c r="N170" i="25" s="1"/>
  <c r="G171" i="25" l="1"/>
  <c r="F171" i="25" s="1"/>
  <c r="E171" i="25" s="1"/>
  <c r="H171" i="25"/>
  <c r="Y171" i="25" l="1"/>
  <c r="D171" i="25"/>
  <c r="C171" i="25"/>
  <c r="B172" i="25"/>
  <c r="M171" i="25"/>
  <c r="I172" i="25"/>
  <c r="J172" i="25"/>
  <c r="S171" i="25" l="1"/>
  <c r="R171" i="25" s="1"/>
  <c r="Z171" i="25"/>
  <c r="Q171" i="25" l="1"/>
  <c r="P171" i="25" s="1"/>
  <c r="O171" i="25" s="1"/>
  <c r="N171" i="25" s="1"/>
  <c r="G172" i="25" l="1"/>
  <c r="F172" i="25" s="1"/>
  <c r="E172" i="25" s="1"/>
  <c r="H172" i="25"/>
  <c r="D172" i="25" l="1"/>
  <c r="C172" i="25"/>
  <c r="Y172" i="25"/>
  <c r="B173" i="25"/>
  <c r="M172" i="25"/>
  <c r="I173" i="25"/>
  <c r="J173" i="25"/>
  <c r="Z172" i="25" l="1"/>
  <c r="S172" i="25"/>
  <c r="R172" i="25" s="1"/>
  <c r="Q172" i="25" s="1"/>
  <c r="P172" i="25" s="1"/>
  <c r="O172" i="25" s="1"/>
  <c r="N172" i="25" s="1"/>
  <c r="H173" i="25" s="1"/>
  <c r="G173" i="25" l="1"/>
  <c r="F173" i="25" s="1"/>
  <c r="E173" i="25" s="1"/>
  <c r="Y173" i="25" l="1"/>
  <c r="C173" i="25"/>
  <c r="D173" i="25"/>
  <c r="B174" i="25"/>
  <c r="M173" i="25"/>
  <c r="J174" i="25"/>
  <c r="I174" i="25"/>
  <c r="S173" i="25" l="1"/>
  <c r="R173" i="25" s="1"/>
  <c r="Z173" i="25"/>
  <c r="Q173" i="25" l="1"/>
  <c r="P173" i="25" s="1"/>
  <c r="O173" i="25" s="1"/>
  <c r="N173" i="25" s="1"/>
  <c r="H174" i="25" l="1"/>
  <c r="G174" i="25"/>
  <c r="F174" i="25" s="1"/>
  <c r="E174" i="25" s="1"/>
  <c r="C174" i="25" l="1"/>
  <c r="D174" i="25"/>
  <c r="Y174" i="25"/>
  <c r="B175" i="25"/>
  <c r="J175" i="25"/>
  <c r="M174" i="25"/>
  <c r="I175" i="25"/>
  <c r="S174" i="25" l="1"/>
  <c r="Z174" i="25"/>
  <c r="R174" i="25" l="1"/>
  <c r="Q174" i="25" s="1"/>
  <c r="P174" i="25" s="1"/>
  <c r="O174" i="25" s="1"/>
  <c r="N174" i="25" s="1"/>
  <c r="G175" i="25" l="1"/>
  <c r="F175" i="25" s="1"/>
  <c r="E175" i="25" s="1"/>
  <c r="H175" i="25"/>
  <c r="Y175" i="25" l="1"/>
  <c r="D175" i="25"/>
  <c r="C175" i="25"/>
  <c r="B176" i="25"/>
  <c r="J176" i="25"/>
  <c r="M175" i="25"/>
  <c r="I176" i="25"/>
  <c r="S175" i="25" l="1"/>
  <c r="Z175" i="25"/>
  <c r="R175" i="25" l="1"/>
  <c r="Q175" i="25" s="1"/>
  <c r="P175" i="25" s="1"/>
  <c r="O175" i="25" s="1"/>
  <c r="N175" i="25" s="1"/>
  <c r="G176" i="25" l="1"/>
  <c r="F176" i="25" s="1"/>
  <c r="E176" i="25" s="1"/>
  <c r="H176" i="25"/>
  <c r="D176" i="25" l="1"/>
  <c r="Y176" i="25"/>
  <c r="C176" i="25"/>
  <c r="B177" i="25"/>
  <c r="J177" i="25"/>
  <c r="I177" i="25"/>
  <c r="M176" i="25"/>
  <c r="Z176" i="25" l="1"/>
  <c r="S176" i="25"/>
  <c r="R176" i="25" s="1"/>
  <c r="Q176" i="25" l="1"/>
  <c r="P176" i="25" s="1"/>
  <c r="O176" i="25" s="1"/>
  <c r="N176" i="25" s="1"/>
  <c r="G177" i="25" l="1"/>
  <c r="F177" i="25" s="1"/>
  <c r="E177" i="25" s="1"/>
  <c r="H177" i="25"/>
  <c r="C177" i="25" l="1"/>
  <c r="D177" i="25"/>
  <c r="Y177" i="25"/>
  <c r="B178" i="25"/>
  <c r="J178" i="25"/>
  <c r="M177" i="25"/>
  <c r="I178" i="25"/>
  <c r="S177" i="25" l="1"/>
  <c r="R177" i="25" s="1"/>
  <c r="Z177" i="25"/>
  <c r="Q177" i="25" l="1"/>
  <c r="P177" i="25" s="1"/>
  <c r="O177" i="25" s="1"/>
  <c r="N177" i="25" s="1"/>
  <c r="H178" i="25" l="1"/>
  <c r="G178" i="25"/>
  <c r="F178" i="25" s="1"/>
  <c r="E178" i="25" s="1"/>
  <c r="Y178" i="25" l="1"/>
  <c r="D178" i="25"/>
  <c r="C178" i="25"/>
  <c r="B179" i="25"/>
  <c r="J179" i="25"/>
  <c r="I179" i="25"/>
  <c r="M178" i="25"/>
  <c r="Z178" i="25" l="1"/>
  <c r="S178" i="25"/>
  <c r="R178" i="25" s="1"/>
  <c r="Q178" i="25" l="1"/>
  <c r="P178" i="25" s="1"/>
  <c r="O178" i="25" s="1"/>
  <c r="N178" i="25" s="1"/>
  <c r="G179" i="25" l="1"/>
  <c r="F179" i="25" s="1"/>
  <c r="E179" i="25" s="1"/>
  <c r="H179" i="25"/>
  <c r="D179" i="25" l="1"/>
  <c r="Y179" i="25"/>
  <c r="C179" i="25"/>
  <c r="B180" i="25"/>
  <c r="J180" i="25"/>
  <c r="M179" i="25"/>
  <c r="I180" i="25"/>
  <c r="S179" i="25" l="1"/>
  <c r="R179" i="25" s="1"/>
  <c r="Z179" i="25"/>
  <c r="Q179" i="25" l="1"/>
  <c r="P179" i="25" s="1"/>
  <c r="O179" i="25" s="1"/>
  <c r="N179" i="25" s="1"/>
  <c r="G180" i="25" l="1"/>
  <c r="F180" i="25" s="1"/>
  <c r="E180" i="25" s="1"/>
  <c r="H180" i="25"/>
  <c r="C180" i="25" l="1"/>
  <c r="D180" i="25"/>
  <c r="Y180" i="25"/>
  <c r="B181" i="25"/>
  <c r="I181" i="25"/>
  <c r="J181" i="25"/>
  <c r="M180" i="25"/>
  <c r="S180" i="25" l="1"/>
  <c r="R180" i="25" s="1"/>
  <c r="Z180" i="25"/>
  <c r="Q180" i="25" l="1"/>
  <c r="P180" i="25" s="1"/>
  <c r="O180" i="25" s="1"/>
  <c r="N180" i="25" s="1"/>
  <c r="H181" i="25" l="1"/>
  <c r="G181" i="25"/>
  <c r="F181" i="25" s="1"/>
  <c r="E181" i="25" s="1"/>
  <c r="Y181" i="25" l="1"/>
  <c r="D181" i="25"/>
  <c r="C181" i="25"/>
  <c r="B182" i="25"/>
  <c r="J182" i="25"/>
  <c r="M181" i="25"/>
  <c r="I182" i="25"/>
  <c r="S181" i="25" l="1"/>
  <c r="R181" i="25" s="1"/>
  <c r="Z181" i="25"/>
  <c r="Q181" i="25" l="1"/>
  <c r="P181" i="25" s="1"/>
  <c r="O181" i="25" s="1"/>
  <c r="N181" i="25" s="1"/>
  <c r="G182" i="25" l="1"/>
  <c r="F182" i="25" s="1"/>
  <c r="E182" i="25" s="1"/>
  <c r="H182" i="25"/>
  <c r="Y182" i="25" l="1"/>
  <c r="D182" i="25"/>
  <c r="C182" i="25"/>
  <c r="B183" i="25"/>
  <c r="I183" i="25"/>
  <c r="J183" i="25"/>
  <c r="M182" i="25"/>
  <c r="Z182" i="25" l="1"/>
  <c r="S182" i="25"/>
  <c r="R182" i="25" l="1"/>
  <c r="Q182" i="25" s="1"/>
  <c r="P182" i="25" s="1"/>
  <c r="O182" i="25" s="1"/>
  <c r="N182" i="25" s="1"/>
  <c r="H183" i="25" l="1"/>
  <c r="G183" i="25"/>
  <c r="F183" i="25" s="1"/>
  <c r="E183" i="25" s="1"/>
  <c r="I184" i="25" l="1"/>
  <c r="C183" i="25"/>
  <c r="Y183" i="25"/>
  <c r="D183" i="25"/>
  <c r="B184" i="25"/>
  <c r="J184" i="25"/>
  <c r="M183" i="25"/>
  <c r="Z183" i="25" l="1"/>
  <c r="S183" i="25"/>
  <c r="R183" i="25" s="1"/>
  <c r="Q183" i="25" s="1"/>
  <c r="P183" i="25" s="1"/>
  <c r="O183" i="25" s="1"/>
  <c r="N183" i="25" s="1"/>
  <c r="H184" i="25" l="1"/>
  <c r="G184" i="25"/>
  <c r="F184" i="25" s="1"/>
  <c r="E184" i="25" s="1"/>
  <c r="D184" i="25" l="1"/>
  <c r="C184" i="25"/>
  <c r="Y184" i="25"/>
  <c r="B185" i="25"/>
  <c r="M184" i="25"/>
  <c r="I185" i="25"/>
  <c r="J185" i="25"/>
  <c r="Z184" i="25" l="1"/>
  <c r="S184" i="25"/>
  <c r="R184" i="25" s="1"/>
  <c r="Q184" i="25" l="1"/>
  <c r="P184" i="25" s="1"/>
  <c r="O184" i="25" s="1"/>
  <c r="N184" i="25" s="1"/>
  <c r="H185" i="25" l="1"/>
  <c r="G185" i="25"/>
  <c r="F185" i="25" s="1"/>
  <c r="E185" i="25" s="1"/>
  <c r="C185" i="25" l="1"/>
  <c r="D185" i="25"/>
  <c r="Y185" i="25"/>
  <c r="B186" i="25"/>
  <c r="J186" i="25"/>
  <c r="I186" i="25"/>
  <c r="M185" i="25"/>
  <c r="Z185" i="25" l="1"/>
  <c r="S185" i="25"/>
  <c r="R185" i="25" s="1"/>
  <c r="Q185" i="25" l="1"/>
  <c r="P185" i="25" s="1"/>
  <c r="O185" i="25" s="1"/>
  <c r="N185" i="25" s="1"/>
  <c r="H186" i="25" l="1"/>
  <c r="G186" i="25"/>
  <c r="F186" i="25" s="1"/>
  <c r="E186" i="25" s="1"/>
  <c r="Y186" i="25" l="1"/>
  <c r="C186" i="25"/>
  <c r="D186" i="25"/>
  <c r="B187" i="25"/>
  <c r="J187" i="25"/>
  <c r="I187" i="25"/>
  <c r="M186" i="25"/>
  <c r="Z186" i="25" l="1"/>
  <c r="S186" i="25"/>
  <c r="R186" i="25" l="1"/>
  <c r="Q186" i="25" s="1"/>
  <c r="P186" i="25" s="1"/>
  <c r="O186" i="25" s="1"/>
  <c r="N186" i="25" s="1"/>
  <c r="H187" i="25" l="1"/>
  <c r="G187" i="25"/>
  <c r="F187" i="25" s="1"/>
  <c r="E187" i="25" s="1"/>
  <c r="C187" i="25" l="1"/>
  <c r="Y187" i="25"/>
  <c r="D187" i="25"/>
  <c r="B188" i="25"/>
  <c r="I188" i="25"/>
  <c r="J188" i="25"/>
  <c r="M187" i="25"/>
  <c r="Z187" i="25" l="1"/>
  <c r="S187" i="25"/>
  <c r="R187" i="25" l="1"/>
  <c r="Q187" i="25" s="1"/>
  <c r="P187" i="25" s="1"/>
  <c r="O187" i="25" s="1"/>
  <c r="N187" i="25" s="1"/>
  <c r="G188" i="25" l="1"/>
  <c r="F188" i="25" s="1"/>
  <c r="E188" i="25" s="1"/>
  <c r="H188" i="25"/>
  <c r="D188" i="25" l="1"/>
  <c r="C188" i="25"/>
  <c r="Y188" i="25"/>
  <c r="B189" i="25"/>
  <c r="I189" i="25"/>
  <c r="J189" i="25"/>
  <c r="M188" i="25"/>
  <c r="Z188" i="25" l="1"/>
  <c r="S188" i="25"/>
  <c r="R188" i="25" l="1"/>
  <c r="Q188" i="25" s="1"/>
  <c r="P188" i="25" s="1"/>
  <c r="O188" i="25" s="1"/>
  <c r="N188" i="25" s="1"/>
  <c r="H189" i="25" l="1"/>
  <c r="G189" i="25"/>
  <c r="F189" i="25" s="1"/>
  <c r="E189" i="25" s="1"/>
  <c r="Y189" i="25" l="1"/>
  <c r="C189" i="25"/>
  <c r="D189" i="25"/>
  <c r="B190" i="25"/>
  <c r="I190" i="25"/>
  <c r="M189" i="25"/>
  <c r="J190" i="25"/>
  <c r="S189" i="25" l="1"/>
  <c r="R189" i="25" s="1"/>
  <c r="Z189" i="25"/>
  <c r="Q189" i="25" l="1"/>
  <c r="P189" i="25" s="1"/>
  <c r="O189" i="25" s="1"/>
  <c r="N189" i="25" s="1"/>
  <c r="H190" i="25" l="1"/>
  <c r="G190" i="25"/>
  <c r="F190" i="25" s="1"/>
  <c r="E190" i="25" s="1"/>
  <c r="Y190" i="25" l="1"/>
  <c r="C190" i="25"/>
  <c r="D190" i="25"/>
  <c r="B191" i="25"/>
  <c r="I191" i="25"/>
  <c r="J191" i="25"/>
  <c r="M190" i="25"/>
  <c r="Z190" i="25" l="1"/>
  <c r="S190" i="25"/>
  <c r="R190" i="25" l="1"/>
  <c r="Q190" i="25" s="1"/>
  <c r="P190" i="25" s="1"/>
  <c r="O190" i="25" s="1"/>
  <c r="N190" i="25" s="1"/>
  <c r="H191" i="25" l="1"/>
  <c r="G191" i="25"/>
  <c r="F191" i="25" s="1"/>
  <c r="E191" i="25" s="1"/>
  <c r="Y191" i="25" l="1"/>
  <c r="C191" i="25"/>
  <c r="D191" i="25"/>
  <c r="B192" i="25"/>
  <c r="I192" i="25"/>
  <c r="M191" i="25"/>
  <c r="J192" i="25"/>
  <c r="S191" i="25" l="1"/>
  <c r="R191" i="25" s="1"/>
  <c r="Z191" i="25"/>
  <c r="Q191" i="25" l="1"/>
  <c r="P191" i="25" s="1"/>
  <c r="O191" i="25" s="1"/>
  <c r="N191" i="25" s="1"/>
  <c r="G192" i="25" l="1"/>
  <c r="F192" i="25" s="1"/>
  <c r="E192" i="25" s="1"/>
  <c r="H192" i="25"/>
  <c r="C192" i="25" l="1"/>
  <c r="Y192" i="25"/>
  <c r="D192" i="25"/>
  <c r="B193" i="25"/>
  <c r="I193" i="25"/>
  <c r="J193" i="25"/>
  <c r="M192" i="25"/>
  <c r="S192" i="25" l="1"/>
  <c r="R192" i="25" s="1"/>
  <c r="Z192" i="25"/>
  <c r="Q192" i="25" l="1"/>
  <c r="P192" i="25" s="1"/>
  <c r="O192" i="25" s="1"/>
  <c r="N192" i="25" s="1"/>
  <c r="H193" i="25" l="1"/>
  <c r="G193" i="25"/>
  <c r="F193" i="25" s="1"/>
  <c r="E193" i="25" s="1"/>
  <c r="D193" i="25" l="1"/>
  <c r="C193" i="25"/>
  <c r="Y193" i="25"/>
  <c r="B194" i="25"/>
  <c r="M193" i="25"/>
  <c r="I194" i="25"/>
  <c r="J194" i="25"/>
  <c r="Z193" i="25" l="1"/>
  <c r="S193" i="25"/>
  <c r="R193" i="25" l="1"/>
  <c r="Q193" i="25" s="1"/>
  <c r="P193" i="25" s="1"/>
  <c r="O193" i="25" s="1"/>
  <c r="N193" i="25" s="1"/>
  <c r="G194" i="25" l="1"/>
  <c r="F194" i="25" s="1"/>
  <c r="E194" i="25" s="1"/>
  <c r="H194" i="25"/>
  <c r="C194" i="25" l="1"/>
  <c r="D194" i="25"/>
  <c r="Y194" i="25"/>
  <c r="B195" i="25"/>
  <c r="M194" i="25"/>
  <c r="J195" i="25"/>
  <c r="I195" i="25"/>
  <c r="Z194" i="25" l="1"/>
  <c r="S194" i="25"/>
  <c r="R194" i="25" l="1"/>
  <c r="Q194" i="25" s="1"/>
  <c r="P194" i="25" s="1"/>
  <c r="O194" i="25" s="1"/>
  <c r="N194" i="25" s="1"/>
  <c r="H195" i="25" l="1"/>
  <c r="G195" i="25"/>
  <c r="F195" i="25" s="1"/>
  <c r="E195" i="25" s="1"/>
  <c r="Y195" i="25" l="1"/>
  <c r="D195" i="25"/>
  <c r="C195" i="25"/>
  <c r="B196" i="25"/>
  <c r="I196" i="25"/>
  <c r="J196" i="25"/>
  <c r="M195" i="25"/>
  <c r="Z195" i="25" l="1"/>
  <c r="S195" i="25"/>
  <c r="R195" i="25" l="1"/>
  <c r="Q195" i="25" s="1"/>
  <c r="P195" i="25" s="1"/>
  <c r="O195" i="25" s="1"/>
  <c r="N195" i="25" s="1"/>
  <c r="G196" i="25" l="1"/>
  <c r="F196" i="25" s="1"/>
  <c r="E196" i="25" s="1"/>
  <c r="H196" i="25"/>
  <c r="D196" i="25" l="1"/>
  <c r="C196" i="25"/>
  <c r="Y196" i="25"/>
  <c r="B197" i="25"/>
  <c r="I197" i="25"/>
  <c r="M196" i="25"/>
  <c r="J197" i="25"/>
  <c r="S196" i="25" l="1"/>
  <c r="R196" i="25" s="1"/>
  <c r="Z196" i="25"/>
  <c r="Q196" i="25" l="1"/>
  <c r="P196" i="25" s="1"/>
  <c r="O196" i="25" s="1"/>
  <c r="N196" i="25" s="1"/>
  <c r="G197" i="25" l="1"/>
  <c r="F197" i="25" s="1"/>
  <c r="E197" i="25" s="1"/>
  <c r="H197" i="25"/>
  <c r="C197" i="25" l="1"/>
  <c r="Y197" i="25"/>
  <c r="D197" i="25"/>
  <c r="B198" i="25"/>
  <c r="I198" i="25"/>
  <c r="J198" i="25"/>
  <c r="M197" i="25"/>
  <c r="S197" i="25" l="1"/>
  <c r="R197" i="25" s="1"/>
  <c r="Z197" i="25"/>
  <c r="Q197" i="25" l="1"/>
  <c r="P197" i="25" s="1"/>
  <c r="O197" i="25" s="1"/>
  <c r="N197" i="25" s="1"/>
  <c r="G198" i="25" l="1"/>
  <c r="F198" i="25" s="1"/>
  <c r="E198" i="25" s="1"/>
  <c r="H198" i="25"/>
  <c r="C198" i="25" l="1"/>
  <c r="D198" i="25"/>
  <c r="Y198" i="25"/>
  <c r="B199" i="25"/>
  <c r="M198" i="25"/>
  <c r="I199" i="25"/>
  <c r="J199" i="25"/>
  <c r="Z198" i="25" l="1"/>
  <c r="S198" i="25"/>
  <c r="R198" i="25" l="1"/>
  <c r="Q198" i="25" s="1"/>
  <c r="P198" i="25" s="1"/>
  <c r="O198" i="25" s="1"/>
  <c r="N198" i="25" s="1"/>
  <c r="H199" i="25" l="1"/>
  <c r="G199" i="25"/>
  <c r="F199" i="25" s="1"/>
  <c r="E199" i="25" s="1"/>
  <c r="C199" i="25" l="1"/>
  <c r="Y199" i="25"/>
  <c r="D199" i="25"/>
  <c r="B200" i="25"/>
  <c r="M199" i="25"/>
  <c r="I200" i="25"/>
  <c r="J200" i="25"/>
  <c r="Z199" i="25" l="1"/>
  <c r="S199" i="25"/>
  <c r="R199" i="25" l="1"/>
  <c r="Q199" i="25" s="1"/>
  <c r="P199" i="25" s="1"/>
  <c r="O199" i="25" s="1"/>
  <c r="N199" i="25" s="1"/>
  <c r="H200" i="25" l="1"/>
  <c r="G200" i="25"/>
  <c r="F200" i="25" s="1"/>
  <c r="E200" i="25" s="1"/>
  <c r="C200" i="25" l="1"/>
  <c r="D200" i="25"/>
  <c r="Y200" i="25"/>
  <c r="B201" i="25"/>
  <c r="J201" i="25"/>
  <c r="M200" i="25"/>
  <c r="I201" i="25"/>
  <c r="S200" i="25" l="1"/>
  <c r="Z200" i="25"/>
  <c r="R200" i="25" l="1"/>
  <c r="Q200" i="25" s="1"/>
  <c r="P200" i="25" s="1"/>
  <c r="O200" i="25" s="1"/>
  <c r="N200" i="25" s="1"/>
  <c r="H201" i="25" l="1"/>
  <c r="G201" i="25"/>
  <c r="F201" i="25" s="1"/>
  <c r="E201" i="25" s="1"/>
  <c r="D201" i="25" l="1"/>
  <c r="Y201" i="25"/>
  <c r="C201" i="25"/>
  <c r="B202" i="25"/>
  <c r="J202" i="25"/>
  <c r="M201" i="25"/>
  <c r="I202" i="25"/>
  <c r="S201" i="25" l="1"/>
  <c r="Z201" i="25"/>
  <c r="R201" i="25" l="1"/>
  <c r="Q201" i="25" s="1"/>
  <c r="P201" i="25" s="1"/>
  <c r="O201" i="25" s="1"/>
  <c r="N201" i="25" s="1"/>
  <c r="G202" i="25" l="1"/>
  <c r="F202" i="25" s="1"/>
  <c r="E202" i="25" s="1"/>
  <c r="H202" i="25"/>
  <c r="C202" i="25" l="1"/>
  <c r="D202" i="25"/>
  <c r="Y202" i="25"/>
  <c r="B203" i="25"/>
  <c r="J203" i="25"/>
  <c r="M202" i="25"/>
  <c r="I203" i="25"/>
  <c r="S202" i="25" l="1"/>
  <c r="R202" i="25" s="1"/>
  <c r="Z202" i="25"/>
  <c r="Q202" i="25" l="1"/>
  <c r="P202" i="25" s="1"/>
  <c r="O202" i="25" s="1"/>
  <c r="N202" i="25" s="1"/>
  <c r="G203" i="25" l="1"/>
  <c r="F203" i="25" s="1"/>
  <c r="E203" i="25" s="1"/>
  <c r="H203" i="25"/>
  <c r="D203" i="25" l="1"/>
  <c r="Y203" i="25"/>
  <c r="C203" i="25"/>
  <c r="B204" i="25"/>
  <c r="M203" i="25"/>
  <c r="I204" i="25"/>
  <c r="J204" i="25"/>
  <c r="Z203" i="25" l="1"/>
  <c r="S203" i="25"/>
  <c r="R203" i="25" l="1"/>
  <c r="Q203" i="25" s="1"/>
  <c r="P203" i="25" s="1"/>
  <c r="O203" i="25" s="1"/>
  <c r="N203" i="25" s="1"/>
  <c r="G204" i="25" l="1"/>
  <c r="F204" i="25" s="1"/>
  <c r="E204" i="25" s="1"/>
  <c r="H204" i="25"/>
  <c r="D204" i="25" l="1"/>
  <c r="Y204" i="25"/>
  <c r="C204" i="25"/>
  <c r="B205" i="25"/>
  <c r="I205" i="25"/>
  <c r="J205" i="25"/>
  <c r="M204" i="25"/>
  <c r="S204" i="25" l="1"/>
  <c r="R204" i="25" s="1"/>
  <c r="Z204" i="25"/>
  <c r="Q204" i="25" l="1"/>
  <c r="P204" i="25" s="1"/>
  <c r="O204" i="25" s="1"/>
  <c r="N204" i="25" s="1"/>
  <c r="G205" i="25" l="1"/>
  <c r="F205" i="25" s="1"/>
  <c r="E205" i="25" s="1"/>
  <c r="H205" i="25"/>
  <c r="D205" i="25" l="1"/>
  <c r="C205" i="25"/>
  <c r="Y205" i="25"/>
  <c r="B206" i="25"/>
  <c r="M205" i="25"/>
  <c r="I206" i="25"/>
  <c r="J206" i="25"/>
  <c r="Z205" i="25" l="1"/>
  <c r="S205" i="25"/>
  <c r="R205" i="25" l="1"/>
  <c r="Q205" i="25" s="1"/>
  <c r="P205" i="25" s="1"/>
  <c r="O205" i="25" s="1"/>
  <c r="N205" i="25" s="1"/>
  <c r="G206" i="25" l="1"/>
  <c r="F206" i="25" s="1"/>
  <c r="E206" i="25" s="1"/>
  <c r="H206" i="25"/>
  <c r="Y206" i="25" l="1"/>
  <c r="C206" i="25"/>
  <c r="D206" i="25"/>
  <c r="B207" i="25"/>
  <c r="M206" i="25"/>
  <c r="J207" i="25"/>
  <c r="I207" i="25"/>
  <c r="Z206" i="25" l="1"/>
  <c r="S206" i="25"/>
  <c r="R206" i="25" s="1"/>
  <c r="Q206" i="25" s="1"/>
  <c r="P206" i="25" s="1"/>
  <c r="O206" i="25" s="1"/>
  <c r="N206" i="25" s="1"/>
  <c r="H207" i="25" l="1"/>
  <c r="G207" i="25"/>
  <c r="F207" i="25" s="1"/>
  <c r="E207" i="25" s="1"/>
  <c r="D207" i="25" l="1"/>
  <c r="Y207" i="25"/>
  <c r="C207" i="25"/>
  <c r="B208" i="25"/>
  <c r="I208" i="25"/>
  <c r="M207" i="25"/>
  <c r="J208" i="25"/>
  <c r="S207" i="25" l="1"/>
  <c r="R207" i="25" s="1"/>
  <c r="Z207" i="25"/>
  <c r="Q207" i="25" l="1"/>
  <c r="P207" i="25" s="1"/>
  <c r="O207" i="25" s="1"/>
  <c r="N207" i="25" s="1"/>
  <c r="G208" i="25" l="1"/>
  <c r="F208" i="25" s="1"/>
  <c r="E208" i="25" s="1"/>
  <c r="H208" i="25"/>
  <c r="Y208" i="25" l="1"/>
  <c r="D208" i="25"/>
  <c r="C208" i="25"/>
  <c r="B209" i="25"/>
  <c r="I209" i="25"/>
  <c r="J209" i="25"/>
  <c r="M208" i="25"/>
  <c r="S208" i="25" l="1"/>
  <c r="R208" i="25" s="1"/>
  <c r="Z208" i="25"/>
  <c r="Q208" i="25" l="1"/>
  <c r="P208" i="25" s="1"/>
  <c r="O208" i="25" s="1"/>
  <c r="N208" i="25" s="1"/>
  <c r="G209" i="25" l="1"/>
  <c r="F209" i="25" s="1"/>
  <c r="E209" i="25" s="1"/>
  <c r="H209" i="25"/>
  <c r="Y209" i="25" l="1"/>
  <c r="D209" i="25"/>
  <c r="C209" i="25"/>
  <c r="B210" i="25"/>
  <c r="M209" i="25"/>
  <c r="I210" i="25"/>
  <c r="J210" i="25"/>
  <c r="Z209" i="25" l="1"/>
  <c r="S209" i="25"/>
  <c r="R209" i="25" l="1"/>
  <c r="Q209" i="25" s="1"/>
  <c r="P209" i="25" s="1"/>
  <c r="O209" i="25" s="1"/>
  <c r="N209" i="25" s="1"/>
  <c r="G210" i="25" l="1"/>
  <c r="F210" i="25" s="1"/>
  <c r="E210" i="25" s="1"/>
  <c r="H210" i="25"/>
  <c r="D210" i="25" l="1"/>
  <c r="Y210" i="25"/>
  <c r="C210" i="25"/>
  <c r="B211" i="25"/>
  <c r="J211" i="25"/>
  <c r="M210" i="25"/>
  <c r="I211" i="25"/>
  <c r="S210" i="25" l="1"/>
  <c r="R210" i="25" s="1"/>
  <c r="Z210" i="25"/>
  <c r="Q210" i="25" l="1"/>
  <c r="P210" i="25" s="1"/>
  <c r="O210" i="25" s="1"/>
  <c r="N210" i="25" s="1"/>
  <c r="G211" i="25" l="1"/>
  <c r="F211" i="25" s="1"/>
  <c r="E211" i="25" s="1"/>
  <c r="H211" i="25"/>
  <c r="C211" i="25" l="1"/>
  <c r="D211" i="25"/>
  <c r="Y211" i="25"/>
  <c r="B212" i="25"/>
  <c r="M211" i="25"/>
  <c r="J212" i="25"/>
  <c r="I212" i="25"/>
  <c r="Z211" i="25" l="1"/>
  <c r="S211" i="25"/>
  <c r="R211" i="25" l="1"/>
  <c r="Q211" i="25" s="1"/>
  <c r="P211" i="25" s="1"/>
  <c r="O211" i="25" s="1"/>
  <c r="N211" i="25" s="1"/>
  <c r="G212" i="25" l="1"/>
  <c r="F212" i="25" s="1"/>
  <c r="E212" i="25" s="1"/>
  <c r="H212" i="25"/>
  <c r="C212" i="25" l="1"/>
  <c r="Y212" i="25"/>
  <c r="D212" i="25"/>
  <c r="B213" i="25"/>
  <c r="I213" i="25"/>
  <c r="J213" i="25"/>
  <c r="M212" i="25"/>
  <c r="S212" i="25" l="1"/>
  <c r="R212" i="25" s="1"/>
  <c r="Z212" i="25"/>
  <c r="Q212" i="25" l="1"/>
  <c r="P212" i="25" s="1"/>
  <c r="O212" i="25" s="1"/>
  <c r="N212" i="25" s="1"/>
  <c r="G213" i="25" l="1"/>
  <c r="F213" i="25" s="1"/>
  <c r="E213" i="25" s="1"/>
  <c r="H213" i="25"/>
  <c r="Y213" i="25" l="1"/>
  <c r="C213" i="25"/>
  <c r="D213" i="25"/>
  <c r="B214" i="25"/>
  <c r="M213" i="25"/>
  <c r="I214" i="25"/>
  <c r="J214" i="25"/>
  <c r="Z213" i="25" l="1"/>
  <c r="S213" i="25"/>
  <c r="R213" i="25" l="1"/>
  <c r="Q213" i="25" s="1"/>
  <c r="P213" i="25" s="1"/>
  <c r="O213" i="25" s="1"/>
  <c r="N213" i="25" s="1"/>
  <c r="G214" i="25" l="1"/>
  <c r="F214" i="25" s="1"/>
  <c r="E214" i="25" s="1"/>
  <c r="H214" i="25"/>
  <c r="Y214" i="25" l="1"/>
  <c r="D214" i="25"/>
  <c r="C214" i="25"/>
  <c r="B215" i="25"/>
  <c r="J215" i="25"/>
  <c r="M214" i="25"/>
  <c r="I215" i="25"/>
  <c r="S214" i="25" l="1"/>
  <c r="Z214" i="25"/>
  <c r="R214" i="25" l="1"/>
  <c r="Q214" i="25" s="1"/>
  <c r="P214" i="25" s="1"/>
  <c r="O214" i="25" s="1"/>
  <c r="N214" i="25" s="1"/>
  <c r="G215" i="25" l="1"/>
  <c r="F215" i="25" s="1"/>
  <c r="E215" i="25" s="1"/>
  <c r="H215" i="25"/>
  <c r="C215" i="25" l="1"/>
  <c r="Y215" i="25"/>
  <c r="D215" i="25"/>
  <c r="B216" i="25"/>
  <c r="J216" i="25"/>
  <c r="I216" i="25"/>
  <c r="M215" i="25"/>
  <c r="Z215" i="25" l="1"/>
  <c r="S215" i="25"/>
  <c r="R215" i="25" s="1"/>
  <c r="Q215" i="25" l="1"/>
  <c r="P215" i="25" s="1"/>
  <c r="O215" i="25" s="1"/>
  <c r="N215" i="25" s="1"/>
  <c r="G216" i="25" l="1"/>
  <c r="F216" i="25" s="1"/>
  <c r="E216" i="25" s="1"/>
  <c r="H216" i="25"/>
  <c r="D216" i="25" l="1"/>
  <c r="Y216" i="25"/>
  <c r="C216" i="25"/>
  <c r="B217" i="25"/>
  <c r="M216" i="25"/>
  <c r="I217" i="25"/>
  <c r="J217" i="25"/>
  <c r="Z216" i="25" l="1"/>
  <c r="S216" i="25"/>
  <c r="R216" i="25" l="1"/>
  <c r="Q216" i="25" s="1"/>
  <c r="P216" i="25" s="1"/>
  <c r="O216" i="25" s="1"/>
  <c r="N216" i="25" s="1"/>
  <c r="G217" i="25" l="1"/>
  <c r="F217" i="25" s="1"/>
  <c r="E217" i="25" s="1"/>
  <c r="H217" i="25"/>
  <c r="C217" i="25" l="1"/>
  <c r="Y217" i="25"/>
  <c r="D217" i="25"/>
  <c r="B218" i="25"/>
  <c r="J218" i="25"/>
  <c r="I218" i="25"/>
  <c r="M217" i="25"/>
  <c r="Z217" i="25" l="1"/>
  <c r="S217" i="25"/>
  <c r="R217" i="25" s="1"/>
  <c r="Q217" i="25" l="1"/>
  <c r="P217" i="25" s="1"/>
  <c r="O217" i="25" s="1"/>
  <c r="N217" i="25" s="1"/>
  <c r="G218" i="25" l="1"/>
  <c r="F218" i="25" s="1"/>
  <c r="E218" i="25" s="1"/>
  <c r="H218" i="25"/>
  <c r="C218" i="25" l="1"/>
  <c r="D218" i="25"/>
  <c r="Y218" i="25"/>
  <c r="B219" i="25"/>
  <c r="M218" i="25"/>
  <c r="J219" i="25"/>
  <c r="I219" i="25"/>
  <c r="Z218" i="25" l="1"/>
  <c r="S218" i="25"/>
  <c r="R218" i="25" l="1"/>
  <c r="Q218" i="25" s="1"/>
  <c r="P218" i="25" s="1"/>
  <c r="O218" i="25" s="1"/>
  <c r="N218" i="25" s="1"/>
  <c r="G219" i="25" l="1"/>
  <c r="F219" i="25" s="1"/>
  <c r="E219" i="25" s="1"/>
  <c r="H219" i="25"/>
  <c r="Y219" i="25" l="1"/>
  <c r="D219" i="25"/>
  <c r="C219" i="25"/>
  <c r="B220" i="25"/>
  <c r="I220" i="25"/>
  <c r="M219" i="25"/>
  <c r="J220" i="25"/>
  <c r="S219" i="25" l="1"/>
  <c r="R219" i="25" s="1"/>
  <c r="Q219" i="25" s="1"/>
  <c r="P219" i="25" s="1"/>
  <c r="O219" i="25" s="1"/>
  <c r="N219" i="25" s="1"/>
  <c r="H220" i="25" s="1"/>
  <c r="Z219" i="25"/>
  <c r="G220" i="25" l="1"/>
  <c r="F220" i="25" s="1"/>
  <c r="E220" i="25" s="1"/>
  <c r="D220" i="25" l="1"/>
  <c r="Y220" i="25"/>
  <c r="C220" i="25"/>
  <c r="B221" i="25"/>
  <c r="J221" i="25"/>
  <c r="I221" i="25"/>
  <c r="M220" i="25"/>
  <c r="Z220" i="25" l="1"/>
  <c r="S220" i="25"/>
  <c r="R220" i="25" s="1"/>
  <c r="Q220" i="25" l="1"/>
  <c r="P220" i="25" s="1"/>
  <c r="O220" i="25" s="1"/>
  <c r="N220" i="25" s="1"/>
  <c r="G221" i="25" l="1"/>
  <c r="F221" i="25" s="1"/>
  <c r="E221" i="25" s="1"/>
  <c r="H221" i="25"/>
  <c r="D221" i="25" l="1"/>
  <c r="C221" i="25"/>
  <c r="Y221" i="25"/>
  <c r="B222" i="25"/>
  <c r="M221" i="25"/>
  <c r="I222" i="25"/>
  <c r="J222" i="25"/>
  <c r="Z221" i="25" l="1"/>
  <c r="S221" i="25"/>
  <c r="R221" i="25" l="1"/>
  <c r="Q221" i="25" s="1"/>
  <c r="P221" i="25" s="1"/>
  <c r="O221" i="25" s="1"/>
  <c r="N221" i="25" s="1"/>
  <c r="G222" i="25" l="1"/>
  <c r="F222" i="25" s="1"/>
  <c r="E222" i="25" s="1"/>
  <c r="H222" i="25"/>
  <c r="Y222" i="25" l="1"/>
  <c r="C222" i="25"/>
  <c r="D222" i="25"/>
  <c r="B223" i="25"/>
  <c r="M222" i="25"/>
  <c r="I223" i="25"/>
  <c r="J223" i="25"/>
  <c r="Z222" i="25" l="1"/>
  <c r="S222" i="25"/>
  <c r="R222" i="25" l="1"/>
  <c r="Q222" i="25" s="1"/>
  <c r="P222" i="25" s="1"/>
  <c r="O222" i="25" s="1"/>
  <c r="N222" i="25" s="1"/>
  <c r="G223" i="25" l="1"/>
  <c r="F223" i="25" s="1"/>
  <c r="E223" i="25" s="1"/>
  <c r="H223" i="25"/>
  <c r="Y223" i="25" l="1"/>
  <c r="C223" i="25"/>
  <c r="D223" i="25"/>
  <c r="B224" i="25"/>
  <c r="J224" i="25"/>
  <c r="I224" i="25"/>
  <c r="M223" i="25"/>
  <c r="Z223" i="25" l="1"/>
  <c r="S223" i="25"/>
  <c r="R223" i="25" s="1"/>
  <c r="Q223" i="25" l="1"/>
  <c r="P223" i="25" s="1"/>
  <c r="O223" i="25" s="1"/>
  <c r="N223" i="25" s="1"/>
  <c r="G224" i="25" l="1"/>
  <c r="F224" i="25" s="1"/>
  <c r="E224" i="25" s="1"/>
  <c r="H224" i="25"/>
  <c r="D224" i="25" l="1"/>
  <c r="Y224" i="25"/>
  <c r="C224" i="25"/>
  <c r="B225" i="25"/>
  <c r="M224" i="25"/>
  <c r="J225" i="25"/>
  <c r="I225" i="25"/>
  <c r="Z224" i="25" l="1"/>
  <c r="S224" i="25"/>
  <c r="R224" i="25" l="1"/>
  <c r="Q224" i="25" s="1"/>
  <c r="P224" i="25" s="1"/>
  <c r="O224" i="25" s="1"/>
  <c r="N224" i="25" s="1"/>
  <c r="G225" i="25" l="1"/>
  <c r="F225" i="25" s="1"/>
  <c r="E225" i="25" s="1"/>
  <c r="H225" i="25"/>
  <c r="C225" i="25" l="1"/>
  <c r="Y225" i="25"/>
  <c r="D225" i="25"/>
  <c r="B226" i="25"/>
  <c r="I226" i="25"/>
  <c r="M225" i="25"/>
  <c r="J226" i="25"/>
  <c r="S225" i="25" l="1"/>
  <c r="Z225" i="25"/>
  <c r="R225" i="25" l="1"/>
  <c r="Q225" i="25" s="1"/>
  <c r="P225" i="25" s="1"/>
  <c r="O225" i="25" s="1"/>
  <c r="N225" i="25" s="1"/>
  <c r="G226" i="25" l="1"/>
  <c r="F226" i="25" s="1"/>
  <c r="E226" i="25" s="1"/>
  <c r="H226" i="25"/>
  <c r="Y226" i="25" l="1"/>
  <c r="C226" i="25"/>
  <c r="D226" i="25"/>
  <c r="B227" i="25"/>
  <c r="J227" i="25"/>
  <c r="M226" i="25"/>
  <c r="I227" i="25"/>
  <c r="S226" i="25" l="1"/>
  <c r="Z226" i="25"/>
  <c r="R226" i="25" l="1"/>
  <c r="Q226" i="25" s="1"/>
  <c r="P226" i="25" s="1"/>
  <c r="O226" i="25" s="1"/>
  <c r="N226" i="25" s="1"/>
  <c r="G227" i="25" l="1"/>
  <c r="F227" i="25" s="1"/>
  <c r="E227" i="25" s="1"/>
  <c r="H227" i="25"/>
  <c r="C227" i="25" l="1"/>
  <c r="Y227" i="25"/>
  <c r="D227" i="25"/>
  <c r="B228" i="25"/>
  <c r="J228" i="25"/>
  <c r="M227" i="25"/>
  <c r="I228" i="25"/>
  <c r="S227" i="25" l="1"/>
  <c r="Z227" i="25"/>
  <c r="R227" i="25" l="1"/>
  <c r="Q227" i="25" s="1"/>
  <c r="P227" i="25" s="1"/>
  <c r="O227" i="25" s="1"/>
  <c r="N227" i="25" s="1"/>
  <c r="G228" i="25" l="1"/>
  <c r="F228" i="25" s="1"/>
  <c r="E228" i="25" s="1"/>
  <c r="H228" i="25"/>
  <c r="C228" i="25" l="1"/>
  <c r="D228" i="25"/>
  <c r="Y228" i="25"/>
  <c r="B229" i="25"/>
  <c r="J229" i="25"/>
  <c r="M228" i="25"/>
  <c r="I229" i="25"/>
  <c r="S228" i="25" l="1"/>
  <c r="R228" i="25" s="1"/>
  <c r="Q228" i="25" s="1"/>
  <c r="P228" i="25" s="1"/>
  <c r="O228" i="25" s="1"/>
  <c r="N228" i="25" s="1"/>
  <c r="H229" i="25" s="1"/>
  <c r="Z228" i="25"/>
  <c r="G229" i="25" l="1"/>
  <c r="F229" i="25" s="1"/>
  <c r="E229" i="25" s="1"/>
  <c r="D229" i="25" l="1"/>
  <c r="C229" i="25"/>
  <c r="Y229" i="25"/>
  <c r="B230" i="25"/>
  <c r="J230" i="25"/>
  <c r="I230" i="25"/>
  <c r="M229" i="25"/>
  <c r="Z229" i="25" l="1"/>
  <c r="S229" i="25"/>
  <c r="R229" i="25" s="1"/>
  <c r="Q229" i="25" l="1"/>
  <c r="P229" i="25" s="1"/>
  <c r="O229" i="25" s="1"/>
  <c r="N229" i="25" s="1"/>
  <c r="H230" i="25" l="1"/>
  <c r="G230" i="25"/>
  <c r="F230" i="25" s="1"/>
  <c r="E230" i="25" s="1"/>
  <c r="C230" i="25" l="1"/>
  <c r="D230" i="25"/>
  <c r="Y230" i="25"/>
  <c r="B231" i="25"/>
  <c r="J231" i="25"/>
  <c r="I231" i="25"/>
  <c r="M230" i="25"/>
  <c r="Z230" i="25" l="1"/>
  <c r="S230" i="25"/>
  <c r="R230" i="25" s="1"/>
  <c r="Q230" i="25" l="1"/>
  <c r="P230" i="25" s="1"/>
  <c r="O230" i="25" s="1"/>
  <c r="N230" i="25" s="1"/>
  <c r="G231" i="25" l="1"/>
  <c r="F231" i="25" s="1"/>
  <c r="E231" i="25" s="1"/>
  <c r="H231" i="25"/>
  <c r="C231" i="25" l="1"/>
  <c r="Y231" i="25"/>
  <c r="D231" i="25"/>
  <c r="B232" i="25"/>
  <c r="J232" i="25"/>
  <c r="M231" i="25"/>
  <c r="I232" i="25"/>
  <c r="S231" i="25" l="1"/>
  <c r="Z231" i="25"/>
  <c r="R231" i="25" l="1"/>
  <c r="Q231" i="25" s="1"/>
  <c r="P231" i="25" s="1"/>
  <c r="O231" i="25" s="1"/>
  <c r="N231" i="25" s="1"/>
  <c r="G232" i="25" l="1"/>
  <c r="F232" i="25" s="1"/>
  <c r="E232" i="25" s="1"/>
  <c r="H232" i="25"/>
  <c r="D232" i="25" l="1"/>
  <c r="Y232" i="25"/>
  <c r="C232" i="25"/>
  <c r="B233" i="25"/>
  <c r="M232" i="25"/>
  <c r="J233" i="25"/>
  <c r="I233" i="25"/>
  <c r="Z232" i="25" l="1"/>
  <c r="S232" i="25"/>
  <c r="R232" i="25" l="1"/>
  <c r="Q232" i="25" s="1"/>
  <c r="P232" i="25" s="1"/>
  <c r="O232" i="25" s="1"/>
  <c r="N232" i="25" s="1"/>
  <c r="G233" i="25" l="1"/>
  <c r="F233" i="25" s="1"/>
  <c r="E233" i="25" s="1"/>
  <c r="H233" i="25"/>
  <c r="Y233" i="25" l="1"/>
  <c r="D233" i="25"/>
  <c r="C233" i="25"/>
  <c r="B234" i="25"/>
  <c r="I234" i="25"/>
  <c r="J234" i="25"/>
  <c r="M233" i="25"/>
  <c r="S233" i="25" l="1"/>
  <c r="R233" i="25" s="1"/>
  <c r="Z233" i="25"/>
  <c r="Q233" i="25" l="1"/>
  <c r="P233" i="25" s="1"/>
  <c r="O233" i="25" s="1"/>
  <c r="N233" i="25" s="1"/>
  <c r="G234" i="25" l="1"/>
  <c r="F234" i="25" s="1"/>
  <c r="E234" i="25" s="1"/>
  <c r="H234" i="25"/>
  <c r="D234" i="25" l="1"/>
  <c r="C234" i="25"/>
  <c r="Y234" i="25"/>
  <c r="B235" i="25"/>
  <c r="M234" i="25"/>
  <c r="I235" i="25"/>
  <c r="J235" i="25"/>
  <c r="Z234" i="25" l="1"/>
  <c r="S234" i="25"/>
  <c r="R234" i="25" l="1"/>
  <c r="Q234" i="25" s="1"/>
  <c r="P234" i="25" s="1"/>
  <c r="O234" i="25" s="1"/>
  <c r="N234" i="25" s="1"/>
  <c r="G235" i="25" l="1"/>
  <c r="F235" i="25" s="1"/>
  <c r="E235" i="25" s="1"/>
  <c r="H235" i="25"/>
  <c r="Y235" i="25" l="1"/>
  <c r="D235" i="25"/>
  <c r="C235" i="25"/>
  <c r="B236" i="25"/>
  <c r="I236" i="25"/>
  <c r="J236" i="25"/>
  <c r="M235" i="25"/>
  <c r="S235" i="25" l="1"/>
  <c r="R235" i="25" s="1"/>
  <c r="Z235" i="25"/>
  <c r="Q235" i="25" l="1"/>
  <c r="P235" i="25" s="1"/>
  <c r="O235" i="25" s="1"/>
  <c r="N235" i="25" s="1"/>
  <c r="G236" i="25" l="1"/>
  <c r="F236" i="25" s="1"/>
  <c r="E236" i="25" s="1"/>
  <c r="H236" i="25"/>
  <c r="D236" i="25" l="1"/>
  <c r="C236" i="25"/>
  <c r="Y236" i="25"/>
  <c r="B237" i="25"/>
  <c r="M236" i="25"/>
  <c r="I237" i="25"/>
  <c r="J237" i="25"/>
  <c r="Z236" i="25" l="1"/>
  <c r="S236" i="25"/>
  <c r="R236" i="25" l="1"/>
  <c r="Q236" i="25" s="1"/>
  <c r="P236" i="25" s="1"/>
  <c r="O236" i="25" s="1"/>
  <c r="N236" i="25" s="1"/>
  <c r="G237" i="25" l="1"/>
  <c r="F237" i="25" s="1"/>
  <c r="E237" i="25" s="1"/>
  <c r="H237" i="25"/>
  <c r="Y237" i="25" l="1"/>
  <c r="C237" i="25"/>
  <c r="D237" i="25"/>
  <c r="B238" i="25"/>
  <c r="J238" i="25"/>
  <c r="M237" i="25"/>
  <c r="I238" i="25"/>
  <c r="S237" i="25" l="1"/>
  <c r="Z237" i="25"/>
  <c r="R237" i="25" l="1"/>
  <c r="Q237" i="25" s="1"/>
  <c r="P237" i="25" s="1"/>
  <c r="O237" i="25" s="1"/>
  <c r="N237" i="25" s="1"/>
  <c r="G238" i="25" l="1"/>
  <c r="F238" i="25" s="1"/>
  <c r="E238" i="25" s="1"/>
  <c r="H238" i="25"/>
  <c r="D238" i="25" l="1"/>
  <c r="C238" i="25"/>
  <c r="Y238" i="25"/>
  <c r="B239" i="25"/>
  <c r="J239" i="25"/>
  <c r="M238" i="25"/>
  <c r="I239" i="25"/>
  <c r="S238" i="25" l="1"/>
  <c r="R238" i="25" s="1"/>
  <c r="Z238" i="25"/>
  <c r="Q238" i="25" l="1"/>
  <c r="P238" i="25" s="1"/>
  <c r="O238" i="25" s="1"/>
  <c r="N238" i="25" s="1"/>
  <c r="G239" i="25" l="1"/>
  <c r="F239" i="25" s="1"/>
  <c r="E239" i="25" s="1"/>
  <c r="H239" i="25"/>
  <c r="Y239" i="25" l="1"/>
  <c r="C239" i="25"/>
  <c r="D239" i="25"/>
  <c r="B240" i="25"/>
  <c r="I240" i="25"/>
  <c r="M239" i="25"/>
  <c r="J240" i="25"/>
  <c r="S239" i="25" l="1"/>
  <c r="Z239" i="25"/>
  <c r="R239" i="25" l="1"/>
  <c r="Q239" i="25" s="1"/>
  <c r="P239" i="25" s="1"/>
  <c r="O239" i="25" s="1"/>
  <c r="N239" i="25" s="1"/>
  <c r="H240" i="25" l="1"/>
  <c r="G240" i="25"/>
  <c r="F240" i="25" s="1"/>
  <c r="E240" i="25" s="1"/>
  <c r="C240" i="25" l="1"/>
  <c r="Y240" i="25"/>
  <c r="D240" i="25"/>
  <c r="B241" i="25"/>
  <c r="J241" i="25"/>
  <c r="I241" i="25"/>
  <c r="M240" i="25"/>
  <c r="Z240" i="25" l="1"/>
  <c r="S240" i="25"/>
  <c r="R240" i="25" s="1"/>
  <c r="Q240" i="25" l="1"/>
  <c r="P240" i="25" s="1"/>
  <c r="O240" i="25" s="1"/>
  <c r="N240" i="25" s="1"/>
  <c r="G241" i="25" l="1"/>
  <c r="F241" i="25" s="1"/>
  <c r="E241" i="25" s="1"/>
  <c r="H241" i="25"/>
  <c r="D241" i="25" l="1"/>
  <c r="Y241" i="25"/>
  <c r="C241" i="25"/>
  <c r="B242" i="25"/>
  <c r="J242" i="25"/>
  <c r="M241" i="25"/>
  <c r="I242" i="25"/>
  <c r="S241" i="25" l="1"/>
  <c r="R241" i="25" s="1"/>
  <c r="Z241" i="25"/>
  <c r="Q241" i="25" l="1"/>
  <c r="P241" i="25" s="1"/>
  <c r="O241" i="25" s="1"/>
  <c r="N241" i="25" s="1"/>
  <c r="G242" i="25" l="1"/>
  <c r="F242" i="25" s="1"/>
  <c r="E242" i="25" s="1"/>
  <c r="H242" i="25"/>
  <c r="C242" i="25" l="1"/>
  <c r="Y242" i="25"/>
  <c r="D242" i="25"/>
  <c r="B243" i="25"/>
  <c r="I243" i="25"/>
  <c r="J243" i="25"/>
  <c r="M242" i="25"/>
  <c r="Z242" i="25" l="1"/>
  <c r="S242" i="25"/>
  <c r="R242" i="25" l="1"/>
  <c r="Q242" i="25" s="1"/>
  <c r="P242" i="25" s="1"/>
  <c r="O242" i="25" s="1"/>
  <c r="N242" i="25" s="1"/>
  <c r="G243" i="25" l="1"/>
  <c r="F243" i="25" s="1"/>
  <c r="E243" i="25" s="1"/>
  <c r="H243" i="25"/>
  <c r="J244" i="25" l="1"/>
  <c r="C243" i="25"/>
  <c r="D243" i="25"/>
  <c r="Y243" i="25"/>
  <c r="B244" i="25"/>
  <c r="I244" i="25"/>
  <c r="M243" i="25"/>
  <c r="Z243" i="25" l="1"/>
  <c r="S243" i="25"/>
  <c r="R243" i="25" l="1"/>
  <c r="Q243" i="25" s="1"/>
  <c r="P243" i="25" s="1"/>
  <c r="O243" i="25" s="1"/>
  <c r="N243" i="25" s="1"/>
  <c r="H244" i="25" l="1"/>
  <c r="G244" i="25"/>
  <c r="F244" i="25" s="1"/>
  <c r="E244" i="25" s="1"/>
  <c r="D244" i="25" l="1"/>
  <c r="C244" i="25"/>
  <c r="Y244" i="25"/>
  <c r="B245" i="25"/>
  <c r="I245" i="25"/>
  <c r="M244" i="25"/>
  <c r="J245" i="25"/>
  <c r="S244" i="25" l="1"/>
  <c r="R244" i="25" s="1"/>
  <c r="Z244" i="25"/>
  <c r="Q244" i="25" l="1"/>
  <c r="P244" i="25" s="1"/>
  <c r="O244" i="25" s="1"/>
  <c r="N244" i="25" s="1"/>
  <c r="G245" i="25" l="1"/>
  <c r="F245" i="25" s="1"/>
  <c r="E245" i="25" s="1"/>
  <c r="H245" i="25"/>
  <c r="Y245" i="25" l="1"/>
  <c r="C245" i="25"/>
  <c r="D245" i="25"/>
  <c r="B246" i="25"/>
  <c r="M245" i="25"/>
  <c r="I246" i="25"/>
  <c r="J246" i="25"/>
  <c r="Z245" i="25" l="1"/>
  <c r="S245" i="25"/>
  <c r="R245" i="25" l="1"/>
  <c r="Q245" i="25" s="1"/>
  <c r="P245" i="25" s="1"/>
  <c r="O245" i="25" s="1"/>
  <c r="N245" i="25" s="1"/>
  <c r="H246" i="25" l="1"/>
  <c r="G246" i="25"/>
  <c r="F246" i="25" s="1"/>
  <c r="E246" i="25" s="1"/>
  <c r="Y246" i="25" l="1"/>
  <c r="D246" i="25"/>
  <c r="C246" i="25"/>
  <c r="B247" i="25"/>
  <c r="I247" i="25"/>
  <c r="J247" i="25"/>
  <c r="M246" i="25"/>
  <c r="Z246" i="25" l="1"/>
  <c r="S246" i="25"/>
  <c r="R246" i="25" s="1"/>
  <c r="Q246" i="25" s="1"/>
  <c r="P246" i="25" s="1"/>
  <c r="O246" i="25" s="1"/>
  <c r="N246" i="25" s="1"/>
  <c r="G247" i="25" l="1"/>
  <c r="F247" i="25" s="1"/>
  <c r="E247" i="25" s="1"/>
  <c r="H247" i="25"/>
  <c r="Y247" i="25" l="1"/>
  <c r="D247" i="25"/>
  <c r="C247" i="25"/>
  <c r="B248" i="25"/>
  <c r="I248" i="25"/>
  <c r="J248" i="25"/>
  <c r="M247" i="25"/>
  <c r="Z247" i="25" l="1"/>
  <c r="S247" i="25"/>
  <c r="R247" i="25" l="1"/>
  <c r="Q247" i="25" s="1"/>
  <c r="P247" i="25" s="1"/>
  <c r="O247" i="25" s="1"/>
  <c r="N247" i="25" s="1"/>
  <c r="G248" i="25" l="1"/>
  <c r="F248" i="25" s="1"/>
  <c r="E248" i="25" s="1"/>
  <c r="H248" i="25"/>
  <c r="C248" i="25" l="1"/>
  <c r="D248" i="25"/>
  <c r="Y248" i="25"/>
  <c r="B249" i="25"/>
  <c r="I249" i="25"/>
  <c r="J249" i="25"/>
  <c r="M248" i="25"/>
  <c r="S248" i="25" l="1"/>
  <c r="R248" i="25" s="1"/>
  <c r="Q248" i="25" s="1"/>
  <c r="P248" i="25" s="1"/>
  <c r="O248" i="25" s="1"/>
  <c r="N248" i="25" s="1"/>
  <c r="H249" i="25" s="1"/>
  <c r="Z248" i="25"/>
  <c r="G249" i="25" l="1"/>
  <c r="F249" i="25" s="1"/>
  <c r="E249" i="25" s="1"/>
  <c r="Y249" i="25" l="1"/>
  <c r="D249" i="25"/>
  <c r="C249" i="25"/>
  <c r="B250" i="25"/>
  <c r="I250" i="25"/>
  <c r="J250" i="25"/>
  <c r="M249" i="25"/>
  <c r="Z249" i="25" l="1"/>
  <c r="S249" i="25"/>
  <c r="R249" i="25" l="1"/>
  <c r="Q249" i="25" s="1"/>
  <c r="P249" i="25" s="1"/>
  <c r="O249" i="25" s="1"/>
  <c r="N249" i="25" s="1"/>
  <c r="H250" i="25" l="1"/>
  <c r="G250" i="25"/>
  <c r="F250" i="25" s="1"/>
  <c r="E250" i="25" s="1"/>
  <c r="Y250" i="25" l="1"/>
  <c r="C250" i="25"/>
  <c r="D250" i="25"/>
  <c r="B251" i="25"/>
  <c r="J251" i="25"/>
  <c r="I251" i="25"/>
  <c r="M250" i="25"/>
  <c r="Z250" i="25" l="1"/>
  <c r="S250" i="25"/>
  <c r="R250" i="25" s="1"/>
  <c r="Q250" i="25" l="1"/>
  <c r="P250" i="25" s="1"/>
  <c r="O250" i="25" s="1"/>
  <c r="N250" i="25" s="1"/>
  <c r="G251" i="25" l="1"/>
  <c r="F251" i="25" s="1"/>
  <c r="E251" i="25" s="1"/>
  <c r="H251" i="25"/>
  <c r="C251" i="25" l="1"/>
  <c r="D251" i="25"/>
  <c r="Y251" i="25"/>
  <c r="B252" i="25"/>
  <c r="M251" i="25"/>
  <c r="I252" i="25"/>
  <c r="J252" i="25"/>
  <c r="Z251" i="25" l="1"/>
  <c r="S251" i="25"/>
  <c r="R251" i="25" l="1"/>
  <c r="Q251" i="25" s="1"/>
  <c r="P251" i="25" s="1"/>
  <c r="O251" i="25" s="1"/>
  <c r="N251" i="25" s="1"/>
  <c r="G252" i="25" l="1"/>
  <c r="F252" i="25" s="1"/>
  <c r="E252" i="25" s="1"/>
  <c r="H252" i="25"/>
  <c r="Y252" i="25" l="1"/>
  <c r="D252" i="25"/>
  <c r="C252" i="25"/>
  <c r="B253" i="25"/>
  <c r="J253" i="25"/>
  <c r="M252" i="25"/>
  <c r="I253" i="25"/>
  <c r="S252" i="25" l="1"/>
  <c r="Z252" i="25"/>
  <c r="R252" i="25" l="1"/>
  <c r="Q252" i="25" s="1"/>
  <c r="P252" i="25" s="1"/>
  <c r="O252" i="25" s="1"/>
  <c r="N252" i="25" s="1"/>
  <c r="G253" i="25" l="1"/>
  <c r="F253" i="25" s="1"/>
  <c r="E253" i="25" s="1"/>
  <c r="H253" i="25"/>
  <c r="C253" i="25" l="1"/>
  <c r="D253" i="25"/>
  <c r="Y253" i="25"/>
  <c r="B254" i="25"/>
  <c r="M253" i="25"/>
  <c r="J254" i="25"/>
  <c r="I254" i="25"/>
  <c r="Z253" i="25" l="1"/>
  <c r="S253" i="25"/>
  <c r="R253" i="25" s="1"/>
  <c r="Q253" i="25" s="1"/>
  <c r="P253" i="25" s="1"/>
  <c r="O253" i="25" s="1"/>
  <c r="N253" i="25" s="1"/>
  <c r="H254" i="25" l="1"/>
  <c r="G254" i="25"/>
  <c r="F254" i="25" s="1"/>
  <c r="E254" i="25" s="1"/>
  <c r="D254" i="25" l="1"/>
  <c r="C254" i="25"/>
  <c r="Y254" i="25"/>
  <c r="B255" i="25"/>
  <c r="I255" i="25"/>
  <c r="J255" i="25"/>
  <c r="M254" i="25"/>
  <c r="S254" i="25" l="1"/>
  <c r="R254" i="25" s="1"/>
  <c r="Z254" i="25"/>
  <c r="Q254" i="25" l="1"/>
  <c r="P254" i="25" s="1"/>
  <c r="O254" i="25" s="1"/>
  <c r="N254" i="25" s="1"/>
  <c r="G255" i="25" l="1"/>
  <c r="F255" i="25" s="1"/>
  <c r="E255" i="25" s="1"/>
  <c r="H255" i="25"/>
  <c r="C255" i="25" l="1"/>
  <c r="D255" i="25"/>
  <c r="Y255" i="25"/>
  <c r="B256" i="25"/>
  <c r="M255" i="25"/>
  <c r="I256" i="25"/>
  <c r="J256" i="25"/>
  <c r="Z255" i="25" l="1"/>
  <c r="S255" i="25"/>
  <c r="R255" i="25" l="1"/>
  <c r="Q255" i="25" s="1"/>
  <c r="P255" i="25" s="1"/>
  <c r="O255" i="25" s="1"/>
  <c r="N255" i="25" s="1"/>
  <c r="G256" i="25" l="1"/>
  <c r="F256" i="25" s="1"/>
  <c r="E256" i="25" s="1"/>
  <c r="H256" i="25"/>
  <c r="Y256" i="25" l="1"/>
  <c r="D256" i="25"/>
  <c r="C256" i="25"/>
  <c r="B257" i="25"/>
  <c r="I257" i="25"/>
  <c r="J257" i="25"/>
  <c r="M256" i="25"/>
  <c r="S256" i="25" l="1"/>
  <c r="R256" i="25" s="1"/>
  <c r="Z256" i="25"/>
  <c r="Q256" i="25" l="1"/>
  <c r="P256" i="25" s="1"/>
  <c r="O256" i="25" s="1"/>
  <c r="N256" i="25" s="1"/>
  <c r="G257" i="25" l="1"/>
  <c r="F257" i="25" s="1"/>
  <c r="E257" i="25" s="1"/>
  <c r="H257" i="25"/>
  <c r="Y257" i="25" l="1"/>
  <c r="D257" i="25"/>
  <c r="C257" i="25"/>
  <c r="B258" i="25"/>
  <c r="M257" i="25"/>
  <c r="I258" i="25"/>
  <c r="J258" i="25"/>
  <c r="Z257" i="25" l="1"/>
  <c r="S257" i="25"/>
  <c r="R257" i="25" l="1"/>
  <c r="Q257" i="25" s="1"/>
  <c r="P257" i="25" s="1"/>
  <c r="O257" i="25" s="1"/>
  <c r="N257" i="25" s="1"/>
  <c r="G258" i="25" l="1"/>
  <c r="F258" i="25" s="1"/>
  <c r="E258" i="25" s="1"/>
  <c r="H258" i="25"/>
  <c r="Y258" i="25" l="1"/>
  <c r="C258" i="25"/>
  <c r="D258" i="25"/>
  <c r="B259" i="25"/>
  <c r="J259" i="25"/>
  <c r="I259" i="25"/>
  <c r="M258" i="25"/>
  <c r="Z258" i="25" l="1"/>
  <c r="S258" i="25"/>
  <c r="R258" i="25" s="1"/>
  <c r="Q258" i="25" l="1"/>
  <c r="P258" i="25" s="1"/>
  <c r="O258" i="25" s="1"/>
  <c r="N258" i="25" s="1"/>
  <c r="G259" i="25" l="1"/>
  <c r="F259" i="25" s="1"/>
  <c r="E259" i="25" s="1"/>
  <c r="H259" i="25"/>
  <c r="C259" i="25" l="1"/>
  <c r="Y259" i="25"/>
  <c r="D259" i="25"/>
  <c r="B260" i="25"/>
  <c r="J260" i="25"/>
  <c r="M259" i="25"/>
  <c r="I260" i="25"/>
  <c r="S259" i="25" l="1"/>
  <c r="Z259" i="25"/>
  <c r="R259" i="25" l="1"/>
  <c r="Q259" i="25" s="1"/>
  <c r="P259" i="25" s="1"/>
  <c r="O259" i="25" s="1"/>
  <c r="N259" i="25" s="1"/>
  <c r="G260" i="25" l="1"/>
  <c r="F260" i="25" s="1"/>
  <c r="E260" i="25" s="1"/>
  <c r="H260" i="25"/>
  <c r="Y260" i="25" l="1"/>
  <c r="C260" i="25"/>
  <c r="D260" i="25"/>
  <c r="B261" i="25"/>
  <c r="J261" i="25"/>
  <c r="I261" i="25"/>
  <c r="M260" i="25"/>
  <c r="Z260" i="25" l="1"/>
  <c r="S260" i="25"/>
  <c r="R260" i="25" s="1"/>
  <c r="Q260" i="25" l="1"/>
  <c r="P260" i="25" s="1"/>
  <c r="O260" i="25" s="1"/>
  <c r="N260" i="25" s="1"/>
  <c r="H261" i="25" l="1"/>
  <c r="G261" i="25"/>
  <c r="F261" i="25" s="1"/>
  <c r="E261" i="25" s="1"/>
  <c r="Y261" i="25" l="1"/>
  <c r="D261" i="25"/>
  <c r="C261" i="25"/>
  <c r="B262" i="25"/>
  <c r="J262" i="25"/>
  <c r="I262" i="25"/>
  <c r="M261" i="25"/>
  <c r="Z261" i="25" l="1"/>
  <c r="S261" i="25"/>
  <c r="R261" i="25" s="1"/>
  <c r="Q261" i="25" l="1"/>
  <c r="P261" i="25" s="1"/>
  <c r="O261" i="25" s="1"/>
  <c r="N261" i="25" s="1"/>
  <c r="H262" i="25" l="1"/>
  <c r="G262" i="25"/>
  <c r="F262" i="25" s="1"/>
  <c r="E262" i="25" s="1"/>
  <c r="Y262" i="25" l="1"/>
  <c r="C262" i="25"/>
  <c r="D262" i="25"/>
  <c r="B263" i="25"/>
  <c r="J263" i="25"/>
  <c r="M262" i="25"/>
  <c r="I263" i="25"/>
  <c r="S262" i="25" l="1"/>
  <c r="Z262" i="25"/>
  <c r="R262" i="25" l="1"/>
  <c r="Q262" i="25" s="1"/>
  <c r="P262" i="25" s="1"/>
  <c r="O262" i="25" s="1"/>
  <c r="N262" i="25" s="1"/>
  <c r="G263" i="25" l="1"/>
  <c r="F263" i="25" s="1"/>
  <c r="E263" i="25" s="1"/>
  <c r="H263" i="25"/>
  <c r="Y263" i="25" l="1"/>
  <c r="D263" i="25"/>
  <c r="C263" i="25"/>
  <c r="B264" i="25"/>
  <c r="J264" i="25"/>
  <c r="M263" i="25"/>
  <c r="I264" i="25"/>
  <c r="S263" i="25" l="1"/>
  <c r="R263" i="25" s="1"/>
  <c r="Z263" i="25"/>
  <c r="Q263" i="25" l="1"/>
  <c r="P263" i="25" s="1"/>
  <c r="O263" i="25" s="1"/>
  <c r="N263" i="25" s="1"/>
  <c r="G264" i="25" l="1"/>
  <c r="F264" i="25" s="1"/>
  <c r="E264" i="25" s="1"/>
  <c r="H264" i="25"/>
  <c r="Y264" i="25" l="1"/>
  <c r="D264" i="25"/>
  <c r="C264" i="25"/>
  <c r="B265" i="25"/>
  <c r="I265" i="25"/>
  <c r="M264" i="25"/>
  <c r="J265" i="25"/>
  <c r="S264" i="25" l="1"/>
  <c r="Z264" i="25"/>
  <c r="R264" i="25" l="1"/>
  <c r="Q264" i="25" s="1"/>
  <c r="P264" i="25" s="1"/>
  <c r="O264" i="25" s="1"/>
  <c r="N264" i="25" s="1"/>
  <c r="G265" i="25" l="1"/>
  <c r="F265" i="25" s="1"/>
  <c r="E265" i="25" s="1"/>
  <c r="H265" i="25"/>
  <c r="Y265" i="25" l="1"/>
  <c r="C265" i="25"/>
  <c r="D265" i="25"/>
  <c r="B266" i="25"/>
  <c r="J266" i="25"/>
  <c r="I266" i="25"/>
  <c r="M265" i="25"/>
  <c r="Z265" i="25" l="1"/>
  <c r="S265" i="25"/>
  <c r="R265" i="25" l="1"/>
  <c r="Q265" i="25" s="1"/>
  <c r="P265" i="25" s="1"/>
  <c r="O265" i="25" s="1"/>
  <c r="N265" i="25" s="1"/>
  <c r="G266" i="25" l="1"/>
  <c r="F266" i="25" s="1"/>
  <c r="E266" i="25" s="1"/>
  <c r="H266" i="25"/>
  <c r="C266" i="25" l="1"/>
  <c r="Y266" i="25"/>
  <c r="D266" i="25"/>
  <c r="B267" i="25"/>
  <c r="I267" i="25"/>
  <c r="M266" i="25"/>
  <c r="J267" i="25"/>
  <c r="S266" i="25" l="1"/>
  <c r="Z266" i="25"/>
  <c r="R266" i="25" l="1"/>
  <c r="Q266" i="25" s="1"/>
  <c r="P266" i="25" s="1"/>
  <c r="O266" i="25" s="1"/>
  <c r="N266" i="25" s="1"/>
  <c r="G267" i="25" l="1"/>
  <c r="F267" i="25" s="1"/>
  <c r="E267" i="25" s="1"/>
  <c r="H267" i="25"/>
  <c r="C267" i="25" l="1"/>
  <c r="Y267" i="25"/>
  <c r="D267" i="25"/>
  <c r="B268" i="25"/>
  <c r="M267" i="25"/>
  <c r="J268" i="25"/>
  <c r="I268" i="25"/>
  <c r="Z267" i="25" l="1"/>
  <c r="S267" i="25"/>
  <c r="R267" i="25" l="1"/>
  <c r="Q267" i="25" s="1"/>
  <c r="P267" i="25" s="1"/>
  <c r="O267" i="25" s="1"/>
  <c r="N267" i="25" s="1"/>
  <c r="G268" i="25" l="1"/>
  <c r="F268" i="25" s="1"/>
  <c r="E268" i="25" s="1"/>
  <c r="H268" i="25"/>
  <c r="C268" i="25" l="1"/>
  <c r="Y268" i="25"/>
  <c r="D268" i="25"/>
  <c r="B269" i="25"/>
  <c r="I269" i="25"/>
  <c r="J269" i="25"/>
  <c r="M268" i="25"/>
  <c r="S268" i="25" l="1"/>
  <c r="R268" i="25" s="1"/>
  <c r="Z268" i="25"/>
  <c r="Q268" i="25" l="1"/>
  <c r="P268" i="25" s="1"/>
  <c r="O268" i="25" s="1"/>
  <c r="N268" i="25" s="1"/>
  <c r="G269" i="25" l="1"/>
  <c r="F269" i="25" s="1"/>
  <c r="E269" i="25" s="1"/>
  <c r="H269" i="25"/>
  <c r="Y269" i="25" l="1"/>
  <c r="C269" i="25"/>
  <c r="D269" i="25"/>
  <c r="B270" i="25"/>
  <c r="M269" i="25"/>
  <c r="I270" i="25"/>
  <c r="J270" i="25"/>
  <c r="Z269" i="25" l="1"/>
  <c r="S269" i="25"/>
  <c r="R269" i="25" l="1"/>
  <c r="Q269" i="25" s="1"/>
  <c r="P269" i="25" s="1"/>
  <c r="O269" i="25" s="1"/>
  <c r="N269" i="25" s="1"/>
  <c r="G270" i="25" l="1"/>
  <c r="F270" i="25" s="1"/>
  <c r="E270" i="25" s="1"/>
  <c r="H270" i="25"/>
  <c r="C270" i="25" l="1"/>
  <c r="D270" i="25"/>
  <c r="Y270" i="25"/>
  <c r="B271" i="25"/>
  <c r="J271" i="25"/>
  <c r="I271" i="25"/>
  <c r="M270" i="25"/>
  <c r="Z270" i="25" l="1"/>
  <c r="S270" i="25"/>
  <c r="R270" i="25" s="1"/>
  <c r="Q270" i="25" l="1"/>
  <c r="P270" i="25" s="1"/>
  <c r="O270" i="25" s="1"/>
  <c r="N270" i="25" s="1"/>
  <c r="G271" i="25" l="1"/>
  <c r="F271" i="25" s="1"/>
  <c r="E271" i="25" s="1"/>
  <c r="H271" i="25"/>
  <c r="C271" i="25" l="1"/>
  <c r="Y271" i="25"/>
  <c r="D271" i="25"/>
  <c r="B272" i="25"/>
  <c r="J272" i="25"/>
  <c r="M271" i="25"/>
  <c r="I272" i="25"/>
  <c r="S271" i="25" l="1"/>
  <c r="Z271" i="25"/>
  <c r="R271" i="25" l="1"/>
  <c r="Q271" i="25" s="1"/>
  <c r="P271" i="25" s="1"/>
  <c r="O271" i="25" s="1"/>
  <c r="N271" i="25" s="1"/>
  <c r="G272" i="25" l="1"/>
  <c r="F272" i="25" s="1"/>
  <c r="E272" i="25" s="1"/>
  <c r="H272" i="25"/>
  <c r="C272" i="25" l="1"/>
  <c r="D272" i="25"/>
  <c r="Y272" i="25"/>
  <c r="B273" i="25"/>
  <c r="J273" i="25"/>
  <c r="M272" i="25"/>
  <c r="I273" i="25"/>
  <c r="S272" i="25" l="1"/>
  <c r="Z272" i="25"/>
  <c r="R272" i="25" l="1"/>
  <c r="Q272" i="25" s="1"/>
  <c r="P272" i="25" s="1"/>
  <c r="O272" i="25" s="1"/>
  <c r="N272" i="25" s="1"/>
  <c r="H273" i="25" l="1"/>
  <c r="G273" i="25"/>
  <c r="F273" i="25" s="1"/>
  <c r="E273" i="25" s="1"/>
  <c r="D273" i="25" l="1"/>
  <c r="Y273" i="25"/>
  <c r="C273" i="25"/>
  <c r="B274" i="25"/>
  <c r="J274" i="25"/>
  <c r="M273" i="25"/>
  <c r="I274" i="25"/>
  <c r="S273" i="25" l="1"/>
  <c r="R273" i="25" s="1"/>
  <c r="Z273" i="25"/>
  <c r="Q273" i="25" l="1"/>
  <c r="P273" i="25" s="1"/>
  <c r="O273" i="25" s="1"/>
  <c r="N273" i="25" s="1"/>
  <c r="G274" i="25" l="1"/>
  <c r="F274" i="25" s="1"/>
  <c r="E274" i="25" s="1"/>
  <c r="H274" i="25"/>
  <c r="D274" i="25" l="1"/>
  <c r="Y274" i="25"/>
  <c r="C274" i="25"/>
  <c r="B275" i="25"/>
  <c r="I275" i="25"/>
  <c r="M274" i="25"/>
  <c r="J275" i="25"/>
  <c r="S274" i="25" l="1"/>
  <c r="Z274" i="25"/>
  <c r="R274" i="25" l="1"/>
  <c r="Q274" i="25" s="1"/>
  <c r="P274" i="25" s="1"/>
  <c r="O274" i="25" s="1"/>
  <c r="N274" i="25" s="1"/>
  <c r="G275" i="25" l="1"/>
  <c r="F275" i="25" s="1"/>
  <c r="E275" i="25" s="1"/>
  <c r="H275" i="25"/>
  <c r="Y275" i="25" l="1"/>
  <c r="C275" i="25"/>
  <c r="D275" i="25"/>
  <c r="B276" i="25"/>
  <c r="M275" i="25"/>
  <c r="J276" i="25"/>
  <c r="I276" i="25"/>
  <c r="Z275" i="25" l="1"/>
  <c r="S275" i="25"/>
  <c r="R275" i="25" l="1"/>
  <c r="Q275" i="25" s="1"/>
  <c r="P275" i="25" s="1"/>
  <c r="O275" i="25" s="1"/>
  <c r="N275" i="25" s="1"/>
  <c r="H276" i="25" l="1"/>
  <c r="G276" i="25"/>
  <c r="F276" i="25" s="1"/>
  <c r="E276" i="25" s="1"/>
  <c r="D276" i="25" l="1"/>
  <c r="Y276" i="25"/>
  <c r="C276" i="25"/>
  <c r="B277" i="25"/>
  <c r="I277" i="25"/>
  <c r="M276" i="25"/>
  <c r="J277" i="25"/>
  <c r="S276" i="25" l="1"/>
  <c r="R276" i="25" s="1"/>
  <c r="Z276" i="25"/>
  <c r="Q276" i="25" l="1"/>
  <c r="P276" i="25" s="1"/>
  <c r="O276" i="25" s="1"/>
  <c r="N276" i="25" s="1"/>
  <c r="H277" i="25" l="1"/>
  <c r="G277" i="25"/>
  <c r="F277" i="25" s="1"/>
  <c r="E277" i="25" s="1"/>
  <c r="Y277" i="25" l="1"/>
  <c r="C277" i="25"/>
  <c r="D277" i="25"/>
  <c r="B278" i="25"/>
  <c r="J278" i="25"/>
  <c r="I278" i="25"/>
  <c r="M277" i="25"/>
  <c r="Z277" i="25" l="1"/>
  <c r="S277" i="25"/>
  <c r="R277" i="25" s="1"/>
  <c r="Q277" i="25" l="1"/>
  <c r="P277" i="25" s="1"/>
  <c r="O277" i="25" s="1"/>
  <c r="N277" i="25" s="1"/>
  <c r="H278" i="25" l="1"/>
  <c r="G278" i="25"/>
  <c r="F278" i="25" s="1"/>
  <c r="E278" i="25" s="1"/>
  <c r="C278" i="25" l="1"/>
  <c r="Y278" i="25"/>
  <c r="D278" i="25"/>
  <c r="B279" i="25"/>
  <c r="J279" i="25"/>
  <c r="I279" i="25"/>
  <c r="M278" i="25"/>
  <c r="Z278" i="25" l="1"/>
  <c r="S278" i="25"/>
  <c r="R278" i="25" l="1"/>
  <c r="Q278" i="25" s="1"/>
  <c r="P278" i="25" s="1"/>
  <c r="O278" i="25" s="1"/>
  <c r="N278" i="25" s="1"/>
  <c r="H279" i="25" l="1"/>
  <c r="G279" i="25"/>
  <c r="F279" i="25" s="1"/>
  <c r="E279" i="25" s="1"/>
  <c r="Y279" i="25" l="1"/>
  <c r="C279" i="25"/>
  <c r="D279" i="25"/>
  <c r="B280" i="25"/>
  <c r="M279" i="25"/>
  <c r="J280" i="25"/>
  <c r="I280" i="25"/>
  <c r="Z279" i="25" l="1"/>
  <c r="S279" i="25"/>
  <c r="R279" i="25" l="1"/>
  <c r="Q279" i="25" s="1"/>
  <c r="P279" i="25" s="1"/>
  <c r="O279" i="25" s="1"/>
  <c r="N279" i="25" s="1"/>
  <c r="H280" i="25" l="1"/>
  <c r="G280" i="25"/>
  <c r="F280" i="25" s="1"/>
  <c r="E280" i="25" s="1"/>
  <c r="Y280" i="25" l="1"/>
  <c r="D280" i="25"/>
  <c r="C280" i="25"/>
  <c r="B281" i="25"/>
  <c r="I281" i="25"/>
  <c r="M280" i="25"/>
  <c r="J281" i="25"/>
  <c r="S280" i="25" l="1"/>
  <c r="Z280" i="25"/>
  <c r="R280" i="25" l="1"/>
  <c r="Q280" i="25" s="1"/>
  <c r="P280" i="25" s="1"/>
  <c r="O280" i="25" s="1"/>
  <c r="N280" i="25" s="1"/>
  <c r="G281" i="25" l="1"/>
  <c r="F281" i="25" s="1"/>
  <c r="E281" i="25" s="1"/>
  <c r="H281" i="25"/>
  <c r="Y281" i="25" l="1"/>
  <c r="D281" i="25"/>
  <c r="C281" i="25"/>
  <c r="B282" i="25"/>
  <c r="J282" i="25"/>
  <c r="I282" i="25"/>
  <c r="M281" i="25"/>
  <c r="S281" i="25" l="1"/>
  <c r="R281" i="25" s="1"/>
  <c r="Z281" i="25"/>
  <c r="Q281" i="25" l="1"/>
  <c r="P281" i="25" s="1"/>
  <c r="O281" i="25" s="1"/>
  <c r="N281" i="25" s="1"/>
  <c r="H282" i="25" l="1"/>
  <c r="G282" i="25"/>
  <c r="F282" i="25" s="1"/>
  <c r="E282" i="25" s="1"/>
  <c r="Y282" i="25" l="1"/>
  <c r="C282" i="25"/>
  <c r="D282" i="25"/>
  <c r="B283" i="25"/>
  <c r="I283" i="25"/>
  <c r="M282" i="25"/>
  <c r="J283" i="25"/>
  <c r="Z282" i="25" l="1"/>
  <c r="S282" i="25"/>
  <c r="R282" i="25" s="1"/>
  <c r="Q282" i="25" l="1"/>
  <c r="P282" i="25" s="1"/>
  <c r="O282" i="25" s="1"/>
  <c r="N282" i="25" s="1"/>
  <c r="H283" i="25" l="1"/>
  <c r="G283" i="25"/>
  <c r="F283" i="25" s="1"/>
  <c r="E283" i="25" s="1"/>
  <c r="D283" i="25" l="1"/>
  <c r="C283" i="25"/>
  <c r="Y283" i="25"/>
  <c r="B284" i="25"/>
  <c r="I284" i="25"/>
  <c r="M283" i="25"/>
  <c r="J284" i="25"/>
  <c r="Z283" i="25" l="1"/>
  <c r="S283" i="25"/>
  <c r="R283" i="25" s="1"/>
  <c r="Q283" i="25" l="1"/>
  <c r="P283" i="25" s="1"/>
  <c r="O283" i="25" s="1"/>
  <c r="N283" i="25" s="1"/>
  <c r="G284" i="25" l="1"/>
  <c r="F284" i="25" s="1"/>
  <c r="E284" i="25" s="1"/>
  <c r="H284" i="25"/>
  <c r="C284" i="25" l="1"/>
  <c r="D284" i="25"/>
  <c r="Y284" i="25"/>
  <c r="B285" i="25"/>
  <c r="M284" i="25"/>
  <c r="J285" i="25"/>
  <c r="I285" i="25"/>
  <c r="Z284" i="25" l="1"/>
  <c r="S284" i="25"/>
  <c r="R284" i="25" s="1"/>
  <c r="Q284" i="25" l="1"/>
  <c r="P284" i="25" s="1"/>
  <c r="O284" i="25" s="1"/>
  <c r="N284" i="25" s="1"/>
  <c r="G285" i="25" l="1"/>
  <c r="F285" i="25" s="1"/>
  <c r="E285" i="25" s="1"/>
  <c r="H285" i="25"/>
  <c r="C285" i="25" l="1"/>
  <c r="D285" i="25"/>
  <c r="Y285" i="25"/>
  <c r="B286" i="25"/>
  <c r="J286" i="25"/>
  <c r="I286" i="25"/>
  <c r="M285" i="25"/>
  <c r="Z285" i="25" l="1"/>
  <c r="S285" i="25"/>
  <c r="R285" i="25" l="1"/>
  <c r="Q285" i="25" s="1"/>
  <c r="P285" i="25" s="1"/>
  <c r="O285" i="25" s="1"/>
  <c r="N285" i="25" s="1"/>
  <c r="G286" i="25" l="1"/>
  <c r="F286" i="25" s="1"/>
  <c r="E286" i="25" s="1"/>
  <c r="H286" i="25"/>
  <c r="D286" i="25" l="1"/>
  <c r="C286" i="25"/>
  <c r="Y286" i="25"/>
  <c r="B287" i="25"/>
  <c r="I287" i="25"/>
  <c r="J287" i="25"/>
  <c r="M286" i="25"/>
  <c r="Z286" i="25" l="1"/>
  <c r="S286" i="25"/>
  <c r="R286" i="25" l="1"/>
  <c r="Q286" i="25" s="1"/>
  <c r="P286" i="25" s="1"/>
  <c r="O286" i="25" s="1"/>
  <c r="N286" i="25" s="1"/>
  <c r="H287" i="25" l="1"/>
  <c r="G287" i="25"/>
  <c r="F287" i="25" s="1"/>
  <c r="E287" i="25" s="1"/>
  <c r="Y287" i="25" l="1"/>
  <c r="D287" i="25"/>
  <c r="C287" i="25"/>
  <c r="B288" i="25"/>
  <c r="M287" i="25"/>
  <c r="I288" i="25"/>
  <c r="J288" i="25"/>
  <c r="S287" i="25" l="1"/>
  <c r="Z287" i="25"/>
  <c r="R287" i="25" l="1"/>
  <c r="Q287" i="25" s="1"/>
  <c r="P287" i="25" s="1"/>
  <c r="O287" i="25" s="1"/>
  <c r="N287" i="25" s="1"/>
  <c r="H288" i="25" l="1"/>
  <c r="G288" i="25"/>
  <c r="F288" i="25" s="1"/>
  <c r="E288" i="25" s="1"/>
  <c r="C288" i="25" l="1"/>
  <c r="D288" i="25"/>
  <c r="Y288" i="25"/>
  <c r="B289" i="25"/>
  <c r="I289" i="25"/>
  <c r="J289" i="25"/>
  <c r="M288" i="25"/>
  <c r="S288" i="25" l="1"/>
  <c r="R288" i="25" s="1"/>
  <c r="Z288" i="25"/>
  <c r="Q288" i="25" l="1"/>
  <c r="P288" i="25" s="1"/>
  <c r="O288" i="25" s="1"/>
  <c r="N288" i="25" s="1"/>
  <c r="H289" i="25" l="1"/>
  <c r="G289" i="25"/>
  <c r="F289" i="25" s="1"/>
  <c r="E289" i="25" s="1"/>
  <c r="Y289" i="25" l="1"/>
  <c r="D289" i="25"/>
  <c r="C289" i="25"/>
  <c r="B290" i="25"/>
  <c r="J290" i="25"/>
  <c r="I290" i="25"/>
  <c r="M289" i="25"/>
  <c r="Z289" i="25" l="1"/>
  <c r="S289" i="25"/>
  <c r="R289" i="25" s="1"/>
  <c r="Q289" i="25" l="1"/>
  <c r="P289" i="25" s="1"/>
  <c r="O289" i="25" s="1"/>
  <c r="N289" i="25" s="1"/>
  <c r="H290" i="25" l="1"/>
  <c r="G290" i="25"/>
  <c r="F290" i="25" s="1"/>
  <c r="E290" i="25" s="1"/>
  <c r="D290" i="25" l="1"/>
  <c r="C290" i="25"/>
  <c r="Y290" i="25"/>
  <c r="B291" i="25"/>
  <c r="J291" i="25"/>
  <c r="I291" i="25"/>
  <c r="M290" i="25"/>
  <c r="Z290" i="25" l="1"/>
  <c r="S290" i="25"/>
  <c r="R290" i="25" s="1"/>
  <c r="Q290" i="25" l="1"/>
  <c r="P290" i="25" s="1"/>
  <c r="O290" i="25" s="1"/>
  <c r="N290" i="25" s="1"/>
  <c r="H291" i="25" l="1"/>
  <c r="G291" i="25"/>
  <c r="F291" i="25" s="1"/>
  <c r="E291" i="25" s="1"/>
  <c r="C291" i="25" l="1"/>
  <c r="D291" i="25"/>
  <c r="Y291" i="25"/>
  <c r="B292" i="25"/>
  <c r="J292" i="25"/>
  <c r="I292" i="25"/>
  <c r="M291" i="25"/>
  <c r="Z291" i="25" l="1"/>
  <c r="S291" i="25"/>
  <c r="R291" i="25" s="1"/>
  <c r="Q291" i="25" l="1"/>
  <c r="P291" i="25" s="1"/>
  <c r="O291" i="25" s="1"/>
  <c r="N291" i="25" s="1"/>
  <c r="H292" i="25" l="1"/>
  <c r="G292" i="25"/>
  <c r="F292" i="25" s="1"/>
  <c r="E292" i="25" s="1"/>
  <c r="Y292" i="25" l="1"/>
  <c r="D292" i="25"/>
  <c r="C292" i="25"/>
  <c r="B293" i="25"/>
  <c r="J293" i="25"/>
  <c r="M292" i="25"/>
  <c r="I293" i="25"/>
  <c r="S292" i="25" l="1"/>
  <c r="Z292" i="25"/>
  <c r="R292" i="25" l="1"/>
  <c r="Q292" i="25" s="1"/>
  <c r="P292" i="25" s="1"/>
  <c r="O292" i="25" s="1"/>
  <c r="N292" i="25" s="1"/>
  <c r="G293" i="25" l="1"/>
  <c r="F293" i="25" s="1"/>
  <c r="E293" i="25" s="1"/>
  <c r="H293" i="25"/>
  <c r="C293" i="25" l="1"/>
  <c r="Y293" i="25"/>
  <c r="D293" i="25"/>
  <c r="B294" i="25"/>
  <c r="J294" i="25"/>
  <c r="I294" i="25"/>
  <c r="M293" i="25"/>
  <c r="Z293" i="25" l="1"/>
  <c r="S293" i="25"/>
  <c r="R293" i="25" s="1"/>
  <c r="Q293" i="25" l="1"/>
  <c r="P293" i="25" s="1"/>
  <c r="O293" i="25" s="1"/>
  <c r="N293" i="25" s="1"/>
  <c r="G294" i="25" l="1"/>
  <c r="F294" i="25" s="1"/>
  <c r="E294" i="25" s="1"/>
  <c r="H294" i="25"/>
  <c r="Y294" i="25" l="1"/>
  <c r="D294" i="25"/>
  <c r="C294" i="25"/>
  <c r="B295" i="25"/>
  <c r="M294" i="25"/>
  <c r="J295" i="25"/>
  <c r="I295" i="25"/>
  <c r="Z294" i="25" l="1"/>
  <c r="S294" i="25"/>
  <c r="R294" i="25" l="1"/>
  <c r="Q294" i="25" s="1"/>
  <c r="P294" i="25" s="1"/>
  <c r="O294" i="25" s="1"/>
  <c r="N294" i="25" s="1"/>
  <c r="H295" i="25" l="1"/>
  <c r="G295" i="25"/>
  <c r="F295" i="25" s="1"/>
  <c r="E295" i="25" s="1"/>
  <c r="C295" i="25" l="1"/>
  <c r="D295" i="25"/>
  <c r="Y295" i="25"/>
  <c r="B296" i="25"/>
  <c r="J296" i="25"/>
  <c r="I296" i="25"/>
  <c r="M295" i="25"/>
  <c r="Z295" i="25" l="1"/>
  <c r="S295" i="25"/>
  <c r="R295" i="25" s="1"/>
  <c r="Q295" i="25" l="1"/>
  <c r="P295" i="25" s="1"/>
  <c r="O295" i="25" s="1"/>
  <c r="N295" i="25" s="1"/>
  <c r="H296" i="25" l="1"/>
  <c r="G296" i="25"/>
  <c r="F296" i="25" s="1"/>
  <c r="E296" i="25" s="1"/>
  <c r="Y296" i="25" l="1"/>
  <c r="C296" i="25"/>
  <c r="D296" i="25"/>
  <c r="B297" i="25"/>
  <c r="J297" i="25"/>
  <c r="M296" i="25"/>
  <c r="I297" i="25"/>
  <c r="S296" i="25" l="1"/>
  <c r="Z296" i="25"/>
  <c r="R296" i="25" l="1"/>
  <c r="Q296" i="25" s="1"/>
  <c r="P296" i="25" s="1"/>
  <c r="O296" i="25" s="1"/>
  <c r="N296" i="25" s="1"/>
  <c r="H297" i="25" l="1"/>
  <c r="G297" i="25"/>
  <c r="F297" i="25" s="1"/>
  <c r="E297" i="25" s="1"/>
  <c r="C297" i="25" l="1"/>
  <c r="Y297" i="25"/>
  <c r="D297" i="25"/>
  <c r="B298" i="25"/>
  <c r="J298" i="25"/>
  <c r="M297" i="25"/>
  <c r="I298" i="25"/>
  <c r="S297" i="25" l="1"/>
  <c r="Z297" i="25"/>
  <c r="R297" i="25" l="1"/>
  <c r="Q297" i="25" s="1"/>
  <c r="P297" i="25" s="1"/>
  <c r="O297" i="25" s="1"/>
  <c r="N297" i="25" s="1"/>
  <c r="H298" i="25" l="1"/>
  <c r="G298" i="25"/>
  <c r="F298" i="25" s="1"/>
  <c r="E298" i="25" s="1"/>
  <c r="D298" i="25" l="1"/>
  <c r="Y298" i="25"/>
  <c r="C298" i="25"/>
  <c r="B299" i="25"/>
  <c r="J299" i="25"/>
  <c r="M298" i="25"/>
  <c r="I299" i="25"/>
  <c r="S298" i="25" l="1"/>
  <c r="Z298" i="25"/>
  <c r="R298" i="25" l="1"/>
  <c r="Q298" i="25" s="1"/>
  <c r="P298" i="25" s="1"/>
  <c r="O298" i="25" s="1"/>
  <c r="N298" i="25" s="1"/>
  <c r="H299" i="25" l="1"/>
  <c r="G299" i="25"/>
  <c r="F299" i="25" s="1"/>
  <c r="E299" i="25" s="1"/>
  <c r="D299" i="25" l="1"/>
  <c r="Y299" i="25"/>
  <c r="C299" i="25"/>
  <c r="B300" i="25"/>
  <c r="J300" i="25"/>
  <c r="M299" i="25"/>
  <c r="I300" i="25"/>
  <c r="S299" i="25" l="1"/>
  <c r="Z299" i="25"/>
  <c r="R299" i="25" l="1"/>
  <c r="Q299" i="25" s="1"/>
  <c r="P299" i="25" s="1"/>
  <c r="O299" i="25" s="1"/>
  <c r="N299" i="25" s="1"/>
  <c r="H300" i="25" l="1"/>
  <c r="G300" i="25"/>
  <c r="F300" i="25" s="1"/>
  <c r="E300" i="25" s="1"/>
  <c r="C300" i="25" l="1"/>
  <c r="Y300" i="25"/>
  <c r="D300" i="25"/>
  <c r="B301" i="25"/>
  <c r="J301" i="25"/>
  <c r="M300" i="25"/>
  <c r="I301" i="25"/>
  <c r="S300" i="25" l="1"/>
  <c r="Z300" i="25"/>
  <c r="R300" i="25" l="1"/>
  <c r="Q300" i="25" s="1"/>
  <c r="P300" i="25" s="1"/>
  <c r="O300" i="25" s="1"/>
  <c r="N300" i="25" s="1"/>
  <c r="H301" i="25" l="1"/>
  <c r="G301" i="25"/>
  <c r="F301" i="25" s="1"/>
  <c r="E301" i="25" s="1"/>
  <c r="Y301" i="25" l="1"/>
  <c r="D301" i="25"/>
  <c r="C301" i="25"/>
  <c r="B302" i="25"/>
  <c r="J302" i="25"/>
  <c r="M301" i="25"/>
  <c r="I302" i="25"/>
  <c r="S301" i="25" l="1"/>
  <c r="R301" i="25" s="1"/>
  <c r="Z301" i="25"/>
  <c r="Q301" i="25" l="1"/>
  <c r="P301" i="25" s="1"/>
  <c r="O301" i="25" s="1"/>
  <c r="N301" i="25" s="1"/>
  <c r="G302" i="25" l="1"/>
  <c r="F302" i="25" s="1"/>
  <c r="E302" i="25" s="1"/>
  <c r="H302" i="25"/>
  <c r="C302" i="25" l="1"/>
  <c r="Y302" i="25"/>
  <c r="D302" i="25"/>
  <c r="B303" i="25"/>
  <c r="J303" i="25"/>
  <c r="M302" i="25"/>
  <c r="I303" i="25"/>
  <c r="S302" i="25" l="1"/>
  <c r="R302" i="25" s="1"/>
  <c r="Z302" i="25"/>
  <c r="Q302" i="25" l="1"/>
  <c r="P302" i="25" s="1"/>
  <c r="O302" i="25" s="1"/>
  <c r="N302" i="25" s="1"/>
  <c r="G303" i="25" l="1"/>
  <c r="F303" i="25" s="1"/>
  <c r="E303" i="25" s="1"/>
  <c r="H303" i="25"/>
  <c r="Y303" i="25" l="1"/>
  <c r="C303" i="25"/>
  <c r="D303" i="25"/>
  <c r="B304" i="25"/>
  <c r="I304" i="25"/>
  <c r="M303" i="25"/>
  <c r="J304" i="25"/>
  <c r="Z303" i="25" l="1"/>
  <c r="S303" i="25"/>
  <c r="R303" i="25" s="1"/>
  <c r="Q303" i="25" l="1"/>
  <c r="P303" i="25" s="1"/>
  <c r="O303" i="25" s="1"/>
  <c r="N303" i="25" s="1"/>
  <c r="H304" i="25" l="1"/>
  <c r="G304" i="25"/>
  <c r="F304" i="25" s="1"/>
  <c r="E304" i="25" s="1"/>
  <c r="D304" i="25" l="1"/>
  <c r="C304" i="25"/>
  <c r="Y304" i="25"/>
  <c r="B305" i="25"/>
  <c r="I305" i="25"/>
  <c r="M304" i="25"/>
  <c r="J305" i="25"/>
  <c r="Z304" i="25" l="1"/>
  <c r="S304" i="25"/>
  <c r="R304" i="25" s="1"/>
  <c r="Q304" i="25" l="1"/>
  <c r="P304" i="25" s="1"/>
  <c r="O304" i="25" s="1"/>
  <c r="N304" i="25" s="1"/>
  <c r="H305" i="25" l="1"/>
  <c r="G305" i="25"/>
  <c r="F305" i="25" s="1"/>
  <c r="E305" i="25" s="1"/>
  <c r="Y305" i="25" l="1"/>
  <c r="C305" i="25"/>
  <c r="D305" i="25"/>
  <c r="B306" i="25"/>
  <c r="I306" i="25"/>
  <c r="M305" i="25"/>
  <c r="J306" i="25"/>
  <c r="S305" i="25" l="1"/>
  <c r="Z305" i="25"/>
  <c r="R305" i="25" l="1"/>
  <c r="Q305" i="25" s="1"/>
  <c r="P305" i="25" s="1"/>
  <c r="O305" i="25" s="1"/>
  <c r="N305" i="25" s="1"/>
  <c r="G306" i="25" l="1"/>
  <c r="F306" i="25" s="1"/>
  <c r="E306" i="25" s="1"/>
  <c r="H306" i="25"/>
  <c r="D306" i="25" l="1"/>
  <c r="Y306" i="25"/>
  <c r="C306" i="25"/>
  <c r="B307" i="25"/>
  <c r="J307" i="25"/>
  <c r="M306" i="25"/>
  <c r="I307" i="25"/>
  <c r="S306" i="25" l="1"/>
  <c r="Z306" i="25"/>
  <c r="R306" i="25" l="1"/>
  <c r="Q306" i="25" s="1"/>
  <c r="P306" i="25" s="1"/>
  <c r="O306" i="25" s="1"/>
  <c r="N306" i="25" s="1"/>
  <c r="G307" i="25" l="1"/>
  <c r="F307" i="25" s="1"/>
  <c r="E307" i="25" s="1"/>
  <c r="H307" i="25"/>
  <c r="C307" i="25" l="1"/>
  <c r="D307" i="25"/>
  <c r="Y307" i="25"/>
  <c r="B308" i="25"/>
  <c r="J308" i="25"/>
  <c r="M307" i="25"/>
  <c r="I308" i="25"/>
  <c r="S307" i="25" l="1"/>
  <c r="R307" i="25" s="1"/>
  <c r="Z307" i="25"/>
  <c r="Q307" i="25" l="1"/>
  <c r="P307" i="25" s="1"/>
  <c r="O307" i="25" s="1"/>
  <c r="N307" i="25" s="1"/>
  <c r="G308" i="25" l="1"/>
  <c r="F308" i="25" s="1"/>
  <c r="E308" i="25" s="1"/>
  <c r="H308" i="25"/>
  <c r="D308" i="25" l="1"/>
  <c r="Y308" i="25"/>
  <c r="C308" i="25"/>
  <c r="B309" i="25"/>
  <c r="I309" i="25"/>
  <c r="J309" i="25"/>
  <c r="M308" i="25"/>
  <c r="S308" i="25" l="1"/>
  <c r="Z308" i="25"/>
  <c r="R308" i="25" l="1"/>
  <c r="Q308" i="25" s="1"/>
  <c r="P308" i="25" s="1"/>
  <c r="O308" i="25" s="1"/>
  <c r="N308" i="25" s="1"/>
  <c r="G309" i="25" l="1"/>
  <c r="F309" i="25" s="1"/>
  <c r="E309" i="25" s="1"/>
  <c r="H309" i="25"/>
  <c r="C309" i="25" l="1"/>
  <c r="D309" i="25"/>
  <c r="Y309" i="25"/>
  <c r="B310" i="25"/>
  <c r="I310" i="25"/>
  <c r="J310" i="25"/>
  <c r="M309" i="25"/>
  <c r="Z309" i="25" l="1"/>
  <c r="S309" i="25"/>
  <c r="R309" i="25" s="1"/>
  <c r="Q309" i="25" l="1"/>
  <c r="P309" i="25" s="1"/>
  <c r="O309" i="25" s="1"/>
  <c r="N309" i="25" s="1"/>
  <c r="G310" i="25" l="1"/>
  <c r="F310" i="25" s="1"/>
  <c r="E310" i="25" s="1"/>
  <c r="H310" i="25"/>
  <c r="Y310" i="25" l="1"/>
  <c r="D310" i="25"/>
  <c r="C310" i="25"/>
  <c r="B311" i="25"/>
  <c r="M310" i="25"/>
  <c r="J311" i="25"/>
  <c r="I311" i="25"/>
  <c r="Z310" i="25" l="1"/>
  <c r="S310" i="25"/>
  <c r="R310" i="25" s="1"/>
  <c r="Q310" i="25" l="1"/>
  <c r="P310" i="25" s="1"/>
  <c r="O310" i="25" s="1"/>
  <c r="N310" i="25" s="1"/>
  <c r="H311" i="25" l="1"/>
  <c r="G311" i="25"/>
  <c r="F311" i="25" s="1"/>
  <c r="E311" i="25" s="1"/>
  <c r="C311" i="25" l="1"/>
  <c r="Y311" i="25"/>
  <c r="D311" i="25"/>
  <c r="B312" i="25"/>
  <c r="M311" i="25"/>
  <c r="J312" i="25"/>
  <c r="I312" i="25"/>
  <c r="Z311" i="25" l="1"/>
  <c r="S311" i="25"/>
  <c r="R311" i="25" s="1"/>
  <c r="Q311" i="25" l="1"/>
  <c r="P311" i="25" s="1"/>
  <c r="O311" i="25" s="1"/>
  <c r="N311" i="25" s="1"/>
  <c r="H312" i="25" l="1"/>
  <c r="G312" i="25"/>
  <c r="F312" i="25" s="1"/>
  <c r="E312" i="25" s="1"/>
  <c r="D312" i="25" l="1"/>
  <c r="C312" i="25"/>
  <c r="Y312" i="25"/>
  <c r="B313" i="25"/>
  <c r="I313" i="25"/>
  <c r="M312" i="25"/>
  <c r="J313" i="25"/>
  <c r="Z312" i="25" l="1"/>
  <c r="S312" i="25"/>
  <c r="R312" i="25" s="1"/>
  <c r="Q312" i="25" l="1"/>
  <c r="P312" i="25" s="1"/>
  <c r="O312" i="25" s="1"/>
  <c r="N312" i="25" s="1"/>
  <c r="H313" i="25" l="1"/>
  <c r="G313" i="25"/>
  <c r="F313" i="25" s="1"/>
  <c r="E313" i="25" s="1"/>
  <c r="C313" i="25" l="1"/>
  <c r="D313" i="25"/>
  <c r="Y313" i="25"/>
  <c r="B314" i="25"/>
  <c r="I314" i="25"/>
  <c r="M313" i="25"/>
  <c r="J314" i="25"/>
  <c r="S313" i="25" l="1"/>
  <c r="R313" i="25" s="1"/>
  <c r="Z313" i="25"/>
  <c r="Q313" i="25" l="1"/>
  <c r="P313" i="25" s="1"/>
  <c r="O313" i="25" s="1"/>
  <c r="N313" i="25" s="1"/>
  <c r="H314" i="25" l="1"/>
  <c r="G314" i="25"/>
  <c r="F314" i="25" s="1"/>
  <c r="E314" i="25" s="1"/>
  <c r="C314" i="25" l="1"/>
  <c r="Y314" i="25"/>
  <c r="D314" i="25"/>
  <c r="B315" i="25"/>
  <c r="I315" i="25"/>
  <c r="M314" i="25"/>
  <c r="J315" i="25"/>
  <c r="S314" i="25" l="1"/>
  <c r="R314" i="25" s="1"/>
  <c r="Z314" i="25"/>
  <c r="Q314" i="25" l="1"/>
  <c r="P314" i="25" s="1"/>
  <c r="O314" i="25" s="1"/>
  <c r="N314" i="25" s="1"/>
  <c r="G315" i="25" l="1"/>
  <c r="F315" i="25" s="1"/>
  <c r="E315" i="25" s="1"/>
  <c r="H315" i="25"/>
  <c r="Y315" i="25" l="1"/>
  <c r="C315" i="25"/>
  <c r="D315" i="25"/>
  <c r="B316" i="25"/>
  <c r="J316" i="25"/>
  <c r="M315" i="25"/>
  <c r="I316" i="25"/>
  <c r="S315" i="25" l="1"/>
  <c r="Z315" i="25"/>
  <c r="R315" i="25" l="1"/>
  <c r="Q315" i="25" s="1"/>
  <c r="P315" i="25" s="1"/>
  <c r="O315" i="25" s="1"/>
  <c r="N315" i="25" s="1"/>
  <c r="H316" i="25" l="1"/>
  <c r="G316" i="25"/>
  <c r="F316" i="25" s="1"/>
  <c r="E316" i="25" s="1"/>
  <c r="Y316" i="25" l="1"/>
  <c r="D316" i="25"/>
  <c r="C316" i="25"/>
  <c r="B317" i="25"/>
  <c r="J317" i="25"/>
  <c r="M316" i="25"/>
  <c r="I317" i="25"/>
  <c r="Z316" i="25" l="1"/>
  <c r="S316" i="25"/>
  <c r="R316" i="25" l="1"/>
  <c r="Q316" i="25" s="1"/>
  <c r="P316" i="25" s="1"/>
  <c r="O316" i="25" s="1"/>
  <c r="N316" i="25" s="1"/>
  <c r="G317" i="25" l="1"/>
  <c r="F317" i="25" s="1"/>
  <c r="E317" i="25" s="1"/>
  <c r="H317" i="25"/>
  <c r="Y317" i="25" l="1"/>
  <c r="C317" i="25"/>
  <c r="D317" i="25"/>
  <c r="B318" i="25"/>
  <c r="J318" i="25"/>
  <c r="I318" i="25"/>
  <c r="M317" i="25"/>
  <c r="S317" i="25" l="1"/>
  <c r="R317" i="25" s="1"/>
  <c r="Z317" i="25"/>
  <c r="Q317" i="25" l="1"/>
  <c r="P317" i="25" s="1"/>
  <c r="O317" i="25" s="1"/>
  <c r="N317" i="25" s="1"/>
  <c r="H318" i="25" l="1"/>
  <c r="G318" i="25"/>
  <c r="F318" i="25" s="1"/>
  <c r="E318" i="25" s="1"/>
  <c r="C318" i="25" l="1"/>
  <c r="D318" i="25"/>
  <c r="Y318" i="25"/>
  <c r="B319" i="25"/>
  <c r="I319" i="25"/>
  <c r="M318" i="25"/>
  <c r="J319" i="25"/>
  <c r="S318" i="25" l="1"/>
  <c r="R318" i="25" s="1"/>
  <c r="Z318" i="25"/>
  <c r="Q318" i="25" l="1"/>
  <c r="P318" i="25" s="1"/>
  <c r="O318" i="25" s="1"/>
  <c r="N318" i="25" s="1"/>
  <c r="G319" i="25" l="1"/>
  <c r="F319" i="25" s="1"/>
  <c r="E319" i="25" s="1"/>
  <c r="H319" i="25"/>
  <c r="C319" i="25" l="1"/>
  <c r="Y319" i="25"/>
  <c r="D319" i="25"/>
  <c r="B320" i="25"/>
  <c r="M319" i="25"/>
  <c r="J320" i="25"/>
  <c r="I320" i="25"/>
  <c r="Z319" i="25" l="1"/>
  <c r="S319" i="25"/>
  <c r="R319" i="25" l="1"/>
  <c r="Q319" i="25" s="1"/>
  <c r="P319" i="25" s="1"/>
  <c r="O319" i="25" s="1"/>
  <c r="N319" i="25" s="1"/>
  <c r="H320" i="25" l="1"/>
  <c r="G320" i="25"/>
  <c r="F320" i="25" s="1"/>
  <c r="E320" i="25" s="1"/>
  <c r="D320" i="25" l="1"/>
  <c r="C320" i="25"/>
  <c r="Y320" i="25"/>
  <c r="B321" i="25"/>
  <c r="I321" i="25"/>
  <c r="M320" i="25"/>
  <c r="J321" i="25"/>
  <c r="Z320" i="25" l="1"/>
  <c r="S320" i="25"/>
  <c r="R320" i="25" l="1"/>
  <c r="Q320" i="25" s="1"/>
  <c r="P320" i="25" s="1"/>
  <c r="O320" i="25" s="1"/>
  <c r="N320" i="25" s="1"/>
  <c r="G321" i="25" l="1"/>
  <c r="F321" i="25" s="1"/>
  <c r="E321" i="25" s="1"/>
  <c r="H321" i="25"/>
  <c r="Y321" i="25" l="1"/>
  <c r="D321" i="25"/>
  <c r="C321" i="25"/>
  <c r="B322" i="25"/>
  <c r="I322" i="25"/>
  <c r="M321" i="25"/>
  <c r="J322" i="25"/>
  <c r="S321" i="25" l="1"/>
  <c r="R321" i="25" s="1"/>
  <c r="Z321" i="25"/>
  <c r="Q321" i="25" l="1"/>
  <c r="P321" i="25" s="1"/>
  <c r="O321" i="25" s="1"/>
  <c r="N321" i="25" s="1"/>
  <c r="G322" i="25" l="1"/>
  <c r="F322" i="25" s="1"/>
  <c r="E322" i="25" s="1"/>
  <c r="H322" i="25"/>
  <c r="C322" i="25" l="1"/>
  <c r="D322" i="25"/>
  <c r="Y322" i="25"/>
  <c r="B323" i="25"/>
  <c r="J323" i="25"/>
  <c r="M322" i="25"/>
  <c r="I323" i="25"/>
  <c r="S322" i="25" l="1"/>
  <c r="Z322" i="25"/>
  <c r="R322" i="25" l="1"/>
  <c r="Q322" i="25" s="1"/>
  <c r="P322" i="25" s="1"/>
  <c r="O322" i="25" s="1"/>
  <c r="N322" i="25" s="1"/>
  <c r="H323" i="25" l="1"/>
  <c r="G323" i="25"/>
  <c r="F323" i="25" s="1"/>
  <c r="E323" i="25" s="1"/>
  <c r="D323" i="25" l="1"/>
  <c r="Y323" i="25"/>
  <c r="C323" i="25"/>
  <c r="B324" i="25"/>
  <c r="J324" i="25"/>
  <c r="I324" i="25"/>
  <c r="M323" i="25"/>
  <c r="Z323" i="25" l="1"/>
  <c r="S323" i="25"/>
  <c r="R323" i="25" s="1"/>
  <c r="Q323" i="25" l="1"/>
  <c r="P323" i="25" s="1"/>
  <c r="O323" i="25" s="1"/>
  <c r="N323" i="25" s="1"/>
  <c r="G324" i="25" l="1"/>
  <c r="F324" i="25" s="1"/>
  <c r="E324" i="25" s="1"/>
  <c r="H324" i="25"/>
  <c r="Y324" i="25" l="1"/>
  <c r="D324" i="25"/>
  <c r="C324" i="25"/>
  <c r="B325" i="25"/>
  <c r="M324" i="25"/>
  <c r="J325" i="25"/>
  <c r="I325" i="25"/>
  <c r="Z324" i="25" l="1"/>
  <c r="S324" i="25"/>
  <c r="R324" i="25" l="1"/>
  <c r="Q324" i="25" s="1"/>
  <c r="P324" i="25" s="1"/>
  <c r="O324" i="25" s="1"/>
  <c r="N324" i="25" s="1"/>
  <c r="H325" i="25" l="1"/>
  <c r="G325" i="25"/>
  <c r="F325" i="25" s="1"/>
  <c r="E325" i="25" s="1"/>
  <c r="D325" i="25" l="1"/>
  <c r="C325" i="25"/>
  <c r="Y325" i="25"/>
  <c r="B326" i="25"/>
  <c r="M325" i="25"/>
  <c r="I326" i="25"/>
  <c r="J326" i="25"/>
  <c r="Z325" i="25" l="1"/>
  <c r="S325" i="25"/>
  <c r="R325" i="25" l="1"/>
  <c r="Q325" i="25" s="1"/>
  <c r="P325" i="25" s="1"/>
  <c r="O325" i="25" s="1"/>
  <c r="N325" i="25" s="1"/>
  <c r="G326" i="25" l="1"/>
  <c r="F326" i="25" s="1"/>
  <c r="E326" i="25" s="1"/>
  <c r="H326" i="25"/>
  <c r="C326" i="25" l="1"/>
  <c r="Y326" i="25"/>
  <c r="D326" i="25"/>
  <c r="B327" i="25"/>
  <c r="J327" i="25"/>
  <c r="I327" i="25"/>
  <c r="M326" i="25"/>
  <c r="Z326" i="25" l="1"/>
  <c r="S326" i="25"/>
  <c r="R326" i="25" l="1"/>
  <c r="Q326" i="25" s="1"/>
  <c r="P326" i="25" s="1"/>
  <c r="O326" i="25" s="1"/>
  <c r="N326" i="25" s="1"/>
  <c r="G327" i="25" l="1"/>
  <c r="F327" i="25" s="1"/>
  <c r="E327" i="25" s="1"/>
  <c r="H327" i="25"/>
  <c r="Y327" i="25" l="1"/>
  <c r="D327" i="25"/>
  <c r="C327" i="25"/>
  <c r="B328" i="25"/>
  <c r="M327" i="25"/>
  <c r="I328" i="25"/>
  <c r="J328" i="25"/>
  <c r="Z327" i="25" l="1"/>
  <c r="S327" i="25"/>
  <c r="R327" i="25" l="1"/>
  <c r="Q327" i="25" s="1"/>
  <c r="P327" i="25" s="1"/>
  <c r="O327" i="25" s="1"/>
  <c r="N327" i="25" s="1"/>
  <c r="G328" i="25" l="1"/>
  <c r="F328" i="25" s="1"/>
  <c r="E328" i="25" s="1"/>
  <c r="H328" i="25"/>
  <c r="Y328" i="25" l="1"/>
  <c r="D328" i="25"/>
  <c r="C328" i="25"/>
  <c r="B329" i="25"/>
  <c r="I329" i="25"/>
  <c r="J329" i="25"/>
  <c r="M328" i="25"/>
  <c r="S328" i="25" l="1"/>
  <c r="R328" i="25" s="1"/>
  <c r="Z328" i="25"/>
  <c r="Q328" i="25" l="1"/>
  <c r="P328" i="25" s="1"/>
  <c r="O328" i="25" s="1"/>
  <c r="N328" i="25" s="1"/>
  <c r="G329" i="25" l="1"/>
  <c r="F329" i="25" s="1"/>
  <c r="E329" i="25" s="1"/>
  <c r="H329" i="25"/>
  <c r="C329" i="25" l="1"/>
  <c r="D329" i="25"/>
  <c r="Y329" i="25"/>
  <c r="B330" i="25"/>
  <c r="M329" i="25"/>
  <c r="J330" i="25"/>
  <c r="I330" i="25"/>
  <c r="Z329" i="25" l="1"/>
  <c r="S329" i="25"/>
  <c r="R329" i="25" l="1"/>
  <c r="Q329" i="25" s="1"/>
  <c r="P329" i="25" s="1"/>
  <c r="O329" i="25" s="1"/>
  <c r="N329" i="25" s="1"/>
  <c r="G330" i="25" l="1"/>
  <c r="F330" i="25" s="1"/>
  <c r="E330" i="25" s="1"/>
  <c r="H330" i="25"/>
  <c r="D330" i="25" l="1"/>
  <c r="Y330" i="25"/>
  <c r="C330" i="25"/>
  <c r="B331" i="25"/>
  <c r="I331" i="25"/>
  <c r="M330" i="25"/>
  <c r="J331" i="25"/>
  <c r="S330" i="25" l="1"/>
  <c r="Z330" i="25"/>
  <c r="R330" i="25" l="1"/>
  <c r="Q330" i="25" s="1"/>
  <c r="P330" i="25" s="1"/>
  <c r="O330" i="25" s="1"/>
  <c r="N330" i="25" s="1"/>
  <c r="G331" i="25" l="1"/>
  <c r="F331" i="25" s="1"/>
  <c r="E331" i="25" s="1"/>
  <c r="H331" i="25"/>
  <c r="D331" i="25" l="1"/>
  <c r="C331" i="25"/>
  <c r="Y331" i="25"/>
  <c r="B332" i="25"/>
  <c r="M331" i="25"/>
  <c r="J332" i="25"/>
  <c r="I332" i="25"/>
  <c r="Z331" i="25" l="1"/>
  <c r="S331" i="25"/>
  <c r="R331" i="25" l="1"/>
  <c r="Q331" i="25" s="1"/>
  <c r="P331" i="25" s="1"/>
  <c r="O331" i="25" s="1"/>
  <c r="N331" i="25" s="1"/>
  <c r="H332" i="25" l="1"/>
  <c r="G332" i="25"/>
  <c r="F332" i="25" s="1"/>
  <c r="E332" i="25" s="1"/>
  <c r="C332" i="25" l="1"/>
  <c r="D332" i="25"/>
  <c r="Y332" i="25"/>
  <c r="B333" i="25"/>
  <c r="J333" i="25"/>
  <c r="I333" i="25"/>
  <c r="M332" i="25"/>
  <c r="Z332" i="25" l="1"/>
  <c r="S332" i="25"/>
  <c r="R332" i="25" s="1"/>
  <c r="Q332" i="25" l="1"/>
  <c r="P332" i="25" s="1"/>
  <c r="O332" i="25" s="1"/>
  <c r="N332" i="25" s="1"/>
  <c r="H333" i="25" l="1"/>
  <c r="G333" i="25"/>
  <c r="F333" i="25" s="1"/>
  <c r="E333" i="25" s="1"/>
  <c r="D333" i="25" l="1"/>
  <c r="Y333" i="25"/>
  <c r="C333" i="25"/>
  <c r="B334" i="25"/>
  <c r="J334" i="25"/>
  <c r="I334" i="25"/>
  <c r="M333" i="25"/>
  <c r="Z333" i="25" l="1"/>
  <c r="S333" i="25"/>
  <c r="R333" i="25" s="1"/>
  <c r="Q333" i="25" l="1"/>
  <c r="P333" i="25" s="1"/>
  <c r="O333" i="25" s="1"/>
  <c r="N333" i="25" s="1"/>
  <c r="H334" i="25" l="1"/>
  <c r="G334" i="25"/>
  <c r="F334" i="25" s="1"/>
  <c r="E334" i="25" s="1"/>
  <c r="C334" i="25" l="1"/>
  <c r="Y334" i="25"/>
  <c r="D334" i="25"/>
  <c r="B335" i="25"/>
  <c r="J335" i="25"/>
  <c r="I335" i="25"/>
  <c r="M334" i="25"/>
  <c r="Z334" i="25" l="1"/>
  <c r="S334" i="25"/>
  <c r="R334" i="25" s="1"/>
  <c r="Q334" i="25" l="1"/>
  <c r="P334" i="25" s="1"/>
  <c r="O334" i="25" s="1"/>
  <c r="N334" i="25" s="1"/>
  <c r="G335" i="25" l="1"/>
  <c r="F335" i="25" s="1"/>
  <c r="E335" i="25" s="1"/>
  <c r="H335" i="25"/>
  <c r="Y335" i="25" l="1"/>
  <c r="C335" i="25"/>
  <c r="D335" i="25"/>
  <c r="B336" i="25"/>
  <c r="J336" i="25"/>
  <c r="M335" i="25"/>
  <c r="I336" i="25"/>
  <c r="S335" i="25" l="1"/>
  <c r="Z335" i="25"/>
  <c r="R335" i="25" l="1"/>
  <c r="Q335" i="25" s="1"/>
  <c r="P335" i="25" s="1"/>
  <c r="O335" i="25" s="1"/>
  <c r="N335" i="25" s="1"/>
  <c r="G336" i="25" l="1"/>
  <c r="F336" i="25" s="1"/>
  <c r="E336" i="25" s="1"/>
  <c r="H336" i="25"/>
  <c r="Y336" i="25" l="1"/>
  <c r="D336" i="25"/>
  <c r="C336" i="25"/>
  <c r="B337" i="25"/>
  <c r="J337" i="25"/>
  <c r="M336" i="25"/>
  <c r="I337" i="25"/>
  <c r="S336" i="25" l="1"/>
  <c r="Z336" i="25"/>
  <c r="R336" i="25" l="1"/>
  <c r="Q336" i="25" s="1"/>
  <c r="P336" i="25" s="1"/>
  <c r="O336" i="25" s="1"/>
  <c r="N336" i="25" s="1"/>
  <c r="G337" i="25" l="1"/>
  <c r="F337" i="25" s="1"/>
  <c r="E337" i="25" s="1"/>
  <c r="H337" i="25"/>
  <c r="D337" i="25" l="1"/>
  <c r="C337" i="25"/>
  <c r="Y337" i="25"/>
  <c r="B338" i="25"/>
  <c r="M337" i="25"/>
  <c r="J338" i="25"/>
  <c r="I338" i="25"/>
  <c r="Z337" i="25" l="1"/>
  <c r="S337" i="25"/>
  <c r="R337" i="25" l="1"/>
  <c r="Q337" i="25" s="1"/>
  <c r="P337" i="25" s="1"/>
  <c r="O337" i="25" s="1"/>
  <c r="N337" i="25" s="1"/>
  <c r="G338" i="25" l="1"/>
  <c r="F338" i="25" s="1"/>
  <c r="E338" i="25" s="1"/>
  <c r="H338" i="25"/>
  <c r="D338" i="25" l="1"/>
  <c r="Y338" i="25"/>
  <c r="C338" i="25"/>
  <c r="B339" i="25"/>
  <c r="I339" i="25"/>
  <c r="J339" i="25"/>
  <c r="M338" i="25"/>
  <c r="S338" i="25" l="1"/>
  <c r="R338" i="25" s="1"/>
  <c r="Z338" i="25"/>
  <c r="Q338" i="25" l="1"/>
  <c r="P338" i="25" s="1"/>
  <c r="O338" i="25" s="1"/>
  <c r="N338" i="25" s="1"/>
  <c r="H339" i="25" l="1"/>
  <c r="G339" i="25"/>
  <c r="F339" i="25" s="1"/>
  <c r="E339" i="25" s="1"/>
  <c r="D339" i="25" l="1"/>
  <c r="C339" i="25"/>
  <c r="Y339" i="25"/>
  <c r="B340" i="25"/>
  <c r="M339" i="25"/>
  <c r="I340" i="25"/>
  <c r="J340" i="25"/>
  <c r="Z339" i="25" l="1"/>
  <c r="S339" i="25"/>
  <c r="R339" i="25" l="1"/>
  <c r="Q339" i="25" s="1"/>
  <c r="P339" i="25" s="1"/>
  <c r="O339" i="25" s="1"/>
  <c r="N339" i="25" s="1"/>
  <c r="G340" i="25" l="1"/>
  <c r="F340" i="25" s="1"/>
  <c r="E340" i="25" s="1"/>
  <c r="H340" i="25"/>
  <c r="Y340" i="25" l="1"/>
  <c r="C340" i="25"/>
  <c r="D340" i="25"/>
  <c r="B341" i="25"/>
  <c r="J341" i="25"/>
  <c r="I341" i="25"/>
  <c r="M340" i="25"/>
  <c r="Z340" i="25" l="1"/>
  <c r="S340" i="25"/>
  <c r="R340" i="25" l="1"/>
  <c r="Q340" i="25" s="1"/>
  <c r="P340" i="25" s="1"/>
  <c r="O340" i="25" s="1"/>
  <c r="N340" i="25" s="1"/>
  <c r="G341" i="25" l="1"/>
  <c r="F341" i="25" s="1"/>
  <c r="E341" i="25" s="1"/>
  <c r="H341" i="25"/>
  <c r="Y341" i="25" l="1"/>
  <c r="C341" i="25"/>
  <c r="D341" i="25"/>
  <c r="B342" i="25"/>
  <c r="J342" i="25"/>
  <c r="M341" i="25"/>
  <c r="I342" i="25"/>
  <c r="S341" i="25" l="1"/>
  <c r="Z341" i="25"/>
  <c r="R341" i="25" l="1"/>
  <c r="Q341" i="25" s="1"/>
  <c r="P341" i="25" s="1"/>
  <c r="O341" i="25" s="1"/>
  <c r="N341" i="25" s="1"/>
  <c r="G342" i="25" l="1"/>
  <c r="F342" i="25" s="1"/>
  <c r="E342" i="25" s="1"/>
  <c r="H342" i="25"/>
  <c r="C342" i="25" l="1"/>
  <c r="Y342" i="25"/>
  <c r="D342" i="25"/>
  <c r="B343" i="25"/>
  <c r="M342" i="25"/>
  <c r="J343" i="25"/>
  <c r="I343" i="25"/>
  <c r="Z342" i="25" l="1"/>
  <c r="S342" i="25"/>
  <c r="R342" i="25" l="1"/>
  <c r="Q342" i="25" s="1"/>
  <c r="P342" i="25" s="1"/>
  <c r="O342" i="25" s="1"/>
  <c r="N342" i="25" s="1"/>
  <c r="H343" i="25" l="1"/>
  <c r="G343" i="25"/>
  <c r="F343" i="25" s="1"/>
  <c r="E343" i="25" s="1"/>
  <c r="C343" i="25" l="1"/>
  <c r="Y343" i="25"/>
  <c r="D343" i="25"/>
  <c r="B344" i="25"/>
  <c r="I344" i="25"/>
  <c r="J344" i="25"/>
  <c r="M343" i="25"/>
  <c r="S343" i="25" l="1"/>
  <c r="R343" i="25" s="1"/>
  <c r="Z343" i="25"/>
  <c r="Q343" i="25" l="1"/>
  <c r="P343" i="25" s="1"/>
  <c r="O343" i="25" s="1"/>
  <c r="N343" i="25" s="1"/>
  <c r="G344" i="25" l="1"/>
  <c r="F344" i="25" s="1"/>
  <c r="E344" i="25" s="1"/>
  <c r="H344" i="25"/>
  <c r="C344" i="25" l="1"/>
  <c r="Y344" i="25"/>
  <c r="D344" i="25"/>
  <c r="B345" i="25"/>
  <c r="M344" i="25"/>
  <c r="I345" i="25"/>
  <c r="J345" i="25"/>
  <c r="Z344" i="25" l="1"/>
  <c r="S344" i="25"/>
  <c r="R344" i="25" l="1"/>
  <c r="Q344" i="25" s="1"/>
  <c r="P344" i="25" s="1"/>
  <c r="O344" i="25" s="1"/>
  <c r="N344" i="25" s="1"/>
  <c r="H345" i="25" l="1"/>
  <c r="G345" i="25"/>
  <c r="F345" i="25" s="1"/>
  <c r="E345" i="25" s="1"/>
  <c r="D345" i="25" l="1"/>
  <c r="C345" i="25"/>
  <c r="Y345" i="25"/>
  <c r="B346" i="25"/>
  <c r="M345" i="25"/>
  <c r="I346" i="25"/>
  <c r="J346" i="25"/>
  <c r="Z345" i="25" l="1"/>
  <c r="S345" i="25"/>
  <c r="R345" i="25" l="1"/>
  <c r="Q345" i="25" s="1"/>
  <c r="P345" i="25" s="1"/>
  <c r="O345" i="25" s="1"/>
  <c r="N345" i="25" s="1"/>
  <c r="G346" i="25" l="1"/>
  <c r="F346" i="25" s="1"/>
  <c r="E346" i="25" s="1"/>
  <c r="H346" i="25"/>
  <c r="C346" i="25" l="1"/>
  <c r="D346" i="25"/>
  <c r="Y346" i="25"/>
  <c r="B347" i="25"/>
  <c r="J347" i="25"/>
  <c r="I347" i="25"/>
  <c r="M346" i="25"/>
  <c r="Z346" i="25" l="1"/>
  <c r="S346" i="25"/>
  <c r="R346" i="25" s="1"/>
  <c r="Q346" i="25" l="1"/>
  <c r="P346" i="25" s="1"/>
  <c r="O346" i="25" s="1"/>
  <c r="N346" i="25" s="1"/>
  <c r="G347" i="25" l="1"/>
  <c r="F347" i="25" s="1"/>
  <c r="E347" i="25" s="1"/>
  <c r="H347" i="25"/>
  <c r="C347" i="25" l="1"/>
  <c r="D347" i="25"/>
  <c r="Y347" i="25"/>
  <c r="B348" i="25"/>
  <c r="M347" i="25"/>
  <c r="I348" i="25"/>
  <c r="J348" i="25"/>
  <c r="Z347" i="25" l="1"/>
  <c r="S347" i="25"/>
  <c r="R347" i="25" l="1"/>
  <c r="Q347" i="25" s="1"/>
  <c r="P347" i="25" s="1"/>
  <c r="O347" i="25" s="1"/>
  <c r="N347" i="25" s="1"/>
  <c r="G348" i="25" l="1"/>
  <c r="F348" i="25" s="1"/>
  <c r="E348" i="25" s="1"/>
  <c r="H348" i="25"/>
  <c r="C348" i="25" l="1"/>
  <c r="D348" i="25"/>
  <c r="Y348" i="25"/>
  <c r="B349" i="25"/>
  <c r="I349" i="25"/>
  <c r="M348" i="25"/>
  <c r="J349" i="25"/>
  <c r="S348" i="25" l="1"/>
  <c r="R348" i="25" s="1"/>
  <c r="Z348" i="25"/>
  <c r="Q348" i="25" l="1"/>
  <c r="P348" i="25" s="1"/>
  <c r="O348" i="25" s="1"/>
  <c r="N348" i="25" s="1"/>
  <c r="H349" i="25" l="1"/>
  <c r="G349" i="25"/>
  <c r="F349" i="25" s="1"/>
  <c r="E349" i="25" s="1"/>
  <c r="Y349" i="25" l="1"/>
  <c r="D349" i="25"/>
  <c r="C349" i="25"/>
  <c r="B350" i="25"/>
  <c r="I350" i="25"/>
  <c r="M349" i="25"/>
  <c r="J350" i="25"/>
  <c r="S349" i="25" l="1"/>
  <c r="R349" i="25" s="1"/>
  <c r="Z349" i="25"/>
  <c r="Q349" i="25" l="1"/>
  <c r="P349" i="25" s="1"/>
  <c r="O349" i="25" s="1"/>
  <c r="N349" i="25" s="1"/>
  <c r="G350" i="25" l="1"/>
  <c r="F350" i="25" s="1"/>
  <c r="E350" i="25" s="1"/>
  <c r="H350" i="25"/>
  <c r="H3" i="37"/>
  <c r="L4" i="38" s="1"/>
  <c r="Y350" i="25" l="1"/>
  <c r="D350" i="25"/>
  <c r="C350" i="25"/>
  <c r="B351" i="25"/>
  <c r="I351" i="25"/>
  <c r="J351" i="25"/>
  <c r="M350" i="25"/>
  <c r="D4" i="37"/>
  <c r="H27" i="38" s="1"/>
  <c r="I27" i="38" s="1"/>
  <c r="L4" i="34"/>
  <c r="S350" i="25" l="1"/>
  <c r="R350" i="25" s="1"/>
  <c r="Z350" i="25"/>
  <c r="C4" i="37"/>
  <c r="H27" i="34"/>
  <c r="I27" i="34" s="1"/>
  <c r="O4" i="37"/>
  <c r="G4" i="37"/>
  <c r="E28" i="37"/>
  <c r="E5" i="37" s="1"/>
  <c r="J5" i="37" s="1"/>
  <c r="Q350" i="25" l="1"/>
  <c r="P350" i="25" s="1"/>
  <c r="O350" i="25" s="1"/>
  <c r="N350" i="25" s="1"/>
  <c r="I4" i="37"/>
  <c r="K5" i="34" s="1"/>
  <c r="I27" i="37"/>
  <c r="H351" i="25" l="1"/>
  <c r="G351" i="25"/>
  <c r="F351" i="25" s="1"/>
  <c r="E351" i="25" s="1"/>
  <c r="K5" i="38"/>
  <c r="J5" i="38" s="1"/>
  <c r="J27" i="38" s="1"/>
  <c r="K27" i="38" s="1"/>
  <c r="L27" i="38" s="1"/>
  <c r="H5" i="34"/>
  <c r="J5" i="34"/>
  <c r="K4" i="37"/>
  <c r="H4" i="37"/>
  <c r="Y351" i="25" l="1"/>
  <c r="D351" i="25"/>
  <c r="C351" i="25"/>
  <c r="B352" i="25"/>
  <c r="M351" i="25"/>
  <c r="I352" i="25"/>
  <c r="J352" i="25"/>
  <c r="J27" i="34"/>
  <c r="K27" i="34" s="1"/>
  <c r="H5" i="38"/>
  <c r="I5" i="38" s="1"/>
  <c r="D5" i="37"/>
  <c r="H28" i="38" s="1"/>
  <c r="I28" i="38" s="1"/>
  <c r="L5" i="38"/>
  <c r="I5" i="34"/>
  <c r="L5" i="34"/>
  <c r="Z351" i="25" l="1"/>
  <c r="S351" i="25"/>
  <c r="C5" i="37"/>
  <c r="E29" i="37"/>
  <c r="E6" i="37" s="1"/>
  <c r="J6" i="37" s="1"/>
  <c r="O5" i="37"/>
  <c r="G5" i="37"/>
  <c r="I28" i="37" s="1"/>
  <c r="H28" i="34"/>
  <c r="I28" i="34" s="1"/>
  <c r="R351" i="25" l="1"/>
  <c r="Q351" i="25" s="1"/>
  <c r="P351" i="25" s="1"/>
  <c r="O351" i="25" s="1"/>
  <c r="N351" i="25" s="1"/>
  <c r="I5" i="37"/>
  <c r="K6" i="38" s="1"/>
  <c r="K5" i="37"/>
  <c r="G352" i="25" l="1"/>
  <c r="F352" i="25" s="1"/>
  <c r="E352" i="25" s="1"/>
  <c r="H352" i="25"/>
  <c r="H6" i="38"/>
  <c r="I6" i="38" s="1"/>
  <c r="J6" i="38"/>
  <c r="J28" i="38" s="1"/>
  <c r="K28" i="38" s="1"/>
  <c r="L28" i="38" s="1"/>
  <c r="H5" i="37"/>
  <c r="L6" i="38" s="1"/>
  <c r="K6" i="34"/>
  <c r="Y352" i="25" l="1"/>
  <c r="C352" i="25"/>
  <c r="D352" i="25"/>
  <c r="B353" i="25"/>
  <c r="J353" i="25"/>
  <c r="M352" i="25"/>
  <c r="I353" i="25"/>
  <c r="D6" i="37"/>
  <c r="H29" i="38" s="1"/>
  <c r="I29" i="38" s="1"/>
  <c r="L6" i="34"/>
  <c r="J6" i="34"/>
  <c r="H6" i="34"/>
  <c r="I6" i="34" s="1"/>
  <c r="S352" i="25" l="1"/>
  <c r="Z352" i="25"/>
  <c r="J28" i="34"/>
  <c r="K28" i="34" s="1"/>
  <c r="C6" i="37"/>
  <c r="H29" i="34"/>
  <c r="I29" i="34" s="1"/>
  <c r="E30" i="37"/>
  <c r="E7" i="37" s="1"/>
  <c r="J7" i="37" s="1"/>
  <c r="G6" i="37"/>
  <c r="O6" i="37"/>
  <c r="R352" i="25" l="1"/>
  <c r="Q352" i="25" s="1"/>
  <c r="P352" i="25" s="1"/>
  <c r="O352" i="25" s="1"/>
  <c r="N352" i="25" s="1"/>
  <c r="K6" i="37"/>
  <c r="I29" i="37"/>
  <c r="I6" i="37"/>
  <c r="K7" i="38" s="1"/>
  <c r="J7" i="38" s="1"/>
  <c r="J29" i="38" s="1"/>
  <c r="K29" i="38" s="1"/>
  <c r="L29" i="38" s="1"/>
  <c r="H353" i="25" l="1"/>
  <c r="G353" i="25"/>
  <c r="F353" i="25" s="1"/>
  <c r="E353" i="25" s="1"/>
  <c r="K7" i="34"/>
  <c r="J7" i="34" s="1"/>
  <c r="H7" i="38"/>
  <c r="I7" i="38" s="1"/>
  <c r="H6" i="37"/>
  <c r="D7" i="37" s="1"/>
  <c r="H30" i="38" s="1"/>
  <c r="I30" i="38" s="1"/>
  <c r="D353" i="25" l="1"/>
  <c r="Y353" i="25"/>
  <c r="C353" i="25"/>
  <c r="B354" i="25"/>
  <c r="J354" i="25"/>
  <c r="M353" i="25"/>
  <c r="I354" i="25"/>
  <c r="J29" i="34"/>
  <c r="K29" i="34" s="1"/>
  <c r="H30" i="34"/>
  <c r="I30" i="34" s="1"/>
  <c r="L7" i="38"/>
  <c r="L7" i="34"/>
  <c r="H7" i="34"/>
  <c r="I7" i="34" s="1"/>
  <c r="G7" i="37"/>
  <c r="C7" i="37"/>
  <c r="O7" i="37"/>
  <c r="E31" i="37"/>
  <c r="E8" i="37" s="1"/>
  <c r="J8" i="37" s="1"/>
  <c r="S353" i="25" l="1"/>
  <c r="Z353" i="25"/>
  <c r="K7" i="37"/>
  <c r="I30" i="37"/>
  <c r="I7" i="37"/>
  <c r="K8" i="38" s="1"/>
  <c r="J8" i="38" s="1"/>
  <c r="J30" i="38" s="1"/>
  <c r="K30" i="38" s="1"/>
  <c r="L30" i="38" s="1"/>
  <c r="R353" i="25" l="1"/>
  <c r="Q353" i="25" s="1"/>
  <c r="P353" i="25" s="1"/>
  <c r="O353" i="25" s="1"/>
  <c r="N353" i="25" s="1"/>
  <c r="K8" i="34"/>
  <c r="J8" i="34" s="1"/>
  <c r="H7" i="37"/>
  <c r="D8" i="37" s="1"/>
  <c r="H31" i="38" s="1"/>
  <c r="I31" i="38" s="1"/>
  <c r="H8" i="38"/>
  <c r="I8" i="38" s="1"/>
  <c r="H354" i="25" l="1"/>
  <c r="G354" i="25"/>
  <c r="F354" i="25" s="1"/>
  <c r="E354" i="25" s="1"/>
  <c r="J30" i="34"/>
  <c r="K30" i="34" s="1"/>
  <c r="H31" i="34"/>
  <c r="I31" i="34" s="1"/>
  <c r="E32" i="37"/>
  <c r="E9" i="37" s="1"/>
  <c r="J9" i="37" s="1"/>
  <c r="G8" i="37"/>
  <c r="O8" i="37"/>
  <c r="H8" i="34"/>
  <c r="I8" i="34" s="1"/>
  <c r="L8" i="34"/>
  <c r="C8" i="37"/>
  <c r="L8" i="38"/>
  <c r="Y354" i="25" l="1"/>
  <c r="C354" i="25"/>
  <c r="D354" i="25"/>
  <c r="B355" i="25"/>
  <c r="J355" i="25"/>
  <c r="M354" i="25"/>
  <c r="I355" i="25"/>
  <c r="K8" i="37"/>
  <c r="I31" i="37"/>
  <c r="I8" i="37"/>
  <c r="K9" i="38" s="1"/>
  <c r="H9" i="38" s="1"/>
  <c r="I9" i="38" s="1"/>
  <c r="S354" i="25" l="1"/>
  <c r="Z354" i="25"/>
  <c r="K9" i="34"/>
  <c r="J9" i="34" s="1"/>
  <c r="J9" i="38"/>
  <c r="J31" i="38" s="1"/>
  <c r="K31" i="38" s="1"/>
  <c r="L31" i="38" s="1"/>
  <c r="H8" i="37"/>
  <c r="D9" i="37" s="1"/>
  <c r="H32" i="38" s="1"/>
  <c r="I32" i="38" s="1"/>
  <c r="R354" i="25" l="1"/>
  <c r="Q354" i="25" s="1"/>
  <c r="P354" i="25" s="1"/>
  <c r="O354" i="25" s="1"/>
  <c r="N354" i="25" s="1"/>
  <c r="J31" i="34"/>
  <c r="K31" i="34" s="1"/>
  <c r="H9" i="34"/>
  <c r="I9" i="34" s="1"/>
  <c r="H32" i="34"/>
  <c r="I32" i="34" s="1"/>
  <c r="L9" i="38"/>
  <c r="G9" i="37"/>
  <c r="E33" i="37"/>
  <c r="E10" i="37" s="1"/>
  <c r="J10" i="37" s="1"/>
  <c r="O9" i="37"/>
  <c r="L9" i="34"/>
  <c r="C9" i="37"/>
  <c r="G355" i="25" l="1"/>
  <c r="F355" i="25" s="1"/>
  <c r="E355" i="25" s="1"/>
  <c r="H355" i="25"/>
  <c r="I9" i="37"/>
  <c r="H9" i="37" s="1"/>
  <c r="D10" i="37" s="1"/>
  <c r="H33" i="38" s="1"/>
  <c r="I33" i="38" s="1"/>
  <c r="I32" i="37"/>
  <c r="K9" i="37"/>
  <c r="Y355" i="25" l="1"/>
  <c r="C355" i="25"/>
  <c r="D355" i="25"/>
  <c r="B356" i="25"/>
  <c r="M355" i="25"/>
  <c r="J356" i="25"/>
  <c r="I356" i="25"/>
  <c r="K10" i="38"/>
  <c r="H10" i="38" s="1"/>
  <c r="I10" i="38" s="1"/>
  <c r="K10" i="34"/>
  <c r="H10" i="34" s="1"/>
  <c r="I10" i="34" s="1"/>
  <c r="O10" i="37"/>
  <c r="G10" i="37"/>
  <c r="I33" i="37" s="1"/>
  <c r="E34" i="37"/>
  <c r="E11" i="37" s="1"/>
  <c r="J11" i="37" s="1"/>
  <c r="C10" i="37"/>
  <c r="H33" i="34"/>
  <c r="I33" i="34" s="1"/>
  <c r="Z355" i="25" l="1"/>
  <c r="S355" i="25"/>
  <c r="L10" i="38"/>
  <c r="J10" i="38"/>
  <c r="J32" i="38" s="1"/>
  <c r="K32" i="38" s="1"/>
  <c r="L32" i="38" s="1"/>
  <c r="L10" i="34"/>
  <c r="J10" i="34"/>
  <c r="J32" i="34" s="1"/>
  <c r="K32" i="34" s="1"/>
  <c r="I10" i="37"/>
  <c r="K11" i="38" s="1"/>
  <c r="K10" i="37"/>
  <c r="R355" i="25" l="1"/>
  <c r="Q355" i="25" s="1"/>
  <c r="P355" i="25" s="1"/>
  <c r="O355" i="25" s="1"/>
  <c r="N355" i="25" s="1"/>
  <c r="J11" i="38"/>
  <c r="J33" i="38" s="1"/>
  <c r="K33" i="38" s="1"/>
  <c r="L33" i="38" s="1"/>
  <c r="H11" i="38"/>
  <c r="I11" i="38" s="1"/>
  <c r="H10" i="37"/>
  <c r="D11" i="37" s="1"/>
  <c r="H34" i="38" s="1"/>
  <c r="I34" i="38" s="1"/>
  <c r="K11" i="34"/>
  <c r="J11" i="34" s="1"/>
  <c r="H356" i="25" l="1"/>
  <c r="G356" i="25"/>
  <c r="F356" i="25" s="1"/>
  <c r="E356" i="25" s="1"/>
  <c r="L11" i="38"/>
  <c r="J33" i="34"/>
  <c r="K33" i="34" s="1"/>
  <c r="L11" i="34"/>
  <c r="H11" i="34"/>
  <c r="I11" i="34" s="1"/>
  <c r="G11" i="37"/>
  <c r="E35" i="37"/>
  <c r="E12" i="37" s="1"/>
  <c r="J12" i="37" s="1"/>
  <c r="O11" i="37"/>
  <c r="C11" i="37"/>
  <c r="H34" i="34"/>
  <c r="I34" i="34" s="1"/>
  <c r="C356" i="25" l="1"/>
  <c r="D356" i="25"/>
  <c r="Y356" i="25"/>
  <c r="B357" i="25"/>
  <c r="I357" i="25"/>
  <c r="J357" i="25"/>
  <c r="M356" i="25"/>
  <c r="I11" i="37"/>
  <c r="H11" i="37" s="1"/>
  <c r="D12" i="37" s="1"/>
  <c r="H35" i="38" s="1"/>
  <c r="I35" i="38" s="1"/>
  <c r="I34" i="37"/>
  <c r="K11" i="37"/>
  <c r="S356" i="25" l="1"/>
  <c r="R356" i="25" s="1"/>
  <c r="Z356" i="25"/>
  <c r="K12" i="38"/>
  <c r="L12" i="38" s="1"/>
  <c r="K12" i="34"/>
  <c r="J12" i="34" s="1"/>
  <c r="H35" i="34"/>
  <c r="I35" i="34" s="1"/>
  <c r="E36" i="37"/>
  <c r="E13" i="37" s="1"/>
  <c r="J13" i="37" s="1"/>
  <c r="G12" i="37"/>
  <c r="I35" i="37" s="1"/>
  <c r="C12" i="37"/>
  <c r="O12" i="37"/>
  <c r="Q356" i="25" l="1"/>
  <c r="P356" i="25" s="1"/>
  <c r="O356" i="25" s="1"/>
  <c r="N356" i="25" s="1"/>
  <c r="J12" i="38"/>
  <c r="J34" i="38" s="1"/>
  <c r="K34" i="38" s="1"/>
  <c r="L34" i="38" s="1"/>
  <c r="H12" i="38"/>
  <c r="I12" i="38" s="1"/>
  <c r="H12" i="34"/>
  <c r="I12" i="34" s="1"/>
  <c r="L12" i="34"/>
  <c r="J34" i="34"/>
  <c r="K34" i="34" s="1"/>
  <c r="I12" i="37"/>
  <c r="K13" i="38" s="1"/>
  <c r="K12" i="37"/>
  <c r="H357" i="25" l="1"/>
  <c r="G357" i="25"/>
  <c r="F357" i="25" s="1"/>
  <c r="E357" i="25" s="1"/>
  <c r="H13" i="38"/>
  <c r="I13" i="38" s="1"/>
  <c r="J13" i="38"/>
  <c r="J35" i="38" s="1"/>
  <c r="K35" i="38" s="1"/>
  <c r="L35" i="38" s="1"/>
  <c r="H12" i="37"/>
  <c r="L13" i="38" s="1"/>
  <c r="K13" i="34"/>
  <c r="C357" i="25" l="1"/>
  <c r="Y357" i="25"/>
  <c r="D357" i="25"/>
  <c r="B358" i="25"/>
  <c r="M357" i="25"/>
  <c r="I358" i="25"/>
  <c r="J358" i="25"/>
  <c r="D13" i="37"/>
  <c r="H36" i="38" s="1"/>
  <c r="I36" i="38" s="1"/>
  <c r="L13" i="34"/>
  <c r="H13" i="34"/>
  <c r="I13" i="34" s="1"/>
  <c r="J13" i="34"/>
  <c r="Z357" i="25" l="1"/>
  <c r="S357" i="25"/>
  <c r="J35" i="34"/>
  <c r="K35" i="34" s="1"/>
  <c r="H36" i="34"/>
  <c r="I36" i="34" s="1"/>
  <c r="O13" i="37"/>
  <c r="C13" i="37"/>
  <c r="E37" i="37"/>
  <c r="E14" i="37" s="1"/>
  <c r="J14" i="37" s="1"/>
  <c r="G13" i="37"/>
  <c r="R357" i="25" l="1"/>
  <c r="Q357" i="25" s="1"/>
  <c r="P357" i="25" s="1"/>
  <c r="O357" i="25" s="1"/>
  <c r="N357" i="25" s="1"/>
  <c r="I13" i="37"/>
  <c r="K14" i="38" s="1"/>
  <c r="H14" i="38" s="1"/>
  <c r="I14" i="38" s="1"/>
  <c r="I36" i="37"/>
  <c r="K13" i="37"/>
  <c r="H358" i="25" l="1"/>
  <c r="G358" i="25"/>
  <c r="F358" i="25" s="1"/>
  <c r="E358" i="25" s="1"/>
  <c r="K14" i="34"/>
  <c r="J14" i="34" s="1"/>
  <c r="J14" i="38"/>
  <c r="J36" i="38" s="1"/>
  <c r="K36" i="38" s="1"/>
  <c r="L36" i="38" s="1"/>
  <c r="H13" i="37"/>
  <c r="C358" i="25" l="1"/>
  <c r="Y358" i="25"/>
  <c r="D358" i="25"/>
  <c r="B359" i="25"/>
  <c r="M358" i="25"/>
  <c r="I359" i="25"/>
  <c r="J359" i="25"/>
  <c r="L14" i="34"/>
  <c r="H14" i="34"/>
  <c r="I14" i="34" s="1"/>
  <c r="J36" i="34"/>
  <c r="K36" i="34" s="1"/>
  <c r="L14" i="38"/>
  <c r="D14" i="37"/>
  <c r="Z358" i="25" l="1"/>
  <c r="S358" i="25"/>
  <c r="H37" i="38"/>
  <c r="I37" i="38" s="1"/>
  <c r="O14" i="37"/>
  <c r="C14" i="37"/>
  <c r="E38" i="37"/>
  <c r="E15" i="37" s="1"/>
  <c r="J15" i="37" s="1"/>
  <c r="H37" i="34"/>
  <c r="I37" i="34" s="1"/>
  <c r="G14" i="37"/>
  <c r="R358" i="25" l="1"/>
  <c r="Q358" i="25" s="1"/>
  <c r="P358" i="25" s="1"/>
  <c r="O358" i="25" s="1"/>
  <c r="N358" i="25" s="1"/>
  <c r="I37" i="37"/>
  <c r="I14" i="37"/>
  <c r="K14" i="37"/>
  <c r="G359" i="25" l="1"/>
  <c r="F359" i="25" s="1"/>
  <c r="E359" i="25" s="1"/>
  <c r="H359" i="25"/>
  <c r="K15" i="38"/>
  <c r="K15" i="34"/>
  <c r="H14" i="37"/>
  <c r="D15" i="37" s="1"/>
  <c r="Y359" i="25" l="1"/>
  <c r="C359" i="25"/>
  <c r="D359" i="25"/>
  <c r="B360" i="25"/>
  <c r="M359" i="25"/>
  <c r="I360" i="25"/>
  <c r="J360" i="25"/>
  <c r="J15" i="34"/>
  <c r="H15" i="34"/>
  <c r="I15" i="34" s="1"/>
  <c r="L15" i="34"/>
  <c r="H38" i="38"/>
  <c r="I38" i="38" s="1"/>
  <c r="C15" i="37"/>
  <c r="O15" i="37"/>
  <c r="H38" i="34"/>
  <c r="I38" i="34" s="1"/>
  <c r="E39" i="37"/>
  <c r="E16" i="37" s="1"/>
  <c r="J16" i="37" s="1"/>
  <c r="G15" i="37"/>
  <c r="J15" i="38"/>
  <c r="J37" i="38" s="1"/>
  <c r="K37" i="38" s="1"/>
  <c r="L37" i="38" s="1"/>
  <c r="H15" i="38"/>
  <c r="I15" i="38" s="1"/>
  <c r="L15" i="38"/>
  <c r="Z359" i="25" l="1"/>
  <c r="S359" i="25"/>
  <c r="J37" i="34"/>
  <c r="K37" i="34" s="1"/>
  <c r="I38" i="37"/>
  <c r="I15" i="37"/>
  <c r="K15" i="37"/>
  <c r="R359" i="25" l="1"/>
  <c r="Q359" i="25" s="1"/>
  <c r="P359" i="25" s="1"/>
  <c r="O359" i="25" s="1"/>
  <c r="N359" i="25" s="1"/>
  <c r="K16" i="38"/>
  <c r="H15" i="37"/>
  <c r="D16" i="37" s="1"/>
  <c r="K16" i="34"/>
  <c r="H360" i="25" l="1"/>
  <c r="G360" i="25"/>
  <c r="F360" i="25" s="1"/>
  <c r="E360" i="25" s="1"/>
  <c r="H39" i="38"/>
  <c r="I39" i="38" s="1"/>
  <c r="O16" i="37"/>
  <c r="E40" i="37"/>
  <c r="E17" i="37" s="1"/>
  <c r="J17" i="37" s="1"/>
  <c r="H39" i="34"/>
  <c r="I39" i="34" s="1"/>
  <c r="C16" i="37"/>
  <c r="G16" i="37"/>
  <c r="H16" i="34"/>
  <c r="I16" i="34" s="1"/>
  <c r="L16" i="34"/>
  <c r="J16" i="34"/>
  <c r="J16" i="38"/>
  <c r="J38" i="38" s="1"/>
  <c r="K38" i="38" s="1"/>
  <c r="L38" i="38" s="1"/>
  <c r="H16" i="38"/>
  <c r="I16" i="38" s="1"/>
  <c r="L16" i="38"/>
  <c r="D360" i="25" l="1"/>
  <c r="Y360" i="25"/>
  <c r="C360" i="25"/>
  <c r="B361" i="25"/>
  <c r="M360" i="25"/>
  <c r="I361" i="25"/>
  <c r="J361" i="25"/>
  <c r="J38" i="34"/>
  <c r="K38" i="34" s="1"/>
  <c r="I39" i="37"/>
  <c r="I16" i="37"/>
  <c r="K16" i="37"/>
  <c r="Z360" i="25" l="1"/>
  <c r="S360" i="25"/>
  <c r="R360" i="25" s="1"/>
  <c r="Q360" i="25" s="1"/>
  <c r="P360" i="25" s="1"/>
  <c r="O360" i="25" s="1"/>
  <c r="N360" i="25" s="1"/>
  <c r="H16" i="37"/>
  <c r="D17" i="37" s="1"/>
  <c r="K17" i="38"/>
  <c r="K17" i="34"/>
  <c r="H361" i="25" l="1"/>
  <c r="G361" i="25"/>
  <c r="F361" i="25" s="1"/>
  <c r="E361" i="25" s="1"/>
  <c r="J17" i="38"/>
  <c r="J39" i="38" s="1"/>
  <c r="K39" i="38" s="1"/>
  <c r="L39" i="38" s="1"/>
  <c r="L17" i="38"/>
  <c r="H17" i="38"/>
  <c r="I17" i="38" s="1"/>
  <c r="J17" i="34"/>
  <c r="L17" i="34"/>
  <c r="H17" i="34"/>
  <c r="I17" i="34" s="1"/>
  <c r="H40" i="38"/>
  <c r="I40" i="38" s="1"/>
  <c r="H40" i="34"/>
  <c r="I40" i="34" s="1"/>
  <c r="C17" i="37"/>
  <c r="O17" i="37"/>
  <c r="G17" i="37"/>
  <c r="E41" i="37"/>
  <c r="E18" i="37" s="1"/>
  <c r="D361" i="25" l="1"/>
  <c r="C361" i="25"/>
  <c r="Y361" i="25"/>
  <c r="B362" i="25"/>
  <c r="I362" i="25"/>
  <c r="M361" i="25"/>
  <c r="J362" i="25"/>
  <c r="J39" i="34"/>
  <c r="K39" i="34" s="1"/>
  <c r="J18" i="37"/>
  <c r="I40" i="37"/>
  <c r="K17" i="37"/>
  <c r="I17" i="37"/>
  <c r="S361" i="25" l="1"/>
  <c r="R361" i="25" s="1"/>
  <c r="Q361" i="25" s="1"/>
  <c r="P361" i="25" s="1"/>
  <c r="O361" i="25" s="1"/>
  <c r="N361" i="25" s="1"/>
  <c r="G362" i="25" s="1"/>
  <c r="F362" i="25" s="1"/>
  <c r="E362" i="25" s="1"/>
  <c r="I363" i="25" s="1"/>
  <c r="Z361" i="25"/>
  <c r="K18" i="38"/>
  <c r="H17" i="37"/>
  <c r="K18" i="34"/>
  <c r="H362" i="25" l="1"/>
  <c r="M362" i="25"/>
  <c r="J363" i="25"/>
  <c r="S362" i="25" s="1"/>
  <c r="Y362" i="25"/>
  <c r="C362" i="25"/>
  <c r="D362" i="25"/>
  <c r="B363" i="25"/>
  <c r="L18" i="38"/>
  <c r="D18" i="37"/>
  <c r="H18" i="34"/>
  <c r="I18" i="34" s="1"/>
  <c r="L18" i="34"/>
  <c r="J18" i="34"/>
  <c r="H18" i="38"/>
  <c r="I18" i="38" s="1"/>
  <c r="J18" i="38"/>
  <c r="J40" i="38" s="1"/>
  <c r="K40" i="38" s="1"/>
  <c r="L40" i="38" s="1"/>
  <c r="R362" i="25" l="1"/>
  <c r="Q362" i="25" s="1"/>
  <c r="P362" i="25" s="1"/>
  <c r="O362" i="25" s="1"/>
  <c r="N362" i="25" s="1"/>
  <c r="G363" i="25" s="1"/>
  <c r="F363" i="25" s="1"/>
  <c r="E363" i="25" s="1"/>
  <c r="M363" i="25" s="1"/>
  <c r="Z362" i="25"/>
  <c r="J40" i="34"/>
  <c r="K40" i="34" s="1"/>
  <c r="H41" i="38"/>
  <c r="I41" i="38" s="1"/>
  <c r="H41" i="34"/>
  <c r="I41" i="34" s="1"/>
  <c r="C18" i="37"/>
  <c r="O18" i="37"/>
  <c r="E42" i="37"/>
  <c r="E19" i="37" s="1"/>
  <c r="G18" i="37"/>
  <c r="Z363" i="25" l="1"/>
  <c r="H363" i="25"/>
  <c r="C363" i="25"/>
  <c r="D363" i="25"/>
  <c r="Y363" i="25"/>
  <c r="I364" i="25"/>
  <c r="B364" i="25"/>
  <c r="J364" i="25"/>
  <c r="I41" i="37"/>
  <c r="I18" i="37"/>
  <c r="K18" i="37"/>
  <c r="J19" i="37"/>
  <c r="S363" i="25" l="1"/>
  <c r="K19" i="38"/>
  <c r="K19" i="34"/>
  <c r="H18" i="37"/>
  <c r="D19" i="37" s="1"/>
  <c r="R363" i="25" l="1"/>
  <c r="Q363" i="25" s="1"/>
  <c r="P363" i="25" s="1"/>
  <c r="O363" i="25" s="1"/>
  <c r="N363" i="25" s="1"/>
  <c r="H19" i="34"/>
  <c r="I19" i="34" s="1"/>
  <c r="L19" i="34"/>
  <c r="J19" i="34"/>
  <c r="H42" i="38"/>
  <c r="I42" i="38" s="1"/>
  <c r="E43" i="37"/>
  <c r="E20" i="37" s="1"/>
  <c r="J20" i="37" s="1"/>
  <c r="G19" i="37"/>
  <c r="H42" i="34"/>
  <c r="I42" i="34" s="1"/>
  <c r="C19" i="37"/>
  <c r="O19" i="37"/>
  <c r="H19" i="38"/>
  <c r="I19" i="38" s="1"/>
  <c r="J19" i="38"/>
  <c r="J41" i="38" s="1"/>
  <c r="K41" i="38" s="1"/>
  <c r="L41" i="38" s="1"/>
  <c r="L19" i="38"/>
  <c r="G364" i="25" l="1"/>
  <c r="F364" i="25" s="1"/>
  <c r="E364" i="25" s="1"/>
  <c r="H364" i="25"/>
  <c r="J41" i="34"/>
  <c r="K41" i="34" s="1"/>
  <c r="I42" i="37"/>
  <c r="I19" i="37"/>
  <c r="K19" i="37"/>
  <c r="C364" i="25" l="1"/>
  <c r="D364" i="25"/>
  <c r="Y364" i="25"/>
  <c r="M364" i="25"/>
  <c r="B365" i="25"/>
  <c r="I365" i="25"/>
  <c r="J365" i="25"/>
  <c r="K20" i="38"/>
  <c r="K20" i="34"/>
  <c r="H19" i="37"/>
  <c r="D20" i="37" s="1"/>
  <c r="Z364" i="25" l="1"/>
  <c r="S364" i="25"/>
  <c r="H20" i="34"/>
  <c r="I20" i="34" s="1"/>
  <c r="L20" i="34"/>
  <c r="J20" i="34"/>
  <c r="H43" i="38"/>
  <c r="I43" i="38" s="1"/>
  <c r="H43" i="34"/>
  <c r="I43" i="34" s="1"/>
  <c r="E44" i="37"/>
  <c r="E21" i="37" s="1"/>
  <c r="J21" i="37" s="1"/>
  <c r="O20" i="37"/>
  <c r="G20" i="37"/>
  <c r="K20" i="37" s="1"/>
  <c r="C20" i="37"/>
  <c r="J20" i="38"/>
  <c r="J42" i="38" s="1"/>
  <c r="K42" i="38" s="1"/>
  <c r="L42" i="38" s="1"/>
  <c r="H20" i="38"/>
  <c r="I20" i="38" s="1"/>
  <c r="L20" i="38"/>
  <c r="R364" i="25" l="1"/>
  <c r="Q364" i="25" s="1"/>
  <c r="P364" i="25" s="1"/>
  <c r="O364" i="25" s="1"/>
  <c r="N364" i="25" s="1"/>
  <c r="J42" i="34"/>
  <c r="K42" i="34" s="1"/>
  <c r="I43" i="37"/>
  <c r="I20" i="37"/>
  <c r="G365" i="25" l="1"/>
  <c r="F365" i="25" s="1"/>
  <c r="E365" i="25" s="1"/>
  <c r="H365" i="25"/>
  <c r="K21" i="38"/>
  <c r="K21" i="34"/>
  <c r="H20" i="37"/>
  <c r="D21" i="37" s="1"/>
  <c r="H44" i="38" s="1"/>
  <c r="I44" i="38" s="1"/>
  <c r="Y365" i="25" l="1"/>
  <c r="D365" i="25"/>
  <c r="C365" i="25"/>
  <c r="B366" i="25"/>
  <c r="I366" i="25"/>
  <c r="M365" i="25"/>
  <c r="J366" i="25"/>
  <c r="H44" i="34"/>
  <c r="I44" i="34" s="1"/>
  <c r="I25" i="34" s="1"/>
  <c r="L8" i="39" s="1"/>
  <c r="E45" i="37"/>
  <c r="E22" i="37" s="1"/>
  <c r="J22" i="37" s="1"/>
  <c r="G21" i="37"/>
  <c r="I44" i="37" s="1"/>
  <c r="I45" i="37" s="1"/>
  <c r="E18" i="39" s="1"/>
  <c r="O21" i="37"/>
  <c r="C21" i="37"/>
  <c r="H25" i="38"/>
  <c r="H21" i="34"/>
  <c r="I21" i="34" s="1"/>
  <c r="J21" i="34"/>
  <c r="L21" i="34"/>
  <c r="H21" i="38"/>
  <c r="I21" i="38" s="1"/>
  <c r="J21" i="38"/>
  <c r="J43" i="38" s="1"/>
  <c r="K43" i="38" s="1"/>
  <c r="L43" i="38" s="1"/>
  <c r="L21" i="38"/>
  <c r="S365" i="25" l="1"/>
  <c r="R365" i="25" s="1"/>
  <c r="Z365" i="25"/>
  <c r="I21" i="37"/>
  <c r="K22" i="38" s="1"/>
  <c r="H22" i="38" s="1"/>
  <c r="I22" i="38" s="1"/>
  <c r="J43" i="34"/>
  <c r="K43" i="34" s="1"/>
  <c r="K21" i="37"/>
  <c r="Q365" i="25" l="1"/>
  <c r="P365" i="25" s="1"/>
  <c r="O365" i="25" s="1"/>
  <c r="N365" i="25" s="1"/>
  <c r="H21" i="37"/>
  <c r="D22" i="37" s="1"/>
  <c r="C22" i="37" s="1"/>
  <c r="K22" i="34"/>
  <c r="J22" i="34" s="1"/>
  <c r="J44" i="34" s="1"/>
  <c r="J22" i="38"/>
  <c r="J44" i="38" s="1"/>
  <c r="K44" i="38" s="1"/>
  <c r="L44" i="38" s="1"/>
  <c r="H366" i="25" l="1"/>
  <c r="G366" i="25"/>
  <c r="F366" i="25" s="1"/>
  <c r="E366" i="25" s="1"/>
  <c r="L22" i="38"/>
  <c r="H22" i="34"/>
  <c r="I22" i="34" s="1"/>
  <c r="L22" i="34"/>
  <c r="J25" i="38"/>
  <c r="K44" i="34"/>
  <c r="K25" i="34" s="1"/>
  <c r="L9" i="39" s="1"/>
  <c r="G22" i="37"/>
  <c r="E23" i="37"/>
  <c r="J23" i="37" s="1"/>
  <c r="O22" i="37"/>
  <c r="Y366" i="25" l="1"/>
  <c r="C366" i="25"/>
  <c r="D366" i="25"/>
  <c r="B367" i="25"/>
  <c r="I367" i="25"/>
  <c r="M366" i="25"/>
  <c r="J367" i="25"/>
  <c r="L10" i="39"/>
  <c r="J12" i="39" s="1"/>
  <c r="I22" i="37"/>
  <c r="K23" i="34" s="1"/>
  <c r="J23" i="34" s="1"/>
  <c r="K22" i="37"/>
  <c r="S366" i="25" l="1"/>
  <c r="R366" i="25" s="1"/>
  <c r="Z366" i="25"/>
  <c r="K23" i="38"/>
  <c r="J23" i="38" s="1"/>
  <c r="H22" i="37"/>
  <c r="D23" i="37" s="1"/>
  <c r="O23" i="37" s="1"/>
  <c r="H23" i="34"/>
  <c r="I23" i="34" s="1"/>
  <c r="Q366" i="25" l="1"/>
  <c r="P366" i="25" s="1"/>
  <c r="O366" i="25" s="1"/>
  <c r="N366" i="25" s="1"/>
  <c r="L23" i="34"/>
  <c r="C23" i="37"/>
  <c r="G23" i="37"/>
  <c r="H23" i="37" s="1"/>
  <c r="L23" i="38"/>
  <c r="H23" i="38"/>
  <c r="I23" i="38" s="1"/>
  <c r="G367" i="25" l="1"/>
  <c r="F367" i="25" s="1"/>
  <c r="E367" i="25" s="1"/>
  <c r="H367" i="25"/>
  <c r="P23" i="37"/>
  <c r="C367" i="25" l="1"/>
  <c r="D367" i="25"/>
  <c r="Y367" i="25"/>
  <c r="B368" i="25"/>
  <c r="I368" i="25"/>
  <c r="M367" i="25"/>
  <c r="J368" i="25"/>
  <c r="C67" i="38"/>
  <c r="C63" i="38"/>
  <c r="C59" i="38"/>
  <c r="C55" i="38"/>
  <c r="C51" i="38"/>
  <c r="C69" i="38"/>
  <c r="C65" i="38"/>
  <c r="C61" i="38"/>
  <c r="C57" i="38"/>
  <c r="C53" i="38"/>
  <c r="C68" i="38"/>
  <c r="C66" i="38"/>
  <c r="C64" i="38"/>
  <c r="C62" i="38"/>
  <c r="C60" i="38"/>
  <c r="C58" i="38"/>
  <c r="C54" i="38"/>
  <c r="C56" i="38"/>
  <c r="C52" i="38"/>
  <c r="S367" i="25" l="1"/>
  <c r="R367" i="25" s="1"/>
  <c r="Z367" i="25"/>
  <c r="J18" i="1"/>
  <c r="Q367" i="25" l="1"/>
  <c r="P367" i="25" s="1"/>
  <c r="O367" i="25" s="1"/>
  <c r="N367" i="25" s="1"/>
  <c r="K18" i="1"/>
  <c r="G368" i="25" l="1"/>
  <c r="F368" i="25" s="1"/>
  <c r="E368" i="25" s="1"/>
  <c r="H368" i="25"/>
  <c r="D368" i="25" l="1"/>
  <c r="Y368" i="25"/>
  <c r="C368" i="25"/>
  <c r="B369" i="25"/>
  <c r="I369" i="25"/>
  <c r="J369" i="25"/>
  <c r="M368" i="25"/>
  <c r="S368" i="25" l="1"/>
  <c r="R368" i="25" s="1"/>
  <c r="Z368" i="25"/>
  <c r="Q368" i="25" l="1"/>
  <c r="P368" i="25" s="1"/>
  <c r="O368" i="25" s="1"/>
  <c r="N368" i="25" s="1"/>
  <c r="H369" i="25" l="1"/>
  <c r="G369" i="25"/>
  <c r="F369" i="25" s="1"/>
  <c r="E369" i="25" s="1"/>
  <c r="D369" i="25" l="1"/>
  <c r="Y369" i="25"/>
  <c r="C369" i="25"/>
  <c r="B370" i="25"/>
  <c r="M369" i="25"/>
  <c r="I370" i="25"/>
  <c r="J370" i="25"/>
  <c r="Z369" i="25" l="1"/>
  <c r="S369" i="25"/>
  <c r="R369" i="25" l="1"/>
  <c r="Q369" i="25" s="1"/>
  <c r="P369" i="25" s="1"/>
  <c r="O369" i="25" s="1"/>
  <c r="N369" i="25" s="1"/>
  <c r="H370" i="25" l="1"/>
  <c r="G370" i="25"/>
  <c r="F370" i="25" s="1"/>
  <c r="E370" i="25" s="1"/>
  <c r="C370" i="25" l="1"/>
  <c r="D370" i="25"/>
  <c r="Y370" i="25"/>
  <c r="B371" i="25"/>
  <c r="M370" i="25"/>
  <c r="J371" i="25"/>
  <c r="I371" i="25"/>
  <c r="Z370" i="25" l="1"/>
  <c r="S370" i="25"/>
  <c r="R370" i="25" l="1"/>
  <c r="Q370" i="25" s="1"/>
  <c r="P370" i="25" s="1"/>
  <c r="O370" i="25" s="1"/>
  <c r="N370" i="25" s="1"/>
  <c r="G371" i="25" l="1"/>
  <c r="F371" i="25" s="1"/>
  <c r="E371" i="25" s="1"/>
  <c r="H371" i="25"/>
  <c r="C371" i="25" l="1"/>
  <c r="Y371" i="25"/>
  <c r="D371" i="25"/>
  <c r="B372" i="25"/>
  <c r="I372" i="25"/>
  <c r="J372" i="25"/>
  <c r="M371" i="25"/>
  <c r="S371" i="25" l="1"/>
  <c r="R371" i="25" s="1"/>
  <c r="Z371" i="25"/>
  <c r="Q371" i="25" l="1"/>
  <c r="P371" i="25" s="1"/>
  <c r="O371" i="25" s="1"/>
  <c r="N371" i="25" s="1"/>
  <c r="H372" i="25" l="1"/>
  <c r="G372" i="25"/>
  <c r="F372" i="25" s="1"/>
  <c r="E372" i="25" s="1"/>
  <c r="D372" i="25" l="1"/>
  <c r="C372" i="25"/>
  <c r="Y372" i="25"/>
  <c r="B373" i="25"/>
  <c r="M372" i="25"/>
  <c r="I373" i="25"/>
  <c r="J373" i="25"/>
  <c r="Z372" i="25" l="1"/>
  <c r="S372" i="25"/>
  <c r="R372" i="25" l="1"/>
  <c r="Q372" i="25" s="1"/>
  <c r="P372" i="25" s="1"/>
  <c r="O372" i="25" s="1"/>
  <c r="N372" i="25" s="1"/>
  <c r="G373" i="25" l="1"/>
  <c r="F373" i="25" s="1"/>
  <c r="E373" i="25" s="1"/>
  <c r="H373" i="25"/>
  <c r="D373" i="25" l="1"/>
  <c r="C373" i="25"/>
  <c r="Y373" i="25"/>
  <c r="B374" i="25"/>
  <c r="M373" i="25"/>
  <c r="I374" i="25"/>
  <c r="J374" i="25"/>
  <c r="Z373" i="25" l="1"/>
  <c r="S373" i="25"/>
  <c r="R373" i="25" l="1"/>
  <c r="Q373" i="25" s="1"/>
  <c r="P373" i="25" s="1"/>
  <c r="O373" i="25" s="1"/>
  <c r="N373" i="25" s="1"/>
  <c r="G374" i="25" l="1"/>
  <c r="F374" i="25" s="1"/>
  <c r="E374" i="25" s="1"/>
  <c r="H374" i="25"/>
  <c r="C374" i="25" l="1"/>
  <c r="D374" i="25"/>
  <c r="Y374" i="25"/>
  <c r="B375" i="25"/>
  <c r="M374" i="25"/>
  <c r="I375" i="25"/>
  <c r="J375" i="25"/>
  <c r="Z374" i="25" l="1"/>
  <c r="S374" i="25"/>
  <c r="R374" i="25" l="1"/>
  <c r="Q374" i="25" s="1"/>
  <c r="P374" i="25" s="1"/>
  <c r="O374" i="25" s="1"/>
  <c r="N374" i="25" s="1"/>
  <c r="H375" i="25" l="1"/>
  <c r="G375" i="25"/>
  <c r="F375" i="25" s="1"/>
  <c r="E375" i="25" s="1"/>
  <c r="D375" i="25" l="1"/>
  <c r="C375" i="25"/>
  <c r="Y375" i="25"/>
  <c r="B376" i="25"/>
  <c r="M375" i="25"/>
  <c r="J376" i="25"/>
  <c r="I376" i="25"/>
  <c r="Z375" i="25" l="1"/>
  <c r="S375" i="25"/>
  <c r="R375" i="25" l="1"/>
  <c r="Q375" i="25" s="1"/>
  <c r="P375" i="25" s="1"/>
  <c r="O375" i="25" s="1"/>
  <c r="N375" i="25" s="1"/>
  <c r="H376" i="25" l="1"/>
  <c r="G376" i="25"/>
  <c r="F376" i="25" s="1"/>
  <c r="E376" i="25" s="1"/>
  <c r="C376" i="25" l="1"/>
  <c r="D376" i="25"/>
  <c r="Y376" i="25"/>
  <c r="B377" i="25"/>
  <c r="J377" i="25"/>
  <c r="I377" i="25"/>
  <c r="M376" i="25"/>
  <c r="Z376" i="25" l="1"/>
  <c r="S376" i="25"/>
  <c r="R376" i="25" s="1"/>
  <c r="Q376" i="25" l="1"/>
  <c r="P376" i="25" s="1"/>
  <c r="O376" i="25" s="1"/>
  <c r="N376" i="25" s="1"/>
  <c r="H377" i="25" l="1"/>
  <c r="G377" i="25"/>
  <c r="F377" i="25" s="1"/>
  <c r="E377" i="25" s="1"/>
  <c r="C377" i="25" l="1"/>
  <c r="D377" i="25"/>
  <c r="Y377" i="25"/>
  <c r="B378" i="25"/>
  <c r="J378" i="25"/>
  <c r="I378" i="25"/>
  <c r="M377" i="25"/>
  <c r="Z377" i="25" l="1"/>
  <c r="S377" i="25"/>
  <c r="R377" i="25" s="1"/>
  <c r="Q377" i="25" l="1"/>
  <c r="P377" i="25" s="1"/>
  <c r="O377" i="25" s="1"/>
  <c r="N377" i="25" s="1"/>
  <c r="H378" i="25" l="1"/>
  <c r="G378" i="25"/>
  <c r="F378" i="25" s="1"/>
  <c r="E378" i="25" s="1"/>
  <c r="Y378" i="25" l="1"/>
  <c r="D378" i="25"/>
  <c r="C378" i="25"/>
  <c r="B379" i="25"/>
  <c r="J379" i="25"/>
  <c r="I379" i="25"/>
  <c r="M378" i="25"/>
  <c r="Z378" i="25" l="1"/>
  <c r="S378" i="25"/>
  <c r="R378" i="25" s="1"/>
  <c r="Q378" i="25" l="1"/>
  <c r="P378" i="25" s="1"/>
  <c r="O378" i="25" s="1"/>
  <c r="N378" i="25" s="1"/>
  <c r="G379" i="25" l="1"/>
  <c r="F379" i="25" s="1"/>
  <c r="E379" i="25" s="1"/>
  <c r="H379" i="25"/>
  <c r="Y379" i="25" l="1"/>
  <c r="D379" i="25"/>
  <c r="C379" i="25"/>
  <c r="B380" i="25"/>
  <c r="J380" i="25"/>
  <c r="M379" i="25"/>
  <c r="I380" i="25"/>
  <c r="S379" i="25" l="1"/>
  <c r="Z379" i="25"/>
  <c r="R379" i="25" l="1"/>
  <c r="Q379" i="25" s="1"/>
  <c r="P379" i="25" s="1"/>
  <c r="O379" i="25" s="1"/>
  <c r="N379" i="25" s="1"/>
  <c r="G380" i="25" l="1"/>
  <c r="F380" i="25" s="1"/>
  <c r="E380" i="25" s="1"/>
  <c r="H380" i="25"/>
  <c r="D380" i="25" l="1"/>
  <c r="Y380" i="25"/>
  <c r="C380" i="25"/>
  <c r="B381" i="25"/>
  <c r="J381" i="25"/>
  <c r="I381" i="25"/>
  <c r="M380" i="25"/>
  <c r="Z380" i="25" l="1"/>
  <c r="S380" i="25"/>
  <c r="R380" i="25" s="1"/>
  <c r="Q380" i="25" l="1"/>
  <c r="P380" i="25" s="1"/>
  <c r="O380" i="25" s="1"/>
  <c r="N380" i="25" s="1"/>
  <c r="H381" i="25" l="1"/>
  <c r="G381" i="25"/>
  <c r="F381" i="25" s="1"/>
  <c r="E381" i="25" s="1"/>
  <c r="C381" i="25" l="1"/>
  <c r="Y381" i="25"/>
  <c r="D381" i="25"/>
  <c r="B382" i="25"/>
  <c r="J382" i="25"/>
  <c r="I382" i="25"/>
  <c r="M381" i="25"/>
  <c r="Z381" i="25" l="1"/>
  <c r="S381" i="25"/>
  <c r="R381" i="25" s="1"/>
  <c r="Q381" i="25" l="1"/>
  <c r="P381" i="25" s="1"/>
  <c r="O381" i="25" s="1"/>
  <c r="N381" i="25" s="1"/>
  <c r="G382" i="25" l="1"/>
  <c r="F382" i="25" s="1"/>
  <c r="E382" i="25" s="1"/>
  <c r="H382" i="25"/>
  <c r="C382" i="25" l="1"/>
  <c r="Y382" i="25"/>
  <c r="D382" i="25"/>
  <c r="B383" i="25"/>
  <c r="J383" i="25"/>
  <c r="M382" i="25"/>
  <c r="I383" i="25"/>
  <c r="S382" i="25" l="1"/>
  <c r="Z382" i="25"/>
  <c r="R382" i="25" l="1"/>
  <c r="Q382" i="25" s="1"/>
  <c r="P382" i="25" s="1"/>
  <c r="O382" i="25" s="1"/>
  <c r="N382" i="25" s="1"/>
  <c r="G383" i="25" l="1"/>
  <c r="F383" i="25" s="1"/>
  <c r="E383" i="25" s="1"/>
  <c r="H383" i="25"/>
  <c r="C383" i="25" l="1"/>
  <c r="Y383" i="25"/>
  <c r="D383" i="25"/>
  <c r="B384" i="25"/>
  <c r="J384" i="25"/>
  <c r="M383" i="25"/>
  <c r="I384" i="25"/>
  <c r="S383" i="25" l="1"/>
  <c r="Z383" i="25"/>
  <c r="R383" i="25" l="1"/>
  <c r="Q383" i="25" s="1"/>
  <c r="P383" i="25" s="1"/>
  <c r="O383" i="25" s="1"/>
  <c r="N383" i="25" s="1"/>
  <c r="H384" i="25" l="1"/>
  <c r="G384" i="25"/>
  <c r="F384" i="25" s="1"/>
  <c r="E384" i="25" s="1"/>
  <c r="Y384" i="25" l="1"/>
  <c r="D384" i="25"/>
  <c r="C384" i="25"/>
  <c r="B385" i="25"/>
  <c r="J385" i="25"/>
  <c r="M384" i="25"/>
  <c r="I385" i="25"/>
  <c r="S384" i="25" l="1"/>
  <c r="Z384" i="25"/>
  <c r="R384" i="25" l="1"/>
  <c r="Q384" i="25" s="1"/>
  <c r="P384" i="25" s="1"/>
  <c r="O384" i="25" s="1"/>
  <c r="N384" i="25" s="1"/>
  <c r="H385" i="25" l="1"/>
  <c r="G385" i="25"/>
  <c r="F385" i="25" s="1"/>
  <c r="E385" i="25" s="1"/>
  <c r="D385" i="25" l="1"/>
  <c r="C385" i="25"/>
  <c r="Y385" i="25"/>
  <c r="B386" i="25"/>
  <c r="J386" i="25"/>
  <c r="M385" i="25"/>
  <c r="I386" i="25"/>
  <c r="S385" i="25" l="1"/>
  <c r="Z385" i="25"/>
  <c r="R385" i="25" l="1"/>
  <c r="Q385" i="25" s="1"/>
  <c r="P385" i="25" s="1"/>
  <c r="O385" i="25" s="1"/>
  <c r="N385" i="25" s="1"/>
  <c r="G386" i="25" l="1"/>
  <c r="F386" i="25" s="1"/>
  <c r="E386" i="25" s="1"/>
  <c r="H386" i="25"/>
  <c r="D386" i="25" l="1"/>
  <c r="C386" i="25"/>
  <c r="Y386" i="25"/>
  <c r="B387" i="25"/>
  <c r="M386" i="25"/>
  <c r="J387" i="25"/>
  <c r="I387" i="25"/>
  <c r="Z386" i="25" l="1"/>
  <c r="S386" i="25"/>
  <c r="R386" i="25" l="1"/>
  <c r="Q386" i="25" s="1"/>
  <c r="P386" i="25" s="1"/>
  <c r="O386" i="25" s="1"/>
  <c r="N386" i="25" s="1"/>
  <c r="G387" i="25" l="1"/>
  <c r="F387" i="25" s="1"/>
  <c r="E387" i="25" s="1"/>
  <c r="H387" i="25"/>
  <c r="D387" i="25" l="1"/>
  <c r="C387" i="25"/>
  <c r="Y387" i="25"/>
  <c r="B388" i="25"/>
  <c r="I388" i="25"/>
  <c r="M387" i="25"/>
  <c r="J388" i="25"/>
  <c r="S387" i="25" l="1"/>
  <c r="R387" i="25" s="1"/>
  <c r="Z387" i="25"/>
  <c r="Q387" i="25" l="1"/>
  <c r="P387" i="25" s="1"/>
  <c r="O387" i="25" s="1"/>
  <c r="N387" i="25" s="1"/>
  <c r="G388" i="25" l="1"/>
  <c r="F388" i="25" s="1"/>
  <c r="E388" i="25" s="1"/>
  <c r="H388" i="25"/>
  <c r="D388" i="25" l="1"/>
  <c r="Y388" i="25"/>
  <c r="C388" i="25"/>
  <c r="B389" i="25"/>
  <c r="I389" i="25"/>
  <c r="M388" i="25"/>
  <c r="J389" i="25"/>
  <c r="S388" i="25" l="1"/>
  <c r="R388" i="25" s="1"/>
  <c r="Z388" i="25"/>
  <c r="Q388" i="25" l="1"/>
  <c r="P388" i="25" s="1"/>
  <c r="O388" i="25" s="1"/>
  <c r="N388" i="25" s="1"/>
  <c r="H389" i="25" l="1"/>
  <c r="G389" i="25"/>
  <c r="F389" i="25" s="1"/>
  <c r="E389" i="25" s="1"/>
  <c r="D389" i="25" l="1"/>
  <c r="C389" i="25"/>
  <c r="Y389" i="25"/>
  <c r="B390" i="25"/>
  <c r="I390" i="25"/>
  <c r="M389" i="25"/>
  <c r="J390" i="25"/>
  <c r="S389" i="25" l="1"/>
  <c r="R389" i="25" s="1"/>
  <c r="Z389" i="25"/>
  <c r="Q389" i="25" l="1"/>
  <c r="P389" i="25" s="1"/>
  <c r="O389" i="25" s="1"/>
  <c r="N389" i="25" s="1"/>
  <c r="H390" i="25" l="1"/>
  <c r="G390" i="25"/>
  <c r="F390" i="25" s="1"/>
  <c r="E390" i="25" s="1"/>
  <c r="Y390" i="25" l="1"/>
  <c r="D390" i="25"/>
  <c r="C390" i="25"/>
  <c r="B391" i="25"/>
  <c r="I391" i="25"/>
  <c r="M390" i="25"/>
  <c r="J391" i="25"/>
  <c r="S390" i="25" l="1"/>
  <c r="R390" i="25" s="1"/>
  <c r="Z390" i="25"/>
  <c r="Q390" i="25" l="1"/>
  <c r="P390" i="25" s="1"/>
  <c r="O390" i="25" s="1"/>
  <c r="N390" i="25" s="1"/>
  <c r="H391" i="25" l="1"/>
  <c r="G391" i="25"/>
  <c r="F391" i="25" s="1"/>
  <c r="E391" i="25" s="1"/>
  <c r="Y391" i="25" l="1"/>
  <c r="D391" i="25"/>
  <c r="C391" i="25"/>
  <c r="B392" i="25"/>
  <c r="I392" i="25"/>
  <c r="M391" i="25"/>
  <c r="J392" i="25"/>
  <c r="S391" i="25" l="1"/>
  <c r="R391" i="25" s="1"/>
  <c r="Z391" i="25"/>
  <c r="Q391" i="25" l="1"/>
  <c r="P391" i="25" s="1"/>
  <c r="O391" i="25" s="1"/>
  <c r="N391" i="25" s="1"/>
  <c r="G392" i="25" l="1"/>
  <c r="F392" i="25" s="1"/>
  <c r="E392" i="25" s="1"/>
  <c r="H392" i="25"/>
  <c r="D392" i="25" l="1"/>
  <c r="Y392" i="25"/>
  <c r="C392" i="25"/>
  <c r="B393" i="25"/>
  <c r="I393" i="25"/>
  <c r="J393" i="25"/>
  <c r="M392" i="25"/>
  <c r="S392" i="25" l="1"/>
  <c r="R392" i="25" s="1"/>
  <c r="Z392" i="25"/>
  <c r="Q392" i="25" l="1"/>
  <c r="P392" i="25" s="1"/>
  <c r="O392" i="25" s="1"/>
  <c r="N392" i="25" s="1"/>
  <c r="H393" i="25" l="1"/>
  <c r="G393" i="25"/>
  <c r="F393" i="25" s="1"/>
  <c r="E393" i="25" s="1"/>
  <c r="Y393" i="25" l="1"/>
  <c r="D393" i="25"/>
  <c r="C393" i="25"/>
  <c r="B394" i="25"/>
  <c r="M393" i="25"/>
  <c r="J394" i="25"/>
  <c r="I394" i="25"/>
  <c r="Z393" i="25" l="1"/>
  <c r="S393" i="25"/>
  <c r="R393" i="25" l="1"/>
  <c r="Q393" i="25" s="1"/>
  <c r="P393" i="25" s="1"/>
  <c r="O393" i="25" s="1"/>
  <c r="N393" i="25" s="1"/>
  <c r="G394" i="25" l="1"/>
  <c r="F394" i="25" s="1"/>
  <c r="E394" i="25" s="1"/>
  <c r="H394" i="25"/>
  <c r="D394" i="25" l="1"/>
  <c r="C394" i="25"/>
  <c r="Y394" i="25"/>
  <c r="B395" i="25"/>
  <c r="I395" i="25"/>
  <c r="J395" i="25"/>
  <c r="M394" i="25"/>
  <c r="S394" i="25" l="1"/>
  <c r="R394" i="25" s="1"/>
  <c r="Z394" i="25"/>
  <c r="Q394" i="25" l="1"/>
  <c r="P394" i="25" s="1"/>
  <c r="O394" i="25" s="1"/>
  <c r="N394" i="25" s="1"/>
  <c r="G395" i="25" l="1"/>
  <c r="F395" i="25" s="1"/>
  <c r="E395" i="25" s="1"/>
  <c r="H395" i="25"/>
  <c r="C395" i="25" l="1"/>
  <c r="D395" i="25"/>
  <c r="Y395" i="25"/>
  <c r="B396" i="25"/>
  <c r="M395" i="25"/>
  <c r="I396" i="25"/>
  <c r="J396" i="25"/>
  <c r="Z395" i="25" l="1"/>
  <c r="S395" i="25"/>
  <c r="R395" i="25" l="1"/>
  <c r="Q395" i="25" s="1"/>
  <c r="P395" i="25" s="1"/>
  <c r="O395" i="25" s="1"/>
  <c r="N395" i="25" s="1"/>
  <c r="G396" i="25" l="1"/>
  <c r="F396" i="25" s="1"/>
  <c r="E396" i="25" s="1"/>
  <c r="H396" i="25"/>
  <c r="Y396" i="25" l="1"/>
  <c r="C396" i="25"/>
  <c r="D396" i="25"/>
  <c r="B397" i="25"/>
  <c r="J397" i="25"/>
  <c r="I397" i="25"/>
  <c r="M396" i="25"/>
  <c r="Z396" i="25" l="1"/>
  <c r="S396" i="25"/>
  <c r="R396" i="25" s="1"/>
  <c r="Q396" i="25" l="1"/>
  <c r="P396" i="25" s="1"/>
  <c r="O396" i="25" s="1"/>
  <c r="N396" i="25" s="1"/>
  <c r="G397" i="25" l="1"/>
  <c r="F397" i="25" s="1"/>
  <c r="E397" i="25" s="1"/>
  <c r="H397" i="25"/>
  <c r="C397" i="25" l="1"/>
  <c r="Y397" i="25"/>
  <c r="D397" i="25"/>
  <c r="B398" i="25"/>
  <c r="J398" i="25"/>
  <c r="M397" i="25"/>
  <c r="I398" i="25"/>
  <c r="S397" i="25" l="1"/>
  <c r="Z397" i="25"/>
  <c r="R397" i="25" l="1"/>
  <c r="Q397" i="25" s="1"/>
  <c r="P397" i="25" s="1"/>
  <c r="O397" i="25" s="1"/>
  <c r="N397" i="25" s="1"/>
  <c r="H398" i="25" l="1"/>
  <c r="G398" i="25"/>
  <c r="F398" i="25" s="1"/>
  <c r="E398" i="25" s="1"/>
  <c r="C398" i="25" l="1"/>
  <c r="Y398" i="25"/>
  <c r="D398" i="25"/>
  <c r="B399" i="25"/>
  <c r="J399" i="25"/>
  <c r="M398" i="25"/>
  <c r="I399" i="25"/>
  <c r="S398" i="25" l="1"/>
  <c r="Z398" i="25"/>
  <c r="R398" i="25" l="1"/>
  <c r="Q398" i="25" s="1"/>
  <c r="P398" i="25" s="1"/>
  <c r="O398" i="25" s="1"/>
  <c r="N398" i="25" s="1"/>
  <c r="G399" i="25" l="1"/>
  <c r="F399" i="25" s="1"/>
  <c r="E399" i="25" s="1"/>
  <c r="H399" i="25"/>
  <c r="D399" i="25" l="1"/>
  <c r="C399" i="25"/>
  <c r="Y399" i="25"/>
  <c r="B400" i="25"/>
  <c r="J400" i="25"/>
  <c r="M399" i="25"/>
  <c r="I400" i="25"/>
  <c r="S399" i="25" l="1"/>
  <c r="Z399" i="25"/>
  <c r="R399" i="25" l="1"/>
  <c r="Q399" i="25" s="1"/>
  <c r="P399" i="25" s="1"/>
  <c r="O399" i="25" s="1"/>
  <c r="N399" i="25" s="1"/>
  <c r="G400" i="25" l="1"/>
  <c r="F400" i="25" s="1"/>
  <c r="E400" i="25" s="1"/>
  <c r="H400" i="25"/>
  <c r="Y400" i="25" l="1"/>
  <c r="C400" i="25"/>
  <c r="D400" i="25"/>
  <c r="B401" i="25"/>
  <c r="J401" i="25"/>
  <c r="I401" i="25"/>
  <c r="M400" i="25"/>
  <c r="Z400" i="25" l="1"/>
  <c r="S400" i="25"/>
  <c r="R400" i="25" s="1"/>
  <c r="Q400" i="25" l="1"/>
  <c r="P400" i="25" s="1"/>
  <c r="O400" i="25" s="1"/>
  <c r="N400" i="25" s="1"/>
  <c r="G401" i="25" l="1"/>
  <c r="F401" i="25" s="1"/>
  <c r="E401" i="25" s="1"/>
  <c r="H401" i="25"/>
  <c r="D401" i="25" l="1"/>
  <c r="Y401" i="25"/>
  <c r="C401" i="25"/>
  <c r="B402" i="25"/>
  <c r="M401" i="25"/>
  <c r="J402" i="25"/>
  <c r="I402" i="25"/>
  <c r="Z401" i="25" l="1"/>
  <c r="S401" i="25"/>
  <c r="R401" i="25" l="1"/>
  <c r="Q401" i="25" s="1"/>
  <c r="P401" i="25" s="1"/>
  <c r="O401" i="25" s="1"/>
  <c r="N401" i="25" s="1"/>
  <c r="G402" i="25" l="1"/>
  <c r="F402" i="25" s="1"/>
  <c r="E402" i="25" s="1"/>
  <c r="H402" i="25"/>
  <c r="Y402" i="25" l="1"/>
  <c r="D402" i="25"/>
  <c r="C402" i="25"/>
  <c r="B403" i="25"/>
  <c r="I403" i="25"/>
  <c r="M402" i="25"/>
  <c r="J403" i="25"/>
  <c r="S402" i="25" l="1"/>
  <c r="R402" i="25" s="1"/>
  <c r="Z402" i="25"/>
  <c r="Q402" i="25" l="1"/>
  <c r="P402" i="25" s="1"/>
  <c r="O402" i="25" s="1"/>
  <c r="N402" i="25" s="1"/>
  <c r="G403" i="25" l="1"/>
  <c r="F403" i="25" s="1"/>
  <c r="E403" i="25" s="1"/>
  <c r="H403" i="25"/>
  <c r="Y403" i="25" l="1"/>
  <c r="C403" i="25"/>
  <c r="D403" i="25"/>
  <c r="B404" i="25"/>
  <c r="I404" i="25"/>
  <c r="M403" i="25"/>
  <c r="J404" i="25"/>
  <c r="S403" i="25" l="1"/>
  <c r="R403" i="25" s="1"/>
  <c r="Z403" i="25"/>
  <c r="Q403" i="25" l="1"/>
  <c r="P403" i="25" s="1"/>
  <c r="O403" i="25" s="1"/>
  <c r="N403" i="25" s="1"/>
  <c r="G404" i="25" l="1"/>
  <c r="F404" i="25" s="1"/>
  <c r="E404" i="25" s="1"/>
  <c r="H404" i="25"/>
  <c r="C404" i="25" l="1"/>
  <c r="D404" i="25"/>
  <c r="Y404" i="25"/>
  <c r="B405" i="25"/>
  <c r="I405" i="25"/>
  <c r="M404" i="25"/>
  <c r="J405" i="25"/>
  <c r="S404" i="25" l="1"/>
  <c r="R404" i="25" s="1"/>
  <c r="Z404" i="25"/>
  <c r="Q404" i="25" l="1"/>
  <c r="P404" i="25" s="1"/>
  <c r="O404" i="25" s="1"/>
  <c r="N404" i="25" s="1"/>
  <c r="G405" i="25" l="1"/>
  <c r="F405" i="25" s="1"/>
  <c r="E405" i="25" s="1"/>
  <c r="H405" i="25"/>
  <c r="D405" i="25" l="1"/>
  <c r="C405" i="25"/>
  <c r="Y405" i="25"/>
  <c r="B406" i="25"/>
  <c r="I406" i="25"/>
  <c r="M405" i="25"/>
  <c r="J406" i="25"/>
  <c r="S405" i="25" l="1"/>
  <c r="R405" i="25" s="1"/>
  <c r="Z405" i="25"/>
  <c r="Q405" i="25" l="1"/>
  <c r="P405" i="25" s="1"/>
  <c r="O405" i="25" s="1"/>
  <c r="N405" i="25" s="1"/>
  <c r="H406" i="25" l="1"/>
  <c r="G406" i="25"/>
  <c r="F406" i="25" s="1"/>
  <c r="E406" i="25" s="1"/>
  <c r="C406" i="25" l="1"/>
  <c r="Y406" i="25"/>
  <c r="D406" i="25"/>
  <c r="B407" i="25"/>
  <c r="I407" i="25"/>
  <c r="M406" i="25"/>
  <c r="J407" i="25"/>
  <c r="S406" i="25" l="1"/>
  <c r="R406" i="25" s="1"/>
  <c r="Z406" i="25"/>
  <c r="Q406" i="25" l="1"/>
  <c r="P406" i="25" s="1"/>
  <c r="O406" i="25" s="1"/>
  <c r="N406" i="25" s="1"/>
  <c r="H407" i="25" l="1"/>
  <c r="G407" i="25"/>
  <c r="F407" i="25" s="1"/>
  <c r="E407" i="25" s="1"/>
  <c r="Y407" i="25" l="1"/>
  <c r="D407" i="25"/>
  <c r="C407" i="25"/>
  <c r="B408" i="25"/>
  <c r="I408" i="25"/>
  <c r="J408" i="25"/>
  <c r="M407" i="25"/>
  <c r="S407" i="25" l="1"/>
  <c r="R407" i="25" s="1"/>
  <c r="Q407" i="25" s="1"/>
  <c r="P407" i="25" s="1"/>
  <c r="O407" i="25" s="1"/>
  <c r="N407" i="25" s="1"/>
  <c r="H408" i="25" s="1"/>
  <c r="Z407" i="25"/>
  <c r="G408" i="25" l="1"/>
  <c r="F408" i="25" s="1"/>
  <c r="E408" i="25" s="1"/>
  <c r="Y408" i="25" l="1"/>
  <c r="C408" i="25"/>
  <c r="D408" i="25"/>
  <c r="B409" i="25"/>
  <c r="M408" i="25"/>
  <c r="I409" i="25"/>
  <c r="J409" i="25"/>
  <c r="Z408" i="25" l="1"/>
  <c r="S408" i="25"/>
  <c r="R408" i="25" l="1"/>
  <c r="Q408" i="25" s="1"/>
  <c r="P408" i="25" s="1"/>
  <c r="O408" i="25" s="1"/>
  <c r="N408" i="25" s="1"/>
  <c r="H409" i="25" l="1"/>
  <c r="G409" i="25"/>
  <c r="F409" i="25" s="1"/>
  <c r="E409" i="25" s="1"/>
  <c r="C409" i="25" l="1"/>
  <c r="D409" i="25"/>
  <c r="Y409" i="25"/>
  <c r="B410" i="25"/>
  <c r="I410" i="25"/>
  <c r="M409" i="25"/>
  <c r="J410" i="25"/>
  <c r="S409" i="25" l="1"/>
  <c r="R409" i="25" s="1"/>
  <c r="Z409" i="25"/>
  <c r="Q409" i="25" l="1"/>
  <c r="P409" i="25" s="1"/>
  <c r="O409" i="25" s="1"/>
  <c r="N409" i="25" s="1"/>
  <c r="H410" i="25" l="1"/>
  <c r="G410" i="25"/>
  <c r="F410" i="25" s="1"/>
  <c r="E410" i="25" s="1"/>
  <c r="M410" i="25" l="1"/>
  <c r="C410" i="25"/>
  <c r="D410" i="25"/>
  <c r="Y410" i="25"/>
  <c r="B411" i="25"/>
  <c r="I411" i="25"/>
  <c r="J411" i="25"/>
  <c r="S410" i="25" l="1"/>
  <c r="R410" i="25" s="1"/>
  <c r="Z410" i="25"/>
  <c r="Q410" i="25" l="1"/>
  <c r="P410" i="25" s="1"/>
  <c r="O410" i="25" s="1"/>
  <c r="N410" i="25" s="1"/>
  <c r="H411" i="25" l="1"/>
  <c r="G411" i="25"/>
  <c r="F411" i="25" s="1"/>
  <c r="E411" i="25" s="1"/>
  <c r="C411" i="25" l="1"/>
  <c r="D411" i="25"/>
  <c r="Y411" i="25"/>
  <c r="B412" i="25"/>
  <c r="J412" i="25"/>
  <c r="M411" i="25"/>
  <c r="I412" i="25"/>
  <c r="S411" i="25" l="1"/>
  <c r="Z411" i="25"/>
  <c r="R411" i="25" l="1"/>
  <c r="Q411" i="25" s="1"/>
  <c r="P411" i="25" s="1"/>
  <c r="O411" i="25" s="1"/>
  <c r="N411" i="25" s="1"/>
  <c r="G412" i="25" l="1"/>
  <c r="F412" i="25" s="1"/>
  <c r="E412" i="25" s="1"/>
  <c r="H412" i="25"/>
  <c r="C412" i="25" l="1"/>
  <c r="Y412" i="25"/>
  <c r="D412" i="25"/>
  <c r="B413" i="25"/>
  <c r="J413" i="25"/>
  <c r="M412" i="25"/>
  <c r="I413" i="25"/>
  <c r="S412" i="25" l="1"/>
  <c r="Z412" i="25"/>
  <c r="R412" i="25" l="1"/>
  <c r="Q412" i="25" s="1"/>
  <c r="P412" i="25" s="1"/>
  <c r="O412" i="25" s="1"/>
  <c r="N412" i="25" s="1"/>
  <c r="G413" i="25" l="1"/>
  <c r="F413" i="25" s="1"/>
  <c r="E413" i="25" s="1"/>
  <c r="H413" i="25"/>
  <c r="Y413" i="25" l="1"/>
  <c r="D413" i="25"/>
  <c r="C413" i="25"/>
  <c r="B414" i="25"/>
  <c r="J414" i="25"/>
  <c r="M413" i="25"/>
  <c r="I414" i="25"/>
  <c r="S413" i="25" l="1"/>
  <c r="Z413" i="25"/>
  <c r="R413" i="25" l="1"/>
  <c r="Q413" i="25" s="1"/>
  <c r="P413" i="25" s="1"/>
  <c r="O413" i="25" s="1"/>
  <c r="N413" i="25" s="1"/>
  <c r="G414" i="25" l="1"/>
  <c r="F414" i="25" s="1"/>
  <c r="E414" i="25" s="1"/>
  <c r="H414" i="25"/>
  <c r="D414" i="25" l="1"/>
  <c r="C414" i="25"/>
  <c r="Y414" i="25"/>
  <c r="B415" i="25"/>
  <c r="J415" i="25"/>
  <c r="M414" i="25"/>
  <c r="I415" i="25"/>
  <c r="S414" i="25" l="1"/>
  <c r="Z414" i="25"/>
  <c r="R414" i="25" l="1"/>
  <c r="Q414" i="25" s="1"/>
  <c r="P414" i="25" s="1"/>
  <c r="O414" i="25" s="1"/>
  <c r="N414" i="25" s="1"/>
  <c r="G415" i="25" l="1"/>
  <c r="F415" i="25" s="1"/>
  <c r="E415" i="25" s="1"/>
  <c r="H415" i="25"/>
  <c r="D415" i="25" l="1"/>
  <c r="C415" i="25"/>
  <c r="Y415" i="25"/>
  <c r="B416" i="25"/>
  <c r="J416" i="25"/>
  <c r="I416" i="25"/>
  <c r="M415" i="25"/>
  <c r="Z415" i="25" l="1"/>
  <c r="S415" i="25"/>
  <c r="R415" i="25" s="1"/>
  <c r="Q415" i="25" l="1"/>
  <c r="P415" i="25" s="1"/>
  <c r="O415" i="25" s="1"/>
  <c r="N415" i="25" s="1"/>
  <c r="H416" i="25" l="1"/>
  <c r="G416" i="25"/>
  <c r="F416" i="25" s="1"/>
  <c r="E416" i="25" s="1"/>
  <c r="C416" i="25" l="1"/>
  <c r="Y416" i="25"/>
  <c r="D416" i="25"/>
  <c r="B417" i="25"/>
  <c r="J417" i="25"/>
  <c r="I417" i="25"/>
  <c r="M416" i="25"/>
  <c r="Z416" i="25" l="1"/>
  <c r="S416" i="25"/>
  <c r="R416" i="25" s="1"/>
  <c r="Q416" i="25" l="1"/>
  <c r="P416" i="25" s="1"/>
  <c r="O416" i="25" s="1"/>
  <c r="N416" i="25" s="1"/>
  <c r="G417" i="25" l="1"/>
  <c r="F417" i="25" s="1"/>
  <c r="E417" i="25" s="1"/>
  <c r="H417" i="25"/>
  <c r="Y417" i="25" l="1"/>
  <c r="D417" i="25"/>
  <c r="C417" i="25"/>
  <c r="B418" i="25"/>
  <c r="J418" i="25"/>
  <c r="M417" i="25"/>
  <c r="I418" i="25"/>
  <c r="S417" i="25" l="1"/>
  <c r="R417" i="25" s="1"/>
  <c r="Q417" i="25" s="1"/>
  <c r="P417" i="25" s="1"/>
  <c r="O417" i="25" s="1"/>
  <c r="N417" i="25" s="1"/>
  <c r="Z417" i="25"/>
  <c r="H418" i="25" l="1"/>
  <c r="G418" i="25"/>
  <c r="F418" i="25" s="1"/>
  <c r="E418" i="25" s="1"/>
  <c r="Y418" i="25" l="1"/>
  <c r="D418" i="25"/>
  <c r="C418" i="25"/>
  <c r="B419" i="25"/>
  <c r="J419" i="25"/>
  <c r="M418" i="25"/>
  <c r="I419" i="25"/>
  <c r="S418" i="25" l="1"/>
  <c r="Z418" i="25"/>
  <c r="R418" i="25" l="1"/>
  <c r="Q418" i="25" s="1"/>
  <c r="P418" i="25" s="1"/>
  <c r="O418" i="25" s="1"/>
  <c r="N418" i="25" s="1"/>
  <c r="H419" i="25" l="1"/>
  <c r="G419" i="25"/>
  <c r="F419" i="25" s="1"/>
  <c r="E419" i="25" s="1"/>
  <c r="C419" i="25" l="1"/>
  <c r="Y419" i="25"/>
  <c r="D419" i="25"/>
  <c r="B420" i="25"/>
  <c r="J420" i="25"/>
  <c r="M419" i="25"/>
  <c r="I420" i="25"/>
  <c r="S419" i="25" l="1"/>
  <c r="Z419" i="25"/>
  <c r="R419" i="25" l="1"/>
  <c r="Q419" i="25" s="1"/>
  <c r="P419" i="25" s="1"/>
  <c r="O419" i="25" s="1"/>
  <c r="N419" i="25" s="1"/>
  <c r="H420" i="25" l="1"/>
  <c r="G420" i="25"/>
  <c r="F420" i="25" s="1"/>
  <c r="E420" i="25" s="1"/>
  <c r="D420" i="25" l="1"/>
  <c r="Y420" i="25"/>
  <c r="C420" i="25"/>
  <c r="B421" i="25"/>
  <c r="J421" i="25"/>
  <c r="M420" i="25"/>
  <c r="I421" i="25"/>
  <c r="S420" i="25" l="1"/>
  <c r="Z420" i="25"/>
  <c r="R420" i="25" l="1"/>
  <c r="Q420" i="25" s="1"/>
  <c r="P420" i="25" s="1"/>
  <c r="O420" i="25" s="1"/>
  <c r="N420" i="25" s="1"/>
  <c r="H421" i="25" l="1"/>
  <c r="G421" i="25"/>
  <c r="F421" i="25" s="1"/>
  <c r="E421" i="25" s="1"/>
  <c r="C421" i="25" l="1"/>
  <c r="D421" i="25"/>
  <c r="Y421" i="25"/>
  <c r="B422" i="25"/>
  <c r="J422" i="25"/>
  <c r="M421" i="25"/>
  <c r="I422" i="25"/>
  <c r="S421" i="25" l="1"/>
  <c r="Z421" i="25"/>
  <c r="R421" i="25" l="1"/>
  <c r="Q421" i="25" s="1"/>
  <c r="P421" i="25" s="1"/>
  <c r="O421" i="25" s="1"/>
  <c r="N421" i="25" s="1"/>
  <c r="H422" i="25" l="1"/>
  <c r="G422" i="25"/>
  <c r="F422" i="25" s="1"/>
  <c r="E422" i="25" s="1"/>
  <c r="M422" i="25" l="1"/>
  <c r="Y422" i="25"/>
  <c r="C422" i="25"/>
  <c r="D422" i="25"/>
  <c r="B423" i="25"/>
  <c r="J423" i="25"/>
  <c r="I423" i="25"/>
  <c r="S422" i="25" l="1"/>
  <c r="R422" i="25" s="1"/>
  <c r="Z422" i="25"/>
  <c r="Q422" i="25" l="1"/>
  <c r="P422" i="25" s="1"/>
  <c r="O422" i="25" s="1"/>
  <c r="N422" i="25" s="1"/>
  <c r="H423" i="25" l="1"/>
  <c r="G423" i="25"/>
  <c r="F423" i="25" s="1"/>
  <c r="E423" i="25" s="1"/>
  <c r="Y423" i="25" l="1"/>
  <c r="D423" i="25"/>
  <c r="C423" i="25"/>
  <c r="B424" i="25"/>
  <c r="I424" i="25"/>
  <c r="M423" i="25"/>
  <c r="J424" i="25"/>
  <c r="S423" i="25" l="1"/>
  <c r="R423" i="25" s="1"/>
  <c r="Q423" i="25" s="1"/>
  <c r="P423" i="25" s="1"/>
  <c r="O423" i="25" s="1"/>
  <c r="N423" i="25" s="1"/>
  <c r="H424" i="25" s="1"/>
  <c r="Z423" i="25"/>
  <c r="G424" i="25" l="1"/>
  <c r="F424" i="25" s="1"/>
  <c r="E424" i="25" s="1"/>
  <c r="Y424" i="25" l="1"/>
  <c r="C424" i="25"/>
  <c r="D424" i="25"/>
  <c r="B425" i="25"/>
  <c r="I425" i="25"/>
  <c r="M424" i="25"/>
  <c r="J425" i="25"/>
  <c r="S424" i="25" l="1"/>
  <c r="R424" i="25" s="1"/>
  <c r="Z424" i="25"/>
  <c r="Q424" i="25" l="1"/>
  <c r="P424" i="25" s="1"/>
  <c r="O424" i="25" s="1"/>
  <c r="N424" i="25" s="1"/>
  <c r="H425" i="25" l="1"/>
  <c r="G425" i="25"/>
  <c r="F425" i="25" s="1"/>
  <c r="E425" i="25" s="1"/>
  <c r="Y425" i="25" l="1"/>
  <c r="D425" i="25"/>
  <c r="C425" i="25"/>
  <c r="B426" i="25"/>
  <c r="I426" i="25"/>
  <c r="M425" i="25"/>
  <c r="J426" i="25"/>
  <c r="S425" i="25" l="1"/>
  <c r="R425" i="25" s="1"/>
  <c r="Z425" i="25"/>
  <c r="Q425" i="25" l="1"/>
  <c r="P425" i="25" s="1"/>
  <c r="O425" i="25" s="1"/>
  <c r="N425" i="25" s="1"/>
  <c r="G426" i="25" l="1"/>
  <c r="F426" i="25" s="1"/>
  <c r="E426" i="25" s="1"/>
  <c r="H426" i="25"/>
  <c r="D426" i="25" l="1"/>
  <c r="Y426" i="25"/>
  <c r="C426" i="25"/>
  <c r="B427" i="25"/>
  <c r="I427" i="25"/>
  <c r="M426" i="25"/>
  <c r="J427" i="25"/>
  <c r="S426" i="25" l="1"/>
  <c r="R426" i="25" s="1"/>
  <c r="Z426" i="25"/>
  <c r="Q426" i="25" l="1"/>
  <c r="P426" i="25" s="1"/>
  <c r="O426" i="25" s="1"/>
  <c r="N426" i="25" s="1"/>
  <c r="G427" i="25" l="1"/>
  <c r="F427" i="25" s="1"/>
  <c r="E427" i="25" s="1"/>
  <c r="H427" i="25"/>
  <c r="D427" i="25" l="1"/>
  <c r="C427" i="25"/>
  <c r="Y427" i="25"/>
  <c r="B428" i="25"/>
  <c r="I428" i="25"/>
  <c r="M427" i="25"/>
  <c r="J428" i="25"/>
  <c r="S427" i="25" l="1"/>
  <c r="R427" i="25" s="1"/>
  <c r="Z427" i="25"/>
  <c r="Q427" i="25" l="1"/>
  <c r="P427" i="25" s="1"/>
  <c r="O427" i="25" s="1"/>
  <c r="N427" i="25" s="1"/>
  <c r="G428" i="25" l="1"/>
  <c r="F428" i="25" s="1"/>
  <c r="E428" i="25" s="1"/>
  <c r="H428" i="25"/>
  <c r="Y428" i="25" l="1"/>
  <c r="D428" i="25"/>
  <c r="C428" i="25"/>
  <c r="B429" i="25"/>
  <c r="I429" i="25"/>
  <c r="J429" i="25"/>
  <c r="M428" i="25"/>
  <c r="S428" i="25" l="1"/>
  <c r="R428" i="25" s="1"/>
  <c r="Z428" i="25"/>
  <c r="Q428" i="25" l="1"/>
  <c r="P428" i="25" s="1"/>
  <c r="O428" i="25" s="1"/>
  <c r="N428" i="25" s="1"/>
  <c r="H429" i="25" l="1"/>
  <c r="G429" i="25"/>
  <c r="F429" i="25" s="1"/>
  <c r="E429" i="25" s="1"/>
  <c r="J430" i="25" l="1"/>
  <c r="Y429" i="25"/>
  <c r="C429" i="25"/>
  <c r="D429" i="25"/>
  <c r="B430" i="25"/>
  <c r="I430" i="25"/>
  <c r="M429" i="25"/>
  <c r="Z429" i="25" l="1"/>
  <c r="S429" i="25"/>
  <c r="R429" i="25" l="1"/>
  <c r="Q429" i="25" s="1"/>
  <c r="P429" i="25" s="1"/>
  <c r="O429" i="25" s="1"/>
  <c r="N429" i="25" s="1"/>
  <c r="H430" i="25" l="1"/>
  <c r="G430" i="25"/>
  <c r="F430" i="25" s="1"/>
  <c r="E430" i="25" s="1"/>
  <c r="Y430" i="25" l="1"/>
  <c r="C430" i="25"/>
  <c r="D430" i="25"/>
  <c r="B431" i="25"/>
  <c r="I431" i="25"/>
  <c r="J431" i="25"/>
  <c r="M430" i="25"/>
  <c r="S430" i="25" l="1"/>
  <c r="R430" i="25" s="1"/>
  <c r="Z430" i="25"/>
  <c r="Q430" i="25" l="1"/>
  <c r="P430" i="25" s="1"/>
  <c r="O430" i="25" s="1"/>
  <c r="N430" i="25" s="1"/>
  <c r="G431" i="25" l="1"/>
  <c r="F431" i="25" s="1"/>
  <c r="E431" i="25" s="1"/>
  <c r="H431" i="25"/>
  <c r="D431" i="25" l="1"/>
  <c r="C431" i="25"/>
  <c r="Y431" i="25"/>
  <c r="B432" i="25"/>
  <c r="M431" i="25"/>
  <c r="I432" i="25"/>
  <c r="J432" i="25"/>
  <c r="Z431" i="25" l="1"/>
  <c r="S431" i="25"/>
  <c r="R431" i="25" l="1"/>
  <c r="Q431" i="25" s="1"/>
  <c r="P431" i="25" s="1"/>
  <c r="O431" i="25" s="1"/>
  <c r="N431" i="25" s="1"/>
  <c r="H432" i="25" l="1"/>
  <c r="G432" i="25"/>
  <c r="F432" i="25" s="1"/>
  <c r="E432" i="25" s="1"/>
  <c r="D432" i="25" l="1"/>
  <c r="Y432" i="25"/>
  <c r="C432" i="25"/>
  <c r="B433" i="25"/>
  <c r="M432" i="25"/>
  <c r="J433" i="25"/>
  <c r="I433" i="25"/>
  <c r="Z432" i="25" l="1"/>
  <c r="S432" i="25"/>
  <c r="R432" i="25" l="1"/>
  <c r="Q432" i="25" s="1"/>
  <c r="P432" i="25" s="1"/>
  <c r="O432" i="25" s="1"/>
  <c r="N432" i="25" s="1"/>
  <c r="H433" i="25" l="1"/>
  <c r="G433" i="25"/>
  <c r="F433" i="25" s="1"/>
  <c r="E433" i="25" s="1"/>
  <c r="D433" i="25" l="1"/>
  <c r="Y433" i="25"/>
  <c r="C433" i="25"/>
  <c r="B434" i="25"/>
  <c r="I434" i="25"/>
  <c r="M433" i="25"/>
  <c r="J434" i="25"/>
  <c r="S433" i="25" l="1"/>
  <c r="R433" i="25" s="1"/>
  <c r="Z433" i="25"/>
  <c r="Q433" i="25" l="1"/>
  <c r="P433" i="25" s="1"/>
  <c r="O433" i="25" s="1"/>
  <c r="N433" i="25" s="1"/>
  <c r="G434" i="25" l="1"/>
  <c r="F434" i="25" s="1"/>
  <c r="E434" i="25" s="1"/>
  <c r="H434" i="25"/>
  <c r="D434" i="25" l="1"/>
  <c r="C434" i="25"/>
  <c r="Y434" i="25"/>
  <c r="B435" i="25"/>
  <c r="I435" i="25"/>
  <c r="J435" i="25"/>
  <c r="M434" i="25"/>
  <c r="S434" i="25" l="1"/>
  <c r="R434" i="25" s="1"/>
  <c r="Z434" i="25"/>
  <c r="Q434" i="25" l="1"/>
  <c r="P434" i="25" s="1"/>
  <c r="O434" i="25" s="1"/>
  <c r="N434" i="25" s="1"/>
  <c r="G435" i="25" l="1"/>
  <c r="F435" i="25" s="1"/>
  <c r="E435" i="25" s="1"/>
  <c r="H435" i="25"/>
  <c r="Y435" i="25" l="1"/>
  <c r="C435" i="25"/>
  <c r="D435" i="25"/>
  <c r="B436" i="25"/>
  <c r="M435" i="25"/>
  <c r="I436" i="25"/>
  <c r="J436" i="25"/>
  <c r="Z435" i="25" l="1"/>
  <c r="S435" i="25"/>
  <c r="R435" i="25" l="1"/>
  <c r="Q435" i="25" s="1"/>
  <c r="P435" i="25" s="1"/>
  <c r="O435" i="25" s="1"/>
  <c r="N435" i="25" s="1"/>
  <c r="H436" i="25" l="1"/>
  <c r="G436" i="25"/>
  <c r="F436" i="25" s="1"/>
  <c r="E436" i="25" s="1"/>
  <c r="D436" i="25" l="1"/>
  <c r="Y436" i="25"/>
  <c r="C436" i="25"/>
  <c r="B437" i="25"/>
  <c r="I437" i="25"/>
  <c r="M436" i="25"/>
  <c r="J437" i="25"/>
  <c r="S436" i="25" l="1"/>
  <c r="R436" i="25" s="1"/>
  <c r="Z436" i="25"/>
  <c r="Q436" i="25" l="1"/>
  <c r="P436" i="25" s="1"/>
  <c r="O436" i="25" s="1"/>
  <c r="N436" i="25" s="1"/>
  <c r="G437" i="25" l="1"/>
  <c r="F437" i="25" s="1"/>
  <c r="E437" i="25" s="1"/>
  <c r="H437" i="25"/>
  <c r="D437" i="25" l="1"/>
  <c r="Y437" i="25"/>
  <c r="C437" i="25"/>
  <c r="B438" i="25"/>
  <c r="I438" i="25"/>
  <c r="J438" i="25"/>
  <c r="M437" i="25"/>
  <c r="S437" i="25" l="1"/>
  <c r="R437" i="25" s="1"/>
  <c r="Z437" i="25"/>
  <c r="Q437" i="25" l="1"/>
  <c r="P437" i="25" s="1"/>
  <c r="O437" i="25" s="1"/>
  <c r="N437" i="25" s="1"/>
  <c r="G438" i="25" l="1"/>
  <c r="F438" i="25" s="1"/>
  <c r="E438" i="25" s="1"/>
  <c r="H438" i="25"/>
  <c r="C438" i="25" l="1"/>
  <c r="D438" i="25"/>
  <c r="Y438" i="25"/>
  <c r="B439" i="25"/>
  <c r="M438" i="25"/>
  <c r="I439" i="25"/>
  <c r="J439" i="25"/>
  <c r="Z438" i="25" l="1"/>
  <c r="S438" i="25"/>
  <c r="R438" i="25" l="1"/>
  <c r="Q438" i="25" s="1"/>
  <c r="P438" i="25" s="1"/>
  <c r="O438" i="25" s="1"/>
  <c r="N438" i="25" s="1"/>
  <c r="H439" i="25" l="1"/>
  <c r="G439" i="25"/>
  <c r="F439" i="25" s="1"/>
  <c r="E439" i="25" s="1"/>
  <c r="D439" i="25" l="1"/>
  <c r="C439" i="25"/>
  <c r="Y439" i="25"/>
  <c r="B440" i="25"/>
  <c r="M439" i="25"/>
  <c r="I440" i="25"/>
  <c r="J440" i="25"/>
  <c r="Z439" i="25" l="1"/>
  <c r="S439" i="25"/>
  <c r="R439" i="25" l="1"/>
  <c r="Q439" i="25" s="1"/>
  <c r="P439" i="25" s="1"/>
  <c r="O439" i="25" s="1"/>
  <c r="N439" i="25" s="1"/>
  <c r="H440" i="25" l="1"/>
  <c r="G440" i="25"/>
  <c r="F440" i="25" s="1"/>
  <c r="E440" i="25" s="1"/>
  <c r="D440" i="25" l="1"/>
  <c r="C440" i="25"/>
  <c r="Y440" i="25"/>
  <c r="B441" i="25"/>
  <c r="J441" i="25"/>
  <c r="M440" i="25"/>
  <c r="I441" i="25"/>
  <c r="S440" i="25" l="1"/>
  <c r="Z440" i="25"/>
  <c r="R440" i="25" l="1"/>
  <c r="Q440" i="25" s="1"/>
  <c r="P440" i="25" s="1"/>
  <c r="O440" i="25" s="1"/>
  <c r="N440" i="25" s="1"/>
  <c r="G441" i="25" l="1"/>
  <c r="F441" i="25" s="1"/>
  <c r="E441" i="25" s="1"/>
  <c r="H441" i="25"/>
  <c r="Y441" i="25" l="1"/>
  <c r="D441" i="25"/>
  <c r="C441" i="25"/>
  <c r="B442" i="25"/>
  <c r="J442" i="25"/>
  <c r="I442" i="25"/>
  <c r="M441" i="25"/>
  <c r="Z441" i="25" l="1"/>
  <c r="S441" i="25"/>
  <c r="R441" i="25" s="1"/>
  <c r="Q441" i="25" l="1"/>
  <c r="P441" i="25" s="1"/>
  <c r="O441" i="25" s="1"/>
  <c r="N441" i="25" s="1"/>
  <c r="H442" i="25" l="1"/>
  <c r="G442" i="25"/>
  <c r="F442" i="25" s="1"/>
  <c r="E442" i="25" s="1"/>
  <c r="D442" i="25" l="1"/>
  <c r="C442" i="25"/>
  <c r="Y442" i="25"/>
  <c r="B443" i="25"/>
  <c r="J443" i="25"/>
  <c r="I443" i="25"/>
  <c r="M442" i="25"/>
  <c r="Z442" i="25" l="1"/>
  <c r="S442" i="25"/>
  <c r="R442" i="25" s="1"/>
  <c r="Q442" i="25" l="1"/>
  <c r="P442" i="25" s="1"/>
  <c r="O442" i="25" s="1"/>
  <c r="N442" i="25" s="1"/>
  <c r="H443" i="25" l="1"/>
  <c r="G443" i="25"/>
  <c r="F443" i="25" s="1"/>
  <c r="E443" i="25" s="1"/>
  <c r="Y443" i="25" l="1"/>
  <c r="D443" i="25"/>
  <c r="C443" i="25"/>
  <c r="B444" i="25"/>
  <c r="J444" i="25"/>
  <c r="I444" i="25"/>
  <c r="M443" i="25"/>
  <c r="Z443" i="25" l="1"/>
  <c r="S443" i="25"/>
  <c r="R443" i="25" s="1"/>
  <c r="Q443" i="25" l="1"/>
  <c r="P443" i="25" s="1"/>
  <c r="O443" i="25" s="1"/>
  <c r="N443" i="25" s="1"/>
  <c r="H444" i="25" l="1"/>
  <c r="G444" i="25"/>
  <c r="F444" i="25" s="1"/>
  <c r="E444" i="25" s="1"/>
  <c r="C444" i="25" l="1"/>
  <c r="Y444" i="25"/>
  <c r="D444" i="25"/>
  <c r="B445" i="25"/>
  <c r="J445" i="25"/>
  <c r="I445" i="25"/>
  <c r="M444" i="25"/>
  <c r="Z444" i="25" l="1"/>
  <c r="S444" i="25"/>
  <c r="R444" i="25" s="1"/>
  <c r="Q444" i="25" l="1"/>
  <c r="P444" i="25" s="1"/>
  <c r="O444" i="25" s="1"/>
  <c r="N444" i="25" s="1"/>
  <c r="G445" i="25" l="1"/>
  <c r="F445" i="25" s="1"/>
  <c r="E445" i="25" s="1"/>
  <c r="H445" i="25"/>
  <c r="C445" i="25" l="1"/>
  <c r="D445" i="25"/>
  <c r="Y445" i="25"/>
  <c r="B446" i="25"/>
  <c r="M445" i="25"/>
  <c r="J446" i="25"/>
  <c r="I446" i="25"/>
  <c r="Z445" i="25" l="1"/>
  <c r="S445" i="25"/>
  <c r="R445" i="25" l="1"/>
  <c r="Q445" i="25" s="1"/>
  <c r="P445" i="25" s="1"/>
  <c r="O445" i="25" s="1"/>
  <c r="N445" i="25" s="1"/>
  <c r="G446" i="25" l="1"/>
  <c r="F446" i="25" s="1"/>
  <c r="E446" i="25" s="1"/>
  <c r="H446" i="25"/>
  <c r="Y446" i="25" l="1"/>
  <c r="D446" i="25"/>
  <c r="C446" i="25"/>
  <c r="B447" i="25"/>
  <c r="I447" i="25"/>
  <c r="M446" i="25"/>
  <c r="J447" i="25"/>
  <c r="S446" i="25" l="1"/>
  <c r="R446" i="25" s="1"/>
  <c r="Q446" i="25" s="1"/>
  <c r="P446" i="25" s="1"/>
  <c r="O446" i="25" s="1"/>
  <c r="N446" i="25" s="1"/>
  <c r="H447" i="25" s="1"/>
  <c r="Z446" i="25"/>
  <c r="G447" i="25" l="1"/>
  <c r="F447" i="25" s="1"/>
  <c r="E447" i="25" s="1"/>
  <c r="D447" i="25" l="1"/>
  <c r="Y447" i="25"/>
  <c r="C447" i="25"/>
  <c r="B448" i="25"/>
  <c r="I448" i="25"/>
  <c r="M447" i="25"/>
  <c r="J448" i="25"/>
  <c r="S447" i="25" l="1"/>
  <c r="R447" i="25" s="1"/>
  <c r="Z447" i="25"/>
  <c r="Q447" i="25" l="1"/>
  <c r="P447" i="25" s="1"/>
  <c r="O447" i="25" s="1"/>
  <c r="N447" i="25" s="1"/>
  <c r="G448" i="25" l="1"/>
  <c r="F448" i="25" s="1"/>
  <c r="E448" i="25" s="1"/>
  <c r="H448" i="25"/>
  <c r="D448" i="25" l="1"/>
  <c r="C448" i="25"/>
  <c r="Y448" i="25"/>
  <c r="B449" i="25"/>
  <c r="J449" i="25"/>
  <c r="I449" i="25"/>
  <c r="M448" i="25"/>
  <c r="Z448" i="25" l="1"/>
  <c r="S448" i="25"/>
  <c r="R448" i="25" s="1"/>
  <c r="Q448" i="25" l="1"/>
  <c r="P448" i="25" s="1"/>
  <c r="O448" i="25" s="1"/>
  <c r="N448" i="25" s="1"/>
  <c r="G449" i="25" l="1"/>
  <c r="F449" i="25" s="1"/>
  <c r="E449" i="25" s="1"/>
  <c r="H449" i="25"/>
  <c r="D449" i="25" l="1"/>
  <c r="Y449" i="25"/>
  <c r="C449" i="25"/>
  <c r="B450" i="25"/>
  <c r="M449" i="25"/>
  <c r="J450" i="25"/>
  <c r="I450" i="25"/>
  <c r="Z449" i="25" l="1"/>
  <c r="S449" i="25"/>
  <c r="R449" i="25" l="1"/>
  <c r="Q449" i="25" s="1"/>
  <c r="P449" i="25" s="1"/>
  <c r="O449" i="25" s="1"/>
  <c r="N449" i="25" s="1"/>
  <c r="G450" i="25" l="1"/>
  <c r="F450" i="25" s="1"/>
  <c r="E450" i="25" s="1"/>
  <c r="H450" i="25"/>
  <c r="C450" i="25" l="1"/>
  <c r="D450" i="25"/>
  <c r="Y450" i="25"/>
  <c r="B451" i="25"/>
  <c r="I451" i="25"/>
  <c r="M450" i="25"/>
  <c r="J451" i="25"/>
  <c r="S450" i="25" l="1"/>
  <c r="R450" i="25" s="1"/>
  <c r="Z450" i="25"/>
  <c r="Q450" i="25" l="1"/>
  <c r="P450" i="25" s="1"/>
  <c r="O450" i="25" s="1"/>
  <c r="N450" i="25" s="1"/>
  <c r="G451" i="25" l="1"/>
  <c r="F451" i="25" s="1"/>
  <c r="E451" i="25" s="1"/>
  <c r="H451" i="25"/>
  <c r="D451" i="25" l="1"/>
  <c r="C451" i="25"/>
  <c r="Y451" i="25"/>
  <c r="B452" i="25"/>
  <c r="I452" i="25"/>
  <c r="M451" i="25"/>
  <c r="J452" i="25"/>
  <c r="S451" i="25" l="1"/>
  <c r="R451" i="25" s="1"/>
  <c r="Z451" i="25"/>
  <c r="Q451" i="25" l="1"/>
  <c r="P451" i="25" s="1"/>
  <c r="O451" i="25" s="1"/>
  <c r="N451" i="25" s="1"/>
  <c r="G452" i="25" l="1"/>
  <c r="F452" i="25" s="1"/>
  <c r="E452" i="25" s="1"/>
  <c r="H452" i="25"/>
  <c r="C452" i="25" l="1"/>
  <c r="D452" i="25"/>
  <c r="Y452" i="25"/>
  <c r="B453" i="25"/>
  <c r="I453" i="25"/>
  <c r="J453" i="25"/>
  <c r="M452" i="25"/>
  <c r="S452" i="25" l="1"/>
  <c r="R452" i="25" s="1"/>
  <c r="Z452" i="25"/>
  <c r="Q452" i="25" l="1"/>
  <c r="P452" i="25" s="1"/>
  <c r="O452" i="25" s="1"/>
  <c r="N452" i="25" s="1"/>
  <c r="H453" i="25" l="1"/>
  <c r="G453" i="25"/>
  <c r="F453" i="25" s="1"/>
  <c r="E453" i="25" s="1"/>
  <c r="C453" i="25" l="1"/>
  <c r="Y453" i="25"/>
  <c r="D453" i="25"/>
  <c r="B454" i="25"/>
  <c r="M453" i="25"/>
  <c r="I454" i="25"/>
  <c r="J454" i="25"/>
  <c r="Z453" i="25" l="1"/>
  <c r="S453" i="25"/>
  <c r="R453" i="25" l="1"/>
  <c r="Q453" i="25" s="1"/>
  <c r="P453" i="25" s="1"/>
  <c r="O453" i="25" s="1"/>
  <c r="N453" i="25" s="1"/>
  <c r="G454" i="25" l="1"/>
  <c r="F454" i="25" s="1"/>
  <c r="E454" i="25" s="1"/>
  <c r="H454" i="25"/>
  <c r="D454" i="25" l="1"/>
  <c r="Y454" i="25"/>
  <c r="C454" i="25"/>
  <c r="B455" i="25"/>
  <c r="J455" i="25"/>
  <c r="M454" i="25"/>
  <c r="I455" i="25"/>
  <c r="S454" i="25" l="1"/>
  <c r="Z454" i="25"/>
  <c r="R454" i="25" l="1"/>
  <c r="Q454" i="25" s="1"/>
  <c r="P454" i="25" s="1"/>
  <c r="O454" i="25" s="1"/>
  <c r="N454" i="25" s="1"/>
  <c r="G455" i="25" l="1"/>
  <c r="F455" i="25" s="1"/>
  <c r="E455" i="25" s="1"/>
  <c r="H455" i="25"/>
  <c r="D455" i="25" l="1"/>
  <c r="Y455" i="25"/>
  <c r="C455" i="25"/>
  <c r="B456" i="25"/>
  <c r="J456" i="25"/>
  <c r="I456" i="25"/>
  <c r="M455" i="25"/>
  <c r="Z455" i="25" l="1"/>
  <c r="S455" i="25"/>
  <c r="R455" i="25" s="1"/>
  <c r="Q455" i="25" l="1"/>
  <c r="P455" i="25" s="1"/>
  <c r="O455" i="25" s="1"/>
  <c r="N455" i="25" s="1"/>
  <c r="H456" i="25" l="1"/>
  <c r="G456" i="25"/>
  <c r="F456" i="25" s="1"/>
  <c r="E456" i="25" s="1"/>
  <c r="C456" i="25" l="1"/>
  <c r="D456" i="25"/>
  <c r="Y456" i="25"/>
  <c r="B457" i="25"/>
  <c r="J457" i="25"/>
  <c r="I457" i="25"/>
  <c r="M456" i="25"/>
  <c r="Z456" i="25" l="1"/>
  <c r="S456" i="25"/>
  <c r="R456" i="25" s="1"/>
  <c r="Q456" i="25" l="1"/>
  <c r="P456" i="25" s="1"/>
  <c r="O456" i="25" s="1"/>
  <c r="N456" i="25" s="1"/>
  <c r="G457" i="25" l="1"/>
  <c r="F457" i="25" s="1"/>
  <c r="E457" i="25" s="1"/>
  <c r="H457" i="25"/>
  <c r="C457" i="25" l="1"/>
  <c r="Y457" i="25"/>
  <c r="D457" i="25"/>
  <c r="B458" i="25"/>
  <c r="J458" i="25"/>
  <c r="M457" i="25"/>
  <c r="I458" i="25"/>
  <c r="S457" i="25" l="1"/>
  <c r="Z457" i="25"/>
  <c r="R457" i="25" l="1"/>
  <c r="Q457" i="25" s="1"/>
  <c r="P457" i="25" s="1"/>
  <c r="O457" i="25" s="1"/>
  <c r="N457" i="25" s="1"/>
  <c r="H458" i="25" l="1"/>
  <c r="G458" i="25"/>
  <c r="F458" i="25" s="1"/>
  <c r="E458" i="25" s="1"/>
  <c r="C458" i="25" l="1"/>
  <c r="Y458" i="25"/>
  <c r="D458" i="25"/>
  <c r="B459" i="25"/>
  <c r="J459" i="25"/>
  <c r="M458" i="25"/>
  <c r="I459" i="25"/>
  <c r="S458" i="25" l="1"/>
  <c r="Z458" i="25"/>
  <c r="R458" i="25" l="1"/>
  <c r="Q458" i="25" s="1"/>
  <c r="P458" i="25" s="1"/>
  <c r="O458" i="25" s="1"/>
  <c r="N458" i="25" s="1"/>
  <c r="G459" i="25" l="1"/>
  <c r="F459" i="25" s="1"/>
  <c r="E459" i="25" s="1"/>
  <c r="H459" i="25"/>
  <c r="Y459" i="25" l="1"/>
  <c r="C459" i="25"/>
  <c r="D459" i="25"/>
  <c r="B460" i="25"/>
  <c r="J460" i="25"/>
  <c r="M459" i="25"/>
  <c r="I460" i="25"/>
  <c r="S459" i="25" l="1"/>
  <c r="R459" i="25" s="1"/>
  <c r="Q459" i="25" s="1"/>
  <c r="P459" i="25" s="1"/>
  <c r="O459" i="25" s="1"/>
  <c r="N459" i="25" s="1"/>
  <c r="Z459" i="25"/>
  <c r="H460" i="25" l="1"/>
  <c r="G460" i="25"/>
  <c r="F460" i="25" s="1"/>
  <c r="E460" i="25" s="1"/>
  <c r="Y460" i="25" l="1"/>
  <c r="D460" i="25"/>
  <c r="C460" i="25"/>
  <c r="B461" i="25"/>
  <c r="J461" i="25"/>
  <c r="I461" i="25"/>
  <c r="M460" i="25"/>
  <c r="Z460" i="25" l="1"/>
  <c r="S460" i="25"/>
  <c r="R460" i="25" s="1"/>
  <c r="Q460" i="25" l="1"/>
  <c r="P460" i="25" s="1"/>
  <c r="O460" i="25" s="1"/>
  <c r="N460" i="25" s="1"/>
  <c r="H461" i="25" l="1"/>
  <c r="G461" i="25"/>
  <c r="F461" i="25" s="1"/>
  <c r="E461" i="25" s="1"/>
  <c r="Y461" i="25" l="1"/>
  <c r="C461" i="25"/>
  <c r="D461" i="25"/>
  <c r="B462" i="25"/>
  <c r="J462" i="25"/>
  <c r="I462" i="25"/>
  <c r="M461" i="25"/>
  <c r="Z461" i="25" l="1"/>
  <c r="S461" i="25"/>
  <c r="R461" i="25" s="1"/>
  <c r="Q461" i="25" l="1"/>
  <c r="P461" i="25" s="1"/>
  <c r="O461" i="25" s="1"/>
  <c r="N461" i="25" s="1"/>
  <c r="G462" i="25" l="1"/>
  <c r="F462" i="25" s="1"/>
  <c r="E462" i="25" s="1"/>
  <c r="H462" i="25"/>
  <c r="C462" i="25" l="1"/>
  <c r="D462" i="25"/>
  <c r="Y462" i="25"/>
  <c r="B463" i="25"/>
  <c r="M462" i="25"/>
  <c r="I463" i="25"/>
  <c r="J463" i="25"/>
  <c r="Z462" i="25" l="1"/>
  <c r="S462" i="25"/>
  <c r="R462" i="25" l="1"/>
  <c r="Q462" i="25" s="1"/>
  <c r="P462" i="25" s="1"/>
  <c r="O462" i="25" s="1"/>
  <c r="N462" i="25" s="1"/>
  <c r="G463" i="25" l="1"/>
  <c r="F463" i="25" s="1"/>
  <c r="E463" i="25" s="1"/>
  <c r="H463" i="25"/>
  <c r="Y463" i="25" l="1"/>
  <c r="C463" i="25"/>
  <c r="D463" i="25"/>
  <c r="B464" i="25"/>
  <c r="I464" i="25"/>
  <c r="J464" i="25"/>
  <c r="M463" i="25"/>
  <c r="S463" i="25" l="1"/>
  <c r="R463" i="25" s="1"/>
  <c r="Z463" i="25"/>
  <c r="Q463" i="25" l="1"/>
  <c r="P463" i="25" s="1"/>
  <c r="O463" i="25" s="1"/>
  <c r="N463" i="25" s="1"/>
  <c r="G464" i="25" l="1"/>
  <c r="F464" i="25" s="1"/>
  <c r="E464" i="25" s="1"/>
  <c r="H464" i="25"/>
  <c r="Y464" i="25" l="1"/>
  <c r="D464" i="25"/>
  <c r="C464" i="25"/>
  <c r="B465" i="25"/>
  <c r="M464" i="25"/>
  <c r="I465" i="25"/>
  <c r="J465" i="25"/>
  <c r="Z464" i="25" l="1"/>
  <c r="S464" i="25"/>
  <c r="R464" i="25" s="1"/>
  <c r="Q464" i="25" s="1"/>
  <c r="P464" i="25" s="1"/>
  <c r="O464" i="25" s="1"/>
  <c r="N464" i="25" s="1"/>
  <c r="H465" i="25" l="1"/>
  <c r="G465" i="25"/>
  <c r="F465" i="25" s="1"/>
  <c r="E465" i="25" s="1"/>
  <c r="C465" i="25" l="1"/>
  <c r="Y465" i="25"/>
  <c r="D465" i="25"/>
  <c r="B466" i="25"/>
  <c r="M465" i="25"/>
  <c r="I466" i="25"/>
  <c r="J466" i="25"/>
  <c r="Z465" i="25" l="1"/>
  <c r="S465" i="25"/>
  <c r="R465" i="25" l="1"/>
  <c r="Q465" i="25" s="1"/>
  <c r="P465" i="25" s="1"/>
  <c r="O465" i="25" s="1"/>
  <c r="N465" i="25" s="1"/>
  <c r="H466" i="25" l="1"/>
  <c r="G466" i="25"/>
  <c r="F466" i="25" s="1"/>
  <c r="E466" i="25" s="1"/>
  <c r="D466" i="25" l="1"/>
  <c r="C466" i="25"/>
  <c r="Y466" i="25"/>
  <c r="B467" i="25"/>
  <c r="I467" i="25"/>
  <c r="M466" i="25"/>
  <c r="J467" i="25"/>
  <c r="S466" i="25" l="1"/>
  <c r="R466" i="25" s="1"/>
  <c r="Z466" i="25"/>
  <c r="Q466" i="25" l="1"/>
  <c r="P466" i="25" s="1"/>
  <c r="O466" i="25" s="1"/>
  <c r="N466" i="25" s="1"/>
  <c r="G467" i="25" l="1"/>
  <c r="F467" i="25" s="1"/>
  <c r="E467" i="25" s="1"/>
  <c r="H467" i="25"/>
  <c r="D467" i="25" l="1"/>
  <c r="Y467" i="25"/>
  <c r="C467" i="25"/>
  <c r="B468" i="25"/>
  <c r="I468" i="25"/>
  <c r="J468" i="25"/>
  <c r="M467" i="25"/>
  <c r="S467" i="25" l="1"/>
  <c r="R467" i="25" s="1"/>
  <c r="Z467" i="25"/>
  <c r="Q467" i="25" l="1"/>
  <c r="P467" i="25" s="1"/>
  <c r="O467" i="25" s="1"/>
  <c r="N467" i="25" s="1"/>
  <c r="H468" i="25" l="1"/>
  <c r="G468" i="25"/>
  <c r="F468" i="25" s="1"/>
  <c r="E468" i="25" s="1"/>
  <c r="C468" i="25" l="1"/>
  <c r="D468" i="25"/>
  <c r="Y468" i="25"/>
  <c r="B469" i="25"/>
  <c r="M468" i="25"/>
  <c r="I469" i="25"/>
  <c r="J469" i="25"/>
  <c r="Z468" i="25" l="1"/>
  <c r="S468" i="25"/>
  <c r="R468" i="25" l="1"/>
  <c r="Q468" i="25" s="1"/>
  <c r="P468" i="25" s="1"/>
  <c r="O468" i="25" s="1"/>
  <c r="N468" i="25" s="1"/>
  <c r="G469" i="25" l="1"/>
  <c r="F469" i="25" s="1"/>
  <c r="E469" i="25" s="1"/>
  <c r="H469" i="25"/>
  <c r="C469" i="25" l="1"/>
  <c r="Y469" i="25"/>
  <c r="D469" i="25"/>
  <c r="B470" i="25"/>
  <c r="M469" i="25"/>
  <c r="I470" i="25"/>
  <c r="J470" i="25"/>
  <c r="Z469" i="25" l="1"/>
  <c r="S469" i="25"/>
  <c r="R469" i="25" s="1"/>
  <c r="Q469" i="25" s="1"/>
  <c r="P469" i="25" s="1"/>
  <c r="O469" i="25" s="1"/>
  <c r="N469" i="25" s="1"/>
  <c r="H470" i="25" l="1"/>
  <c r="G470" i="25"/>
  <c r="F470" i="25" s="1"/>
  <c r="E470" i="25" s="1"/>
  <c r="C470" i="25" l="1"/>
  <c r="Y470" i="25"/>
  <c r="D470" i="25"/>
  <c r="B471" i="25"/>
  <c r="M470" i="25"/>
  <c r="I471" i="25"/>
  <c r="J471" i="25"/>
  <c r="Z470" i="25" l="1"/>
  <c r="S470" i="25"/>
  <c r="R470" i="25" l="1"/>
  <c r="Q470" i="25" s="1"/>
  <c r="P470" i="25" s="1"/>
  <c r="O470" i="25" s="1"/>
  <c r="N470" i="25" s="1"/>
  <c r="H471" i="25" l="1"/>
  <c r="G471" i="25"/>
  <c r="F471" i="25" s="1"/>
  <c r="E471" i="25" s="1"/>
  <c r="D471" i="25" l="1"/>
  <c r="Y471" i="25"/>
  <c r="C471" i="25"/>
  <c r="B472" i="25"/>
  <c r="M471" i="25"/>
  <c r="I472" i="25"/>
  <c r="J472" i="25"/>
  <c r="Z471" i="25" l="1"/>
  <c r="S471" i="25"/>
  <c r="R471" i="25" l="1"/>
  <c r="Q471" i="25" s="1"/>
  <c r="P471" i="25" s="1"/>
  <c r="O471" i="25" s="1"/>
  <c r="N471" i="25" s="1"/>
  <c r="G472" i="25" l="1"/>
  <c r="F472" i="25" s="1"/>
  <c r="E472" i="25" s="1"/>
  <c r="H472" i="25"/>
  <c r="C472" i="25" l="1"/>
  <c r="Y472" i="25"/>
  <c r="D472" i="25"/>
  <c r="B473" i="25"/>
  <c r="J473" i="25"/>
  <c r="M472" i="25"/>
  <c r="I473" i="25"/>
  <c r="S472" i="25" l="1"/>
  <c r="Z472" i="25"/>
  <c r="R472" i="25" l="1"/>
  <c r="Q472" i="25" s="1"/>
  <c r="P472" i="25" s="1"/>
  <c r="O472" i="25" s="1"/>
  <c r="N472" i="25" s="1"/>
  <c r="G473" i="25" l="1"/>
  <c r="F473" i="25" s="1"/>
  <c r="E473" i="25" s="1"/>
  <c r="H473" i="25"/>
  <c r="D473" i="25" l="1"/>
  <c r="Y473" i="25"/>
  <c r="C473" i="25"/>
  <c r="B474" i="25"/>
  <c r="J474" i="25"/>
  <c r="M473" i="25"/>
  <c r="I474" i="25"/>
  <c r="S473" i="25" l="1"/>
  <c r="Z473" i="25"/>
  <c r="R473" i="25" l="1"/>
  <c r="Q473" i="25" s="1"/>
  <c r="P473" i="25" s="1"/>
  <c r="O473" i="25" s="1"/>
  <c r="N473" i="25" s="1"/>
  <c r="G474" i="25" l="1"/>
  <c r="F474" i="25" s="1"/>
  <c r="E474" i="25" s="1"/>
  <c r="H474" i="25"/>
  <c r="D474" i="25" l="1"/>
  <c r="C474" i="25"/>
  <c r="Y474" i="25"/>
  <c r="B475" i="25"/>
  <c r="J475" i="25"/>
  <c r="M474" i="25"/>
  <c r="I475" i="25"/>
  <c r="S474" i="25" l="1"/>
  <c r="Z474" i="25"/>
  <c r="R474" i="25" l="1"/>
  <c r="Q474" i="25" s="1"/>
  <c r="P474" i="25" s="1"/>
  <c r="O474" i="25" s="1"/>
  <c r="N474" i="25" s="1"/>
  <c r="G475" i="25" l="1"/>
  <c r="F475" i="25" s="1"/>
  <c r="E475" i="25" s="1"/>
  <c r="H475" i="25"/>
  <c r="D475" i="25" l="1"/>
  <c r="C475" i="25"/>
  <c r="Y475" i="25"/>
  <c r="B476" i="25"/>
  <c r="J476" i="25"/>
  <c r="M475" i="25"/>
  <c r="I476" i="25"/>
  <c r="S475" i="25" l="1"/>
  <c r="Z475" i="25"/>
  <c r="R475" i="25" l="1"/>
  <c r="Q475" i="25" s="1"/>
  <c r="P475" i="25" s="1"/>
  <c r="O475" i="25" s="1"/>
  <c r="N475" i="25" s="1"/>
  <c r="H476" i="25" l="1"/>
  <c r="G476" i="25"/>
  <c r="F476" i="25" s="1"/>
  <c r="E476" i="25" s="1"/>
  <c r="D476" i="25" l="1"/>
  <c r="C476" i="25"/>
  <c r="Y476" i="25"/>
  <c r="B477" i="25"/>
  <c r="J477" i="25"/>
  <c r="M476" i="25"/>
  <c r="I477" i="25"/>
  <c r="S476" i="25" l="1"/>
  <c r="Z476" i="25"/>
  <c r="R476" i="25" l="1"/>
  <c r="Q476" i="25" s="1"/>
  <c r="P476" i="25" s="1"/>
  <c r="O476" i="25" s="1"/>
  <c r="N476" i="25" s="1"/>
  <c r="G477" i="25" l="1"/>
  <c r="F477" i="25" s="1"/>
  <c r="E477" i="25" s="1"/>
  <c r="H477" i="25"/>
  <c r="C477" i="25" l="1"/>
  <c r="Y477" i="25"/>
  <c r="D477" i="25"/>
  <c r="B478" i="25"/>
  <c r="J478" i="25"/>
  <c r="M477" i="25"/>
  <c r="I478" i="25"/>
  <c r="S477" i="25" l="1"/>
  <c r="Z477" i="25"/>
  <c r="R477" i="25" l="1"/>
  <c r="Q477" i="25" s="1"/>
  <c r="P477" i="25" s="1"/>
  <c r="O477" i="25" s="1"/>
  <c r="N477" i="25" s="1"/>
  <c r="H478" i="25" l="1"/>
  <c r="G478" i="25"/>
  <c r="F478" i="25" s="1"/>
  <c r="E478" i="25" s="1"/>
  <c r="C478" i="25" l="1"/>
  <c r="Y478" i="25"/>
  <c r="D478" i="25"/>
  <c r="B479" i="25"/>
  <c r="J479" i="25"/>
  <c r="M478" i="25"/>
  <c r="I479" i="25"/>
  <c r="S478" i="25" l="1"/>
  <c r="Z478" i="25"/>
  <c r="R478" i="25" l="1"/>
  <c r="Q478" i="25" s="1"/>
  <c r="P478" i="25" s="1"/>
  <c r="O478" i="25" s="1"/>
  <c r="N478" i="25" s="1"/>
  <c r="G479" i="25" l="1"/>
  <c r="F479" i="25" s="1"/>
  <c r="E479" i="25" s="1"/>
  <c r="H479" i="25"/>
  <c r="C479" i="25" l="1"/>
  <c r="Y479" i="25"/>
  <c r="D479" i="25"/>
  <c r="B480" i="25"/>
  <c r="J480" i="25"/>
  <c r="M479" i="25"/>
  <c r="I480" i="25"/>
  <c r="S479" i="25" l="1"/>
  <c r="Z479" i="25"/>
  <c r="R479" i="25" l="1"/>
  <c r="Q479" i="25" s="1"/>
  <c r="P479" i="25" s="1"/>
  <c r="O479" i="25" s="1"/>
  <c r="N479" i="25" s="1"/>
  <c r="H480" i="25" l="1"/>
  <c r="G480" i="25"/>
  <c r="F480" i="25" s="1"/>
  <c r="E480" i="25" s="1"/>
  <c r="D480" i="25" l="1"/>
  <c r="C480" i="25"/>
  <c r="Y480" i="25"/>
  <c r="B481" i="25"/>
  <c r="J481" i="25"/>
  <c r="M480" i="25"/>
  <c r="I481" i="25"/>
  <c r="S480" i="25" l="1"/>
  <c r="R480" i="25" s="1"/>
  <c r="Z480" i="25"/>
  <c r="Q480" i="25" l="1"/>
  <c r="P480" i="25" s="1"/>
  <c r="O480" i="25" s="1"/>
  <c r="N480" i="25" s="1"/>
  <c r="H481" i="25" l="1"/>
  <c r="G481" i="25"/>
  <c r="F481" i="25" s="1"/>
  <c r="E481" i="25" s="1"/>
  <c r="I482" i="25" l="1"/>
  <c r="Y481" i="25"/>
  <c r="C481" i="25"/>
  <c r="D481" i="25"/>
  <c r="B482" i="25"/>
  <c r="J482" i="25"/>
  <c r="M481" i="25"/>
  <c r="Z481" i="25" l="1"/>
  <c r="S481" i="25"/>
  <c r="R481" i="25" l="1"/>
  <c r="Q481" i="25" s="1"/>
  <c r="P481" i="25" s="1"/>
  <c r="O481" i="25" s="1"/>
  <c r="N481" i="25" s="1"/>
  <c r="H482" i="25" l="1"/>
  <c r="G482" i="25"/>
  <c r="F482" i="25" s="1"/>
  <c r="E482" i="25" s="1"/>
  <c r="Y482" i="25" l="1"/>
  <c r="C482" i="25"/>
  <c r="D482" i="25"/>
  <c r="B483" i="25"/>
  <c r="I483" i="25"/>
  <c r="M482" i="25"/>
  <c r="J483" i="25"/>
  <c r="S482" i="25" l="1"/>
  <c r="R482" i="25" s="1"/>
  <c r="Z482" i="25"/>
  <c r="Q482" i="25" l="1"/>
  <c r="P482" i="25" s="1"/>
  <c r="O482" i="25" s="1"/>
  <c r="N482" i="25" s="1"/>
  <c r="H483" i="25" l="1"/>
  <c r="G483" i="25"/>
  <c r="F483" i="25" s="1"/>
  <c r="E483" i="25" s="1"/>
  <c r="C483" i="25" l="1"/>
  <c r="D483" i="25"/>
  <c r="Y483" i="25"/>
  <c r="B484" i="25"/>
  <c r="I484" i="25"/>
  <c r="M483" i="25"/>
  <c r="J484" i="25"/>
  <c r="S483" i="25" l="1"/>
  <c r="R483" i="25" s="1"/>
  <c r="Z483" i="25"/>
  <c r="Q483" i="25" l="1"/>
  <c r="P483" i="25" s="1"/>
  <c r="O483" i="25" s="1"/>
  <c r="N483" i="25" s="1"/>
  <c r="H484" i="25" l="1"/>
  <c r="G484" i="25"/>
  <c r="F484" i="25" s="1"/>
  <c r="E484" i="25" s="1"/>
  <c r="C484" i="25" l="1"/>
  <c r="D484" i="25"/>
  <c r="Y484" i="25"/>
  <c r="B485" i="25"/>
  <c r="I485" i="25"/>
  <c r="J485" i="25"/>
  <c r="M484" i="25"/>
  <c r="S484" i="25" l="1"/>
  <c r="R484" i="25" s="1"/>
  <c r="Z484" i="25"/>
  <c r="Q484" i="25" l="1"/>
  <c r="P484" i="25" s="1"/>
  <c r="O484" i="25" s="1"/>
  <c r="N484" i="25" s="1"/>
  <c r="G485" i="25" l="1"/>
  <c r="F485" i="25" s="1"/>
  <c r="E485" i="25" s="1"/>
  <c r="H485" i="25"/>
  <c r="C485" i="25" l="1"/>
  <c r="Y485" i="25"/>
  <c r="D485" i="25"/>
  <c r="B486" i="25"/>
  <c r="M485" i="25"/>
  <c r="I486" i="25"/>
  <c r="J486" i="25"/>
  <c r="Z485" i="25" l="1"/>
  <c r="S485" i="25"/>
  <c r="R485" i="25" l="1"/>
  <c r="Q485" i="25" s="1"/>
  <c r="P485" i="25" s="1"/>
  <c r="O485" i="25" s="1"/>
  <c r="N485" i="25" s="1"/>
  <c r="G486" i="25" l="1"/>
  <c r="F486" i="25" s="1"/>
  <c r="E486" i="25" s="1"/>
  <c r="H486" i="25"/>
  <c r="Y486" i="25" l="1"/>
  <c r="D486" i="25"/>
  <c r="C486" i="25"/>
  <c r="B487" i="25"/>
  <c r="I487" i="25"/>
  <c r="J487" i="25"/>
  <c r="M486" i="25"/>
  <c r="S486" i="25" l="1"/>
  <c r="R486" i="25" s="1"/>
  <c r="Z486" i="25"/>
  <c r="Q486" i="25" l="1"/>
  <c r="P486" i="25" s="1"/>
  <c r="O486" i="25" s="1"/>
  <c r="N486" i="25" s="1"/>
  <c r="G487" i="25" l="1"/>
  <c r="F487" i="25" s="1"/>
  <c r="E487" i="25" s="1"/>
  <c r="H487" i="25"/>
  <c r="D487" i="25" l="1"/>
  <c r="C487" i="25"/>
  <c r="Y487" i="25"/>
  <c r="B488" i="25"/>
  <c r="M487" i="25"/>
  <c r="I488" i="25"/>
  <c r="J488" i="25"/>
  <c r="Z487" i="25" l="1"/>
  <c r="S487" i="25"/>
  <c r="R487" i="25" l="1"/>
  <c r="Q487" i="25" s="1"/>
  <c r="P487" i="25" s="1"/>
  <c r="O487" i="25" s="1"/>
  <c r="N487" i="25" s="1"/>
  <c r="H488" i="25" l="1"/>
  <c r="G488" i="25"/>
  <c r="F488" i="25" s="1"/>
  <c r="E488" i="25" s="1"/>
  <c r="Y488" i="25" l="1"/>
  <c r="D488" i="25"/>
  <c r="C488" i="25"/>
  <c r="B489" i="25"/>
  <c r="I489" i="25"/>
  <c r="M488" i="25"/>
  <c r="J489" i="25"/>
  <c r="S488" i="25" l="1"/>
  <c r="R488" i="25" s="1"/>
  <c r="Z488" i="25"/>
  <c r="Q488" i="25" l="1"/>
  <c r="P488" i="25" s="1"/>
  <c r="O488" i="25" s="1"/>
  <c r="N488" i="25" s="1"/>
  <c r="G489" i="25" l="1"/>
  <c r="F489" i="25" s="1"/>
  <c r="E489" i="25" s="1"/>
  <c r="H489" i="25"/>
  <c r="D489" i="25" l="1"/>
  <c r="Y489" i="25"/>
  <c r="C489" i="25"/>
  <c r="B490" i="25"/>
  <c r="I490" i="25"/>
  <c r="J490" i="25"/>
  <c r="M489" i="25"/>
  <c r="S489" i="25" l="1"/>
  <c r="R489" i="25" s="1"/>
  <c r="Z489" i="25"/>
  <c r="Q489" i="25" l="1"/>
  <c r="P489" i="25" s="1"/>
  <c r="O489" i="25" s="1"/>
  <c r="N489" i="25" s="1"/>
  <c r="G490" i="25" l="1"/>
  <c r="F490" i="25" s="1"/>
  <c r="E490" i="25" s="1"/>
  <c r="H490" i="25"/>
  <c r="D490" i="25" l="1"/>
  <c r="Y490" i="25"/>
  <c r="C490" i="25"/>
  <c r="B491" i="25"/>
  <c r="M490" i="25"/>
  <c r="I491" i="25"/>
  <c r="J491" i="25"/>
  <c r="Z490" i="25" l="1"/>
  <c r="S490" i="25"/>
  <c r="R490" i="25" l="1"/>
  <c r="Q490" i="25" s="1"/>
  <c r="P490" i="25" s="1"/>
  <c r="O490" i="25" s="1"/>
  <c r="N490" i="25" s="1"/>
  <c r="H491" i="25" l="1"/>
  <c r="G491" i="25"/>
  <c r="F491" i="25" s="1"/>
  <c r="E491" i="25" s="1"/>
  <c r="Y491" i="25" l="1"/>
  <c r="C491" i="25"/>
  <c r="D491" i="25"/>
  <c r="B492" i="25"/>
  <c r="M491" i="25"/>
  <c r="I492" i="25"/>
  <c r="J492" i="25"/>
  <c r="Z491" i="25" l="1"/>
  <c r="S491" i="25"/>
  <c r="R491" i="25" l="1"/>
  <c r="Q491" i="25" s="1"/>
  <c r="P491" i="25" s="1"/>
  <c r="O491" i="25" s="1"/>
  <c r="N491" i="25" s="1"/>
  <c r="G492" i="25" l="1"/>
  <c r="F492" i="25" s="1"/>
  <c r="E492" i="25" s="1"/>
  <c r="H492" i="25"/>
  <c r="Y492" i="25" l="1"/>
  <c r="C492" i="25"/>
  <c r="D492" i="25"/>
  <c r="B493" i="25"/>
  <c r="M492" i="25"/>
  <c r="J493" i="25"/>
  <c r="I493" i="25"/>
  <c r="Z492" i="25" l="1"/>
  <c r="S492" i="25"/>
  <c r="R492" i="25" l="1"/>
  <c r="Q492" i="25" s="1"/>
  <c r="P492" i="25" s="1"/>
  <c r="O492" i="25" s="1"/>
  <c r="N492" i="25" s="1"/>
  <c r="G493" i="25" l="1"/>
  <c r="F493" i="25" s="1"/>
  <c r="E493" i="25" s="1"/>
  <c r="H493" i="25"/>
  <c r="Y493" i="25" l="1"/>
  <c r="D493" i="25"/>
  <c r="C493" i="25"/>
  <c r="B494" i="25"/>
  <c r="I494" i="25"/>
  <c r="M493" i="25"/>
  <c r="J494" i="25"/>
  <c r="S493" i="25" l="1"/>
  <c r="R493" i="25" s="1"/>
  <c r="Z493" i="25"/>
  <c r="Q493" i="25" l="1"/>
  <c r="P493" i="25" s="1"/>
  <c r="O493" i="25" s="1"/>
  <c r="N493" i="25" s="1"/>
  <c r="H494" i="25" l="1"/>
  <c r="G494" i="25"/>
  <c r="F494" i="25" s="1"/>
  <c r="E494" i="25" s="1"/>
  <c r="C494" i="25" l="1"/>
  <c r="Y494" i="25"/>
  <c r="D494" i="25"/>
  <c r="B495" i="25"/>
  <c r="I495" i="25"/>
  <c r="J495" i="25"/>
  <c r="M494" i="25"/>
  <c r="S494" i="25" l="1"/>
  <c r="R494" i="25" s="1"/>
  <c r="Z494" i="25"/>
  <c r="Q494" i="25" l="1"/>
  <c r="P494" i="25" s="1"/>
  <c r="O494" i="25" s="1"/>
  <c r="N494" i="25" s="1"/>
  <c r="G495" i="25" l="1"/>
  <c r="F495" i="25" s="1"/>
  <c r="E495" i="25" s="1"/>
  <c r="H495" i="25"/>
  <c r="Y495" i="25" l="1"/>
  <c r="C495" i="25"/>
  <c r="D495" i="25"/>
  <c r="B496" i="25"/>
  <c r="M495" i="25"/>
  <c r="I496" i="25"/>
  <c r="J496" i="25"/>
  <c r="Z495" i="25" l="1"/>
  <c r="S495" i="25"/>
  <c r="R495" i="25" l="1"/>
  <c r="Q495" i="25" s="1"/>
  <c r="P495" i="25" s="1"/>
  <c r="O495" i="25" s="1"/>
  <c r="N495" i="25" s="1"/>
  <c r="H496" i="25" l="1"/>
  <c r="G496" i="25"/>
  <c r="F496" i="25" s="1"/>
  <c r="E496" i="25" s="1"/>
  <c r="C496" i="25" l="1"/>
  <c r="Y496" i="25"/>
  <c r="D496" i="25"/>
  <c r="B497" i="25"/>
  <c r="I497" i="25"/>
  <c r="M496" i="25"/>
  <c r="J497" i="25"/>
  <c r="S496" i="25" l="1"/>
  <c r="R496" i="25" s="1"/>
  <c r="Z496" i="25"/>
  <c r="Q496" i="25" l="1"/>
  <c r="P496" i="25" s="1"/>
  <c r="O496" i="25" s="1"/>
  <c r="N496" i="25" s="1"/>
  <c r="G497" i="25" l="1"/>
  <c r="F497" i="25" s="1"/>
  <c r="E497" i="25" s="1"/>
  <c r="H497" i="25"/>
  <c r="D497" i="25" l="1"/>
  <c r="C497" i="25"/>
  <c r="Y497" i="25"/>
  <c r="B498" i="25"/>
  <c r="I498" i="25"/>
  <c r="J498" i="25"/>
  <c r="M497" i="25"/>
  <c r="S497" i="25" l="1"/>
  <c r="R497" i="25" s="1"/>
  <c r="Z497" i="25"/>
  <c r="Q497" i="25" l="1"/>
  <c r="P497" i="25" s="1"/>
  <c r="O497" i="25" s="1"/>
  <c r="N497" i="25" s="1"/>
  <c r="H498" i="25" l="1"/>
  <c r="G498" i="25"/>
  <c r="F498" i="25" s="1"/>
  <c r="E498" i="25" s="1"/>
  <c r="D498" i="25" l="1"/>
  <c r="C498" i="25"/>
  <c r="Y498" i="25"/>
  <c r="B499" i="25"/>
  <c r="M498" i="25"/>
  <c r="I499" i="25"/>
  <c r="J499" i="25"/>
  <c r="Z498" i="25" l="1"/>
  <c r="S498" i="25"/>
  <c r="R498" i="25" l="1"/>
  <c r="Q498" i="25" s="1"/>
  <c r="P498" i="25" s="1"/>
  <c r="O498" i="25" s="1"/>
  <c r="N498" i="25" s="1"/>
  <c r="G499" i="25" l="1"/>
  <c r="F499" i="25" s="1"/>
  <c r="E499" i="25" s="1"/>
  <c r="H499" i="25"/>
  <c r="C499" i="25" l="1"/>
  <c r="D499" i="25"/>
  <c r="Y499" i="25"/>
  <c r="B500" i="25"/>
  <c r="M499" i="25"/>
  <c r="I500" i="25"/>
  <c r="J500" i="25"/>
  <c r="Z499" i="25" l="1"/>
  <c r="S499" i="25"/>
  <c r="R499" i="25" l="1"/>
  <c r="Q499" i="25" s="1"/>
  <c r="P499" i="25" s="1"/>
  <c r="O499" i="25" s="1"/>
  <c r="N499" i="25" s="1"/>
  <c r="G500" i="25" l="1"/>
  <c r="F500" i="25" s="1"/>
  <c r="E500" i="25" s="1"/>
  <c r="H500" i="25"/>
  <c r="Y500" i="25" l="1"/>
  <c r="D500" i="25"/>
  <c r="C500" i="25"/>
  <c r="B501" i="25"/>
  <c r="J501" i="25"/>
  <c r="I501" i="25"/>
  <c r="M500" i="25"/>
  <c r="S500" i="25" l="1"/>
  <c r="R500" i="25" s="1"/>
  <c r="Z500" i="25"/>
  <c r="Q500" i="25" l="1"/>
  <c r="P500" i="25" s="1"/>
  <c r="O500" i="25" s="1"/>
  <c r="N500" i="25" s="1"/>
  <c r="G501" i="25" l="1"/>
  <c r="F501" i="25" s="1"/>
  <c r="E501" i="25" s="1"/>
  <c r="H501" i="25"/>
  <c r="C501" i="25" l="1"/>
  <c r="D501" i="25"/>
  <c r="Y501" i="25"/>
  <c r="B502" i="25"/>
  <c r="I502" i="25"/>
  <c r="J502" i="25"/>
  <c r="M501" i="25"/>
  <c r="Z501" i="25" l="1"/>
  <c r="S501" i="25"/>
  <c r="R501" i="25" s="1"/>
  <c r="Q501" i="25" l="1"/>
  <c r="P501" i="25" s="1"/>
  <c r="O501" i="25" s="1"/>
  <c r="N501" i="25" s="1"/>
  <c r="H502" i="25" l="1"/>
  <c r="G502" i="25"/>
  <c r="F502" i="25" s="1"/>
  <c r="E502" i="25" s="1"/>
  <c r="C502" i="25" l="1"/>
  <c r="D502" i="25"/>
  <c r="Y502" i="25"/>
  <c r="B503" i="25"/>
  <c r="J503" i="25"/>
  <c r="M502" i="25"/>
  <c r="I503" i="25"/>
  <c r="Z502" i="25" l="1"/>
  <c r="S502" i="25"/>
  <c r="R502" i="25" s="1"/>
  <c r="Q502" i="25" s="1"/>
  <c r="P502" i="25" s="1"/>
  <c r="O502" i="25" s="1"/>
  <c r="N502" i="25" s="1"/>
  <c r="H503" i="25" l="1"/>
  <c r="G503" i="25"/>
  <c r="F503" i="25" s="1"/>
  <c r="E503" i="25" s="1"/>
  <c r="S503" i="25" l="1"/>
  <c r="C503" i="25"/>
  <c r="D503" i="25"/>
  <c r="Y503" i="25"/>
  <c r="M503" i="25"/>
  <c r="Z503" i="25" l="1"/>
  <c r="R503" i="25"/>
  <c r="Q503" i="25" s="1"/>
  <c r="P503" i="25" s="1"/>
  <c r="O503" i="25" s="1"/>
  <c r="N503" i="25" s="1"/>
  <c r="W8" i="13" l="1"/>
  <c r="T9" i="13" l="1"/>
  <c r="U9" i="13"/>
  <c r="S9" i="13"/>
  <c r="X8" i="13"/>
  <c r="W9" i="13" l="1"/>
  <c r="T10" i="13" l="1"/>
  <c r="S10" i="13"/>
  <c r="U10" i="13"/>
  <c r="X9" i="13"/>
  <c r="W10" i="13" l="1"/>
  <c r="T11" i="13" l="1"/>
  <c r="S11" i="13"/>
  <c r="U11" i="13"/>
  <c r="X10" i="13"/>
  <c r="W11" i="13" l="1"/>
  <c r="X11" i="13" l="1"/>
  <c r="T12" i="13" l="1"/>
  <c r="S12" i="13"/>
  <c r="U12" i="13"/>
  <c r="W12" i="13" l="1"/>
  <c r="X12" i="13" l="1"/>
  <c r="T13" i="13" l="1"/>
  <c r="S13" i="13"/>
  <c r="U13" i="13"/>
  <c r="W13" i="13" l="1"/>
  <c r="X13" i="13"/>
  <c r="S14" i="13" l="1"/>
  <c r="T14" i="13"/>
  <c r="U14" i="13"/>
  <c r="W14" i="13" l="1"/>
  <c r="T15" i="13"/>
  <c r="S15" i="13"/>
  <c r="U15" i="13"/>
  <c r="X14" i="13"/>
  <c r="W15" i="13" l="1"/>
  <c r="X15" i="13" l="1"/>
  <c r="T16" i="13" l="1"/>
  <c r="U16" i="13"/>
  <c r="S16" i="13"/>
  <c r="W16" i="13" l="1"/>
  <c r="X16" i="13" l="1"/>
  <c r="S17" i="13" l="1"/>
  <c r="U17" i="13"/>
  <c r="T17" i="13"/>
  <c r="W17" i="13" l="1"/>
  <c r="X17" i="13"/>
  <c r="S18" i="13" l="1"/>
  <c r="T18" i="13"/>
  <c r="U18" i="13"/>
  <c r="W18" i="13" l="1"/>
  <c r="S19" i="13"/>
  <c r="T19" i="13"/>
  <c r="U19" i="13"/>
  <c r="X18" i="13"/>
  <c r="R18" i="13" l="1"/>
  <c r="W19" i="13" l="1"/>
  <c r="X19" i="13" l="1"/>
  <c r="S20" i="13" l="1"/>
  <c r="U20" i="13"/>
  <c r="T20" i="13"/>
  <c r="R19" i="13" l="1"/>
  <c r="W20" i="13"/>
  <c r="X20" i="13" l="1"/>
  <c r="U21" i="13" l="1"/>
  <c r="S21" i="13"/>
  <c r="T21" i="13"/>
  <c r="W21" i="13" l="1"/>
  <c r="X21" i="13"/>
  <c r="S22" i="13" l="1"/>
  <c r="T22" i="13"/>
  <c r="U22" i="13"/>
  <c r="R21" i="13" l="1"/>
  <c r="W22" i="13"/>
  <c r="X22" i="13"/>
  <c r="U23" i="13" l="1"/>
  <c r="T23" i="13"/>
  <c r="S23" i="13"/>
  <c r="W23" i="13" l="1"/>
  <c r="X23" i="13"/>
  <c r="S24" i="13"/>
  <c r="U24" i="13"/>
  <c r="T24" i="13"/>
  <c r="R22" i="13" l="1"/>
  <c r="W24" i="13" l="1"/>
  <c r="X24" i="13" l="1"/>
  <c r="R23" i="13" l="1"/>
  <c r="S25" i="13"/>
  <c r="T25" i="13"/>
  <c r="U25" i="13"/>
  <c r="W25" i="13" l="1"/>
  <c r="X25" i="13"/>
  <c r="T26" i="13" l="1"/>
  <c r="S26" i="13"/>
  <c r="U26" i="13"/>
  <c r="R24" i="13" l="1"/>
  <c r="W26" i="13" l="1"/>
  <c r="X26" i="13"/>
  <c r="S27" i="13" l="1"/>
  <c r="T27" i="13"/>
  <c r="U27" i="13"/>
  <c r="R25" i="13" l="1"/>
  <c r="W27" i="13" l="1"/>
  <c r="X27" i="13"/>
  <c r="T28" i="13" l="1"/>
  <c r="S28" i="13"/>
  <c r="U28" i="13"/>
  <c r="R26" i="13" l="1"/>
  <c r="W28" i="13" l="1"/>
  <c r="T29" i="13"/>
  <c r="U29" i="13"/>
  <c r="S29" i="13"/>
  <c r="X28" i="13"/>
  <c r="R27" i="13" l="1"/>
  <c r="W29" i="13"/>
  <c r="S30" i="13" l="1"/>
  <c r="T30" i="13"/>
  <c r="U30" i="13"/>
  <c r="X29" i="13"/>
  <c r="R28" i="13" l="1"/>
  <c r="W30" i="13"/>
  <c r="X30" i="13" l="1"/>
  <c r="U31" i="13" l="1"/>
  <c r="T31" i="13"/>
  <c r="S31" i="13"/>
  <c r="W31" i="13" l="1"/>
  <c r="R29" i="13" l="1"/>
  <c r="X31" i="13"/>
  <c r="S32" i="13" l="1"/>
  <c r="T32" i="13"/>
  <c r="U32" i="13"/>
  <c r="W32" i="13" l="1"/>
  <c r="X32" i="13"/>
  <c r="S33" i="13" l="1"/>
  <c r="U33" i="13"/>
  <c r="T33" i="13"/>
  <c r="W33" i="13" l="1"/>
  <c r="X33" i="13" l="1"/>
  <c r="R31" i="13" l="1"/>
  <c r="U34" i="13"/>
  <c r="S34" i="13"/>
  <c r="T34" i="13"/>
  <c r="W34" i="13" l="1"/>
  <c r="X34" i="13" l="1"/>
  <c r="R32" i="13" l="1"/>
  <c r="U35" i="13"/>
  <c r="T35" i="13"/>
  <c r="S35" i="13"/>
  <c r="W35" i="13" l="1"/>
  <c r="U36" i="13"/>
  <c r="T36" i="13"/>
  <c r="S36" i="13"/>
  <c r="X35" i="13"/>
  <c r="W36" i="13" l="1"/>
  <c r="X36" i="13" l="1"/>
  <c r="R34" i="13" l="1"/>
  <c r="U37" i="13"/>
  <c r="S37" i="13"/>
  <c r="T37" i="13"/>
  <c r="W37" i="13" l="1"/>
  <c r="X37" i="13" l="1"/>
  <c r="R35" i="13" l="1"/>
  <c r="T38" i="13"/>
  <c r="S38" i="13"/>
  <c r="U38" i="13"/>
  <c r="W38" i="13" l="1"/>
  <c r="X38" i="13" l="1"/>
  <c r="U39" i="13" l="1"/>
  <c r="T39" i="13"/>
  <c r="S39" i="13"/>
  <c r="R36" i="13" l="1"/>
  <c r="W39" i="13"/>
  <c r="S40" i="13" l="1"/>
  <c r="T40" i="13"/>
  <c r="U40" i="13"/>
  <c r="X39" i="13"/>
  <c r="W40" i="13" l="1"/>
  <c r="X40" i="13" l="1"/>
  <c r="U41" i="13" l="1"/>
  <c r="S41" i="13"/>
  <c r="T41" i="13"/>
  <c r="R38" i="13" l="1"/>
  <c r="W41" i="13"/>
  <c r="R39" i="13" l="1"/>
  <c r="X41" i="13"/>
  <c r="T42" i="13" l="1"/>
  <c r="S42" i="13"/>
  <c r="U42" i="13"/>
  <c r="W42" i="13" l="1"/>
  <c r="X42" i="13" l="1"/>
  <c r="T43" i="13" l="1"/>
  <c r="S43" i="13"/>
  <c r="U43" i="13"/>
  <c r="R40" i="13" l="1"/>
  <c r="T44" i="13" l="1"/>
  <c r="S44" i="13"/>
  <c r="X43" i="13"/>
  <c r="U44" i="13" l="1"/>
  <c r="W44" i="13"/>
  <c r="X44" i="13"/>
  <c r="R44" i="13" l="1"/>
  <c r="S45" i="13"/>
  <c r="U45" i="13"/>
  <c r="T45" i="13"/>
  <c r="R42" i="13" l="1"/>
  <c r="W45" i="13"/>
  <c r="S46" i="13"/>
  <c r="T46" i="13"/>
  <c r="U46" i="13"/>
  <c r="X45" i="13"/>
  <c r="W46" i="13" l="1"/>
  <c r="R43" i="13" l="1"/>
  <c r="X46" i="13"/>
  <c r="W43" i="13" l="1"/>
  <c r="S47" i="13"/>
  <c r="T47" i="13"/>
  <c r="U47" i="13"/>
  <c r="W47" i="13" l="1"/>
  <c r="X47" i="13"/>
  <c r="S48" i="13" l="1"/>
  <c r="U48" i="13"/>
  <c r="T48" i="13"/>
  <c r="W48" i="13" l="1"/>
  <c r="S49" i="13"/>
  <c r="U49" i="13"/>
  <c r="T49" i="13"/>
  <c r="X48" i="13"/>
  <c r="W49" i="13" l="1"/>
  <c r="R45" i="13" l="1"/>
  <c r="X49" i="13"/>
  <c r="S50" i="13" l="1"/>
  <c r="T50" i="13"/>
  <c r="U50" i="13"/>
  <c r="W50" i="13" l="1"/>
  <c r="R46" i="13" l="1"/>
  <c r="U51" i="13"/>
  <c r="T51" i="13"/>
  <c r="S51" i="13"/>
  <c r="X50" i="13"/>
  <c r="W51" i="13" l="1"/>
  <c r="R47" i="13" l="1"/>
  <c r="X51" i="13"/>
  <c r="S52" i="13" l="1"/>
  <c r="T52" i="13"/>
  <c r="U52" i="13"/>
  <c r="W52" i="13" l="1"/>
  <c r="R48" i="13" l="1"/>
  <c r="X52" i="13"/>
  <c r="T53" i="13" l="1"/>
  <c r="U53" i="13"/>
  <c r="S53" i="13"/>
  <c r="W53" i="13" l="1"/>
  <c r="X53" i="13"/>
  <c r="T54" i="13"/>
  <c r="S54" i="13"/>
  <c r="U54" i="13"/>
  <c r="R49" i="13" l="1"/>
  <c r="W54" i="13" l="1"/>
  <c r="X54" i="13" l="1"/>
  <c r="R50" i="13" l="1"/>
  <c r="S55" i="13"/>
  <c r="U55" i="13"/>
  <c r="T55" i="13"/>
  <c r="W55" i="13" l="1"/>
  <c r="X55" i="13"/>
  <c r="U56" i="13" l="1"/>
  <c r="S56" i="13"/>
  <c r="T56" i="13"/>
  <c r="R51" i="13" l="1"/>
  <c r="W56" i="13" l="1"/>
  <c r="U57" i="13"/>
  <c r="S57" i="13"/>
  <c r="T57" i="13"/>
  <c r="X56" i="13"/>
  <c r="W57" i="13" l="1"/>
  <c r="R52" i="13" l="1"/>
  <c r="X57" i="13"/>
  <c r="S58" i="13" l="1"/>
  <c r="T58" i="13"/>
  <c r="U58" i="13"/>
  <c r="W58" i="13" l="1"/>
  <c r="R53" i="13" l="1"/>
  <c r="X58" i="13"/>
  <c r="S59" i="13" l="1"/>
  <c r="U59" i="13"/>
  <c r="T59" i="13"/>
  <c r="W59" i="13" l="1"/>
  <c r="U60" i="13" l="1"/>
  <c r="T60" i="13"/>
  <c r="S60" i="13"/>
  <c r="X59" i="13"/>
  <c r="R54" i="13" l="1"/>
  <c r="W60" i="13" l="1"/>
  <c r="X60" i="13" l="1"/>
  <c r="R55" i="13" l="1"/>
  <c r="U61" i="13"/>
  <c r="S61" i="13"/>
  <c r="T61" i="13"/>
  <c r="W61" i="13" l="1"/>
  <c r="X61" i="13" l="1"/>
  <c r="R56" i="13" l="1"/>
  <c r="T62" i="13"/>
  <c r="U62" i="13"/>
  <c r="S62" i="13"/>
  <c r="W62" i="13" l="1"/>
  <c r="X62" i="13"/>
  <c r="T63" i="13" l="1"/>
  <c r="U63" i="13"/>
  <c r="S63" i="13"/>
  <c r="R57" i="13" l="1"/>
  <c r="W63" i="13"/>
  <c r="S64" i="13" l="1"/>
  <c r="T64" i="13"/>
  <c r="U64" i="13"/>
  <c r="X63" i="13"/>
  <c r="W64" i="13" l="1"/>
  <c r="R58" i="13" l="1"/>
  <c r="U65" i="13"/>
  <c r="S65" i="13"/>
  <c r="T65" i="13"/>
  <c r="X64" i="13"/>
  <c r="W65" i="13" l="1"/>
  <c r="R59" i="13" l="1"/>
  <c r="X65" i="13"/>
  <c r="U66" i="13" l="1"/>
  <c r="T66" i="13"/>
  <c r="S66" i="13"/>
  <c r="W66" i="13" l="1"/>
  <c r="X66" i="13"/>
  <c r="R60" i="13" l="1"/>
  <c r="U67" i="13"/>
  <c r="S67" i="13"/>
  <c r="T67" i="13"/>
  <c r="W67" i="13" l="1"/>
  <c r="U68" i="13"/>
  <c r="S68" i="13"/>
  <c r="T68" i="13"/>
  <c r="X67" i="13"/>
  <c r="R61" i="13" l="1"/>
  <c r="W68" i="13" l="1"/>
  <c r="X68" i="13" l="1"/>
  <c r="R62" i="13" l="1"/>
  <c r="U69" i="13"/>
  <c r="S69" i="13"/>
  <c r="T69" i="13"/>
  <c r="W69" i="13" l="1"/>
  <c r="X69" i="13"/>
  <c r="S70" i="13"/>
  <c r="U70" i="13"/>
  <c r="T70" i="13"/>
  <c r="R63" i="13" l="1"/>
  <c r="W70" i="13" l="1"/>
  <c r="S71" i="13" l="1"/>
  <c r="T71" i="13"/>
  <c r="U71" i="13"/>
  <c r="X70" i="13"/>
  <c r="R64" i="13" l="1"/>
  <c r="W71" i="13"/>
  <c r="X71" i="13" l="1"/>
  <c r="U72" i="13" l="1"/>
  <c r="S72" i="13"/>
  <c r="T72" i="13"/>
  <c r="R65" i="13" l="1"/>
  <c r="W72" i="13"/>
  <c r="X72" i="13"/>
  <c r="S73" i="13" l="1"/>
  <c r="T73" i="13"/>
  <c r="U73" i="13"/>
  <c r="R66" i="13" l="1"/>
  <c r="W73" i="13"/>
  <c r="S74" i="13"/>
  <c r="T74" i="13"/>
  <c r="U74" i="13"/>
  <c r="X73" i="13"/>
  <c r="W74" i="13" l="1"/>
  <c r="R67" i="13" l="1"/>
  <c r="X74" i="13"/>
  <c r="T75" i="13" l="1"/>
  <c r="S75" i="13"/>
  <c r="U75" i="13"/>
  <c r="W75" i="13" l="1"/>
  <c r="R68" i="13" l="1"/>
  <c r="X75" i="13"/>
  <c r="U76" i="13" l="1"/>
  <c r="T76" i="13"/>
  <c r="S76" i="13"/>
  <c r="R69" i="13" l="1"/>
  <c r="W76" i="13"/>
  <c r="X76" i="13" l="1"/>
  <c r="S77" i="13" l="1"/>
  <c r="T77" i="13"/>
  <c r="U77" i="13"/>
  <c r="R70" i="13" l="1"/>
  <c r="W77" i="13"/>
  <c r="X77" i="13" l="1"/>
  <c r="U78" i="13" l="1"/>
  <c r="S78" i="13"/>
  <c r="T78" i="13"/>
  <c r="R78" i="13" l="1"/>
  <c r="R71" i="13" l="1"/>
  <c r="W78" i="13"/>
  <c r="X78" i="13" l="1"/>
  <c r="T79" i="13" l="1"/>
  <c r="U79" i="13"/>
  <c r="S79" i="13"/>
  <c r="R72" i="13" l="1"/>
  <c r="R79" i="13"/>
  <c r="W79" i="13" l="1"/>
  <c r="X79" i="13" l="1"/>
  <c r="R73" i="13" l="1"/>
  <c r="T80" i="13"/>
  <c r="S80" i="13"/>
  <c r="U80" i="13"/>
  <c r="R80" i="13" l="1"/>
  <c r="W80" i="13" l="1"/>
  <c r="X80" i="13" l="1"/>
  <c r="R74" i="13" l="1"/>
  <c r="U81" i="13"/>
  <c r="T81" i="13"/>
  <c r="S81" i="13"/>
  <c r="R81" i="13" l="1"/>
  <c r="W81" i="13" l="1"/>
  <c r="R75" i="13" l="1"/>
  <c r="X81" i="13"/>
  <c r="S82" i="13" l="1"/>
  <c r="T82" i="13"/>
  <c r="U82" i="13"/>
  <c r="R82" i="13" l="1"/>
  <c r="R76" i="13" l="1"/>
  <c r="W82" i="13"/>
  <c r="X82" i="13" l="1"/>
  <c r="U83" i="13" l="1"/>
  <c r="T83" i="13"/>
  <c r="S83" i="13"/>
  <c r="R77" i="13" l="1"/>
  <c r="R83" i="13"/>
  <c r="W83" i="13" l="1"/>
  <c r="X83" i="13" l="1"/>
  <c r="T84" i="13" l="1"/>
  <c r="U84" i="13"/>
  <c r="S84" i="13"/>
  <c r="R84" i="13" l="1"/>
  <c r="W84" i="13" l="1"/>
  <c r="X84" i="13" l="1"/>
  <c r="T85" i="13" l="1"/>
  <c r="S85" i="13"/>
  <c r="U85" i="13"/>
  <c r="R85" i="13" l="1"/>
  <c r="W85" i="13" l="1"/>
  <c r="X85" i="13" l="1"/>
  <c r="U86" i="13" l="1"/>
  <c r="T86" i="13"/>
  <c r="S86" i="13"/>
  <c r="R86" i="13" l="1"/>
  <c r="W86" i="13" l="1"/>
  <c r="X86" i="13" l="1"/>
  <c r="U87" i="13" l="1"/>
  <c r="S87" i="13"/>
  <c r="T87" i="13"/>
  <c r="R87" i="13" l="1"/>
  <c r="W87" i="13" l="1"/>
  <c r="X87" i="13" l="1"/>
  <c r="S88" i="13" l="1"/>
  <c r="U88" i="13"/>
  <c r="T88" i="13"/>
  <c r="R88" i="13" l="1"/>
  <c r="W88" i="13" l="1"/>
  <c r="X88" i="13" l="1"/>
  <c r="S89" i="13" l="1"/>
  <c r="U89" i="13"/>
  <c r="T89" i="13"/>
  <c r="R89" i="13" l="1"/>
  <c r="W89" i="13" l="1"/>
  <c r="X89" i="13" l="1"/>
  <c r="S90" i="13" l="1"/>
  <c r="T90" i="13"/>
  <c r="U90" i="13"/>
  <c r="R90" i="13" l="1"/>
  <c r="W90" i="13" l="1"/>
  <c r="X90" i="13" l="1"/>
  <c r="T91" i="13" l="1"/>
  <c r="U91" i="13"/>
  <c r="S91" i="13"/>
  <c r="R91" i="13" l="1"/>
  <c r="W91" i="13" l="1"/>
  <c r="X91" i="13" l="1"/>
  <c r="U92" i="13" l="1"/>
  <c r="T92" i="13"/>
  <c r="S92" i="13"/>
  <c r="R92" i="13" l="1"/>
  <c r="W92" i="13" l="1"/>
  <c r="X92" i="13" l="1"/>
  <c r="T93" i="13" l="1"/>
  <c r="U93" i="13"/>
  <c r="S93" i="13"/>
  <c r="R93" i="13" l="1"/>
  <c r="W93" i="13" l="1"/>
  <c r="X93" i="13" l="1"/>
  <c r="T94" i="13" l="1"/>
  <c r="S94" i="13"/>
  <c r="U94" i="13"/>
  <c r="R94" i="13" l="1"/>
  <c r="W94" i="13" l="1"/>
  <c r="X94" i="13" l="1"/>
  <c r="U95" i="13" l="1"/>
  <c r="T95" i="13"/>
  <c r="S95" i="13"/>
  <c r="R95" i="13" l="1"/>
  <c r="W95" i="13" l="1"/>
  <c r="X95" i="13" l="1"/>
  <c r="T96" i="13" l="1"/>
  <c r="S96" i="13"/>
  <c r="U96" i="13"/>
  <c r="R96" i="13" l="1"/>
  <c r="W96" i="13" l="1"/>
  <c r="X96" i="13" l="1"/>
  <c r="S97" i="13" l="1"/>
  <c r="U97" i="13"/>
  <c r="T97" i="13"/>
  <c r="R97" i="13" l="1"/>
  <c r="W97" i="13" l="1"/>
  <c r="X97" i="13" l="1"/>
  <c r="S98" i="13" l="1"/>
  <c r="U98" i="13"/>
  <c r="T98" i="13"/>
  <c r="R98" i="13" l="1"/>
  <c r="W98" i="13" l="1"/>
  <c r="X98" i="13" l="1"/>
  <c r="U99" i="13" l="1"/>
  <c r="S99" i="13"/>
  <c r="T99" i="13"/>
  <c r="R99" i="13" l="1"/>
  <c r="W99" i="13" l="1"/>
  <c r="X99" i="13" l="1"/>
  <c r="T100" i="13" l="1"/>
  <c r="S100" i="13"/>
  <c r="U100" i="13"/>
  <c r="R100" i="13" l="1"/>
  <c r="W100" i="13" l="1"/>
  <c r="X100" i="13" l="1"/>
  <c r="U101" i="13" l="1"/>
  <c r="T101" i="13"/>
  <c r="S101" i="13"/>
  <c r="R101" i="13" l="1"/>
  <c r="W101" i="13" l="1"/>
  <c r="X101" i="13" l="1"/>
  <c r="S102" i="13" l="1"/>
  <c r="U102" i="13"/>
  <c r="T102" i="13"/>
  <c r="R102" i="13" l="1"/>
  <c r="W102" i="13" l="1"/>
  <c r="X102" i="13" l="1"/>
  <c r="V102" i="13"/>
  <c r="V101" i="13"/>
  <c r="V100" i="13"/>
  <c r="V99" i="13"/>
  <c r="V98" i="13"/>
  <c r="V97" i="13"/>
  <c r="V96" i="13"/>
  <c r="V95" i="13"/>
  <c r="V94" i="13"/>
  <c r="V93" i="13"/>
  <c r="V92" i="13"/>
  <c r="V91" i="13"/>
  <c r="V90" i="13"/>
  <c r="V89" i="13"/>
  <c r="V88" i="13"/>
  <c r="V87" i="13"/>
  <c r="V86" i="13"/>
  <c r="V85" i="13"/>
  <c r="V84" i="13"/>
  <c r="V83" i="13"/>
  <c r="V82" i="13"/>
  <c r="V81" i="13"/>
  <c r="V80" i="13"/>
  <c r="V79" i="13"/>
  <c r="V78" i="13"/>
  <c r="V77" i="13"/>
  <c r="V76" i="13"/>
  <c r="V75" i="13"/>
  <c r="V74" i="13"/>
  <c r="V73" i="13"/>
  <c r="V72" i="13"/>
  <c r="V71" i="13"/>
  <c r="V70" i="13"/>
  <c r="V69" i="13"/>
  <c r="V68" i="13"/>
  <c r="V67" i="13"/>
  <c r="V66" i="13"/>
  <c r="V65" i="13"/>
  <c r="V64" i="13"/>
  <c r="V63" i="13"/>
  <c r="V62" i="13"/>
  <c r="V61" i="13"/>
  <c r="V60" i="13"/>
  <c r="V59" i="13"/>
  <c r="V58" i="13"/>
  <c r="V57" i="13"/>
  <c r="V56" i="13"/>
  <c r="V55" i="13"/>
  <c r="V54" i="13"/>
  <c r="V53" i="13"/>
  <c r="V52" i="13"/>
  <c r="V51" i="13"/>
  <c r="V50" i="13"/>
  <c r="V49" i="13"/>
  <c r="V48" i="13"/>
  <c r="V47" i="13"/>
  <c r="V46" i="13"/>
  <c r="V45" i="13"/>
  <c r="V44" i="13"/>
  <c r="V43" i="13"/>
  <c r="V42" i="13"/>
  <c r="R41" i="13"/>
  <c r="V41" i="13"/>
  <c r="V40" i="13"/>
  <c r="V39" i="13"/>
  <c r="V38" i="13"/>
  <c r="R37" i="13"/>
  <c r="V37" i="13"/>
  <c r="V36" i="13"/>
  <c r="V35" i="13"/>
  <c r="V34" i="13"/>
  <c r="R33" i="13"/>
  <c r="V33" i="13"/>
  <c r="V32" i="13"/>
  <c r="V31" i="13"/>
  <c r="R30" i="13"/>
  <c r="V30" i="13"/>
  <c r="V29" i="13"/>
  <c r="V28" i="13"/>
  <c r="V27" i="13"/>
  <c r="V26" i="13"/>
  <c r="V25" i="13"/>
  <c r="V24" i="13"/>
  <c r="V23" i="13"/>
  <c r="V22" i="13"/>
  <c r="V21" i="13"/>
  <c r="R20" i="13"/>
  <c r="V20" i="13"/>
  <c r="V19" i="13"/>
  <c r="V18" i="13"/>
  <c r="R17" i="13"/>
  <c r="V17" i="13"/>
  <c r="R16" i="13"/>
  <c r="R15" i="13"/>
  <c r="V16" i="13"/>
  <c r="V15" i="13"/>
  <c r="R14" i="13"/>
  <c r="R13" i="13"/>
  <c r="V14" i="13"/>
  <c r="V13" i="13"/>
  <c r="V12" i="13"/>
  <c r="R12" i="13"/>
  <c r="R11" i="13"/>
  <c r="V11" i="13"/>
  <c r="R10" i="13"/>
  <c r="V10" i="13"/>
  <c r="R9" i="13"/>
  <c r="V9" i="13"/>
  <c r="AI3" i="1" l="1"/>
  <c r="AN3" i="1" s="1"/>
  <c r="C2" i="11" s="1"/>
  <c r="D2" i="11" l="1"/>
  <c r="K4" i="13"/>
  <c r="AJ3" i="1"/>
  <c r="AM3" i="1" s="1"/>
  <c r="N4" i="13" s="1"/>
  <c r="F4" i="1"/>
  <c r="G4" i="1"/>
  <c r="E4" i="1" l="1"/>
  <c r="D4" i="1" s="1"/>
  <c r="E2" i="11"/>
  <c r="I4" i="13" s="1"/>
  <c r="H4" i="13"/>
  <c r="M4" i="13"/>
  <c r="B3" i="31"/>
  <c r="C3" i="31"/>
  <c r="M4" i="1" l="1"/>
  <c r="N4" i="1"/>
  <c r="L4" i="1"/>
  <c r="AF4" i="1" s="1"/>
  <c r="B5" i="13"/>
  <c r="D3" i="31"/>
  <c r="F3" i="31" s="1"/>
  <c r="P4" i="13" s="1"/>
  <c r="A3" i="11"/>
  <c r="L5" i="13" s="1"/>
  <c r="AE4" i="1"/>
  <c r="H5" i="1"/>
  <c r="Y4" i="1" s="1"/>
  <c r="C4" i="1"/>
  <c r="C5" i="13"/>
  <c r="O4" i="13"/>
  <c r="D5" i="13" l="1"/>
  <c r="AH4" i="1"/>
  <c r="E5" i="13"/>
  <c r="F4" i="11"/>
  <c r="X4" i="1"/>
  <c r="W4" i="1" s="1"/>
  <c r="V4" i="1" s="1"/>
  <c r="U4" i="1" s="1"/>
  <c r="T4" i="1" s="1"/>
  <c r="AK4" i="1"/>
  <c r="F5" i="13" l="1"/>
  <c r="AI4" i="1"/>
  <c r="AJ4" i="1" s="1"/>
  <c r="M5" i="13" s="1"/>
  <c r="G5" i="13"/>
  <c r="E4" i="31"/>
  <c r="F5" i="1" l="1"/>
  <c r="G5" i="1"/>
  <c r="C4" i="31"/>
  <c r="B4" i="31"/>
  <c r="AM4" i="1"/>
  <c r="N5" i="13" s="1"/>
  <c r="AN4" i="1"/>
  <c r="C3" i="11" s="1"/>
  <c r="D4" i="31" l="1"/>
  <c r="K5" i="13"/>
  <c r="D3" i="11"/>
  <c r="G3" i="11"/>
  <c r="H3" i="11" s="1"/>
  <c r="J5" i="13" s="1"/>
  <c r="E5" i="1"/>
  <c r="H4" i="31" l="1"/>
  <c r="Q5" i="13" s="1"/>
  <c r="O5" i="13"/>
  <c r="F4" i="31"/>
  <c r="P5" i="13" s="1"/>
  <c r="H5" i="13"/>
  <c r="E3" i="11"/>
  <c r="I5" i="13" s="1"/>
  <c r="BE5" i="1"/>
  <c r="D5" i="1"/>
  <c r="P1" i="1" s="1"/>
  <c r="N5" i="1" l="1"/>
  <c r="M5" i="1"/>
  <c r="H6" i="1"/>
  <c r="A4" i="11"/>
  <c r="L6" i="13" s="1"/>
  <c r="L5" i="1"/>
  <c r="C6" i="13"/>
  <c r="AE5" i="1"/>
  <c r="B6" i="13"/>
  <c r="C5" i="1"/>
  <c r="BD5" i="1"/>
  <c r="D6" i="13" l="1"/>
  <c r="Y5" i="1"/>
  <c r="X5" i="1" s="1"/>
  <c r="W5" i="1" s="1"/>
  <c r="V5" i="1" s="1"/>
  <c r="AH5" i="1"/>
  <c r="E6" i="13"/>
  <c r="F5" i="11"/>
  <c r="AK5" i="1"/>
  <c r="AF5" i="1"/>
  <c r="BH5" i="1"/>
  <c r="U5" i="1" l="1"/>
  <c r="BG5" i="1"/>
  <c r="F6" i="13" l="1"/>
  <c r="BF5" i="1"/>
  <c r="T5" i="1"/>
  <c r="AI5" i="1" l="1"/>
  <c r="G6" i="1" s="1"/>
  <c r="G6" i="13"/>
  <c r="E5" i="31"/>
  <c r="F6" i="1" l="1"/>
  <c r="AN5" i="1"/>
  <c r="C4" i="11" s="1"/>
  <c r="AJ5" i="1"/>
  <c r="M6" i="13" s="1"/>
  <c r="E6" i="1" l="1"/>
  <c r="D6" i="1" s="1"/>
  <c r="C5" i="31"/>
  <c r="B5" i="31"/>
  <c r="AM5" i="1"/>
  <c r="N6" i="13" s="1"/>
  <c r="K6" i="13"/>
  <c r="G4" i="11"/>
  <c r="H4" i="11" s="1"/>
  <c r="J6" i="13" s="1"/>
  <c r="D4" i="11"/>
  <c r="N6" i="1" l="1"/>
  <c r="M6" i="1"/>
  <c r="L6" i="1"/>
  <c r="D5" i="31"/>
  <c r="H5" i="31" s="1"/>
  <c r="Q6" i="13" s="1"/>
  <c r="I7" i="1"/>
  <c r="C7" i="13"/>
  <c r="B7" i="13"/>
  <c r="H7" i="1"/>
  <c r="J8" i="1" s="1"/>
  <c r="I9" i="10" s="1"/>
  <c r="AE6" i="1"/>
  <c r="A5" i="11"/>
  <c r="C6" i="1"/>
  <c r="H6" i="13"/>
  <c r="E4" i="11"/>
  <c r="I6" i="13" s="1"/>
  <c r="O7" i="1" l="1"/>
  <c r="R7" i="1"/>
  <c r="D7" i="13"/>
  <c r="AH6" i="1"/>
  <c r="O6" i="13"/>
  <c r="F5" i="31"/>
  <c r="P6" i="13" s="1"/>
  <c r="P8" i="10"/>
  <c r="O8" i="10" s="1"/>
  <c r="N8" i="10" s="1"/>
  <c r="M8" i="10" s="1"/>
  <c r="L8" i="10" s="1"/>
  <c r="H9" i="10" s="1"/>
  <c r="J10" i="10" s="1"/>
  <c r="Y6" i="1"/>
  <c r="X6" i="1" s="1"/>
  <c r="W6" i="1" s="1"/>
  <c r="V6" i="1" s="1"/>
  <c r="U6" i="1" s="1"/>
  <c r="K8" i="1"/>
  <c r="AK6" i="1"/>
  <c r="AF6" i="1"/>
  <c r="E7" i="13"/>
  <c r="F6" i="11"/>
  <c r="L7" i="13"/>
  <c r="G9" i="10" l="1"/>
  <c r="F9" i="10" s="1"/>
  <c r="E9" i="10" s="1"/>
  <c r="T6" i="1"/>
  <c r="F7" i="13"/>
  <c r="D9" i="10" l="1"/>
  <c r="K9" i="10"/>
  <c r="AI6" i="1"/>
  <c r="AJ6" i="1" s="1"/>
  <c r="M7" i="13" s="1"/>
  <c r="AP4" i="1"/>
  <c r="G7" i="13"/>
  <c r="E6" i="31"/>
  <c r="G7" i="1" l="1"/>
  <c r="F7" i="1"/>
  <c r="C6" i="31"/>
  <c r="B6" i="31"/>
  <c r="AM6" i="1"/>
  <c r="N7" i="13" s="1"/>
  <c r="AN6" i="1"/>
  <c r="AP6" i="1"/>
  <c r="AP5" i="1"/>
  <c r="C5" i="11" l="1"/>
  <c r="E7" i="1"/>
  <c r="D7" i="1" s="1"/>
  <c r="I8" i="1" s="1"/>
  <c r="D6" i="31"/>
  <c r="O7" i="13" s="1"/>
  <c r="P7" i="1" l="1"/>
  <c r="N7" i="1" s="1"/>
  <c r="Q7" i="1"/>
  <c r="S7" i="1" s="1"/>
  <c r="L7" i="1"/>
  <c r="F6" i="31"/>
  <c r="P7" i="13" s="1"/>
  <c r="H6" i="31"/>
  <c r="Q7" i="13" s="1"/>
  <c r="B8" i="13"/>
  <c r="C8" i="13"/>
  <c r="A6" i="11"/>
  <c r="L8" i="13" s="1"/>
  <c r="AE7" i="1"/>
  <c r="C7" i="1"/>
  <c r="D8" i="13" s="1"/>
  <c r="K9" i="1"/>
  <c r="H8" i="1"/>
  <c r="J9" i="1" s="1"/>
  <c r="I10" i="10" s="1"/>
  <c r="K7" i="13"/>
  <c r="G5" i="11"/>
  <c r="H5" i="11" s="1"/>
  <c r="J7" i="13" s="1"/>
  <c r="D5" i="11"/>
  <c r="M7" i="1" l="1"/>
  <c r="O8" i="1" s="1"/>
  <c r="P9" i="10"/>
  <c r="O9" i="10" s="1"/>
  <c r="N9" i="10" s="1"/>
  <c r="M9" i="10" s="1"/>
  <c r="L9" i="10" s="1"/>
  <c r="H10" i="10" s="1"/>
  <c r="J11" i="10" s="1"/>
  <c r="AH7" i="1"/>
  <c r="H7" i="13"/>
  <c r="E5" i="11"/>
  <c r="I7" i="13" s="1"/>
  <c r="Y7" i="1"/>
  <c r="X7" i="1" s="1"/>
  <c r="W7" i="1" s="1"/>
  <c r="V7" i="1" s="1"/>
  <c r="U7" i="1" s="1"/>
  <c r="AF7" i="1"/>
  <c r="E8" i="13"/>
  <c r="F7" i="11"/>
  <c r="AK7" i="1"/>
  <c r="R8" i="1" l="1"/>
  <c r="G10" i="10"/>
  <c r="F10" i="10" s="1"/>
  <c r="E10" i="10" s="1"/>
  <c r="T7" i="1"/>
  <c r="F8" i="13"/>
  <c r="D10" i="10" l="1"/>
  <c r="K10" i="10"/>
  <c r="AI7" i="1"/>
  <c r="AJ7" i="1" s="1"/>
  <c r="M8" i="13" s="1"/>
  <c r="E7" i="31"/>
  <c r="G8" i="13"/>
  <c r="AN7" i="1"/>
  <c r="G8" i="1" l="1"/>
  <c r="F8" i="1"/>
  <c r="C6" i="11"/>
  <c r="C7" i="31"/>
  <c r="B7" i="31"/>
  <c r="AM7" i="1"/>
  <c r="N8" i="13" s="1"/>
  <c r="E8" i="1" l="1"/>
  <c r="D8" i="1" s="1"/>
  <c r="D7" i="31"/>
  <c r="D6" i="11"/>
  <c r="G6" i="11"/>
  <c r="H6" i="11" s="1"/>
  <c r="J8" i="13" s="1"/>
  <c r="K8" i="13"/>
  <c r="P8" i="1" l="1"/>
  <c r="N8" i="1" s="1"/>
  <c r="M8" i="1" s="1"/>
  <c r="O9" i="1" s="1"/>
  <c r="Q8" i="1"/>
  <c r="S8" i="1" s="1"/>
  <c r="L8" i="1"/>
  <c r="BE8" i="1"/>
  <c r="H8" i="13"/>
  <c r="E6" i="11"/>
  <c r="I8" i="13" s="1"/>
  <c r="BD8" i="1"/>
  <c r="C8" i="1"/>
  <c r="B9" i="13"/>
  <c r="AE8" i="1"/>
  <c r="A7" i="11"/>
  <c r="C9" i="13"/>
  <c r="I9" i="1"/>
  <c r="K10" i="1" s="1"/>
  <c r="H9" i="1"/>
  <c r="J10" i="1" s="1"/>
  <c r="I11" i="10" s="1"/>
  <c r="P10" i="10" s="1"/>
  <c r="O10" i="10" s="1"/>
  <c r="N10" i="10" s="1"/>
  <c r="M10" i="10" s="1"/>
  <c r="L10" i="10" s="1"/>
  <c r="H11" i="10" s="1"/>
  <c r="J12" i="10" s="1"/>
  <c r="O8" i="13"/>
  <c r="F7" i="31"/>
  <c r="P8" i="13" s="1"/>
  <c r="H7" i="31"/>
  <c r="Q8" i="13" s="1"/>
  <c r="R9" i="1" l="1"/>
  <c r="D9" i="13"/>
  <c r="G11" i="10"/>
  <c r="F11" i="10" s="1"/>
  <c r="E11" i="10" s="1"/>
  <c r="Y8" i="1"/>
  <c r="X8" i="1" s="1"/>
  <c r="W8" i="1" s="1"/>
  <c r="V8" i="1" s="1"/>
  <c r="L9" i="13"/>
  <c r="E9" i="13"/>
  <c r="AF8" i="1"/>
  <c r="BH8" i="1"/>
  <c r="F8" i="11"/>
  <c r="AK8" i="1"/>
  <c r="AH8" i="1"/>
  <c r="D11" i="10" l="1"/>
  <c r="K11" i="10"/>
  <c r="U8" i="1"/>
  <c r="BG8" i="1"/>
  <c r="F9" i="13" l="1"/>
  <c r="BF8" i="1"/>
  <c r="T8" i="1"/>
  <c r="G9" i="13" l="1"/>
  <c r="E8" i="31"/>
  <c r="AI8" i="1"/>
  <c r="G9" i="1" s="1"/>
  <c r="F9" i="1" l="1"/>
  <c r="E9" i="1" s="1"/>
  <c r="AN8" i="1"/>
  <c r="C7" i="11" s="1"/>
  <c r="AJ8" i="1"/>
  <c r="M9" i="13" s="1"/>
  <c r="K9" i="13" l="1"/>
  <c r="G7" i="11"/>
  <c r="H7" i="11" s="1"/>
  <c r="J9" i="13" s="1"/>
  <c r="D7" i="11"/>
  <c r="B8" i="31"/>
  <c r="C8" i="31"/>
  <c r="AM8" i="1"/>
  <c r="N9" i="13" s="1"/>
  <c r="D9" i="1"/>
  <c r="P9" i="1" s="1"/>
  <c r="N9" i="1" s="1"/>
  <c r="M9" i="1" l="1"/>
  <c r="O10" i="1" s="1"/>
  <c r="Q9" i="1"/>
  <c r="S9" i="1" s="1"/>
  <c r="L9" i="1"/>
  <c r="B10" i="13"/>
  <c r="A8" i="11"/>
  <c r="C10" i="13"/>
  <c r="C9" i="1"/>
  <c r="AE9" i="1"/>
  <c r="H10" i="1"/>
  <c r="J11" i="1" s="1"/>
  <c r="I12" i="10" s="1"/>
  <c r="I10" i="1"/>
  <c r="K11" i="1" s="1"/>
  <c r="E7" i="11"/>
  <c r="I9" i="13" s="1"/>
  <c r="H9" i="13"/>
  <c r="D8" i="31"/>
  <c r="O9" i="13" s="1"/>
  <c r="R10" i="1" l="1"/>
  <c r="D10" i="13"/>
  <c r="P11" i="10"/>
  <c r="O11" i="10" s="1"/>
  <c r="N11" i="10" s="1"/>
  <c r="M11" i="10" s="1"/>
  <c r="L11" i="10" s="1"/>
  <c r="H12" i="10" s="1"/>
  <c r="J13" i="10" s="1"/>
  <c r="AH9" i="1"/>
  <c r="L10" i="13"/>
  <c r="H8" i="31"/>
  <c r="Q9" i="13" s="1"/>
  <c r="F8" i="31"/>
  <c r="P9" i="13" s="1"/>
  <c r="Y9" i="1"/>
  <c r="X9" i="1" s="1"/>
  <c r="W9" i="1" s="1"/>
  <c r="V9" i="1" s="1"/>
  <c r="U9" i="1" s="1"/>
  <c r="E10" i="13"/>
  <c r="AF9" i="1"/>
  <c r="F9" i="11"/>
  <c r="AK9" i="1"/>
  <c r="G12" i="10" l="1"/>
  <c r="F12" i="10" s="1"/>
  <c r="E12" i="10" s="1"/>
  <c r="F10" i="13"/>
  <c r="T9" i="1"/>
  <c r="K12" i="10" l="1"/>
  <c r="D12" i="10"/>
  <c r="AI9" i="1"/>
  <c r="AJ9" i="1" s="1"/>
  <c r="M10" i="13" s="1"/>
  <c r="G10" i="13"/>
  <c r="E9" i="31"/>
  <c r="AN9" i="1"/>
  <c r="C8" i="11" s="1"/>
  <c r="G10" i="1" l="1"/>
  <c r="F10" i="1"/>
  <c r="B9" i="31"/>
  <c r="C9" i="31"/>
  <c r="AM9" i="1"/>
  <c r="N10" i="13" s="1"/>
  <c r="E10" i="1" l="1"/>
  <c r="D10" i="1" s="1"/>
  <c r="P10" i="1" s="1"/>
  <c r="D9" i="31"/>
  <c r="H9" i="31" s="1"/>
  <c r="Q10" i="13" s="1"/>
  <c r="K10" i="13"/>
  <c r="G8" i="11"/>
  <c r="H8" i="11" s="1"/>
  <c r="J10" i="13" s="1"/>
  <c r="D8" i="11"/>
  <c r="N10" i="1" l="1"/>
  <c r="M10" i="1" s="1"/>
  <c r="O11" i="1" s="1"/>
  <c r="Q10" i="1"/>
  <c r="S10" i="1" s="1"/>
  <c r="L10" i="1"/>
  <c r="C10" i="1"/>
  <c r="D11" i="13" s="1"/>
  <c r="H11" i="1"/>
  <c r="J12" i="1" s="1"/>
  <c r="I13" i="10" s="1"/>
  <c r="P12" i="10" s="1"/>
  <c r="O12" i="10" s="1"/>
  <c r="N12" i="10" s="1"/>
  <c r="M12" i="10" s="1"/>
  <c r="L12" i="10" s="1"/>
  <c r="H13" i="10" s="1"/>
  <c r="J14" i="10" s="1"/>
  <c r="A9" i="11"/>
  <c r="L11" i="13" s="1"/>
  <c r="I11" i="1"/>
  <c r="K12" i="1" s="1"/>
  <c r="AE10" i="1"/>
  <c r="C11" i="13"/>
  <c r="B11" i="13"/>
  <c r="O10" i="13"/>
  <c r="F9" i="31"/>
  <c r="P10" i="13" s="1"/>
  <c r="H10" i="13"/>
  <c r="E8" i="11"/>
  <c r="I10" i="13" s="1"/>
  <c r="R11" i="1" l="1"/>
  <c r="F10" i="11"/>
  <c r="AH10" i="1"/>
  <c r="Y10" i="1"/>
  <c r="X10" i="1" s="1"/>
  <c r="W10" i="1" s="1"/>
  <c r="V10" i="1" s="1"/>
  <c r="U10" i="1" s="1"/>
  <c r="F11" i="13" s="1"/>
  <c r="G13" i="10"/>
  <c r="F13" i="10" s="1"/>
  <c r="E13" i="10" s="1"/>
  <c r="D13" i="10" s="1"/>
  <c r="AK10" i="1"/>
  <c r="AF10" i="1"/>
  <c r="E11" i="13"/>
  <c r="K13" i="10" l="1"/>
  <c r="T10" i="1"/>
  <c r="AI10" i="1" s="1"/>
  <c r="AJ10" i="1" s="1"/>
  <c r="AM10" i="1" s="1"/>
  <c r="N11" i="13" s="1"/>
  <c r="M11" i="13"/>
  <c r="AN10" i="1"/>
  <c r="C9" i="11" s="1"/>
  <c r="G11" i="13" l="1"/>
  <c r="G11" i="1"/>
  <c r="F11" i="1"/>
  <c r="E10" i="31"/>
  <c r="B10" i="31"/>
  <c r="C10" i="31"/>
  <c r="E11" i="1" l="1"/>
  <c r="D11" i="1" s="1"/>
  <c r="P11" i="1" s="1"/>
  <c r="D10" i="31"/>
  <c r="H10" i="31" s="1"/>
  <c r="Q11" i="13" s="1"/>
  <c r="O11" i="13"/>
  <c r="D9" i="11"/>
  <c r="G9" i="11"/>
  <c r="H9" i="11" s="1"/>
  <c r="J11" i="13" s="1"/>
  <c r="K11" i="13"/>
  <c r="N11" i="1" l="1"/>
  <c r="M11" i="1" s="1"/>
  <c r="O12" i="1" s="1"/>
  <c r="Q11" i="1"/>
  <c r="S11" i="1" s="1"/>
  <c r="L11" i="1"/>
  <c r="BE11" i="1"/>
  <c r="F10" i="31"/>
  <c r="P11" i="13" s="1"/>
  <c r="H11" i="13"/>
  <c r="E9" i="11"/>
  <c r="I11" i="13" s="1"/>
  <c r="C12" i="13"/>
  <c r="A10" i="11"/>
  <c r="BD11" i="1"/>
  <c r="AE11" i="1"/>
  <c r="B12" i="13"/>
  <c r="C11" i="1"/>
  <c r="I12" i="1"/>
  <c r="K13" i="1" s="1"/>
  <c r="H12" i="1"/>
  <c r="J13" i="1" s="1"/>
  <c r="I14" i="10" s="1"/>
  <c r="R12" i="1" l="1"/>
  <c r="D12" i="13"/>
  <c r="P13" i="10"/>
  <c r="O13" i="10" s="1"/>
  <c r="N13" i="10" s="1"/>
  <c r="M13" i="10" s="1"/>
  <c r="L13" i="10" s="1"/>
  <c r="H14" i="10" s="1"/>
  <c r="J15" i="10" s="1"/>
  <c r="AF11" i="1"/>
  <c r="BH11" i="1"/>
  <c r="E12" i="13"/>
  <c r="AK11" i="1"/>
  <c r="F11" i="11"/>
  <c r="L12" i="13"/>
  <c r="Y11" i="1"/>
  <c r="X11" i="1" s="1"/>
  <c r="W11" i="1" s="1"/>
  <c r="V11" i="1" s="1"/>
  <c r="AH11" i="1"/>
  <c r="G14" i="10" l="1"/>
  <c r="F14" i="10" s="1"/>
  <c r="E14" i="10" s="1"/>
  <c r="U11" i="1"/>
  <c r="BG11" i="1"/>
  <c r="D14" i="10" l="1"/>
  <c r="K14" i="10"/>
  <c r="F12" i="13"/>
  <c r="BF11" i="1"/>
  <c r="T11" i="1"/>
  <c r="E11" i="31" l="1"/>
  <c r="G12" i="13"/>
  <c r="AI11" i="1"/>
  <c r="F12" i="1" s="1"/>
  <c r="G12" i="1" l="1"/>
  <c r="AN11" i="1"/>
  <c r="C10" i="11" s="1"/>
  <c r="AJ11" i="1"/>
  <c r="M12" i="13" s="1"/>
  <c r="E12" i="1" l="1"/>
  <c r="D12" i="1" s="1"/>
  <c r="P12" i="1" s="1"/>
  <c r="B11" i="31"/>
  <c r="C11" i="31"/>
  <c r="AM11" i="1"/>
  <c r="N12" i="13" s="1"/>
  <c r="G10" i="11"/>
  <c r="H10" i="11" s="1"/>
  <c r="J12" i="13" s="1"/>
  <c r="K12" i="13"/>
  <c r="D10" i="11"/>
  <c r="N12" i="1" l="1"/>
  <c r="M12" i="1" s="1"/>
  <c r="O13" i="1" s="1"/>
  <c r="Q12" i="1"/>
  <c r="S12" i="1" s="1"/>
  <c r="L12" i="1"/>
  <c r="C13" i="13"/>
  <c r="AE12" i="1"/>
  <c r="H13" i="1"/>
  <c r="J14" i="1" s="1"/>
  <c r="I15" i="10" s="1"/>
  <c r="I13" i="1"/>
  <c r="A11" i="11"/>
  <c r="L13" i="13" s="1"/>
  <c r="C12" i="1"/>
  <c r="B13" i="13"/>
  <c r="D11" i="31"/>
  <c r="H12" i="13"/>
  <c r="E10" i="11"/>
  <c r="I12" i="13" s="1"/>
  <c r="R13" i="1" l="1"/>
  <c r="F12" i="11"/>
  <c r="D13" i="13"/>
  <c r="P14" i="10"/>
  <c r="O14" i="10" s="1"/>
  <c r="N14" i="10" s="1"/>
  <c r="M14" i="10" s="1"/>
  <c r="L14" i="10" s="1"/>
  <c r="H15" i="10" s="1"/>
  <c r="J16" i="10" s="1"/>
  <c r="AH12" i="1"/>
  <c r="K14" i="1"/>
  <c r="H11" i="31"/>
  <c r="Q12" i="13" s="1"/>
  <c r="O12" i="13"/>
  <c r="Y12" i="1"/>
  <c r="X12" i="1" s="1"/>
  <c r="W12" i="1" s="1"/>
  <c r="V12" i="1" s="1"/>
  <c r="U12" i="1" s="1"/>
  <c r="F13" i="13" s="1"/>
  <c r="AK12" i="1"/>
  <c r="E13" i="13"/>
  <c r="AF12" i="1"/>
  <c r="F11" i="31"/>
  <c r="P12" i="13" s="1"/>
  <c r="G15" i="10" l="1"/>
  <c r="F15" i="10" s="1"/>
  <c r="E15" i="10" s="1"/>
  <c r="T12" i="1"/>
  <c r="AN12" i="1"/>
  <c r="C11" i="11" s="1"/>
  <c r="K15" i="10" l="1"/>
  <c r="D15" i="10"/>
  <c r="G13" i="13"/>
  <c r="E12" i="31"/>
  <c r="AI12" i="1"/>
  <c r="AJ12" i="1" s="1"/>
  <c r="G11" i="11"/>
  <c r="H11" i="11" s="1"/>
  <c r="J13" i="13" s="1"/>
  <c r="K13" i="13"/>
  <c r="D11" i="11"/>
  <c r="F13" i="1" l="1"/>
  <c r="C12" i="31"/>
  <c r="M13" i="13"/>
  <c r="G13" i="1"/>
  <c r="AM12" i="1"/>
  <c r="N13" i="13" s="1"/>
  <c r="B12" i="31"/>
  <c r="H13" i="13"/>
  <c r="E11" i="11"/>
  <c r="I13" i="13" s="1"/>
  <c r="E13" i="1" l="1"/>
  <c r="D13" i="1" s="1"/>
  <c r="P13" i="1" s="1"/>
  <c r="D12" i="31"/>
  <c r="O13" i="13" s="1"/>
  <c r="N13" i="1" l="1"/>
  <c r="M13" i="1" s="1"/>
  <c r="O14" i="1" s="1"/>
  <c r="Q13" i="1"/>
  <c r="S13" i="1" s="1"/>
  <c r="L13" i="1"/>
  <c r="H14" i="1"/>
  <c r="J15" i="1" s="1"/>
  <c r="I16" i="10" s="1"/>
  <c r="P15" i="10" s="1"/>
  <c r="O15" i="10" s="1"/>
  <c r="N15" i="10" s="1"/>
  <c r="M15" i="10" s="1"/>
  <c r="L15" i="10" s="1"/>
  <c r="H16" i="10" s="1"/>
  <c r="J17" i="10" s="1"/>
  <c r="AE13" i="1"/>
  <c r="I14" i="1"/>
  <c r="K15" i="1" s="1"/>
  <c r="B14" i="13"/>
  <c r="A12" i="11"/>
  <c r="L14" i="13" s="1"/>
  <c r="C14" i="13"/>
  <c r="C13" i="1"/>
  <c r="H12" i="31"/>
  <c r="Q13" i="13" s="1"/>
  <c r="F12" i="31"/>
  <c r="P13" i="13" s="1"/>
  <c r="AN13" i="1"/>
  <c r="C12" i="11" s="1"/>
  <c r="R14" i="1" l="1"/>
  <c r="AF13" i="1"/>
  <c r="D14" i="13"/>
  <c r="AK13" i="1"/>
  <c r="Y13" i="1"/>
  <c r="X13" i="1" s="1"/>
  <c r="W13" i="1" s="1"/>
  <c r="V13" i="1" s="1"/>
  <c r="U13" i="1" s="1"/>
  <c r="F14" i="13" s="1"/>
  <c r="AH13" i="1"/>
  <c r="E14" i="13"/>
  <c r="F13" i="11"/>
  <c r="G16" i="10"/>
  <c r="F16" i="10" s="1"/>
  <c r="E16" i="10" s="1"/>
  <c r="T13" i="1" l="1"/>
  <c r="AI13" i="1" s="1"/>
  <c r="AJ13" i="1" s="1"/>
  <c r="M14" i="13" s="1"/>
  <c r="I17" i="10"/>
  <c r="P16" i="10" s="1"/>
  <c r="D16" i="10"/>
  <c r="K16" i="10"/>
  <c r="K14" i="13"/>
  <c r="G12" i="11"/>
  <c r="H12" i="11" s="1"/>
  <c r="J14" i="13" s="1"/>
  <c r="D12" i="11"/>
  <c r="F14" i="1" l="1"/>
  <c r="E14" i="1" s="1"/>
  <c r="BE14" i="1" s="1"/>
  <c r="B13" i="31"/>
  <c r="C13" i="31"/>
  <c r="G14" i="13"/>
  <c r="G14" i="1"/>
  <c r="AM13" i="1"/>
  <c r="N14" i="13" s="1"/>
  <c r="E13" i="31"/>
  <c r="O16" i="10"/>
  <c r="N16" i="10" s="1"/>
  <c r="M16" i="10" s="1"/>
  <c r="L16" i="10" s="1"/>
  <c r="H17" i="10" s="1"/>
  <c r="J18" i="10" s="1"/>
  <c r="H14" i="13"/>
  <c r="E12" i="11"/>
  <c r="I14" i="13" s="1"/>
  <c r="D13" i="31" l="1"/>
  <c r="F13" i="31" s="1"/>
  <c r="P14" i="13" s="1"/>
  <c r="G17" i="10"/>
  <c r="F17" i="10" s="1"/>
  <c r="E17" i="10" s="1"/>
  <c r="D17" i="10" s="1"/>
  <c r="D14" i="1"/>
  <c r="P14" i="1" s="1"/>
  <c r="O14" i="13"/>
  <c r="N14" i="1" l="1"/>
  <c r="M14" i="1" s="1"/>
  <c r="O15" i="1" s="1"/>
  <c r="Q14" i="1"/>
  <c r="S14" i="1" s="1"/>
  <c r="L14" i="1"/>
  <c r="AE14" i="1"/>
  <c r="H13" i="31"/>
  <c r="Q14" i="13" s="1"/>
  <c r="BD14" i="1"/>
  <c r="C15" i="13"/>
  <c r="B15" i="13"/>
  <c r="I18" i="10"/>
  <c r="P17" i="10" s="1"/>
  <c r="K17" i="10"/>
  <c r="A13" i="11"/>
  <c r="L15" i="13" s="1"/>
  <c r="C14" i="1"/>
  <c r="H15" i="1"/>
  <c r="I15" i="1"/>
  <c r="BH14" i="1" l="1"/>
  <c r="D15" i="13"/>
  <c r="AK14" i="1"/>
  <c r="AF14" i="1"/>
  <c r="E15" i="13"/>
  <c r="F14" i="11"/>
  <c r="Y14" i="1"/>
  <c r="X14" i="1" s="1"/>
  <c r="W14" i="1" s="1"/>
  <c r="V14" i="1" s="1"/>
  <c r="BG14" i="1" s="1"/>
  <c r="AH14" i="1"/>
  <c r="O17" i="10"/>
  <c r="N17" i="10" s="1"/>
  <c r="M17" i="10" s="1"/>
  <c r="L17" i="10" s="1"/>
  <c r="H18" i="10" s="1"/>
  <c r="J19" i="10" s="1"/>
  <c r="R15" i="1" l="1"/>
  <c r="U14" i="1"/>
  <c r="F15" i="13" s="1"/>
  <c r="G18" i="10"/>
  <c r="F18" i="10" s="1"/>
  <c r="E18" i="10" s="1"/>
  <c r="BF14" i="1" l="1"/>
  <c r="T14" i="1"/>
  <c r="G15" i="13" s="1"/>
  <c r="D18" i="10"/>
  <c r="I19" i="10"/>
  <c r="P18" i="10" s="1"/>
  <c r="K18" i="10"/>
  <c r="AN14" i="1"/>
  <c r="C13" i="11" s="1"/>
  <c r="AI14" i="1" l="1"/>
  <c r="G15" i="1" s="1"/>
  <c r="E14" i="31"/>
  <c r="F15" i="1"/>
  <c r="E15" i="1" s="1"/>
  <c r="D15" i="1" s="1"/>
  <c r="P15" i="1" s="1"/>
  <c r="O18" i="10"/>
  <c r="N18" i="10" s="1"/>
  <c r="M18" i="10" s="1"/>
  <c r="L18" i="10" s="1"/>
  <c r="H19" i="10" s="1"/>
  <c r="J20" i="10" s="1"/>
  <c r="G13" i="11"/>
  <c r="H13" i="11" s="1"/>
  <c r="J15" i="13" s="1"/>
  <c r="K15" i="13"/>
  <c r="D13" i="11"/>
  <c r="N15" i="1" l="1"/>
  <c r="M15" i="1" s="1"/>
  <c r="O16" i="1" s="1"/>
  <c r="Q15" i="1"/>
  <c r="S15" i="1" s="1"/>
  <c r="L15" i="1"/>
  <c r="AJ14" i="1"/>
  <c r="G19" i="10"/>
  <c r="F19" i="10" s="1"/>
  <c r="E19" i="10" s="1"/>
  <c r="I20" i="10" s="1"/>
  <c r="P19" i="10" s="1"/>
  <c r="B16" i="13"/>
  <c r="C15" i="1"/>
  <c r="AE15" i="1"/>
  <c r="C16" i="13"/>
  <c r="A14" i="11"/>
  <c r="I16" i="1"/>
  <c r="H16" i="1"/>
  <c r="H15" i="13"/>
  <c r="E13" i="11"/>
  <c r="I15" i="13" s="1"/>
  <c r="R16" i="1" l="1"/>
  <c r="D16" i="13"/>
  <c r="M15" i="13"/>
  <c r="C14" i="31"/>
  <c r="B14" i="31"/>
  <c r="AM14" i="1"/>
  <c r="N15" i="13" s="1"/>
  <c r="K19" i="10"/>
  <c r="O19" i="10" s="1"/>
  <c r="N19" i="10" s="1"/>
  <c r="M19" i="10" s="1"/>
  <c r="L19" i="10" s="1"/>
  <c r="G20" i="10" s="1"/>
  <c r="D19" i="10"/>
  <c r="AH15" i="1"/>
  <c r="E16" i="13"/>
  <c r="AF15" i="1"/>
  <c r="AK15" i="1"/>
  <c r="F15" i="11"/>
  <c r="L16" i="13"/>
  <c r="Y15" i="1"/>
  <c r="X15" i="1" s="1"/>
  <c r="W15" i="1" s="1"/>
  <c r="V15" i="1" s="1"/>
  <c r="U15" i="1" s="1"/>
  <c r="D14" i="31" l="1"/>
  <c r="H14" i="31" s="1"/>
  <c r="Q15" i="13" s="1"/>
  <c r="H20" i="10"/>
  <c r="J21" i="10" s="1"/>
  <c r="F20" i="10"/>
  <c r="E20" i="10" s="1"/>
  <c r="D20" i="10" s="1"/>
  <c r="F16" i="13"/>
  <c r="T15" i="1"/>
  <c r="O15" i="13" l="1"/>
  <c r="F14" i="31"/>
  <c r="P15" i="13" s="1"/>
  <c r="K20" i="10"/>
  <c r="I21" i="10"/>
  <c r="P20" i="10" s="1"/>
  <c r="AI15" i="1"/>
  <c r="AJ15" i="1" s="1"/>
  <c r="M16" i="13" s="1"/>
  <c r="E15" i="31"/>
  <c r="G16" i="13"/>
  <c r="AN15" i="1"/>
  <c r="C14" i="11" s="1"/>
  <c r="O20" i="10" l="1"/>
  <c r="N20" i="10" s="1"/>
  <c r="M20" i="10" s="1"/>
  <c r="L20" i="10" s="1"/>
  <c r="H21" i="10" s="1"/>
  <c r="J22" i="10" s="1"/>
  <c r="G16" i="1"/>
  <c r="F16" i="1"/>
  <c r="B15" i="31"/>
  <c r="C15" i="31"/>
  <c r="AM15" i="1"/>
  <c r="N16" i="13" s="1"/>
  <c r="E16" i="1" l="1"/>
  <c r="D16" i="1" s="1"/>
  <c r="P16" i="1" s="1"/>
  <c r="G21" i="10"/>
  <c r="F21" i="10" s="1"/>
  <c r="E21" i="10" s="1"/>
  <c r="D21" i="10" s="1"/>
  <c r="D15" i="31"/>
  <c r="K16" i="13"/>
  <c r="G14" i="11"/>
  <c r="H14" i="11" s="1"/>
  <c r="J16" i="13" s="1"/>
  <c r="D14" i="11"/>
  <c r="N16" i="1" l="1"/>
  <c r="M16" i="1" s="1"/>
  <c r="O17" i="1" s="1"/>
  <c r="Q16" i="1"/>
  <c r="S16" i="1" s="1"/>
  <c r="L16" i="1"/>
  <c r="C17" i="13"/>
  <c r="A15" i="11"/>
  <c r="L17" i="13" s="1"/>
  <c r="B17" i="13"/>
  <c r="I17" i="1"/>
  <c r="C16" i="1"/>
  <c r="AE16" i="1"/>
  <c r="H17" i="1"/>
  <c r="AH16" i="1" s="1"/>
  <c r="I22" i="10"/>
  <c r="P21" i="10" s="1"/>
  <c r="K21" i="10"/>
  <c r="H15" i="31"/>
  <c r="Q16" i="13" s="1"/>
  <c r="O16" i="13"/>
  <c r="F15" i="31"/>
  <c r="P16" i="13" s="1"/>
  <c r="H16" i="13"/>
  <c r="E14" i="11"/>
  <c r="I16" i="13" s="1"/>
  <c r="E17" i="13" l="1"/>
  <c r="D17" i="13"/>
  <c r="F16" i="11"/>
  <c r="Y16" i="1"/>
  <c r="X16" i="1" s="1"/>
  <c r="W16" i="1" s="1"/>
  <c r="V16" i="1" s="1"/>
  <c r="U16" i="1" s="1"/>
  <c r="F17" i="13" s="1"/>
  <c r="AK16" i="1"/>
  <c r="AF16" i="1"/>
  <c r="O21" i="10"/>
  <c r="N21" i="10" s="1"/>
  <c r="M21" i="10" s="1"/>
  <c r="L21" i="10" s="1"/>
  <c r="H22" i="10" s="1"/>
  <c r="J23" i="10" s="1"/>
  <c r="R17" i="1" l="1"/>
  <c r="T16" i="1"/>
  <c r="F17" i="1" s="1"/>
  <c r="G22" i="10"/>
  <c r="F22" i="10" s="1"/>
  <c r="E22" i="10" s="1"/>
  <c r="D22" i="10" s="1"/>
  <c r="AN16" i="1"/>
  <c r="C15" i="11" s="1"/>
  <c r="E16" i="31" l="1"/>
  <c r="G17" i="13"/>
  <c r="G17" i="1"/>
  <c r="AI16" i="1"/>
  <c r="AJ16" i="1" s="1"/>
  <c r="M17" i="13" s="1"/>
  <c r="I23" i="10"/>
  <c r="P22" i="10" s="1"/>
  <c r="K22" i="10"/>
  <c r="E17" i="1"/>
  <c r="C16" i="31" l="1"/>
  <c r="B16" i="31"/>
  <c r="AM16" i="1"/>
  <c r="N17" i="13" s="1"/>
  <c r="O22" i="10"/>
  <c r="N22" i="10" s="1"/>
  <c r="M22" i="10" s="1"/>
  <c r="L22" i="10" s="1"/>
  <c r="H23" i="10" s="1"/>
  <c r="J24" i="10" s="1"/>
  <c r="G15" i="11"/>
  <c r="H15" i="11" s="1"/>
  <c r="J17" i="13" s="1"/>
  <c r="K17" i="13"/>
  <c r="D15" i="11"/>
  <c r="BE17" i="1"/>
  <c r="D17" i="1"/>
  <c r="P17" i="1" s="1"/>
  <c r="N17" i="1" l="1"/>
  <c r="M17" i="1" s="1"/>
  <c r="O18" i="1" s="1"/>
  <c r="Q17" i="1"/>
  <c r="S17" i="1" s="1"/>
  <c r="L17" i="1"/>
  <c r="D16" i="31"/>
  <c r="F16" i="31" s="1"/>
  <c r="P17" i="13" s="1"/>
  <c r="G23" i="10"/>
  <c r="F23" i="10" s="1"/>
  <c r="E23" i="10" s="1"/>
  <c r="K23" i="10" s="1"/>
  <c r="O17" i="13"/>
  <c r="E15" i="11"/>
  <c r="I17" i="13" s="1"/>
  <c r="H17" i="13"/>
  <c r="A16" i="11"/>
  <c r="AE17" i="1"/>
  <c r="C18" i="13"/>
  <c r="C17" i="1"/>
  <c r="BD17" i="1"/>
  <c r="B18" i="13"/>
  <c r="H18" i="1"/>
  <c r="I18" i="1"/>
  <c r="R18" i="1" l="1"/>
  <c r="D18" i="13"/>
  <c r="H16" i="31"/>
  <c r="Q17" i="13" s="1"/>
  <c r="I24" i="10"/>
  <c r="P23" i="10" s="1"/>
  <c r="O23" i="10" s="1"/>
  <c r="N23" i="10" s="1"/>
  <c r="M23" i="10" s="1"/>
  <c r="L23" i="10" s="1"/>
  <c r="H24" i="10" s="1"/>
  <c r="J25" i="10" s="1"/>
  <c r="D23" i="10"/>
  <c r="AH17" i="1"/>
  <c r="BH17" i="1"/>
  <c r="E18" i="13"/>
  <c r="AF17" i="1"/>
  <c r="F17" i="11"/>
  <c r="AK17" i="1"/>
  <c r="L18" i="13"/>
  <c r="Y17" i="1"/>
  <c r="X17" i="1" s="1"/>
  <c r="W17" i="1" s="1"/>
  <c r="V17" i="1" s="1"/>
  <c r="G24" i="10" l="1"/>
  <c r="F24" i="10" s="1"/>
  <c r="E24" i="10" s="1"/>
  <c r="D24" i="10" s="1"/>
  <c r="U17" i="1"/>
  <c r="BG17" i="1"/>
  <c r="K24" i="10" l="1"/>
  <c r="I25" i="10"/>
  <c r="P24" i="10" s="1"/>
  <c r="F18" i="13"/>
  <c r="T17" i="1"/>
  <c r="BF17" i="1"/>
  <c r="O24" i="10" l="1"/>
  <c r="N24" i="10" s="1"/>
  <c r="M24" i="10" s="1"/>
  <c r="L24" i="10" s="1"/>
  <c r="H25" i="10" s="1"/>
  <c r="J26" i="10" s="1"/>
  <c r="G18" i="13"/>
  <c r="E17" i="31"/>
  <c r="AI17" i="1"/>
  <c r="F18" i="1"/>
  <c r="G18" i="1"/>
  <c r="G25" i="10" l="1"/>
  <c r="F25" i="10" s="1"/>
  <c r="E25" i="10" s="1"/>
  <c r="I26" i="10" s="1"/>
  <c r="AN17" i="1"/>
  <c r="C16" i="11" s="1"/>
  <c r="AJ17" i="1"/>
  <c r="M18" i="13" s="1"/>
  <c r="P25" i="10" l="1"/>
  <c r="K25" i="10"/>
  <c r="D25" i="10"/>
  <c r="E18" i="1"/>
  <c r="D18" i="1" s="1"/>
  <c r="P18" i="1" s="1"/>
  <c r="C17" i="31"/>
  <c r="B17" i="31"/>
  <c r="AM17" i="1"/>
  <c r="N18" i="13" s="1"/>
  <c r="K18" i="13"/>
  <c r="G16" i="11"/>
  <c r="H16" i="11" s="1"/>
  <c r="J18" i="13" s="1"/>
  <c r="D16" i="11"/>
  <c r="N18" i="1" l="1"/>
  <c r="M18" i="1" s="1"/>
  <c r="O19" i="1" s="1"/>
  <c r="Q18" i="1"/>
  <c r="S18" i="1" s="1"/>
  <c r="L18" i="1"/>
  <c r="AE18" i="1"/>
  <c r="O25" i="10"/>
  <c r="N25" i="10" s="1"/>
  <c r="M25" i="10" s="1"/>
  <c r="L25" i="10" s="1"/>
  <c r="G26" i="10" s="1"/>
  <c r="C18" i="1"/>
  <c r="C19" i="13"/>
  <c r="H19" i="1"/>
  <c r="I19" i="1"/>
  <c r="A17" i="11"/>
  <c r="L19" i="13" s="1"/>
  <c r="B19" i="13"/>
  <c r="D17" i="31"/>
  <c r="O18" i="13" s="1"/>
  <c r="E16" i="11"/>
  <c r="I18" i="13" s="1"/>
  <c r="H18" i="13"/>
  <c r="E19" i="13" l="1"/>
  <c r="D19" i="13"/>
  <c r="H26" i="10"/>
  <c r="J27" i="10" s="1"/>
  <c r="AH18" i="1"/>
  <c r="Y18" i="1"/>
  <c r="X18" i="1" s="1"/>
  <c r="W18" i="1" s="1"/>
  <c r="V18" i="1" s="1"/>
  <c r="U18" i="1" s="1"/>
  <c r="F19" i="13" s="1"/>
  <c r="AK18" i="1"/>
  <c r="F18" i="11"/>
  <c r="AF18" i="1"/>
  <c r="H17" i="31"/>
  <c r="Q18" i="13" s="1"/>
  <c r="F17" i="31"/>
  <c r="P18" i="13" s="1"/>
  <c r="R19" i="1" l="1"/>
  <c r="F26" i="10"/>
  <c r="E26" i="10" s="1"/>
  <c r="D26" i="10" s="1"/>
  <c r="T18" i="1"/>
  <c r="K26" i="10" l="1"/>
  <c r="I27" i="10"/>
  <c r="P26" i="10" s="1"/>
  <c r="G19" i="13"/>
  <c r="E18" i="31"/>
  <c r="AI18" i="1"/>
  <c r="AJ18" i="1" s="1"/>
  <c r="AN18" i="1"/>
  <c r="C17" i="11" s="1"/>
  <c r="O26" i="10" l="1"/>
  <c r="N26" i="10" s="1"/>
  <c r="M26" i="10" s="1"/>
  <c r="L26" i="10" s="1"/>
  <c r="H27" i="10" s="1"/>
  <c r="J28" i="10" s="1"/>
  <c r="C18" i="31"/>
  <c r="M19" i="13"/>
  <c r="G19" i="1"/>
  <c r="F19" i="1"/>
  <c r="AM18" i="1"/>
  <c r="N19" i="13" s="1"/>
  <c r="B18" i="31"/>
  <c r="K19" i="13"/>
  <c r="G17" i="11"/>
  <c r="H17" i="11" s="1"/>
  <c r="J19" i="13" s="1"/>
  <c r="D17" i="11"/>
  <c r="E19" i="1" l="1"/>
  <c r="D19" i="1" s="1"/>
  <c r="P19" i="1" s="1"/>
  <c r="G27" i="10"/>
  <c r="F27" i="10" s="1"/>
  <c r="E27" i="10" s="1"/>
  <c r="D18" i="31"/>
  <c r="O19" i="13" s="1"/>
  <c r="H19" i="13"/>
  <c r="E17" i="11"/>
  <c r="I19" i="13" s="1"/>
  <c r="N19" i="1" l="1"/>
  <c r="M19" i="1" s="1"/>
  <c r="O20" i="1" s="1"/>
  <c r="Q19" i="1"/>
  <c r="S19" i="1" s="1"/>
  <c r="L19" i="1"/>
  <c r="A18" i="11"/>
  <c r="L20" i="13" s="1"/>
  <c r="H20" i="1"/>
  <c r="B20" i="13"/>
  <c r="AE19" i="1"/>
  <c r="C20" i="13"/>
  <c r="C19" i="1"/>
  <c r="I20" i="1"/>
  <c r="I28" i="10"/>
  <c r="P27" i="10" s="1"/>
  <c r="K27" i="10"/>
  <c r="D27" i="10"/>
  <c r="F18" i="31"/>
  <c r="P19" i="13" s="1"/>
  <c r="H18" i="31"/>
  <c r="Q19" i="13" s="1"/>
  <c r="R20" i="1" l="1"/>
  <c r="E20" i="13"/>
  <c r="D20" i="13"/>
  <c r="AH19" i="1"/>
  <c r="F19" i="11"/>
  <c r="Y19" i="1"/>
  <c r="X19" i="1" s="1"/>
  <c r="W19" i="1" s="1"/>
  <c r="V19" i="1" s="1"/>
  <c r="U19" i="1" s="1"/>
  <c r="F20" i="13" s="1"/>
  <c r="AF19" i="1"/>
  <c r="AK19" i="1"/>
  <c r="O27" i="10"/>
  <c r="N27" i="10" s="1"/>
  <c r="M27" i="10" s="1"/>
  <c r="L27" i="10" s="1"/>
  <c r="H28" i="10" s="1"/>
  <c r="J29" i="10" s="1"/>
  <c r="T19" i="1" l="1"/>
  <c r="AI19" i="1" s="1"/>
  <c r="AJ19" i="1" s="1"/>
  <c r="M20" i="13" s="1"/>
  <c r="G28" i="10"/>
  <c r="F28" i="10" s="1"/>
  <c r="E28" i="10" s="1"/>
  <c r="K28" i="10" s="1"/>
  <c r="AN19" i="1"/>
  <c r="C18" i="11" s="1"/>
  <c r="E19" i="31" l="1"/>
  <c r="G20" i="13"/>
  <c r="D28" i="10"/>
  <c r="I29" i="10"/>
  <c r="P28" i="10" s="1"/>
  <c r="O28" i="10" s="1"/>
  <c r="N28" i="10" s="1"/>
  <c r="M28" i="10" s="1"/>
  <c r="L28" i="10" s="1"/>
  <c r="H29" i="10" s="1"/>
  <c r="J30" i="10" s="1"/>
  <c r="F20" i="1"/>
  <c r="G20" i="1"/>
  <c r="B19" i="31"/>
  <c r="C19" i="31"/>
  <c r="AM19" i="1"/>
  <c r="N20" i="13" s="1"/>
  <c r="G29" i="10" l="1"/>
  <c r="F29" i="10" s="1"/>
  <c r="E29" i="10" s="1"/>
  <c r="K29" i="10" s="1"/>
  <c r="E20" i="1"/>
  <c r="D20" i="1" s="1"/>
  <c r="P20" i="1" s="1"/>
  <c r="D19" i="31"/>
  <c r="H19" i="31" s="1"/>
  <c r="Q20" i="13" s="1"/>
  <c r="D18" i="11"/>
  <c r="K20" i="13"/>
  <c r="G18" i="11"/>
  <c r="H18" i="11" s="1"/>
  <c r="J20" i="13" s="1"/>
  <c r="N20" i="1" l="1"/>
  <c r="M20" i="1" s="1"/>
  <c r="O21" i="1" s="1"/>
  <c r="Q20" i="1"/>
  <c r="S20" i="1" s="1"/>
  <c r="L20" i="1"/>
  <c r="D29" i="10"/>
  <c r="BE20" i="1"/>
  <c r="I30" i="10"/>
  <c r="P29" i="10" s="1"/>
  <c r="O29" i="10" s="1"/>
  <c r="N29" i="10" s="1"/>
  <c r="M29" i="10" s="1"/>
  <c r="L29" i="10" s="1"/>
  <c r="G30" i="10" s="1"/>
  <c r="O20" i="13"/>
  <c r="F19" i="31"/>
  <c r="P20" i="13" s="1"/>
  <c r="AE20" i="1"/>
  <c r="A19" i="11"/>
  <c r="C21" i="13"/>
  <c r="B21" i="13"/>
  <c r="BD20" i="1"/>
  <c r="C20" i="1"/>
  <c r="I21" i="1"/>
  <c r="H21" i="1"/>
  <c r="H20" i="13"/>
  <c r="E18" i="11"/>
  <c r="I20" i="13" s="1"/>
  <c r="R21" i="1" l="1"/>
  <c r="D21" i="13"/>
  <c r="H30" i="10"/>
  <c r="J31" i="10" s="1"/>
  <c r="Y20" i="1"/>
  <c r="X20" i="1" s="1"/>
  <c r="W20" i="1" s="1"/>
  <c r="V20" i="1" s="1"/>
  <c r="L21" i="13"/>
  <c r="BH20" i="1"/>
  <c r="E21" i="13"/>
  <c r="AF20" i="1"/>
  <c r="F20" i="11"/>
  <c r="AK20" i="1"/>
  <c r="AH20" i="1"/>
  <c r="F30" i="10" l="1"/>
  <c r="E30" i="10" s="1"/>
  <c r="D30" i="10" s="1"/>
  <c r="U20" i="1"/>
  <c r="BG20" i="1"/>
  <c r="I31" i="10" l="1"/>
  <c r="P30" i="10" s="1"/>
  <c r="K30" i="10"/>
  <c r="F21" i="13"/>
  <c r="BF20" i="1"/>
  <c r="T20" i="1"/>
  <c r="O30" i="10" l="1"/>
  <c r="N30" i="10" s="1"/>
  <c r="M30" i="10" s="1"/>
  <c r="L30" i="10" s="1"/>
  <c r="H31" i="10" s="1"/>
  <c r="J32" i="10" s="1"/>
  <c r="E20" i="31"/>
  <c r="G21" i="13"/>
  <c r="AI20" i="1"/>
  <c r="F21" i="1" s="1"/>
  <c r="G31" i="10" l="1"/>
  <c r="F31" i="10" s="1"/>
  <c r="E31" i="10" s="1"/>
  <c r="I32" i="10" s="1"/>
  <c r="P31" i="10" s="1"/>
  <c r="G21" i="1"/>
  <c r="AN20" i="1"/>
  <c r="C19" i="11" s="1"/>
  <c r="AJ20" i="1"/>
  <c r="M21" i="13" s="1"/>
  <c r="D31" i="10" l="1"/>
  <c r="K31" i="10"/>
  <c r="O31" i="10" s="1"/>
  <c r="N31" i="10" s="1"/>
  <c r="M31" i="10" s="1"/>
  <c r="L31" i="10" s="1"/>
  <c r="H32" i="10" s="1"/>
  <c r="J33" i="10" s="1"/>
  <c r="G19" i="11"/>
  <c r="H19" i="11" s="1"/>
  <c r="J21" i="13" s="1"/>
  <c r="K21" i="13"/>
  <c r="D19" i="11"/>
  <c r="E21" i="1"/>
  <c r="D21" i="1" s="1"/>
  <c r="P21" i="1" s="1"/>
  <c r="B20" i="31"/>
  <c r="C20" i="31"/>
  <c r="AM20" i="1"/>
  <c r="N21" i="13" s="1"/>
  <c r="N21" i="1" l="1"/>
  <c r="M21" i="1" s="1"/>
  <c r="O22" i="1" s="1"/>
  <c r="Q21" i="1"/>
  <c r="S21" i="1" s="1"/>
  <c r="L21" i="1"/>
  <c r="G32" i="10"/>
  <c r="F32" i="10" s="1"/>
  <c r="E32" i="10" s="1"/>
  <c r="K32" i="10" s="1"/>
  <c r="D20" i="31"/>
  <c r="C21" i="1"/>
  <c r="AE21" i="1"/>
  <c r="B22" i="13"/>
  <c r="A20" i="11"/>
  <c r="C22" i="13"/>
  <c r="H22" i="1"/>
  <c r="I22" i="1"/>
  <c r="H21" i="13"/>
  <c r="E19" i="11"/>
  <c r="I21" i="13" s="1"/>
  <c r="R22" i="1" l="1"/>
  <c r="D22" i="13"/>
  <c r="D32" i="10"/>
  <c r="I33" i="10"/>
  <c r="P32" i="10" s="1"/>
  <c r="O32" i="10" s="1"/>
  <c r="N32" i="10" s="1"/>
  <c r="M32" i="10" s="1"/>
  <c r="L32" i="10" s="1"/>
  <c r="F20" i="31"/>
  <c r="P21" i="13" s="1"/>
  <c r="O21" i="13"/>
  <c r="H20" i="31"/>
  <c r="Q21" i="13" s="1"/>
  <c r="Y21" i="1"/>
  <c r="X21" i="1" s="1"/>
  <c r="W21" i="1" s="1"/>
  <c r="V21" i="1" s="1"/>
  <c r="U21" i="1" s="1"/>
  <c r="AH21" i="1"/>
  <c r="E22" i="13"/>
  <c r="AF21" i="1"/>
  <c r="AK21" i="1"/>
  <c r="F21" i="11"/>
  <c r="L22" i="13"/>
  <c r="H33" i="10" l="1"/>
  <c r="J34" i="10" s="1"/>
  <c r="G33" i="10"/>
  <c r="F22" i="13"/>
  <c r="T21" i="1"/>
  <c r="F33" i="10" l="1"/>
  <c r="E33" i="10" s="1"/>
  <c r="AI21" i="1"/>
  <c r="AJ21" i="1" s="1"/>
  <c r="M22" i="13" s="1"/>
  <c r="E21" i="31"/>
  <c r="G22" i="13"/>
  <c r="AN21" i="1"/>
  <c r="C20" i="11" s="1"/>
  <c r="D33" i="10" l="1"/>
  <c r="K33" i="10"/>
  <c r="I34" i="10"/>
  <c r="P33" i="10" s="1"/>
  <c r="G22" i="1"/>
  <c r="F22" i="1"/>
  <c r="C21" i="31"/>
  <c r="B21" i="31"/>
  <c r="AM21" i="1"/>
  <c r="N22" i="13" s="1"/>
  <c r="E22" i="1" l="1"/>
  <c r="D22" i="1" s="1"/>
  <c r="P22" i="1" s="1"/>
  <c r="O33" i="10"/>
  <c r="N33" i="10" s="1"/>
  <c r="M33" i="10" s="1"/>
  <c r="L33" i="10" s="1"/>
  <c r="H34" i="10" s="1"/>
  <c r="K22" i="13"/>
  <c r="G20" i="11"/>
  <c r="H20" i="11" s="1"/>
  <c r="J22" i="13" s="1"/>
  <c r="D20" i="11"/>
  <c r="D21" i="31"/>
  <c r="O22" i="13" s="1"/>
  <c r="N22" i="1" l="1"/>
  <c r="M22" i="1" s="1"/>
  <c r="O23" i="1" s="1"/>
  <c r="Q22" i="1"/>
  <c r="S22" i="1" s="1"/>
  <c r="L22" i="1"/>
  <c r="B23" i="13"/>
  <c r="H23" i="1"/>
  <c r="AE22" i="1"/>
  <c r="C23" i="13"/>
  <c r="I23" i="1"/>
  <c r="A21" i="11"/>
  <c r="L23" i="13" s="1"/>
  <c r="C22" i="1"/>
  <c r="G34" i="10"/>
  <c r="F34" i="10" s="1"/>
  <c r="E34" i="10" s="1"/>
  <c r="J35" i="10"/>
  <c r="H21" i="31"/>
  <c r="Q22" i="13" s="1"/>
  <c r="F21" i="31"/>
  <c r="P22" i="13" s="1"/>
  <c r="H22" i="13"/>
  <c r="E20" i="11"/>
  <c r="I22" i="13" s="1"/>
  <c r="R23" i="1" l="1"/>
  <c r="AF22" i="1"/>
  <c r="D23" i="13"/>
  <c r="AH22" i="1"/>
  <c r="Y22" i="1"/>
  <c r="X22" i="1" s="1"/>
  <c r="W22" i="1" s="1"/>
  <c r="V22" i="1" s="1"/>
  <c r="U22" i="1" s="1"/>
  <c r="F23" i="13" s="1"/>
  <c r="AK22" i="1"/>
  <c r="F22" i="11"/>
  <c r="E23" i="13"/>
  <c r="D34" i="10"/>
  <c r="I35" i="10"/>
  <c r="P34" i="10" s="1"/>
  <c r="K34" i="10"/>
  <c r="T22" i="1" l="1"/>
  <c r="AI22" i="1" s="1"/>
  <c r="AJ22" i="1" s="1"/>
  <c r="M23" i="13" s="1"/>
  <c r="O34" i="10"/>
  <c r="N34" i="10" s="1"/>
  <c r="M34" i="10" s="1"/>
  <c r="L34" i="10" s="1"/>
  <c r="H35" i="10" s="1"/>
  <c r="AN22" i="1"/>
  <c r="C21" i="11" s="1"/>
  <c r="E22" i="31" l="1"/>
  <c r="G23" i="13"/>
  <c r="G35" i="10"/>
  <c r="F35" i="10" s="1"/>
  <c r="E35" i="10" s="1"/>
  <c r="J36" i="10"/>
  <c r="F23" i="1"/>
  <c r="G23" i="1"/>
  <c r="C22" i="31"/>
  <c r="B22" i="31"/>
  <c r="AM22" i="1"/>
  <c r="N23" i="13" s="1"/>
  <c r="E23" i="1" l="1"/>
  <c r="D23" i="1" s="1"/>
  <c r="P23" i="1" s="1"/>
  <c r="D35" i="10"/>
  <c r="K35" i="10"/>
  <c r="I36" i="10"/>
  <c r="P35" i="10" s="1"/>
  <c r="K23" i="13"/>
  <c r="G21" i="11"/>
  <c r="H21" i="11" s="1"/>
  <c r="J23" i="13" s="1"/>
  <c r="D21" i="11"/>
  <c r="D22" i="31"/>
  <c r="O23" i="13" s="1"/>
  <c r="N23" i="1" l="1"/>
  <c r="M23" i="1" s="1"/>
  <c r="O24" i="1" s="1"/>
  <c r="Q23" i="1"/>
  <c r="S23" i="1" s="1"/>
  <c r="L23" i="1"/>
  <c r="B24" i="13"/>
  <c r="A22" i="11"/>
  <c r="L24" i="13" s="1"/>
  <c r="C23" i="1"/>
  <c r="I24" i="1"/>
  <c r="AE23" i="1"/>
  <c r="H24" i="1"/>
  <c r="C24" i="13"/>
  <c r="O35" i="10"/>
  <c r="N35" i="10" s="1"/>
  <c r="M35" i="10" s="1"/>
  <c r="L35" i="10" s="1"/>
  <c r="H36" i="10" s="1"/>
  <c r="J37" i="10" s="1"/>
  <c r="F22" i="31"/>
  <c r="P23" i="13" s="1"/>
  <c r="H22" i="31"/>
  <c r="Q23" i="13" s="1"/>
  <c r="H23" i="13"/>
  <c r="E21" i="11"/>
  <c r="I23" i="13" s="1"/>
  <c r="R24" i="1" l="1"/>
  <c r="F23" i="11"/>
  <c r="D24" i="13"/>
  <c r="AH23" i="1"/>
  <c r="Y23" i="1"/>
  <c r="X23" i="1" s="1"/>
  <c r="W23" i="1" s="1"/>
  <c r="V23" i="1" s="1"/>
  <c r="U23" i="1" s="1"/>
  <c r="T23" i="1" s="1"/>
  <c r="AK23" i="1"/>
  <c r="AF23" i="1"/>
  <c r="E24" i="13"/>
  <c r="G36" i="10"/>
  <c r="F36" i="10" s="1"/>
  <c r="E36" i="10" s="1"/>
  <c r="D36" i="10" s="1"/>
  <c r="F24" i="13" l="1"/>
  <c r="I37" i="10"/>
  <c r="P36" i="10" s="1"/>
  <c r="K36" i="10"/>
  <c r="E23" i="31"/>
  <c r="G24" i="13"/>
  <c r="AI23" i="1"/>
  <c r="AJ23" i="1" s="1"/>
  <c r="M24" i="13" s="1"/>
  <c r="O36" i="10" l="1"/>
  <c r="N36" i="10" s="1"/>
  <c r="M36" i="10" s="1"/>
  <c r="L36" i="10" s="1"/>
  <c r="H37" i="10" s="1"/>
  <c r="J38" i="10" s="1"/>
  <c r="F24" i="1"/>
  <c r="G24" i="1"/>
  <c r="C23" i="31"/>
  <c r="B23" i="31"/>
  <c r="AM23" i="1"/>
  <c r="N24" i="13" s="1"/>
  <c r="AN23" i="1"/>
  <c r="C22" i="11" s="1"/>
  <c r="G37" i="10" l="1"/>
  <c r="F37" i="10" s="1"/>
  <c r="E37" i="10" s="1"/>
  <c r="D23" i="31"/>
  <c r="O24" i="13" s="1"/>
  <c r="E24" i="1"/>
  <c r="D24" i="1" s="1"/>
  <c r="P24" i="1" s="1"/>
  <c r="N24" i="1" l="1"/>
  <c r="M24" i="1" s="1"/>
  <c r="O25" i="1" s="1"/>
  <c r="Q24" i="1"/>
  <c r="S24" i="1" s="1"/>
  <c r="L24" i="1"/>
  <c r="D37" i="10"/>
  <c r="K37" i="10"/>
  <c r="I38" i="10"/>
  <c r="P37" i="10" s="1"/>
  <c r="G22" i="11"/>
  <c r="H22" i="11" s="1"/>
  <c r="J24" i="13" s="1"/>
  <c r="K24" i="13"/>
  <c r="D22" i="11"/>
  <c r="F23" i="31"/>
  <c r="P24" i="13" s="1"/>
  <c r="H23" i="31"/>
  <c r="Q24" i="13" s="1"/>
  <c r="H25" i="1"/>
  <c r="AE24" i="1"/>
  <c r="B25" i="13"/>
  <c r="C25" i="13"/>
  <c r="A23" i="11"/>
  <c r="C24" i="1"/>
  <c r="I25" i="1"/>
  <c r="R25" i="1" l="1"/>
  <c r="D25" i="13"/>
  <c r="O37" i="10"/>
  <c r="N37" i="10" s="1"/>
  <c r="M37" i="10" s="1"/>
  <c r="L37" i="10" s="1"/>
  <c r="Y24" i="1"/>
  <c r="X24" i="1" s="1"/>
  <c r="W24" i="1" s="1"/>
  <c r="V24" i="1" s="1"/>
  <c r="U24" i="1" s="1"/>
  <c r="E25" i="13"/>
  <c r="AF24" i="1"/>
  <c r="AK24" i="1"/>
  <c r="F24" i="11"/>
  <c r="AH24" i="1"/>
  <c r="L25" i="13"/>
  <c r="H24" i="13"/>
  <c r="E22" i="11"/>
  <c r="I24" i="13" s="1"/>
  <c r="H38" i="10" l="1"/>
  <c r="J39" i="10" s="1"/>
  <c r="G38" i="10"/>
  <c r="F25" i="13"/>
  <c r="T24" i="1"/>
  <c r="F38" i="10" l="1"/>
  <c r="E38" i="10" s="1"/>
  <c r="D38" i="10" s="1"/>
  <c r="AI24" i="1"/>
  <c r="AJ24" i="1" s="1"/>
  <c r="M25" i="13" s="1"/>
  <c r="G25" i="13"/>
  <c r="E24" i="31"/>
  <c r="K38" i="10" l="1"/>
  <c r="I39" i="10"/>
  <c r="P38" i="10" s="1"/>
  <c r="G25" i="1"/>
  <c r="F25" i="1"/>
  <c r="B24" i="31"/>
  <c r="C24" i="31"/>
  <c r="AM24" i="1"/>
  <c r="N25" i="13" s="1"/>
  <c r="AN24" i="1"/>
  <c r="O38" i="10" l="1"/>
  <c r="N38" i="10" s="1"/>
  <c r="M38" i="10" s="1"/>
  <c r="L38" i="10" s="1"/>
  <c r="H39" i="10" s="1"/>
  <c r="J40" i="10" s="1"/>
  <c r="D24" i="31"/>
  <c r="C23" i="11"/>
  <c r="E25" i="1"/>
  <c r="D25" i="1" s="1"/>
  <c r="P25" i="1" s="1"/>
  <c r="N25" i="1" l="1"/>
  <c r="M25" i="1" s="1"/>
  <c r="O26" i="1" s="1"/>
  <c r="Q25" i="1"/>
  <c r="S25" i="1" s="1"/>
  <c r="L25" i="1"/>
  <c r="G39" i="10"/>
  <c r="F39" i="10" s="1"/>
  <c r="E39" i="10" s="1"/>
  <c r="D39" i="10" s="1"/>
  <c r="F24" i="31"/>
  <c r="P25" i="13" s="1"/>
  <c r="O25" i="13"/>
  <c r="H24" i="31"/>
  <c r="Q25" i="13" s="1"/>
  <c r="I26" i="1"/>
  <c r="AE25" i="1"/>
  <c r="C25" i="1"/>
  <c r="C26" i="13"/>
  <c r="A24" i="11"/>
  <c r="B26" i="13"/>
  <c r="H26" i="1"/>
  <c r="K25" i="13"/>
  <c r="G23" i="11"/>
  <c r="H23" i="11" s="1"/>
  <c r="J25" i="13" s="1"/>
  <c r="D23" i="11"/>
  <c r="R26" i="1" l="1"/>
  <c r="D26" i="13"/>
  <c r="K39" i="10"/>
  <c r="I40" i="10"/>
  <c r="P39" i="10" s="1"/>
  <c r="Y25" i="1"/>
  <c r="X25" i="1" s="1"/>
  <c r="W25" i="1" s="1"/>
  <c r="V25" i="1" s="1"/>
  <c r="U25" i="1" s="1"/>
  <c r="L26" i="13"/>
  <c r="H25" i="13"/>
  <c r="E23" i="11"/>
  <c r="I25" i="13" s="1"/>
  <c r="F25" i="11"/>
  <c r="E26" i="13"/>
  <c r="AF25" i="1"/>
  <c r="AK25" i="1"/>
  <c r="AH25" i="1"/>
  <c r="O39" i="10" l="1"/>
  <c r="N39" i="10" s="1"/>
  <c r="M39" i="10" s="1"/>
  <c r="L39" i="10" s="1"/>
  <c r="H40" i="10" s="1"/>
  <c r="J41" i="10" s="1"/>
  <c r="F26" i="13"/>
  <c r="T25" i="1"/>
  <c r="G40" i="10" l="1"/>
  <c r="F40" i="10" s="1"/>
  <c r="E40" i="10" s="1"/>
  <c r="D40" i="10" s="1"/>
  <c r="G26" i="13"/>
  <c r="E25" i="31"/>
  <c r="AI25" i="1"/>
  <c r="AJ25" i="1" s="1"/>
  <c r="M26" i="13" s="1"/>
  <c r="K40" i="10" l="1"/>
  <c r="I41" i="10"/>
  <c r="P40" i="10" s="1"/>
  <c r="G26" i="1"/>
  <c r="F26" i="1"/>
  <c r="B25" i="31"/>
  <c r="C25" i="31"/>
  <c r="AM25" i="1"/>
  <c r="N26" i="13" s="1"/>
  <c r="AN25" i="1"/>
  <c r="O40" i="10" l="1"/>
  <c r="N40" i="10" s="1"/>
  <c r="M40" i="10" s="1"/>
  <c r="L40" i="10" s="1"/>
  <c r="H41" i="10" s="1"/>
  <c r="J42" i="10" s="1"/>
  <c r="D25" i="31"/>
  <c r="C24" i="11"/>
  <c r="E26" i="1"/>
  <c r="D26" i="1" s="1"/>
  <c r="P26" i="1" s="1"/>
  <c r="N26" i="1" l="1"/>
  <c r="M26" i="1" s="1"/>
  <c r="O27" i="1" s="1"/>
  <c r="Q26" i="1"/>
  <c r="S26" i="1" s="1"/>
  <c r="L26" i="1"/>
  <c r="G41" i="10"/>
  <c r="F41" i="10" s="1"/>
  <c r="E41" i="10" s="1"/>
  <c r="D41" i="10" s="1"/>
  <c r="H25" i="31"/>
  <c r="Q26" i="13" s="1"/>
  <c r="O26" i="13"/>
  <c r="F25" i="31"/>
  <c r="P26" i="13" s="1"/>
  <c r="B27" i="13"/>
  <c r="A25" i="11"/>
  <c r="C27" i="13"/>
  <c r="C26" i="1"/>
  <c r="AE26" i="1"/>
  <c r="H27" i="1"/>
  <c r="I27" i="1"/>
  <c r="K26" i="13"/>
  <c r="G24" i="11"/>
  <c r="H24" i="11" s="1"/>
  <c r="J26" i="13" s="1"/>
  <c r="D24" i="11"/>
  <c r="R27" i="1" l="1"/>
  <c r="D27" i="13"/>
  <c r="I42" i="10"/>
  <c r="P41" i="10" s="1"/>
  <c r="K41" i="10"/>
  <c r="AH26" i="1"/>
  <c r="AF26" i="1"/>
  <c r="E27" i="13"/>
  <c r="F26" i="11"/>
  <c r="AK26" i="1"/>
  <c r="H26" i="13"/>
  <c r="E24" i="11"/>
  <c r="I26" i="13" s="1"/>
  <c r="Y26" i="1"/>
  <c r="X26" i="1" s="1"/>
  <c r="W26" i="1" s="1"/>
  <c r="V26" i="1" s="1"/>
  <c r="U26" i="1" s="1"/>
  <c r="L27" i="13"/>
  <c r="O41" i="10" l="1"/>
  <c r="N41" i="10" s="1"/>
  <c r="M41" i="10" s="1"/>
  <c r="L41" i="10" s="1"/>
  <c r="H42" i="10" s="1"/>
  <c r="J43" i="10" s="1"/>
  <c r="F27" i="13"/>
  <c r="T26" i="1"/>
  <c r="G42" i="10" l="1"/>
  <c r="F42" i="10" s="1"/>
  <c r="E42" i="10" s="1"/>
  <c r="D42" i="10" s="1"/>
  <c r="AI26" i="1"/>
  <c r="AJ26" i="1" s="1"/>
  <c r="M27" i="13" s="1"/>
  <c r="G27" i="13"/>
  <c r="E26" i="31"/>
  <c r="I43" i="10" l="1"/>
  <c r="P42" i="10" s="1"/>
  <c r="K42" i="10"/>
  <c r="G27" i="1"/>
  <c r="F27" i="1"/>
  <c r="C26" i="31"/>
  <c r="B26" i="31"/>
  <c r="AM26" i="1"/>
  <c r="N27" i="13" s="1"/>
  <c r="AN26" i="1"/>
  <c r="O42" i="10" l="1"/>
  <c r="N42" i="10" s="1"/>
  <c r="M42" i="10" s="1"/>
  <c r="L42" i="10" s="1"/>
  <c r="H43" i="10" s="1"/>
  <c r="J44" i="10" s="1"/>
  <c r="D26" i="31"/>
  <c r="O27" i="13" s="1"/>
  <c r="C25" i="11"/>
  <c r="E27" i="1"/>
  <c r="D27" i="1" s="1"/>
  <c r="P27" i="1" s="1"/>
  <c r="N27" i="1" l="1"/>
  <c r="M27" i="1" s="1"/>
  <c r="O28" i="1" s="1"/>
  <c r="Q27" i="1"/>
  <c r="S27" i="1" s="1"/>
  <c r="L27" i="1"/>
  <c r="G43" i="10"/>
  <c r="F43" i="10" s="1"/>
  <c r="E43" i="10" s="1"/>
  <c r="D43" i="10" s="1"/>
  <c r="G25" i="11"/>
  <c r="H25" i="11" s="1"/>
  <c r="J27" i="13" s="1"/>
  <c r="K27" i="13"/>
  <c r="D25" i="11"/>
  <c r="H26" i="31"/>
  <c r="Q27" i="13" s="1"/>
  <c r="F26" i="31"/>
  <c r="P27" i="13" s="1"/>
  <c r="C27" i="1"/>
  <c r="B28" i="13"/>
  <c r="C28" i="13"/>
  <c r="AE27" i="1"/>
  <c r="A26" i="11"/>
  <c r="H28" i="1"/>
  <c r="I28" i="1"/>
  <c r="R28" i="1" l="1"/>
  <c r="D28" i="13"/>
  <c r="I44" i="10"/>
  <c r="P43" i="10" s="1"/>
  <c r="K43" i="10"/>
  <c r="L28" i="13"/>
  <c r="Y27" i="1"/>
  <c r="X27" i="1" s="1"/>
  <c r="W27" i="1" s="1"/>
  <c r="V27" i="1" s="1"/>
  <c r="U27" i="1" s="1"/>
  <c r="AF27" i="1"/>
  <c r="E28" i="13"/>
  <c r="F27" i="11"/>
  <c r="AK27" i="1"/>
  <c r="AH27" i="1"/>
  <c r="E25" i="11"/>
  <c r="I27" i="13" s="1"/>
  <c r="H27" i="13"/>
  <c r="O43" i="10" l="1"/>
  <c r="N43" i="10" s="1"/>
  <c r="M43" i="10" s="1"/>
  <c r="L43" i="10" s="1"/>
  <c r="H44" i="10" s="1"/>
  <c r="J45" i="10" s="1"/>
  <c r="F28" i="13"/>
  <c r="T27" i="1"/>
  <c r="G44" i="10" l="1"/>
  <c r="F44" i="10" s="1"/>
  <c r="E44" i="10" s="1"/>
  <c r="K44" i="10" s="1"/>
  <c r="G28" i="13"/>
  <c r="E27" i="31"/>
  <c r="AI27" i="1"/>
  <c r="AJ27" i="1" s="1"/>
  <c r="M28" i="13" s="1"/>
  <c r="I45" i="10" l="1"/>
  <c r="P44" i="10" s="1"/>
  <c r="O44" i="10" s="1"/>
  <c r="N44" i="10" s="1"/>
  <c r="M44" i="10" s="1"/>
  <c r="L44" i="10" s="1"/>
  <c r="H45" i="10" s="1"/>
  <c r="J46" i="10" s="1"/>
  <c r="D44" i="10"/>
  <c r="G28" i="1"/>
  <c r="F28" i="1"/>
  <c r="B27" i="31"/>
  <c r="C27" i="31"/>
  <c r="AM27" i="1"/>
  <c r="N28" i="13" s="1"/>
  <c r="AN27" i="1"/>
  <c r="G45" i="10" l="1"/>
  <c r="F45" i="10" s="1"/>
  <c r="E45" i="10" s="1"/>
  <c r="D27" i="31"/>
  <c r="C26" i="11"/>
  <c r="E28" i="1"/>
  <c r="D28" i="1" s="1"/>
  <c r="P28" i="1" s="1"/>
  <c r="N28" i="1" l="1"/>
  <c r="M28" i="1" s="1"/>
  <c r="O29" i="1" s="1"/>
  <c r="Q28" i="1"/>
  <c r="S28" i="1" s="1"/>
  <c r="L28" i="1"/>
  <c r="I46" i="10"/>
  <c r="D45" i="10"/>
  <c r="K45" i="10"/>
  <c r="H27" i="31"/>
  <c r="Q28" i="13" s="1"/>
  <c r="O28" i="13"/>
  <c r="F27" i="31"/>
  <c r="P28" i="13" s="1"/>
  <c r="C29" i="13"/>
  <c r="C28" i="1"/>
  <c r="A27" i="11"/>
  <c r="B29" i="13"/>
  <c r="AE28" i="1"/>
  <c r="I29" i="1"/>
  <c r="H29" i="1"/>
  <c r="K28" i="13"/>
  <c r="G26" i="11"/>
  <c r="H26" i="11" s="1"/>
  <c r="J28" i="13" s="1"/>
  <c r="D26" i="11"/>
  <c r="R29" i="1" l="1"/>
  <c r="D29" i="13"/>
  <c r="P45" i="10"/>
  <c r="O45" i="10" s="1"/>
  <c r="N45" i="10" s="1"/>
  <c r="M45" i="10" s="1"/>
  <c r="L45" i="10" s="1"/>
  <c r="Y28" i="1"/>
  <c r="X28" i="1" s="1"/>
  <c r="W28" i="1" s="1"/>
  <c r="V28" i="1" s="1"/>
  <c r="U28" i="1" s="1"/>
  <c r="L29" i="13"/>
  <c r="AF28" i="1"/>
  <c r="E29" i="13"/>
  <c r="AK28" i="1"/>
  <c r="F28" i="11"/>
  <c r="H28" i="13"/>
  <c r="E26" i="11"/>
  <c r="I28" i="13" s="1"/>
  <c r="AH28" i="1"/>
  <c r="H46" i="10" l="1"/>
  <c r="J47" i="10" s="1"/>
  <c r="G46" i="10"/>
  <c r="F29" i="13"/>
  <c r="T28" i="1"/>
  <c r="F46" i="10" l="1"/>
  <c r="E46" i="10" s="1"/>
  <c r="D46" i="10" s="1"/>
  <c r="AI28" i="1"/>
  <c r="AJ28" i="1" s="1"/>
  <c r="M29" i="13" s="1"/>
  <c r="E28" i="31"/>
  <c r="G29" i="13"/>
  <c r="AN28" i="1"/>
  <c r="K46" i="10" l="1"/>
  <c r="I47" i="10"/>
  <c r="P46" i="10" s="1"/>
  <c r="G29" i="1"/>
  <c r="F29" i="1"/>
  <c r="C27" i="11"/>
  <c r="B28" i="31"/>
  <c r="C28" i="31"/>
  <c r="AM28" i="1"/>
  <c r="N29" i="13" s="1"/>
  <c r="O46" i="10" l="1"/>
  <c r="N46" i="10" s="1"/>
  <c r="M46" i="10" s="1"/>
  <c r="L46" i="10" s="1"/>
  <c r="H47" i="10" s="1"/>
  <c r="J48" i="10" s="1"/>
  <c r="E29" i="1"/>
  <c r="D29" i="1" s="1"/>
  <c r="P29" i="1" s="1"/>
  <c r="D28" i="31"/>
  <c r="F28" i="31" s="1"/>
  <c r="P29" i="13" s="1"/>
  <c r="K29" i="13"/>
  <c r="G27" i="11"/>
  <c r="H27" i="11" s="1"/>
  <c r="J29" i="13" s="1"/>
  <c r="D27" i="11"/>
  <c r="O29" i="13"/>
  <c r="N29" i="1" l="1"/>
  <c r="M29" i="1" s="1"/>
  <c r="O30" i="1" s="1"/>
  <c r="Q29" i="1"/>
  <c r="S29" i="1" s="1"/>
  <c r="L29" i="1"/>
  <c r="A28" i="11"/>
  <c r="L30" i="13" s="1"/>
  <c r="G47" i="10"/>
  <c r="F47" i="10" s="1"/>
  <c r="E47" i="10" s="1"/>
  <c r="K47" i="10" s="1"/>
  <c r="C30" i="13"/>
  <c r="H30" i="1"/>
  <c r="B30" i="13"/>
  <c r="I30" i="1"/>
  <c r="C29" i="1"/>
  <c r="AE29" i="1"/>
  <c r="H28" i="31"/>
  <c r="Q29" i="13" s="1"/>
  <c r="E27" i="11"/>
  <c r="I29" i="13" s="1"/>
  <c r="H29" i="13"/>
  <c r="R30" i="1" l="1"/>
  <c r="E30" i="13"/>
  <c r="D30" i="13"/>
  <c r="Y29" i="1"/>
  <c r="X29" i="1" s="1"/>
  <c r="W29" i="1" s="1"/>
  <c r="V29" i="1" s="1"/>
  <c r="U29" i="1" s="1"/>
  <c r="F30" i="13" s="1"/>
  <c r="D47" i="10"/>
  <c r="I48" i="10"/>
  <c r="P47" i="10" s="1"/>
  <c r="O47" i="10" s="1"/>
  <c r="N47" i="10" s="1"/>
  <c r="M47" i="10" s="1"/>
  <c r="L47" i="10" s="1"/>
  <c r="H48" i="10" s="1"/>
  <c r="J49" i="10" s="1"/>
  <c r="F29" i="11"/>
  <c r="AK29" i="1"/>
  <c r="AF29" i="1"/>
  <c r="AH29" i="1"/>
  <c r="T29" i="1" l="1"/>
  <c r="G30" i="13" s="1"/>
  <c r="G48" i="10"/>
  <c r="F48" i="10" s="1"/>
  <c r="E48" i="10" s="1"/>
  <c r="E29" i="31" l="1"/>
  <c r="AI29" i="1"/>
  <c r="AJ29" i="1" s="1"/>
  <c r="M30" i="13" s="1"/>
  <c r="D48" i="10"/>
  <c r="K48" i="10"/>
  <c r="I49" i="10"/>
  <c r="F30" i="1"/>
  <c r="G30" i="1"/>
  <c r="AN29" i="1"/>
  <c r="B29" i="31" l="1"/>
  <c r="AM29" i="1"/>
  <c r="N30" i="13" s="1"/>
  <c r="C29" i="31"/>
  <c r="P48" i="10"/>
  <c r="O48" i="10" s="1"/>
  <c r="N48" i="10" s="1"/>
  <c r="M48" i="10" s="1"/>
  <c r="L48" i="10" s="1"/>
  <c r="H49" i="10" s="1"/>
  <c r="J50" i="10" s="1"/>
  <c r="C28" i="11"/>
  <c r="E30" i="1"/>
  <c r="D30" i="1" s="1"/>
  <c r="P30" i="1" s="1"/>
  <c r="N30" i="1" l="1"/>
  <c r="M30" i="1" s="1"/>
  <c r="O31" i="1" s="1"/>
  <c r="Q30" i="1"/>
  <c r="S30" i="1" s="1"/>
  <c r="L30" i="1"/>
  <c r="D29" i="31"/>
  <c r="F29" i="31" s="1"/>
  <c r="P30" i="13" s="1"/>
  <c r="G49" i="10"/>
  <c r="F49" i="10" s="1"/>
  <c r="E49" i="10" s="1"/>
  <c r="O30" i="13"/>
  <c r="H31" i="1"/>
  <c r="C30" i="1"/>
  <c r="A29" i="11"/>
  <c r="C31" i="13"/>
  <c r="B31" i="13"/>
  <c r="AE30" i="1"/>
  <c r="I31" i="1"/>
  <c r="K30" i="13"/>
  <c r="G28" i="11"/>
  <c r="H28" i="11" s="1"/>
  <c r="J30" i="13" s="1"/>
  <c r="D28" i="11"/>
  <c r="R31" i="1" l="1"/>
  <c r="D31" i="13"/>
  <c r="H29" i="31"/>
  <c r="Q30" i="13" s="1"/>
  <c r="D49" i="10"/>
  <c r="K49" i="10"/>
  <c r="I50" i="10"/>
  <c r="AH30" i="1"/>
  <c r="E31" i="13"/>
  <c r="AF30" i="1"/>
  <c r="F30" i="11"/>
  <c r="AK30" i="1"/>
  <c r="Y30" i="1"/>
  <c r="X30" i="1" s="1"/>
  <c r="W30" i="1" s="1"/>
  <c r="V30" i="1" s="1"/>
  <c r="U30" i="1" s="1"/>
  <c r="H30" i="13"/>
  <c r="E28" i="11"/>
  <c r="I30" i="13" s="1"/>
  <c r="L31" i="13"/>
  <c r="P49" i="10" l="1"/>
  <c r="O49" i="10" s="1"/>
  <c r="N49" i="10" s="1"/>
  <c r="M49" i="10" s="1"/>
  <c r="L49" i="10" s="1"/>
  <c r="H50" i="10" s="1"/>
  <c r="J51" i="10" s="1"/>
  <c r="T30" i="1"/>
  <c r="F31" i="13"/>
  <c r="G50" i="10" l="1"/>
  <c r="F50" i="10" s="1"/>
  <c r="E50" i="10" s="1"/>
  <c r="AI30" i="1"/>
  <c r="AJ30" i="1" s="1"/>
  <c r="M31" i="13" s="1"/>
  <c r="G31" i="13"/>
  <c r="E30" i="31"/>
  <c r="D50" i="10" l="1"/>
  <c r="K50" i="10"/>
  <c r="I51" i="10"/>
  <c r="F31" i="1"/>
  <c r="G31" i="1"/>
  <c r="C30" i="31"/>
  <c r="B30" i="31"/>
  <c r="AM30" i="1"/>
  <c r="N31" i="13" s="1"/>
  <c r="AN30" i="1"/>
  <c r="P50" i="10" l="1"/>
  <c r="O50" i="10" s="1"/>
  <c r="N50" i="10" s="1"/>
  <c r="M50" i="10" s="1"/>
  <c r="L50" i="10" s="1"/>
  <c r="H51" i="10" s="1"/>
  <c r="J52" i="10" s="1"/>
  <c r="D30" i="31"/>
  <c r="O31" i="13" s="1"/>
  <c r="C29" i="11"/>
  <c r="E31" i="1"/>
  <c r="D31" i="1" s="1"/>
  <c r="P31" i="1" s="1"/>
  <c r="N31" i="1" l="1"/>
  <c r="M31" i="1" s="1"/>
  <c r="O32" i="1" s="1"/>
  <c r="Q31" i="1"/>
  <c r="S31" i="1" s="1"/>
  <c r="L31" i="1"/>
  <c r="G51" i="10"/>
  <c r="F51" i="10" s="1"/>
  <c r="E51" i="10" s="1"/>
  <c r="K31" i="13"/>
  <c r="G29" i="11"/>
  <c r="H29" i="11" s="1"/>
  <c r="J31" i="13" s="1"/>
  <c r="D29" i="11"/>
  <c r="H30" i="31"/>
  <c r="Q31" i="13" s="1"/>
  <c r="F30" i="31"/>
  <c r="P31" i="13" s="1"/>
  <c r="C32" i="13"/>
  <c r="A30" i="11"/>
  <c r="C31" i="1"/>
  <c r="B32" i="13"/>
  <c r="AE31" i="1"/>
  <c r="H32" i="1"/>
  <c r="I32" i="1"/>
  <c r="R32" i="1" l="1"/>
  <c r="D32" i="13"/>
  <c r="D51" i="10"/>
  <c r="K51" i="10"/>
  <c r="I52" i="10"/>
  <c r="Y31" i="1"/>
  <c r="X31" i="1" s="1"/>
  <c r="W31" i="1" s="1"/>
  <c r="V31" i="1" s="1"/>
  <c r="U31" i="1" s="1"/>
  <c r="E32" i="13"/>
  <c r="AF31" i="1"/>
  <c r="AK31" i="1"/>
  <c r="F31" i="11"/>
  <c r="AH31" i="1"/>
  <c r="L32" i="13"/>
  <c r="H31" i="13"/>
  <c r="E29" i="11"/>
  <c r="I31" i="13" s="1"/>
  <c r="P51" i="10" l="1"/>
  <c r="O51" i="10" s="1"/>
  <c r="N51" i="10" s="1"/>
  <c r="M51" i="10" s="1"/>
  <c r="L51" i="10" s="1"/>
  <c r="H52" i="10" s="1"/>
  <c r="J53" i="10" s="1"/>
  <c r="T31" i="1"/>
  <c r="F32" i="13"/>
  <c r="G52" i="10" l="1"/>
  <c r="F52" i="10" s="1"/>
  <c r="E52" i="10" s="1"/>
  <c r="AI31" i="1"/>
  <c r="AJ31" i="1" s="1"/>
  <c r="M32" i="13" s="1"/>
  <c r="G32" i="13"/>
  <c r="E31" i="31"/>
  <c r="I53" i="10" l="1"/>
  <c r="D52" i="10"/>
  <c r="K52" i="10"/>
  <c r="F32" i="1"/>
  <c r="G32" i="1"/>
  <c r="B31" i="31"/>
  <c r="C31" i="31"/>
  <c r="AM31" i="1"/>
  <c r="N32" i="13" s="1"/>
  <c r="AN31" i="1"/>
  <c r="P52" i="10" l="1"/>
  <c r="O52" i="10" s="1"/>
  <c r="N52" i="10" s="1"/>
  <c r="M52" i="10" s="1"/>
  <c r="L52" i="10" s="1"/>
  <c r="D31" i="31"/>
  <c r="H31" i="31" s="1"/>
  <c r="Q32" i="13" s="1"/>
  <c r="C30" i="11"/>
  <c r="E32" i="1"/>
  <c r="D32" i="1" s="1"/>
  <c r="P32" i="1" s="1"/>
  <c r="N32" i="1" l="1"/>
  <c r="M32" i="1" s="1"/>
  <c r="O33" i="1" s="1"/>
  <c r="Q32" i="1"/>
  <c r="S32" i="1" s="1"/>
  <c r="L32" i="1"/>
  <c r="H53" i="10"/>
  <c r="J54" i="10" s="1"/>
  <c r="G53" i="10"/>
  <c r="F53" i="10" s="1"/>
  <c r="E53" i="10" s="1"/>
  <c r="O32" i="13"/>
  <c r="F31" i="31"/>
  <c r="P32" i="13" s="1"/>
  <c r="I33" i="1"/>
  <c r="B33" i="13"/>
  <c r="AE32" i="1"/>
  <c r="C33" i="13"/>
  <c r="A31" i="11"/>
  <c r="C32" i="1"/>
  <c r="H33" i="1"/>
  <c r="K32" i="13"/>
  <c r="G30" i="11"/>
  <c r="H30" i="11" s="1"/>
  <c r="J32" i="13" s="1"/>
  <c r="D30" i="11"/>
  <c r="R33" i="1" l="1"/>
  <c r="D33" i="13"/>
  <c r="D53" i="10"/>
  <c r="I54" i="10"/>
  <c r="K53" i="10"/>
  <c r="Y32" i="1"/>
  <c r="X32" i="1" s="1"/>
  <c r="W32" i="1" s="1"/>
  <c r="V32" i="1" s="1"/>
  <c r="U32" i="1" s="1"/>
  <c r="L33" i="13"/>
  <c r="H32" i="13"/>
  <c r="E30" i="11"/>
  <c r="I32" i="13" s="1"/>
  <c r="AF32" i="1"/>
  <c r="E33" i="13"/>
  <c r="F32" i="11"/>
  <c r="AK32" i="1"/>
  <c r="AH32" i="1"/>
  <c r="P53" i="10" l="1"/>
  <c r="O53" i="10" s="1"/>
  <c r="N53" i="10" s="1"/>
  <c r="M53" i="10" s="1"/>
  <c r="L53" i="10" s="1"/>
  <c r="T32" i="1"/>
  <c r="F33" i="13"/>
  <c r="H54" i="10" l="1"/>
  <c r="J55" i="10" s="1"/>
  <c r="G54" i="10"/>
  <c r="AI32" i="1"/>
  <c r="AJ32" i="1" s="1"/>
  <c r="M33" i="13" s="1"/>
  <c r="G33" i="13"/>
  <c r="E32" i="31"/>
  <c r="F54" i="10" l="1"/>
  <c r="E54" i="10" s="1"/>
  <c r="D54" i="10" s="1"/>
  <c r="F33" i="1"/>
  <c r="G33" i="1"/>
  <c r="C32" i="31"/>
  <c r="B32" i="31"/>
  <c r="AM32" i="1"/>
  <c r="N33" i="13" s="1"/>
  <c r="AN32" i="1"/>
  <c r="K54" i="10" l="1"/>
  <c r="I55" i="10"/>
  <c r="P54" i="10" s="1"/>
  <c r="D32" i="31"/>
  <c r="C31" i="11"/>
  <c r="E33" i="1"/>
  <c r="D33" i="1" s="1"/>
  <c r="P33" i="1" s="1"/>
  <c r="N33" i="1" l="1"/>
  <c r="M33" i="1" s="1"/>
  <c r="O34" i="1" s="1"/>
  <c r="Q33" i="1"/>
  <c r="S33" i="1" s="1"/>
  <c r="L33" i="1"/>
  <c r="O54" i="10"/>
  <c r="N54" i="10" s="1"/>
  <c r="M54" i="10" s="1"/>
  <c r="L54" i="10" s="1"/>
  <c r="H55" i="10" s="1"/>
  <c r="J56" i="10" s="1"/>
  <c r="G31" i="11"/>
  <c r="H31" i="11" s="1"/>
  <c r="J33" i="13" s="1"/>
  <c r="K33" i="13"/>
  <c r="D31" i="11"/>
  <c r="O33" i="13"/>
  <c r="F32" i="31"/>
  <c r="P33" i="13" s="1"/>
  <c r="H32" i="31"/>
  <c r="Q33" i="13" s="1"/>
  <c r="AE33" i="1"/>
  <c r="C33" i="1"/>
  <c r="A32" i="11"/>
  <c r="B34" i="13"/>
  <c r="C34" i="13"/>
  <c r="H34" i="1"/>
  <c r="I34" i="1"/>
  <c r="R34" i="1" l="1"/>
  <c r="D34" i="13"/>
  <c r="G55" i="10"/>
  <c r="F55" i="10" s="1"/>
  <c r="E55" i="10" s="1"/>
  <c r="D55" i="10" s="1"/>
  <c r="Y33" i="1"/>
  <c r="X33" i="1" s="1"/>
  <c r="W33" i="1" s="1"/>
  <c r="V33" i="1" s="1"/>
  <c r="U33" i="1" s="1"/>
  <c r="L34" i="13"/>
  <c r="AH33" i="1"/>
  <c r="AK33" i="1"/>
  <c r="AF33" i="1"/>
  <c r="E34" i="13"/>
  <c r="F33" i="11"/>
  <c r="H33" i="13"/>
  <c r="E31" i="11"/>
  <c r="I33" i="13" s="1"/>
  <c r="K55" i="10" l="1"/>
  <c r="I56" i="10"/>
  <c r="P55" i="10" s="1"/>
  <c r="F34" i="13"/>
  <c r="T33" i="1"/>
  <c r="O55" i="10" l="1"/>
  <c r="N55" i="10" s="1"/>
  <c r="M55" i="10" s="1"/>
  <c r="L55" i="10" s="1"/>
  <c r="H56" i="10" s="1"/>
  <c r="J57" i="10" s="1"/>
  <c r="AI33" i="1"/>
  <c r="AJ33" i="1" s="1"/>
  <c r="M34" i="13" s="1"/>
  <c r="G34" i="13"/>
  <c r="E33" i="31"/>
  <c r="G56" i="10" l="1"/>
  <c r="F56" i="10" s="1"/>
  <c r="E56" i="10" s="1"/>
  <c r="D56" i="10" s="1"/>
  <c r="G34" i="1"/>
  <c r="F34" i="1"/>
  <c r="B33" i="31"/>
  <c r="C33" i="31"/>
  <c r="AM33" i="1"/>
  <c r="N34" i="13" s="1"/>
  <c r="AN33" i="1"/>
  <c r="K56" i="10" l="1"/>
  <c r="I57" i="10"/>
  <c r="P56" i="10" s="1"/>
  <c r="D33" i="31"/>
  <c r="H33" i="31" s="1"/>
  <c r="Q34" i="13" s="1"/>
  <c r="C32" i="11"/>
  <c r="E34" i="1"/>
  <c r="D34" i="1" s="1"/>
  <c r="P34" i="1" s="1"/>
  <c r="N34" i="1" l="1"/>
  <c r="M34" i="1" s="1"/>
  <c r="O35" i="1" s="1"/>
  <c r="Q34" i="1"/>
  <c r="S34" i="1" s="1"/>
  <c r="L34" i="1"/>
  <c r="O56" i="10"/>
  <c r="N56" i="10" s="1"/>
  <c r="M56" i="10" s="1"/>
  <c r="L56" i="10" s="1"/>
  <c r="H57" i="10" s="1"/>
  <c r="J58" i="10" s="1"/>
  <c r="O34" i="13"/>
  <c r="F33" i="31"/>
  <c r="P34" i="13" s="1"/>
  <c r="C35" i="13"/>
  <c r="B35" i="13"/>
  <c r="AE34" i="1"/>
  <c r="C34" i="1"/>
  <c r="A33" i="11"/>
  <c r="H35" i="1"/>
  <c r="I35" i="1"/>
  <c r="K34" i="13"/>
  <c r="G32" i="11"/>
  <c r="H32" i="11" s="1"/>
  <c r="J34" i="13" s="1"/>
  <c r="D32" i="11"/>
  <c r="R35" i="1" l="1"/>
  <c r="D35" i="13"/>
  <c r="G57" i="10"/>
  <c r="F57" i="10" s="1"/>
  <c r="E57" i="10" s="1"/>
  <c r="AH34" i="1"/>
  <c r="L35" i="13"/>
  <c r="H34" i="13"/>
  <c r="E32" i="11"/>
  <c r="I34" i="13" s="1"/>
  <c r="Y34" i="1"/>
  <c r="X34" i="1" s="1"/>
  <c r="W34" i="1" s="1"/>
  <c r="V34" i="1" s="1"/>
  <c r="U34" i="1" s="1"/>
  <c r="AF34" i="1"/>
  <c r="E35" i="13"/>
  <c r="AK34" i="1"/>
  <c r="F34" i="11"/>
  <c r="D57" i="10" l="1"/>
  <c r="K57" i="10"/>
  <c r="I58" i="10"/>
  <c r="P57" i="10" s="1"/>
  <c r="F35" i="13"/>
  <c r="T34" i="1"/>
  <c r="AI34" i="1" s="1"/>
  <c r="AJ34" i="1" s="1"/>
  <c r="O57" i="10" l="1"/>
  <c r="N57" i="10" s="1"/>
  <c r="M57" i="10" s="1"/>
  <c r="L57" i="10" s="1"/>
  <c r="H58" i="10" s="1"/>
  <c r="J59" i="10" s="1"/>
  <c r="M35" i="13"/>
  <c r="B34" i="31"/>
  <c r="C34" i="31"/>
  <c r="AM34" i="1"/>
  <c r="N35" i="13" s="1"/>
  <c r="G35" i="13"/>
  <c r="E34" i="31"/>
  <c r="G35" i="1"/>
  <c r="F35" i="1"/>
  <c r="AN34" i="1"/>
  <c r="G58" i="10" l="1"/>
  <c r="F58" i="10" s="1"/>
  <c r="E58" i="10" s="1"/>
  <c r="D58" i="10" s="1"/>
  <c r="D34" i="31"/>
  <c r="C33" i="11"/>
  <c r="E35" i="1"/>
  <c r="D35" i="1" s="1"/>
  <c r="P35" i="1" s="1"/>
  <c r="N35" i="1" l="1"/>
  <c r="M35" i="1" s="1"/>
  <c r="O36" i="1" s="1"/>
  <c r="Q35" i="1"/>
  <c r="S35" i="1" s="1"/>
  <c r="L35" i="1"/>
  <c r="K58" i="10"/>
  <c r="I59" i="10"/>
  <c r="P58" i="10" s="1"/>
  <c r="C35" i="1"/>
  <c r="A34" i="11"/>
  <c r="B36" i="13"/>
  <c r="C36" i="13"/>
  <c r="AE35" i="1"/>
  <c r="I36" i="1"/>
  <c r="H36" i="1"/>
  <c r="O35" i="13"/>
  <c r="F34" i="31"/>
  <c r="P35" i="13" s="1"/>
  <c r="H34" i="31"/>
  <c r="Q35" i="13" s="1"/>
  <c r="G33" i="11"/>
  <c r="H33" i="11" s="1"/>
  <c r="J35" i="13" s="1"/>
  <c r="K35" i="13"/>
  <c r="D33" i="11"/>
  <c r="R36" i="1" l="1"/>
  <c r="D36" i="13"/>
  <c r="O58" i="10"/>
  <c r="N58" i="10" s="1"/>
  <c r="M58" i="10" s="1"/>
  <c r="L58" i="10" s="1"/>
  <c r="H59" i="10" s="1"/>
  <c r="J60" i="10" s="1"/>
  <c r="AH35" i="1"/>
  <c r="H35" i="13"/>
  <c r="E33" i="11"/>
  <c r="I35" i="13" s="1"/>
  <c r="F35" i="11"/>
  <c r="E36" i="13"/>
  <c r="AF35" i="1"/>
  <c r="AK35" i="1"/>
  <c r="L36" i="13"/>
  <c r="Y35" i="1"/>
  <c r="X35" i="1" s="1"/>
  <c r="W35" i="1" s="1"/>
  <c r="V35" i="1" s="1"/>
  <c r="U35" i="1" s="1"/>
  <c r="G59" i="10" l="1"/>
  <c r="F59" i="10" s="1"/>
  <c r="E59" i="10" s="1"/>
  <c r="D59" i="10" s="1"/>
  <c r="T35" i="1"/>
  <c r="AI35" i="1" s="1"/>
  <c r="AJ35" i="1" s="1"/>
  <c r="M36" i="13" s="1"/>
  <c r="F36" i="13"/>
  <c r="K59" i="10" l="1"/>
  <c r="I60" i="10"/>
  <c r="P59" i="10" s="1"/>
  <c r="B35" i="31"/>
  <c r="C35" i="31"/>
  <c r="AM35" i="1"/>
  <c r="N36" i="13" s="1"/>
  <c r="G36" i="13"/>
  <c r="E35" i="31"/>
  <c r="F36" i="1"/>
  <c r="G36" i="1"/>
  <c r="AN35" i="1"/>
  <c r="O59" i="10" l="1"/>
  <c r="N59" i="10" s="1"/>
  <c r="M59" i="10" s="1"/>
  <c r="L59" i="10" s="1"/>
  <c r="H60" i="10" s="1"/>
  <c r="J61" i="10" s="1"/>
  <c r="C34" i="11"/>
  <c r="E36" i="1"/>
  <c r="D36" i="1" s="1"/>
  <c r="P36" i="1" s="1"/>
  <c r="D35" i="31"/>
  <c r="O36" i="13" s="1"/>
  <c r="N36" i="1" l="1"/>
  <c r="M36" i="1" s="1"/>
  <c r="O37" i="1" s="1"/>
  <c r="Q36" i="1"/>
  <c r="S36" i="1" s="1"/>
  <c r="L36" i="1"/>
  <c r="G60" i="10"/>
  <c r="F60" i="10" s="1"/>
  <c r="E60" i="10" s="1"/>
  <c r="I61" i="10" s="1"/>
  <c r="F35" i="31"/>
  <c r="P36" i="13" s="1"/>
  <c r="H35" i="31"/>
  <c r="Q36" i="13" s="1"/>
  <c r="G34" i="11"/>
  <c r="H34" i="11" s="1"/>
  <c r="J36" i="13" s="1"/>
  <c r="K36" i="13"/>
  <c r="D34" i="11"/>
  <c r="A35" i="11"/>
  <c r="C37" i="13"/>
  <c r="B37" i="13"/>
  <c r="C36" i="1"/>
  <c r="AE36" i="1"/>
  <c r="H37" i="1"/>
  <c r="I37" i="1"/>
  <c r="R37" i="1" l="1"/>
  <c r="D37" i="13"/>
  <c r="D60" i="10"/>
  <c r="K60" i="10"/>
  <c r="P60" i="10"/>
  <c r="L37" i="13"/>
  <c r="Y36" i="1"/>
  <c r="X36" i="1" s="1"/>
  <c r="W36" i="1" s="1"/>
  <c r="V36" i="1" s="1"/>
  <c r="U36" i="1" s="1"/>
  <c r="H36" i="13"/>
  <c r="E34" i="11"/>
  <c r="I36" i="13" s="1"/>
  <c r="AK36" i="1"/>
  <c r="E37" i="13"/>
  <c r="AF36" i="1"/>
  <c r="F36" i="11"/>
  <c r="AH36" i="1"/>
  <c r="O60" i="10" l="1"/>
  <c r="N60" i="10" s="1"/>
  <c r="M60" i="10" s="1"/>
  <c r="L60" i="10" s="1"/>
  <c r="G61" i="10" s="1"/>
  <c r="F37" i="13"/>
  <c r="T36" i="1"/>
  <c r="H61" i="10" l="1"/>
  <c r="J62" i="10" s="1"/>
  <c r="F61" i="10"/>
  <c r="E61" i="10" s="1"/>
  <c r="D61" i="10" s="1"/>
  <c r="AI36" i="1"/>
  <c r="AJ36" i="1" s="1"/>
  <c r="M37" i="13" s="1"/>
  <c r="E36" i="31"/>
  <c r="G37" i="13"/>
  <c r="K61" i="10" l="1"/>
  <c r="I62" i="10"/>
  <c r="P61" i="10" s="1"/>
  <c r="G37" i="1"/>
  <c r="F37" i="1"/>
  <c r="B36" i="31"/>
  <c r="C36" i="31"/>
  <c r="AM36" i="1"/>
  <c r="N37" i="13" s="1"/>
  <c r="AN36" i="1"/>
  <c r="O61" i="10" l="1"/>
  <c r="N61" i="10" s="1"/>
  <c r="M61" i="10" s="1"/>
  <c r="L61" i="10" s="1"/>
  <c r="H62" i="10" s="1"/>
  <c r="J63" i="10" s="1"/>
  <c r="D36" i="31"/>
  <c r="F36" i="31" s="1"/>
  <c r="P37" i="13" s="1"/>
  <c r="C35" i="11"/>
  <c r="E37" i="1"/>
  <c r="D37" i="1" s="1"/>
  <c r="P37" i="1" s="1"/>
  <c r="N37" i="1" l="1"/>
  <c r="M37" i="1" s="1"/>
  <c r="O38" i="1" s="1"/>
  <c r="Q37" i="1"/>
  <c r="S37" i="1" s="1"/>
  <c r="L37" i="1"/>
  <c r="G62" i="10"/>
  <c r="F62" i="10" s="1"/>
  <c r="E62" i="10" s="1"/>
  <c r="D62" i="10" s="1"/>
  <c r="O37" i="13"/>
  <c r="H36" i="31"/>
  <c r="Q37" i="13" s="1"/>
  <c r="C37" i="1"/>
  <c r="A36" i="11"/>
  <c r="C38" i="13"/>
  <c r="B38" i="13"/>
  <c r="AE37" i="1"/>
  <c r="I38" i="1"/>
  <c r="H38" i="1"/>
  <c r="K37" i="13"/>
  <c r="G35" i="11"/>
  <c r="H35" i="11" s="1"/>
  <c r="J37" i="13" s="1"/>
  <c r="D35" i="11"/>
  <c r="R38" i="1" l="1"/>
  <c r="D38" i="13"/>
  <c r="K62" i="10"/>
  <c r="I63" i="10"/>
  <c r="P62" i="10" s="1"/>
  <c r="AH37" i="1"/>
  <c r="L38" i="13"/>
  <c r="F37" i="11"/>
  <c r="E38" i="13"/>
  <c r="AF37" i="1"/>
  <c r="AK37" i="1"/>
  <c r="H37" i="13"/>
  <c r="E35" i="11"/>
  <c r="I37" i="13" s="1"/>
  <c r="Y37" i="1"/>
  <c r="X37" i="1" s="1"/>
  <c r="W37" i="1" s="1"/>
  <c r="V37" i="1" s="1"/>
  <c r="U37" i="1" s="1"/>
  <c r="O62" i="10" l="1"/>
  <c r="N62" i="10" s="1"/>
  <c r="M62" i="10" s="1"/>
  <c r="L62" i="10" s="1"/>
  <c r="H63" i="10" s="1"/>
  <c r="J64" i="10" s="1"/>
  <c r="T37" i="1"/>
  <c r="AI37" i="1" s="1"/>
  <c r="AJ37" i="1" s="1"/>
  <c r="F38" i="13"/>
  <c r="G63" i="10" l="1"/>
  <c r="F63" i="10" s="1"/>
  <c r="E63" i="10" s="1"/>
  <c r="D63" i="10" s="1"/>
  <c r="AM37" i="1"/>
  <c r="N38" i="13" s="1"/>
  <c r="M38" i="13"/>
  <c r="C37" i="31"/>
  <c r="B37" i="31"/>
  <c r="G38" i="13"/>
  <c r="E37" i="31"/>
  <c r="F38" i="1"/>
  <c r="G38" i="1"/>
  <c r="AN37" i="1"/>
  <c r="I64" i="10" l="1"/>
  <c r="P63" i="10" s="1"/>
  <c r="K63" i="10"/>
  <c r="D37" i="31"/>
  <c r="C36" i="11"/>
  <c r="E38" i="1"/>
  <c r="D38" i="1" s="1"/>
  <c r="P38" i="1" s="1"/>
  <c r="N38" i="1" l="1"/>
  <c r="M38" i="1" s="1"/>
  <c r="O39" i="1" s="1"/>
  <c r="Q38" i="1"/>
  <c r="S38" i="1" s="1"/>
  <c r="L38" i="1"/>
  <c r="O63" i="10"/>
  <c r="N63" i="10" s="1"/>
  <c r="M63" i="10" s="1"/>
  <c r="L63" i="10" s="1"/>
  <c r="H64" i="10" s="1"/>
  <c r="J65" i="10" s="1"/>
  <c r="K38" i="13"/>
  <c r="G36" i="11"/>
  <c r="H36" i="11" s="1"/>
  <c r="J38" i="13" s="1"/>
  <c r="D36" i="11"/>
  <c r="O38" i="13"/>
  <c r="H37" i="31"/>
  <c r="Q38" i="13" s="1"/>
  <c r="F37" i="31"/>
  <c r="P38" i="13" s="1"/>
  <c r="AE38" i="1"/>
  <c r="C39" i="13"/>
  <c r="A37" i="11"/>
  <c r="B39" i="13"/>
  <c r="C38" i="1"/>
  <c r="H39" i="1"/>
  <c r="I39" i="1"/>
  <c r="R39" i="1" l="1"/>
  <c r="D39" i="13"/>
  <c r="G64" i="10"/>
  <c r="F64" i="10" s="1"/>
  <c r="E64" i="10" s="1"/>
  <c r="D64" i="10" s="1"/>
  <c r="Y38" i="1"/>
  <c r="X38" i="1" s="1"/>
  <c r="W38" i="1" s="1"/>
  <c r="V38" i="1" s="1"/>
  <c r="U38" i="1" s="1"/>
  <c r="L39" i="13"/>
  <c r="AH38" i="1"/>
  <c r="AF38" i="1"/>
  <c r="E39" i="13"/>
  <c r="AK38" i="1"/>
  <c r="F38" i="11"/>
  <c r="H38" i="13"/>
  <c r="E36" i="11"/>
  <c r="I38" i="13" s="1"/>
  <c r="I65" i="10" l="1"/>
  <c r="P64" i="10" s="1"/>
  <c r="K64" i="10"/>
  <c r="T38" i="1"/>
  <c r="F39" i="13"/>
  <c r="O64" i="10" l="1"/>
  <c r="N64" i="10" s="1"/>
  <c r="M64" i="10" s="1"/>
  <c r="L64" i="10" s="1"/>
  <c r="H65" i="10" s="1"/>
  <c r="J66" i="10" s="1"/>
  <c r="AI38" i="1"/>
  <c r="AJ38" i="1" s="1"/>
  <c r="M39" i="13" s="1"/>
  <c r="E38" i="31"/>
  <c r="G39" i="13"/>
  <c r="G65" i="10" l="1"/>
  <c r="F65" i="10" s="1"/>
  <c r="E65" i="10" s="1"/>
  <c r="D65" i="10" s="1"/>
  <c r="G39" i="1"/>
  <c r="F39" i="1"/>
  <c r="C38" i="31"/>
  <c r="B38" i="31"/>
  <c r="AM38" i="1"/>
  <c r="N39" i="13" s="1"/>
  <c r="AN38" i="1"/>
  <c r="I66" i="10" l="1"/>
  <c r="P65" i="10" s="1"/>
  <c r="K65" i="10"/>
  <c r="D38" i="31"/>
  <c r="O39" i="13" s="1"/>
  <c r="C37" i="11"/>
  <c r="E39" i="1"/>
  <c r="D39" i="1" s="1"/>
  <c r="P39" i="1" s="1"/>
  <c r="N39" i="1" l="1"/>
  <c r="M39" i="1" s="1"/>
  <c r="O40" i="1" s="1"/>
  <c r="Q39" i="1"/>
  <c r="S39" i="1" s="1"/>
  <c r="L39" i="1"/>
  <c r="O65" i="10"/>
  <c r="N65" i="10" s="1"/>
  <c r="M65" i="10" s="1"/>
  <c r="L65" i="10" s="1"/>
  <c r="H66" i="10" s="1"/>
  <c r="J67" i="10" s="1"/>
  <c r="K39" i="13"/>
  <c r="G37" i="11"/>
  <c r="H37" i="11" s="1"/>
  <c r="J39" i="13" s="1"/>
  <c r="D37" i="11"/>
  <c r="H38" i="31"/>
  <c r="Q39" i="13" s="1"/>
  <c r="F38" i="31"/>
  <c r="P39" i="13" s="1"/>
  <c r="C40" i="13"/>
  <c r="A38" i="11"/>
  <c r="C39" i="1"/>
  <c r="AE39" i="1"/>
  <c r="B40" i="13"/>
  <c r="H40" i="1"/>
  <c r="I40" i="1"/>
  <c r="R40" i="1" l="1"/>
  <c r="D40" i="13"/>
  <c r="G66" i="10"/>
  <c r="F66" i="10" s="1"/>
  <c r="E66" i="10" s="1"/>
  <c r="D66" i="10" s="1"/>
  <c r="F39" i="11"/>
  <c r="E40" i="13"/>
  <c r="AF39" i="1"/>
  <c r="AK39" i="1"/>
  <c r="Y39" i="1"/>
  <c r="X39" i="1" s="1"/>
  <c r="W39" i="1" s="1"/>
  <c r="V39" i="1" s="1"/>
  <c r="U39" i="1" s="1"/>
  <c r="AH39" i="1"/>
  <c r="L40" i="13"/>
  <c r="H39" i="13"/>
  <c r="E37" i="11"/>
  <c r="I39" i="13" s="1"/>
  <c r="I67" i="10" l="1"/>
  <c r="P66" i="10" s="1"/>
  <c r="K66" i="10"/>
  <c r="T39" i="1"/>
  <c r="F40" i="13"/>
  <c r="O66" i="10" l="1"/>
  <c r="N66" i="10" s="1"/>
  <c r="M66" i="10" s="1"/>
  <c r="L66" i="10" s="1"/>
  <c r="H67" i="10" s="1"/>
  <c r="J68" i="10" s="1"/>
  <c r="AI39" i="1"/>
  <c r="AJ39" i="1" s="1"/>
  <c r="M40" i="13" s="1"/>
  <c r="E39" i="31"/>
  <c r="G40" i="13"/>
  <c r="G67" i="10" l="1"/>
  <c r="F67" i="10" s="1"/>
  <c r="E67" i="10" s="1"/>
  <c r="D67" i="10" s="1"/>
  <c r="F40" i="1"/>
  <c r="G40" i="1"/>
  <c r="C39" i="31"/>
  <c r="B39" i="31"/>
  <c r="AM39" i="1"/>
  <c r="N40" i="13" s="1"/>
  <c r="AN39" i="1"/>
  <c r="C38" i="11" s="1"/>
  <c r="I68" i="10" l="1"/>
  <c r="P67" i="10" s="1"/>
  <c r="K67" i="10"/>
  <c r="D39" i="31"/>
  <c r="G38" i="11"/>
  <c r="H38" i="11" s="1"/>
  <c r="J40" i="13" s="1"/>
  <c r="K40" i="13"/>
  <c r="D38" i="11"/>
  <c r="E40" i="1"/>
  <c r="D40" i="1" s="1"/>
  <c r="P40" i="1" s="1"/>
  <c r="N40" i="1" l="1"/>
  <c r="M40" i="1" s="1"/>
  <c r="O41" i="1" s="1"/>
  <c r="Q40" i="1"/>
  <c r="S40" i="1" s="1"/>
  <c r="L40" i="1"/>
  <c r="O67" i="10"/>
  <c r="N67" i="10" s="1"/>
  <c r="M67" i="10" s="1"/>
  <c r="L67" i="10" s="1"/>
  <c r="H68" i="10" s="1"/>
  <c r="J69" i="10" s="1"/>
  <c r="F39" i="31"/>
  <c r="P40" i="13" s="1"/>
  <c r="O40" i="13"/>
  <c r="H39" i="31"/>
  <c r="Q40" i="13" s="1"/>
  <c r="B41" i="13"/>
  <c r="C41" i="13"/>
  <c r="AE40" i="1"/>
  <c r="A39" i="11"/>
  <c r="C40" i="1"/>
  <c r="I41" i="1"/>
  <c r="H41" i="1"/>
  <c r="H40" i="13"/>
  <c r="E38" i="11"/>
  <c r="I40" i="13" s="1"/>
  <c r="R41" i="1" l="1"/>
  <c r="D41" i="13"/>
  <c r="G68" i="10"/>
  <c r="F68" i="10" s="1"/>
  <c r="E68" i="10" s="1"/>
  <c r="D68" i="10" s="1"/>
  <c r="AH40" i="1"/>
  <c r="Y40" i="1"/>
  <c r="X40" i="1" s="1"/>
  <c r="W40" i="1" s="1"/>
  <c r="V40" i="1" s="1"/>
  <c r="U40" i="1" s="1"/>
  <c r="AF40" i="1"/>
  <c r="E41" i="13"/>
  <c r="AK40" i="1"/>
  <c r="F40" i="11"/>
  <c r="L41" i="13"/>
  <c r="I69" i="10" l="1"/>
  <c r="P68" i="10" s="1"/>
  <c r="K68" i="10"/>
  <c r="T40" i="1"/>
  <c r="F41" i="13"/>
  <c r="O68" i="10" l="1"/>
  <c r="N68" i="10" s="1"/>
  <c r="M68" i="10" s="1"/>
  <c r="L68" i="10" s="1"/>
  <c r="H69" i="10" s="1"/>
  <c r="J70" i="10" s="1"/>
  <c r="AI40" i="1"/>
  <c r="AJ40" i="1" s="1"/>
  <c r="M41" i="13" s="1"/>
  <c r="E40" i="31"/>
  <c r="G41" i="13"/>
  <c r="AN40" i="1"/>
  <c r="G69" i="10" l="1"/>
  <c r="F69" i="10" s="1"/>
  <c r="E69" i="10" s="1"/>
  <c r="D69" i="10" s="1"/>
  <c r="F41" i="1"/>
  <c r="G41" i="1"/>
  <c r="C39" i="11"/>
  <c r="B40" i="31"/>
  <c r="C40" i="31"/>
  <c r="AM40" i="1"/>
  <c r="N41" i="13" s="1"/>
  <c r="I70" i="10" l="1"/>
  <c r="P69" i="10" s="1"/>
  <c r="K69" i="10"/>
  <c r="E41" i="1"/>
  <c r="D41" i="1" s="1"/>
  <c r="P41" i="1" s="1"/>
  <c r="D40" i="31"/>
  <c r="K41" i="13"/>
  <c r="G39" i="11"/>
  <c r="H39" i="11" s="1"/>
  <c r="J41" i="13" s="1"/>
  <c r="D39" i="11"/>
  <c r="N41" i="1" l="1"/>
  <c r="M41" i="1" s="1"/>
  <c r="O42" i="1" s="1"/>
  <c r="Q41" i="1"/>
  <c r="S41" i="1" s="1"/>
  <c r="L41" i="1"/>
  <c r="C41" i="1"/>
  <c r="O69" i="10"/>
  <c r="N69" i="10" s="1"/>
  <c r="M69" i="10" s="1"/>
  <c r="L69" i="10" s="1"/>
  <c r="H70" i="10" s="1"/>
  <c r="J71" i="10" s="1"/>
  <c r="H42" i="1"/>
  <c r="B42" i="13"/>
  <c r="AE41" i="1"/>
  <c r="I42" i="1"/>
  <c r="C42" i="13"/>
  <c r="A40" i="11"/>
  <c r="L42" i="13" s="1"/>
  <c r="H40" i="31"/>
  <c r="Q41" i="13" s="1"/>
  <c r="O41" i="13"/>
  <c r="F40" i="31"/>
  <c r="P41" i="13" s="1"/>
  <c r="H41" i="13"/>
  <c r="E39" i="11"/>
  <c r="I41" i="13" s="1"/>
  <c r="R42" i="1" l="1"/>
  <c r="D42" i="13"/>
  <c r="F41" i="11"/>
  <c r="G70" i="10"/>
  <c r="F70" i="10" s="1"/>
  <c r="E70" i="10" s="1"/>
  <c r="K70" i="10" s="1"/>
  <c r="Y41" i="1"/>
  <c r="X41" i="1" s="1"/>
  <c r="W41" i="1" s="1"/>
  <c r="V41" i="1" s="1"/>
  <c r="U41" i="1" s="1"/>
  <c r="F42" i="13" s="1"/>
  <c r="AH41" i="1"/>
  <c r="E42" i="13"/>
  <c r="AK41" i="1"/>
  <c r="AF41" i="1"/>
  <c r="D70" i="10" l="1"/>
  <c r="I71" i="10"/>
  <c r="P70" i="10" s="1"/>
  <c r="O70" i="10" s="1"/>
  <c r="N70" i="10" s="1"/>
  <c r="M70" i="10" s="1"/>
  <c r="L70" i="10" s="1"/>
  <c r="H71" i="10" s="1"/>
  <c r="J72" i="10" s="1"/>
  <c r="T41" i="1"/>
  <c r="G42" i="13" s="1"/>
  <c r="E41" i="31" l="1"/>
  <c r="AI41" i="1"/>
  <c r="AJ41" i="1" s="1"/>
  <c r="M42" i="13" s="1"/>
  <c r="G71" i="10"/>
  <c r="F71" i="10" s="1"/>
  <c r="E71" i="10" s="1"/>
  <c r="G42" i="1"/>
  <c r="F42" i="1"/>
  <c r="AN41" i="1"/>
  <c r="AM41" i="1" l="1"/>
  <c r="N42" i="13" s="1"/>
  <c r="B41" i="31"/>
  <c r="C41" i="31"/>
  <c r="D71" i="10"/>
  <c r="K71" i="10"/>
  <c r="I72" i="10"/>
  <c r="C40" i="11"/>
  <c r="E42" i="1"/>
  <c r="D42" i="1" s="1"/>
  <c r="P42" i="1" s="1"/>
  <c r="N42" i="1" l="1"/>
  <c r="M42" i="1" s="1"/>
  <c r="O43" i="1" s="1"/>
  <c r="Q42" i="1"/>
  <c r="S42" i="1" s="1"/>
  <c r="L42" i="1"/>
  <c r="D41" i="31"/>
  <c r="H41" i="31" s="1"/>
  <c r="Q42" i="13" s="1"/>
  <c r="P71" i="10"/>
  <c r="O71" i="10" s="1"/>
  <c r="N71" i="10" s="1"/>
  <c r="M71" i="10" s="1"/>
  <c r="L71" i="10" s="1"/>
  <c r="H72" i="10" s="1"/>
  <c r="J73" i="10" s="1"/>
  <c r="O42" i="13"/>
  <c r="I43" i="1"/>
  <c r="AE42" i="1"/>
  <c r="B43" i="13"/>
  <c r="A41" i="11"/>
  <c r="C43" i="13"/>
  <c r="C42" i="1"/>
  <c r="H43" i="1"/>
  <c r="K42" i="13"/>
  <c r="G40" i="11"/>
  <c r="H40" i="11" s="1"/>
  <c r="J42" i="13" s="1"/>
  <c r="D40" i="11"/>
  <c r="R43" i="1" l="1"/>
  <c r="D43" i="13"/>
  <c r="F41" i="31"/>
  <c r="P42" i="13" s="1"/>
  <c r="G72" i="10"/>
  <c r="F72" i="10" s="1"/>
  <c r="E72" i="10" s="1"/>
  <c r="AF42" i="1"/>
  <c r="E43" i="13"/>
  <c r="AK42" i="1"/>
  <c r="F42" i="11"/>
  <c r="E40" i="11"/>
  <c r="I42" i="13" s="1"/>
  <c r="H42" i="13"/>
  <c r="Y42" i="1"/>
  <c r="X42" i="1" s="1"/>
  <c r="W42" i="1" s="1"/>
  <c r="V42" i="1" s="1"/>
  <c r="U42" i="1" s="1"/>
  <c r="B41" i="11"/>
  <c r="L43" i="13"/>
  <c r="AH42" i="1"/>
  <c r="D72" i="10" l="1"/>
  <c r="K72" i="10"/>
  <c r="I73" i="10"/>
  <c r="F43" i="13"/>
  <c r="T42" i="1"/>
  <c r="P72" i="10" l="1"/>
  <c r="O72" i="10" s="1"/>
  <c r="N72" i="10" s="1"/>
  <c r="M72" i="10" s="1"/>
  <c r="L72" i="10" s="1"/>
  <c r="H73" i="10" s="1"/>
  <c r="J74" i="10" s="1"/>
  <c r="G43" i="13"/>
  <c r="E42" i="31"/>
  <c r="AI42" i="1"/>
  <c r="AJ42" i="1" s="1"/>
  <c r="M43" i="13" s="1"/>
  <c r="G73" i="10" l="1"/>
  <c r="F73" i="10" s="1"/>
  <c r="E73" i="10" s="1"/>
  <c r="F43" i="1"/>
  <c r="G43" i="1"/>
  <c r="B42" i="31"/>
  <c r="C42" i="31"/>
  <c r="AM42" i="1"/>
  <c r="N43" i="13" s="1"/>
  <c r="AN42" i="1"/>
  <c r="D73" i="10" l="1"/>
  <c r="K73" i="10"/>
  <c r="I74" i="10"/>
  <c r="D42" i="31"/>
  <c r="F42" i="31" s="1"/>
  <c r="P43" i="13" s="1"/>
  <c r="C41" i="11"/>
  <c r="E43" i="1"/>
  <c r="D43" i="1" s="1"/>
  <c r="P43" i="1" s="1"/>
  <c r="N43" i="1" l="1"/>
  <c r="M43" i="1" s="1"/>
  <c r="O44" i="1" s="1"/>
  <c r="Q43" i="1"/>
  <c r="S43" i="1" s="1"/>
  <c r="L43" i="1"/>
  <c r="P73" i="10"/>
  <c r="O73" i="10" s="1"/>
  <c r="N73" i="10" s="1"/>
  <c r="M73" i="10" s="1"/>
  <c r="L73" i="10" s="1"/>
  <c r="H74" i="10" s="1"/>
  <c r="J75" i="10" s="1"/>
  <c r="O43" i="13"/>
  <c r="H42" i="31"/>
  <c r="Q43" i="13" s="1"/>
  <c r="A42" i="11"/>
  <c r="C44" i="13"/>
  <c r="C43" i="1"/>
  <c r="AE43" i="1"/>
  <c r="B44" i="13"/>
  <c r="I44" i="1"/>
  <c r="H44" i="1"/>
  <c r="D41" i="11"/>
  <c r="K43" i="13"/>
  <c r="G41" i="11"/>
  <c r="H41" i="11" s="1"/>
  <c r="J43" i="13" s="1"/>
  <c r="R44" i="1" l="1"/>
  <c r="D44" i="13"/>
  <c r="G74" i="10"/>
  <c r="F74" i="10" s="1"/>
  <c r="E74" i="10" s="1"/>
  <c r="AH43" i="1"/>
  <c r="H43" i="13"/>
  <c r="E41" i="11"/>
  <c r="I43" i="13" s="1"/>
  <c r="Y43" i="1"/>
  <c r="X43" i="1" s="1"/>
  <c r="W43" i="1" s="1"/>
  <c r="V43" i="1" s="1"/>
  <c r="U43" i="1" s="1"/>
  <c r="L44" i="13"/>
  <c r="B42" i="11"/>
  <c r="AF43" i="1"/>
  <c r="E44" i="13"/>
  <c r="F43" i="11"/>
  <c r="AK43" i="1"/>
  <c r="D74" i="10" l="1"/>
  <c r="K74" i="10"/>
  <c r="I75" i="10"/>
  <c r="T43" i="1"/>
  <c r="F44" i="13"/>
  <c r="P74" i="10" l="1"/>
  <c r="O74" i="10" s="1"/>
  <c r="N74" i="10" s="1"/>
  <c r="M74" i="10" s="1"/>
  <c r="L74" i="10" s="1"/>
  <c r="H75" i="10" s="1"/>
  <c r="J76" i="10" s="1"/>
  <c r="AI43" i="1"/>
  <c r="AJ43" i="1" s="1"/>
  <c r="M44" i="13" s="1"/>
  <c r="E43" i="31"/>
  <c r="G44" i="13"/>
  <c r="G75" i="10" l="1"/>
  <c r="F75" i="10" s="1"/>
  <c r="E75" i="10" s="1"/>
  <c r="G44" i="1"/>
  <c r="F44" i="1"/>
  <c r="B43" i="31"/>
  <c r="C43" i="31"/>
  <c r="AM43" i="1"/>
  <c r="N44" i="13" s="1"/>
  <c r="AN43" i="1"/>
  <c r="C42" i="11" s="1"/>
  <c r="D75" i="10" l="1"/>
  <c r="K75" i="10"/>
  <c r="I76" i="10"/>
  <c r="D43" i="31"/>
  <c r="H43" i="31" s="1"/>
  <c r="Q44" i="13" s="1"/>
  <c r="K44" i="13"/>
  <c r="G42" i="11"/>
  <c r="H42" i="11" s="1"/>
  <c r="J44" i="13" s="1"/>
  <c r="D42" i="11"/>
  <c r="E44" i="1"/>
  <c r="D44" i="1" s="1"/>
  <c r="P44" i="1" s="1"/>
  <c r="N44" i="1" l="1"/>
  <c r="M44" i="1" s="1"/>
  <c r="Q44" i="1"/>
  <c r="S44" i="1" s="1"/>
  <c r="L44" i="1"/>
  <c r="P75" i="10"/>
  <c r="O75" i="10" s="1"/>
  <c r="N75" i="10" s="1"/>
  <c r="M75" i="10" s="1"/>
  <c r="L75" i="10" s="1"/>
  <c r="H76" i="10" s="1"/>
  <c r="J77" i="10" s="1"/>
  <c r="O44" i="13"/>
  <c r="F43" i="31"/>
  <c r="P44" i="13" s="1"/>
  <c r="H44" i="13"/>
  <c r="E42" i="11"/>
  <c r="I44" i="13" s="1"/>
  <c r="C45" i="13"/>
  <c r="A43" i="11"/>
  <c r="AE44" i="1"/>
  <c r="B45" i="13"/>
  <c r="C44" i="1"/>
  <c r="H45" i="1"/>
  <c r="I45" i="1"/>
  <c r="R45" i="1" l="1"/>
  <c r="D45" i="13"/>
  <c r="G76" i="10"/>
  <c r="F76" i="10" s="1"/>
  <c r="E76" i="10" s="1"/>
  <c r="AK44" i="1"/>
  <c r="E45" i="13"/>
  <c r="AF44" i="1"/>
  <c r="F44" i="11"/>
  <c r="Y44" i="1"/>
  <c r="X44" i="1" s="1"/>
  <c r="W44" i="1" s="1"/>
  <c r="V44" i="1" s="1"/>
  <c r="U44" i="1" s="1"/>
  <c r="AH44" i="1"/>
  <c r="B43" i="11"/>
  <c r="L45" i="13"/>
  <c r="D76" i="10" l="1"/>
  <c r="K76" i="10"/>
  <c r="I77" i="10"/>
  <c r="F45" i="13"/>
  <c r="T44" i="1"/>
  <c r="P76" i="10" l="1"/>
  <c r="O76" i="10" s="1"/>
  <c r="N76" i="10" s="1"/>
  <c r="M76" i="10" s="1"/>
  <c r="L76" i="10" s="1"/>
  <c r="H77" i="10" s="1"/>
  <c r="J78" i="10" s="1"/>
  <c r="AI44" i="1"/>
  <c r="AJ44" i="1" s="1"/>
  <c r="M45" i="13" s="1"/>
  <c r="G45" i="13"/>
  <c r="E44" i="31"/>
  <c r="G77" i="10" l="1"/>
  <c r="F77" i="10" s="1"/>
  <c r="E77" i="10" s="1"/>
  <c r="F45" i="1"/>
  <c r="G45" i="1"/>
  <c r="B44" i="31"/>
  <c r="C44" i="31"/>
  <c r="AM44" i="1"/>
  <c r="N45" i="13" s="1"/>
  <c r="AN44" i="1"/>
  <c r="C43" i="11" s="1"/>
  <c r="D77" i="10" l="1"/>
  <c r="K77" i="10"/>
  <c r="I78" i="10"/>
  <c r="D44" i="31"/>
  <c r="K45" i="13"/>
  <c r="G43" i="11"/>
  <c r="H43" i="11" s="1"/>
  <c r="J45" i="13" s="1"/>
  <c r="D43" i="11"/>
  <c r="E45" i="1"/>
  <c r="D45" i="1" s="1"/>
  <c r="M45" i="1" s="1"/>
  <c r="Q45" i="1" l="1"/>
  <c r="S45" i="1" s="1"/>
  <c r="R46" i="1"/>
  <c r="L45" i="1"/>
  <c r="P77" i="10"/>
  <c r="O77" i="10" s="1"/>
  <c r="N77" i="10" s="1"/>
  <c r="M77" i="10" s="1"/>
  <c r="L77" i="10" s="1"/>
  <c r="H78" i="10" s="1"/>
  <c r="J79" i="10" s="1"/>
  <c r="F44" i="31"/>
  <c r="P45" i="13" s="1"/>
  <c r="O45" i="13"/>
  <c r="H44" i="31"/>
  <c r="Q45" i="13" s="1"/>
  <c r="B46" i="13"/>
  <c r="AE45" i="1"/>
  <c r="A44" i="11"/>
  <c r="C46" i="13"/>
  <c r="C45" i="1"/>
  <c r="I46" i="1"/>
  <c r="H46" i="1"/>
  <c r="H45" i="13"/>
  <c r="E43" i="11"/>
  <c r="I45" i="13" s="1"/>
  <c r="D46" i="13" l="1"/>
  <c r="G78" i="10"/>
  <c r="F78" i="10" s="1"/>
  <c r="E78" i="10" s="1"/>
  <c r="AH45" i="1"/>
  <c r="E46" i="13"/>
  <c r="AF45" i="1"/>
  <c r="F45" i="11"/>
  <c r="AK45" i="1"/>
  <c r="Y45" i="1"/>
  <c r="X45" i="1" s="1"/>
  <c r="W45" i="1" s="1"/>
  <c r="V45" i="1" s="1"/>
  <c r="U45" i="1" s="1"/>
  <c r="B44" i="11"/>
  <c r="L46" i="13"/>
  <c r="D78" i="10" l="1"/>
  <c r="K78" i="10"/>
  <c r="I79" i="10"/>
  <c r="T45" i="1"/>
  <c r="F46" i="13"/>
  <c r="P78" i="10" l="1"/>
  <c r="O78" i="10" s="1"/>
  <c r="N78" i="10" s="1"/>
  <c r="M78" i="10" s="1"/>
  <c r="L78" i="10" s="1"/>
  <c r="H79" i="10" s="1"/>
  <c r="J80" i="10" s="1"/>
  <c r="AI45" i="1"/>
  <c r="AJ45" i="1" s="1"/>
  <c r="M46" i="13" s="1"/>
  <c r="E45" i="31"/>
  <c r="G46" i="13"/>
  <c r="G79" i="10" l="1"/>
  <c r="F79" i="10" s="1"/>
  <c r="E79" i="10" s="1"/>
  <c r="G46" i="1"/>
  <c r="F46" i="1"/>
  <c r="B45" i="31"/>
  <c r="C45" i="31"/>
  <c r="AM45" i="1"/>
  <c r="N46" i="13" s="1"/>
  <c r="AN45" i="1"/>
  <c r="D79" i="10" l="1"/>
  <c r="K79" i="10"/>
  <c r="I80" i="10"/>
  <c r="D45" i="31"/>
  <c r="C44" i="11"/>
  <c r="E46" i="1"/>
  <c r="D46" i="1" s="1"/>
  <c r="Q46" i="1" s="1"/>
  <c r="S46" i="1" s="1"/>
  <c r="P79" i="10" l="1"/>
  <c r="O79" i="10" s="1"/>
  <c r="N79" i="10" s="1"/>
  <c r="M79" i="10" s="1"/>
  <c r="L79" i="10" s="1"/>
  <c r="H80" i="10" s="1"/>
  <c r="J81" i="10" s="1"/>
  <c r="H45" i="31"/>
  <c r="Q46" i="13" s="1"/>
  <c r="O46" i="13"/>
  <c r="F45" i="31"/>
  <c r="P46" i="13" s="1"/>
  <c r="C46" i="1"/>
  <c r="C47" i="13"/>
  <c r="A45" i="11"/>
  <c r="AE46" i="1"/>
  <c r="B47" i="13"/>
  <c r="L46" i="1"/>
  <c r="I47" i="1"/>
  <c r="H47" i="1"/>
  <c r="G44" i="11"/>
  <c r="H44" i="11" s="1"/>
  <c r="J46" i="13" s="1"/>
  <c r="K46" i="13"/>
  <c r="D44" i="11"/>
  <c r="D47" i="13" l="1"/>
  <c r="G80" i="10"/>
  <c r="F80" i="10" s="1"/>
  <c r="E80" i="10" s="1"/>
  <c r="AH46" i="1"/>
  <c r="Y46" i="1"/>
  <c r="X46" i="1" s="1"/>
  <c r="W46" i="1" s="1"/>
  <c r="V46" i="1" s="1"/>
  <c r="U46" i="1" s="1"/>
  <c r="H46" i="13"/>
  <c r="E44" i="11"/>
  <c r="I46" i="13" s="1"/>
  <c r="E47" i="13"/>
  <c r="AF46" i="1"/>
  <c r="AK46" i="1"/>
  <c r="F46" i="11"/>
  <c r="L47" i="13"/>
  <c r="B45" i="11"/>
  <c r="D80" i="10" l="1"/>
  <c r="K80" i="10"/>
  <c r="I81" i="10"/>
  <c r="T46" i="1"/>
  <c r="F47" i="13"/>
  <c r="P80" i="10" l="1"/>
  <c r="O80" i="10" s="1"/>
  <c r="N80" i="10" s="1"/>
  <c r="M80" i="10" s="1"/>
  <c r="L80" i="10" s="1"/>
  <c r="H81" i="10" s="1"/>
  <c r="J82" i="10" s="1"/>
  <c r="AI46" i="1"/>
  <c r="AJ46" i="1" s="1"/>
  <c r="M47" i="13" s="1"/>
  <c r="E46" i="31"/>
  <c r="G47" i="13"/>
  <c r="G81" i="10" l="1"/>
  <c r="F81" i="10" s="1"/>
  <c r="E81" i="10" s="1"/>
  <c r="F47" i="1"/>
  <c r="G47" i="1"/>
  <c r="B46" i="31"/>
  <c r="C46" i="31"/>
  <c r="AM46" i="1"/>
  <c r="N47" i="13" s="1"/>
  <c r="AN46" i="1"/>
  <c r="D81" i="10" l="1"/>
  <c r="K81" i="10"/>
  <c r="I82" i="10"/>
  <c r="D46" i="31"/>
  <c r="F46" i="31" s="1"/>
  <c r="P47" i="13" s="1"/>
  <c r="C45" i="11"/>
  <c r="E47" i="1"/>
  <c r="D47" i="1" s="1"/>
  <c r="Q47" i="1" s="1"/>
  <c r="S47" i="1" s="1"/>
  <c r="O47" i="13"/>
  <c r="P81" i="10" l="1"/>
  <c r="O81" i="10" s="1"/>
  <c r="N81" i="10" s="1"/>
  <c r="M81" i="10" s="1"/>
  <c r="L81" i="10" s="1"/>
  <c r="H82" i="10" s="1"/>
  <c r="J83" i="10" s="1"/>
  <c r="H46" i="31"/>
  <c r="Q47" i="13" s="1"/>
  <c r="A46" i="11"/>
  <c r="C47" i="1"/>
  <c r="C48" i="13"/>
  <c r="B48" i="13"/>
  <c r="AE47" i="1"/>
  <c r="I48" i="1"/>
  <c r="H48" i="1"/>
  <c r="L47" i="1"/>
  <c r="K47" i="13"/>
  <c r="G45" i="11"/>
  <c r="H45" i="11" s="1"/>
  <c r="J47" i="13" s="1"/>
  <c r="D45" i="11"/>
  <c r="D48" i="13" l="1"/>
  <c r="G82" i="10"/>
  <c r="F82" i="10" s="1"/>
  <c r="E82" i="10" s="1"/>
  <c r="AH47" i="1"/>
  <c r="AF47" i="1"/>
  <c r="E48" i="13"/>
  <c r="F47" i="11"/>
  <c r="AK47" i="1"/>
  <c r="B46" i="11"/>
  <c r="L48" i="13"/>
  <c r="E45" i="11"/>
  <c r="I47" i="13" s="1"/>
  <c r="H47" i="13"/>
  <c r="Y47" i="1"/>
  <c r="X47" i="1" s="1"/>
  <c r="W47" i="1" s="1"/>
  <c r="V47" i="1" s="1"/>
  <c r="U47" i="1" s="1"/>
  <c r="D82" i="10" l="1"/>
  <c r="K82" i="10"/>
  <c r="I83" i="10"/>
  <c r="F48" i="13"/>
  <c r="T47" i="1"/>
  <c r="AI47" i="1" s="1"/>
  <c r="AJ47" i="1" s="1"/>
  <c r="P82" i="10" l="1"/>
  <c r="O82" i="10" s="1"/>
  <c r="N82" i="10" s="1"/>
  <c r="M82" i="10" s="1"/>
  <c r="L82" i="10" s="1"/>
  <c r="H83" i="10" s="1"/>
  <c r="J84" i="10" s="1"/>
  <c r="AM47" i="1"/>
  <c r="N48" i="13" s="1"/>
  <c r="M48" i="13"/>
  <c r="B47" i="31"/>
  <c r="C47" i="31"/>
  <c r="E47" i="31"/>
  <c r="G48" i="13"/>
  <c r="G48" i="1"/>
  <c r="AN47" i="1"/>
  <c r="F48" i="1"/>
  <c r="G83" i="10" l="1"/>
  <c r="F83" i="10" s="1"/>
  <c r="E83" i="10" s="1"/>
  <c r="D47" i="31"/>
  <c r="C46" i="11"/>
  <c r="E48" i="1"/>
  <c r="D48" i="1" s="1"/>
  <c r="Q48" i="1" s="1"/>
  <c r="S48" i="1" s="1"/>
  <c r="D83" i="10" l="1"/>
  <c r="K83" i="10"/>
  <c r="I84" i="10"/>
  <c r="H47" i="31"/>
  <c r="Q48" i="13" s="1"/>
  <c r="O48" i="13"/>
  <c r="F47" i="31"/>
  <c r="P48" i="13" s="1"/>
  <c r="G46" i="11"/>
  <c r="H46" i="11" s="1"/>
  <c r="J48" i="13" s="1"/>
  <c r="K48" i="13"/>
  <c r="D46" i="11"/>
  <c r="AE48" i="1"/>
  <c r="A47" i="11"/>
  <c r="C48" i="1"/>
  <c r="B49" i="13"/>
  <c r="C49" i="13"/>
  <c r="L48" i="1"/>
  <c r="I49" i="1"/>
  <c r="H49" i="1"/>
  <c r="D49" i="13" l="1"/>
  <c r="P83" i="10"/>
  <c r="O83" i="10" s="1"/>
  <c r="N83" i="10" s="1"/>
  <c r="M83" i="10" s="1"/>
  <c r="L83" i="10" s="1"/>
  <c r="H84" i="10" s="1"/>
  <c r="J85" i="10" s="1"/>
  <c r="AH48" i="1"/>
  <c r="AF48" i="1"/>
  <c r="E49" i="13"/>
  <c r="F48" i="11"/>
  <c r="AK48" i="1"/>
  <c r="B47" i="11"/>
  <c r="L49" i="13"/>
  <c r="Y48" i="1"/>
  <c r="X48" i="1" s="1"/>
  <c r="W48" i="1" s="1"/>
  <c r="V48" i="1" s="1"/>
  <c r="U48" i="1" s="1"/>
  <c r="E46" i="11"/>
  <c r="I48" i="13" s="1"/>
  <c r="H48" i="13"/>
  <c r="G84" i="10" l="1"/>
  <c r="F84" i="10" s="1"/>
  <c r="E84" i="10" s="1"/>
  <c r="F49" i="13"/>
  <c r="T48" i="1"/>
  <c r="D84" i="10" l="1"/>
  <c r="K84" i="10"/>
  <c r="I85" i="10"/>
  <c r="G49" i="13"/>
  <c r="E48" i="31"/>
  <c r="AI48" i="1"/>
  <c r="AJ48" i="1" s="1"/>
  <c r="M49" i="13" s="1"/>
  <c r="P84" i="10" l="1"/>
  <c r="O84" i="10" s="1"/>
  <c r="N84" i="10" s="1"/>
  <c r="M84" i="10" s="1"/>
  <c r="L84" i="10" s="1"/>
  <c r="H85" i="10" s="1"/>
  <c r="J86" i="10" s="1"/>
  <c r="G49" i="1"/>
  <c r="F49" i="1"/>
  <c r="AN48" i="1"/>
  <c r="B48" i="31"/>
  <c r="C48" i="31"/>
  <c r="AM48" i="1"/>
  <c r="N49" i="13" s="1"/>
  <c r="G85" i="10" l="1"/>
  <c r="F85" i="10" s="1"/>
  <c r="E85" i="10" s="1"/>
  <c r="C47" i="11"/>
  <c r="E49" i="1"/>
  <c r="D49" i="1" s="1"/>
  <c r="Q49" i="1" s="1"/>
  <c r="S49" i="1" s="1"/>
  <c r="D48" i="31"/>
  <c r="O49" i="13" s="1"/>
  <c r="D85" i="10" l="1"/>
  <c r="K85" i="10"/>
  <c r="I86" i="10"/>
  <c r="B50" i="13"/>
  <c r="C49" i="1"/>
  <c r="C50" i="13"/>
  <c r="AE49" i="1"/>
  <c r="A48" i="11"/>
  <c r="L49" i="1"/>
  <c r="H50" i="1"/>
  <c r="I50" i="1"/>
  <c r="K49" i="13"/>
  <c r="G47" i="11"/>
  <c r="H47" i="11" s="1"/>
  <c r="J49" i="13" s="1"/>
  <c r="D47" i="11"/>
  <c r="F48" i="31"/>
  <c r="P49" i="13" s="1"/>
  <c r="H48" i="31"/>
  <c r="Q49" i="13" s="1"/>
  <c r="D50" i="13" l="1"/>
  <c r="P85" i="10"/>
  <c r="O85" i="10" s="1"/>
  <c r="N85" i="10" s="1"/>
  <c r="M85" i="10" s="1"/>
  <c r="L85" i="10" s="1"/>
  <c r="H86" i="10" s="1"/>
  <c r="J87" i="10" s="1"/>
  <c r="AH49" i="1"/>
  <c r="L50" i="13"/>
  <c r="B48" i="11"/>
  <c r="H49" i="13"/>
  <c r="E47" i="11"/>
  <c r="I49" i="13" s="1"/>
  <c r="Y49" i="1"/>
  <c r="X49" i="1" s="1"/>
  <c r="W49" i="1" s="1"/>
  <c r="V49" i="1" s="1"/>
  <c r="U49" i="1" s="1"/>
  <c r="AF49" i="1"/>
  <c r="E50" i="13"/>
  <c r="AK49" i="1"/>
  <c r="F49" i="11"/>
  <c r="G86" i="10" l="1"/>
  <c r="F86" i="10" s="1"/>
  <c r="E86" i="10" s="1"/>
  <c r="T49" i="1"/>
  <c r="F50" i="13"/>
  <c r="D86" i="10" l="1"/>
  <c r="K86" i="10"/>
  <c r="I87" i="10"/>
  <c r="E49" i="31"/>
  <c r="G50" i="13"/>
  <c r="AI49" i="1"/>
  <c r="AJ49" i="1" s="1"/>
  <c r="M50" i="13" s="1"/>
  <c r="P86" i="10" l="1"/>
  <c r="O86" i="10" s="1"/>
  <c r="N86" i="10" s="1"/>
  <c r="M86" i="10" s="1"/>
  <c r="L86" i="10" s="1"/>
  <c r="H87" i="10" s="1"/>
  <c r="J88" i="10" s="1"/>
  <c r="G50" i="1"/>
  <c r="F50" i="1"/>
  <c r="B49" i="31"/>
  <c r="C49" i="31"/>
  <c r="AM49" i="1"/>
  <c r="N50" i="13" s="1"/>
  <c r="AN49" i="1"/>
  <c r="G87" i="10" l="1"/>
  <c r="F87" i="10" s="1"/>
  <c r="E87" i="10" s="1"/>
  <c r="D49" i="31"/>
  <c r="C48" i="11"/>
  <c r="E50" i="1"/>
  <c r="D50" i="1" s="1"/>
  <c r="Q50" i="1" s="1"/>
  <c r="S50" i="1" s="1"/>
  <c r="D87" i="10" l="1"/>
  <c r="K87" i="10"/>
  <c r="I88" i="10"/>
  <c r="H49" i="31"/>
  <c r="Q50" i="13" s="1"/>
  <c r="O50" i="13"/>
  <c r="F49" i="31"/>
  <c r="P50" i="13" s="1"/>
  <c r="A49" i="11"/>
  <c r="C51" i="13"/>
  <c r="AE50" i="1"/>
  <c r="B51" i="13"/>
  <c r="C50" i="1"/>
  <c r="H51" i="1"/>
  <c r="I51" i="1"/>
  <c r="L50" i="1"/>
  <c r="K50" i="13"/>
  <c r="G48" i="11"/>
  <c r="H48" i="11" s="1"/>
  <c r="J50" i="13" s="1"/>
  <c r="D48" i="11"/>
  <c r="D51" i="13" l="1"/>
  <c r="P87" i="10"/>
  <c r="O87" i="10" s="1"/>
  <c r="N87" i="10" s="1"/>
  <c r="M87" i="10" s="1"/>
  <c r="L87" i="10" s="1"/>
  <c r="H88" i="10" s="1"/>
  <c r="J89" i="10" s="1"/>
  <c r="AH50" i="1"/>
  <c r="AF50" i="1"/>
  <c r="E51" i="13"/>
  <c r="AK50" i="1"/>
  <c r="F50" i="11"/>
  <c r="L51" i="13"/>
  <c r="B49" i="11"/>
  <c r="H50" i="13"/>
  <c r="E48" i="11"/>
  <c r="I50" i="13" s="1"/>
  <c r="Y50" i="1"/>
  <c r="X50" i="1" s="1"/>
  <c r="W50" i="1" s="1"/>
  <c r="V50" i="1" s="1"/>
  <c r="U50" i="1" s="1"/>
  <c r="G88" i="10" l="1"/>
  <c r="F88" i="10" s="1"/>
  <c r="E88" i="10" s="1"/>
  <c r="F51" i="13"/>
  <c r="T50" i="1"/>
  <c r="D88" i="10" l="1"/>
  <c r="K88" i="10"/>
  <c r="I89" i="10"/>
  <c r="G51" i="13"/>
  <c r="E50" i="31"/>
  <c r="AI50" i="1"/>
  <c r="AJ50" i="1" s="1"/>
  <c r="M51" i="13" s="1"/>
  <c r="P88" i="10" l="1"/>
  <c r="O88" i="10" s="1"/>
  <c r="N88" i="10" s="1"/>
  <c r="M88" i="10" s="1"/>
  <c r="L88" i="10" s="1"/>
  <c r="H89" i="10" s="1"/>
  <c r="J90" i="10" s="1"/>
  <c r="F51" i="1"/>
  <c r="G51" i="1"/>
  <c r="C50" i="31"/>
  <c r="B50" i="31"/>
  <c r="AM50" i="1"/>
  <c r="N51" i="13" s="1"/>
  <c r="AN50" i="1"/>
  <c r="G89" i="10" l="1"/>
  <c r="F89" i="10" s="1"/>
  <c r="E89" i="10" s="1"/>
  <c r="D50" i="31"/>
  <c r="C49" i="11"/>
  <c r="E51" i="1"/>
  <c r="D51" i="1" s="1"/>
  <c r="Q51" i="1" s="1"/>
  <c r="S51" i="1" s="1"/>
  <c r="D89" i="10" l="1"/>
  <c r="K89" i="10"/>
  <c r="I90" i="10"/>
  <c r="H50" i="31"/>
  <c r="Q51" i="13" s="1"/>
  <c r="O51" i="13"/>
  <c r="F50" i="31"/>
  <c r="P51" i="13" s="1"/>
  <c r="C52" i="13"/>
  <c r="AE51" i="1"/>
  <c r="B52" i="13"/>
  <c r="C51" i="1"/>
  <c r="A50" i="11"/>
  <c r="L51" i="1"/>
  <c r="I52" i="1"/>
  <c r="H52" i="1"/>
  <c r="G49" i="11"/>
  <c r="H49" i="11" s="1"/>
  <c r="J51" i="13" s="1"/>
  <c r="K51" i="13"/>
  <c r="D49" i="11"/>
  <c r="D52" i="13" l="1"/>
  <c r="P89" i="10"/>
  <c r="O89" i="10" s="1"/>
  <c r="N89" i="10" s="1"/>
  <c r="M89" i="10" s="1"/>
  <c r="L89" i="10" s="1"/>
  <c r="H90" i="10" s="1"/>
  <c r="J91" i="10" s="1"/>
  <c r="L52" i="13"/>
  <c r="B50" i="11"/>
  <c r="E49" i="11"/>
  <c r="I51" i="13" s="1"/>
  <c r="H51" i="13"/>
  <c r="E52" i="13"/>
  <c r="AF51" i="1"/>
  <c r="AK51" i="1"/>
  <c r="F51" i="11"/>
  <c r="Y51" i="1"/>
  <c r="X51" i="1" s="1"/>
  <c r="W51" i="1" s="1"/>
  <c r="V51" i="1" s="1"/>
  <c r="U51" i="1" s="1"/>
  <c r="AH51" i="1"/>
  <c r="G90" i="10" l="1"/>
  <c r="F90" i="10" s="1"/>
  <c r="E90" i="10" s="1"/>
  <c r="F52" i="13"/>
  <c r="T51" i="1"/>
  <c r="D90" i="10" l="1"/>
  <c r="K90" i="10"/>
  <c r="I91" i="10"/>
  <c r="AI51" i="1"/>
  <c r="AJ51" i="1" s="1"/>
  <c r="M52" i="13" s="1"/>
  <c r="G52" i="13"/>
  <c r="E51" i="31"/>
  <c r="P90" i="10" l="1"/>
  <c r="O90" i="10" s="1"/>
  <c r="N90" i="10" s="1"/>
  <c r="M90" i="10" s="1"/>
  <c r="L90" i="10" s="1"/>
  <c r="H91" i="10" s="1"/>
  <c r="J92" i="10" s="1"/>
  <c r="G52" i="1"/>
  <c r="F52" i="1"/>
  <c r="C51" i="31"/>
  <c r="B51" i="31"/>
  <c r="AM51" i="1"/>
  <c r="N52" i="13" s="1"/>
  <c r="AN51" i="1"/>
  <c r="G91" i="10" l="1"/>
  <c r="F91" i="10" s="1"/>
  <c r="E91" i="10" s="1"/>
  <c r="D51" i="31"/>
  <c r="O52" i="13" s="1"/>
  <c r="C50" i="11"/>
  <c r="E52" i="1"/>
  <c r="D52" i="1" s="1"/>
  <c r="Q52" i="1" s="1"/>
  <c r="S52" i="1" s="1"/>
  <c r="D91" i="10" l="1"/>
  <c r="I92" i="10"/>
  <c r="K91" i="10"/>
  <c r="K52" i="13"/>
  <c r="G50" i="11"/>
  <c r="H50" i="11" s="1"/>
  <c r="J52" i="13" s="1"/>
  <c r="D50" i="11"/>
  <c r="H51" i="31"/>
  <c r="Q52" i="13" s="1"/>
  <c r="F51" i="31"/>
  <c r="P52" i="13" s="1"/>
  <c r="C53" i="13"/>
  <c r="AE52" i="1"/>
  <c r="C52" i="1"/>
  <c r="A51" i="11"/>
  <c r="B53" i="13"/>
  <c r="H53" i="1"/>
  <c r="L52" i="1"/>
  <c r="I53" i="1"/>
  <c r="D53" i="13" l="1"/>
  <c r="P91" i="10"/>
  <c r="O91" i="10" s="1"/>
  <c r="N91" i="10" s="1"/>
  <c r="M91" i="10" s="1"/>
  <c r="L91" i="10" s="1"/>
  <c r="H92" i="10" s="1"/>
  <c r="J93" i="10" s="1"/>
  <c r="E53" i="13"/>
  <c r="AF52" i="1"/>
  <c r="AK52" i="1"/>
  <c r="F52" i="11"/>
  <c r="B51" i="11"/>
  <c r="L53" i="13"/>
  <c r="Y52" i="1"/>
  <c r="X52" i="1" s="1"/>
  <c r="W52" i="1" s="1"/>
  <c r="V52" i="1" s="1"/>
  <c r="U52" i="1" s="1"/>
  <c r="AH52" i="1"/>
  <c r="H52" i="13"/>
  <c r="E50" i="11"/>
  <c r="I52" i="13" s="1"/>
  <c r="G92" i="10" l="1"/>
  <c r="F92" i="10" s="1"/>
  <c r="E92" i="10" s="1"/>
  <c r="T52" i="1"/>
  <c r="F53" i="13"/>
  <c r="D92" i="10" l="1"/>
  <c r="K92" i="10"/>
  <c r="I93" i="10"/>
  <c r="AI52" i="1"/>
  <c r="AJ52" i="1" s="1"/>
  <c r="M53" i="13" s="1"/>
  <c r="G53" i="13"/>
  <c r="E52" i="31"/>
  <c r="AN52" i="1"/>
  <c r="P92" i="10" l="1"/>
  <c r="O92" i="10" s="1"/>
  <c r="N92" i="10" s="1"/>
  <c r="M92" i="10" s="1"/>
  <c r="L92" i="10" s="1"/>
  <c r="H93" i="10" s="1"/>
  <c r="J94" i="10" s="1"/>
  <c r="F53" i="1"/>
  <c r="G53" i="1"/>
  <c r="C51" i="11"/>
  <c r="C52" i="31"/>
  <c r="B52" i="31"/>
  <c r="AM52" i="1"/>
  <c r="N53" i="13" s="1"/>
  <c r="E53" i="1" l="1"/>
  <c r="D53" i="1" s="1"/>
  <c r="Q53" i="1" s="1"/>
  <c r="S53" i="1" s="1"/>
  <c r="G93" i="10"/>
  <c r="F93" i="10" s="1"/>
  <c r="E93" i="10" s="1"/>
  <c r="K53" i="13"/>
  <c r="G51" i="11"/>
  <c r="H51" i="11" s="1"/>
  <c r="J53" i="13" s="1"/>
  <c r="D51" i="11"/>
  <c r="D52" i="31"/>
  <c r="O53" i="13" s="1"/>
  <c r="B54" i="13" l="1"/>
  <c r="L53" i="1"/>
  <c r="C53" i="1"/>
  <c r="I54" i="1"/>
  <c r="A52" i="11"/>
  <c r="L54" i="13" s="1"/>
  <c r="AE53" i="1"/>
  <c r="C54" i="13"/>
  <c r="H54" i="1"/>
  <c r="Y53" i="1" s="1"/>
  <c r="D93" i="10"/>
  <c r="I94" i="10"/>
  <c r="K93" i="10"/>
  <c r="F52" i="31"/>
  <c r="P53" i="13" s="1"/>
  <c r="H52" i="31"/>
  <c r="Q53" i="13" s="1"/>
  <c r="H53" i="13"/>
  <c r="E51" i="11"/>
  <c r="I53" i="13" s="1"/>
  <c r="E54" i="13" l="1"/>
  <c r="D54" i="13"/>
  <c r="AH53" i="1"/>
  <c r="B52" i="11"/>
  <c r="AF53" i="1"/>
  <c r="F53" i="11"/>
  <c r="X53" i="1"/>
  <c r="W53" i="1" s="1"/>
  <c r="V53" i="1" s="1"/>
  <c r="U53" i="1" s="1"/>
  <c r="F54" i="13" s="1"/>
  <c r="AK53" i="1"/>
  <c r="P93" i="10"/>
  <c r="O93" i="10" s="1"/>
  <c r="N93" i="10" s="1"/>
  <c r="M93" i="10" s="1"/>
  <c r="L93" i="10" s="1"/>
  <c r="H94" i="10" s="1"/>
  <c r="J95" i="10" s="1"/>
  <c r="T53" i="1" l="1"/>
  <c r="AI53" i="1" s="1"/>
  <c r="AJ53" i="1" s="1"/>
  <c r="M54" i="13" s="1"/>
  <c r="G94" i="10"/>
  <c r="F94" i="10" s="1"/>
  <c r="E94" i="10" s="1"/>
  <c r="E53" i="31" l="1"/>
  <c r="G54" i="13"/>
  <c r="D94" i="10"/>
  <c r="K94" i="10"/>
  <c r="I95" i="10"/>
  <c r="F54" i="1"/>
  <c r="G54" i="1"/>
  <c r="C53" i="31"/>
  <c r="B53" i="31"/>
  <c r="AM53" i="1"/>
  <c r="N54" i="13" s="1"/>
  <c r="AN53" i="1"/>
  <c r="C52" i="11" s="1"/>
  <c r="P94" i="10" l="1"/>
  <c r="O94" i="10" s="1"/>
  <c r="N94" i="10" s="1"/>
  <c r="M94" i="10" s="1"/>
  <c r="L94" i="10" s="1"/>
  <c r="H95" i="10" s="1"/>
  <c r="J96" i="10" s="1"/>
  <c r="D53" i="31"/>
  <c r="K54" i="13"/>
  <c r="G52" i="11"/>
  <c r="H52" i="11" s="1"/>
  <c r="J54" i="13" s="1"/>
  <c r="D52" i="11"/>
  <c r="E54" i="1"/>
  <c r="D54" i="1" s="1"/>
  <c r="Q54" i="1" s="1"/>
  <c r="S54" i="1" s="1"/>
  <c r="G95" i="10" l="1"/>
  <c r="F95" i="10" s="1"/>
  <c r="E95" i="10" s="1"/>
  <c r="F53" i="31"/>
  <c r="P54" i="13" s="1"/>
  <c r="O54" i="13"/>
  <c r="H53" i="31"/>
  <c r="Q54" i="13" s="1"/>
  <c r="A53" i="11"/>
  <c r="B55" i="13"/>
  <c r="C54" i="1"/>
  <c r="AE54" i="1"/>
  <c r="C55" i="13"/>
  <c r="H55" i="1"/>
  <c r="L54" i="1"/>
  <c r="I55" i="1"/>
  <c r="H54" i="13"/>
  <c r="E52" i="11"/>
  <c r="I54" i="13" s="1"/>
  <c r="D55" i="13" l="1"/>
  <c r="D95" i="10"/>
  <c r="I96" i="10"/>
  <c r="K95" i="10"/>
  <c r="E55" i="13"/>
  <c r="AF54" i="1"/>
  <c r="F54" i="11"/>
  <c r="AK54" i="1"/>
  <c r="Y54" i="1"/>
  <c r="X54" i="1" s="1"/>
  <c r="W54" i="1" s="1"/>
  <c r="V54" i="1" s="1"/>
  <c r="U54" i="1" s="1"/>
  <c r="AH54" i="1"/>
  <c r="B53" i="11"/>
  <c r="L55" i="13"/>
  <c r="P95" i="10" l="1"/>
  <c r="O95" i="10" s="1"/>
  <c r="N95" i="10" s="1"/>
  <c r="M95" i="10" s="1"/>
  <c r="L95" i="10" s="1"/>
  <c r="T54" i="1"/>
  <c r="AI54" i="1" s="1"/>
  <c r="AJ54" i="1" s="1"/>
  <c r="M55" i="13" s="1"/>
  <c r="F55" i="13"/>
  <c r="H96" i="10" l="1"/>
  <c r="J97" i="10" s="1"/>
  <c r="G96" i="10"/>
  <c r="G55" i="13"/>
  <c r="E54" i="31"/>
  <c r="AN54" i="1"/>
  <c r="G55" i="1"/>
  <c r="F55" i="1"/>
  <c r="B54" i="31"/>
  <c r="C54" i="31"/>
  <c r="AM54" i="1"/>
  <c r="N55" i="13" s="1"/>
  <c r="F96" i="10" l="1"/>
  <c r="E96" i="10" s="1"/>
  <c r="D96" i="10" s="1"/>
  <c r="D54" i="31"/>
  <c r="C53" i="11"/>
  <c r="E55" i="1"/>
  <c r="D55" i="1" s="1"/>
  <c r="Q55" i="1" s="1"/>
  <c r="S55" i="1" s="1"/>
  <c r="K96" i="10" l="1"/>
  <c r="I97" i="10"/>
  <c r="P96" i="10" s="1"/>
  <c r="H54" i="31"/>
  <c r="Q55" i="13" s="1"/>
  <c r="O55" i="13"/>
  <c r="F54" i="31"/>
  <c r="P55" i="13" s="1"/>
  <c r="K55" i="13"/>
  <c r="G53" i="11"/>
  <c r="H53" i="11" s="1"/>
  <c r="J55" i="13" s="1"/>
  <c r="D53" i="11"/>
  <c r="A54" i="11"/>
  <c r="B56" i="13"/>
  <c r="AE55" i="1"/>
  <c r="C56" i="13"/>
  <c r="C55" i="1"/>
  <c r="H56" i="1"/>
  <c r="L55" i="1"/>
  <c r="I56" i="1"/>
  <c r="D56" i="13" l="1"/>
  <c r="O96" i="10"/>
  <c r="N96" i="10" s="1"/>
  <c r="M96" i="10" s="1"/>
  <c r="L96" i="10" s="1"/>
  <c r="G97" i="10" s="1"/>
  <c r="AH55" i="1"/>
  <c r="AF55" i="1"/>
  <c r="E56" i="13"/>
  <c r="F55" i="11"/>
  <c r="AK55" i="1"/>
  <c r="H55" i="13"/>
  <c r="E53" i="11"/>
  <c r="I55" i="13" s="1"/>
  <c r="L56" i="13"/>
  <c r="B54" i="11"/>
  <c r="Y55" i="1"/>
  <c r="X55" i="1" s="1"/>
  <c r="W55" i="1" s="1"/>
  <c r="V55" i="1" s="1"/>
  <c r="U55" i="1" s="1"/>
  <c r="H97" i="10" l="1"/>
  <c r="J98" i="10" s="1"/>
  <c r="T55" i="1"/>
  <c r="F56" i="13"/>
  <c r="F97" i="10" l="1"/>
  <c r="E97" i="10" s="1"/>
  <c r="I98" i="10" s="1"/>
  <c r="AI55" i="1"/>
  <c r="AJ55" i="1" s="1"/>
  <c r="M56" i="13" s="1"/>
  <c r="G56" i="13"/>
  <c r="E55" i="31"/>
  <c r="AN55" i="1"/>
  <c r="P97" i="10" l="1"/>
  <c r="D97" i="10"/>
  <c r="K97" i="10"/>
  <c r="F56" i="1"/>
  <c r="G56" i="1"/>
  <c r="C54" i="11"/>
  <c r="C55" i="31"/>
  <c r="B55" i="31"/>
  <c r="AM55" i="1"/>
  <c r="N56" i="13" s="1"/>
  <c r="O97" i="10" l="1"/>
  <c r="N97" i="10" s="1"/>
  <c r="M97" i="10" s="1"/>
  <c r="L97" i="10" s="1"/>
  <c r="G98" i="10" s="1"/>
  <c r="E56" i="1"/>
  <c r="D56" i="1" s="1"/>
  <c r="Q56" i="1" s="1"/>
  <c r="S56" i="1" s="1"/>
  <c r="K56" i="13"/>
  <c r="G54" i="11"/>
  <c r="H54" i="11" s="1"/>
  <c r="J56" i="13" s="1"/>
  <c r="D54" i="11"/>
  <c r="D55" i="31"/>
  <c r="O56" i="13" s="1"/>
  <c r="C56" i="1" l="1"/>
  <c r="H98" i="10"/>
  <c r="J99" i="10" s="1"/>
  <c r="F98" i="10"/>
  <c r="E98" i="10" s="1"/>
  <c r="L56" i="1"/>
  <c r="C57" i="13"/>
  <c r="B57" i="13"/>
  <c r="A55" i="11"/>
  <c r="B55" i="11" s="1"/>
  <c r="H57" i="1"/>
  <c r="AH56" i="1" s="1"/>
  <c r="AE56" i="1"/>
  <c r="I57" i="1"/>
  <c r="H55" i="31"/>
  <c r="Q56" i="13" s="1"/>
  <c r="F55" i="31"/>
  <c r="P56" i="13" s="1"/>
  <c r="E54" i="11"/>
  <c r="I56" i="13" s="1"/>
  <c r="H56" i="13"/>
  <c r="D57" i="13" l="1"/>
  <c r="F56" i="11"/>
  <c r="L57" i="13"/>
  <c r="K98" i="10"/>
  <c r="D98" i="10"/>
  <c r="I99" i="10"/>
  <c r="P98" i="10" s="1"/>
  <c r="Y56" i="1"/>
  <c r="X56" i="1" s="1"/>
  <c r="W56" i="1" s="1"/>
  <c r="V56" i="1" s="1"/>
  <c r="U56" i="1" s="1"/>
  <c r="F57" i="13" s="1"/>
  <c r="AK56" i="1"/>
  <c r="AF56" i="1"/>
  <c r="E57" i="13"/>
  <c r="O98" i="10" l="1"/>
  <c r="N98" i="10" s="1"/>
  <c r="M98" i="10" s="1"/>
  <c r="L98" i="10" s="1"/>
  <c r="G99" i="10" s="1"/>
  <c r="T56" i="1"/>
  <c r="AI56" i="1" s="1"/>
  <c r="AJ56" i="1" s="1"/>
  <c r="M57" i="13" s="1"/>
  <c r="AN56" i="1"/>
  <c r="H99" i="10" l="1"/>
  <c r="J100" i="10" s="1"/>
  <c r="F99" i="10"/>
  <c r="E99" i="10" s="1"/>
  <c r="D99" i="10" s="1"/>
  <c r="G57" i="13"/>
  <c r="E56" i="31"/>
  <c r="G57" i="1"/>
  <c r="F57" i="1"/>
  <c r="C55" i="11"/>
  <c r="B56" i="31"/>
  <c r="C56" i="31"/>
  <c r="AM56" i="1"/>
  <c r="N57" i="13" s="1"/>
  <c r="K99" i="10" l="1"/>
  <c r="I100" i="10"/>
  <c r="P99" i="10" s="1"/>
  <c r="E57" i="1"/>
  <c r="D57" i="1" s="1"/>
  <c r="Q57" i="1" s="1"/>
  <c r="S57" i="1" s="1"/>
  <c r="D56" i="31"/>
  <c r="G55" i="11"/>
  <c r="H55" i="11" s="1"/>
  <c r="J57" i="13" s="1"/>
  <c r="K57" i="13"/>
  <c r="D55" i="11"/>
  <c r="A56" i="11" l="1"/>
  <c r="L58" i="13" s="1"/>
  <c r="O99" i="10"/>
  <c r="N99" i="10" s="1"/>
  <c r="M99" i="10" s="1"/>
  <c r="L99" i="10" s="1"/>
  <c r="H100" i="10" s="1"/>
  <c r="J101" i="10" s="1"/>
  <c r="I58" i="1"/>
  <c r="C58" i="13"/>
  <c r="H58" i="1"/>
  <c r="AE57" i="1"/>
  <c r="B58" i="13"/>
  <c r="L57" i="1"/>
  <c r="C57" i="1"/>
  <c r="H56" i="31"/>
  <c r="Q57" i="13" s="1"/>
  <c r="O57" i="13"/>
  <c r="F56" i="31"/>
  <c r="P57" i="13" s="1"/>
  <c r="H57" i="13"/>
  <c r="E55" i="11"/>
  <c r="I57" i="13" s="1"/>
  <c r="B56" i="11" l="1"/>
  <c r="F57" i="11"/>
  <c r="D58" i="13"/>
  <c r="G100" i="10"/>
  <c r="F100" i="10" s="1"/>
  <c r="E100" i="10" s="1"/>
  <c r="K100" i="10" s="1"/>
  <c r="AH57" i="1"/>
  <c r="AK57" i="1"/>
  <c r="AF57" i="1"/>
  <c r="Y57" i="1"/>
  <c r="X57" i="1" s="1"/>
  <c r="W57" i="1" s="1"/>
  <c r="V57" i="1" s="1"/>
  <c r="U57" i="1" s="1"/>
  <c r="F58" i="13" s="1"/>
  <c r="E58" i="13"/>
  <c r="I101" i="10" l="1"/>
  <c r="P100" i="10" s="1"/>
  <c r="O100" i="10" s="1"/>
  <c r="N100" i="10" s="1"/>
  <c r="M100" i="10" s="1"/>
  <c r="L100" i="10" s="1"/>
  <c r="H101" i="10" s="1"/>
  <c r="J102" i="10" s="1"/>
  <c r="D100" i="10"/>
  <c r="T57" i="1"/>
  <c r="E57" i="31" s="1"/>
  <c r="AN57" i="1"/>
  <c r="G101" i="10" l="1"/>
  <c r="F101" i="10" s="1"/>
  <c r="E101" i="10" s="1"/>
  <c r="I102" i="10" s="1"/>
  <c r="G58" i="13"/>
  <c r="AI57" i="1"/>
  <c r="AJ57" i="1" s="1"/>
  <c r="M58" i="13" s="1"/>
  <c r="G58" i="1"/>
  <c r="F58" i="1"/>
  <c r="C56" i="11"/>
  <c r="K101" i="10" l="1"/>
  <c r="D101" i="10"/>
  <c r="AM57" i="1"/>
  <c r="N58" i="13" s="1"/>
  <c r="B57" i="31"/>
  <c r="C57" i="31"/>
  <c r="P101" i="10"/>
  <c r="E58" i="1"/>
  <c r="D58" i="1" s="1"/>
  <c r="Q58" i="1" s="1"/>
  <c r="S58" i="1" s="1"/>
  <c r="G56" i="11"/>
  <c r="H56" i="11" s="1"/>
  <c r="J58" i="13" s="1"/>
  <c r="K58" i="13"/>
  <c r="D56" i="11"/>
  <c r="B59" i="13" l="1"/>
  <c r="O101" i="10"/>
  <c r="N101" i="10" s="1"/>
  <c r="M101" i="10" s="1"/>
  <c r="L101" i="10" s="1"/>
  <c r="H102" i="10" s="1"/>
  <c r="D57" i="31"/>
  <c r="O58" i="13" s="1"/>
  <c r="A57" i="11"/>
  <c r="L59" i="13" s="1"/>
  <c r="L58" i="1"/>
  <c r="I59" i="1"/>
  <c r="H59" i="1"/>
  <c r="C58" i="1"/>
  <c r="AE58" i="1"/>
  <c r="C59" i="13"/>
  <c r="E56" i="11"/>
  <c r="I58" i="13" s="1"/>
  <c r="H58" i="13"/>
  <c r="E59" i="13" l="1"/>
  <c r="D59" i="13"/>
  <c r="G102" i="10"/>
  <c r="F102" i="10" s="1"/>
  <c r="E102" i="10" s="1"/>
  <c r="P102" i="10" s="1"/>
  <c r="AH58" i="1"/>
  <c r="F57" i="31"/>
  <c r="P58" i="13" s="1"/>
  <c r="Y58" i="1"/>
  <c r="X58" i="1" s="1"/>
  <c r="W58" i="1" s="1"/>
  <c r="V58" i="1" s="1"/>
  <c r="U58" i="1" s="1"/>
  <c r="T58" i="1" s="1"/>
  <c r="H57" i="31"/>
  <c r="Q58" i="13" s="1"/>
  <c r="B57" i="11"/>
  <c r="F58" i="11"/>
  <c r="AF58" i="1"/>
  <c r="AK58" i="1"/>
  <c r="D102" i="10" l="1"/>
  <c r="K102" i="10"/>
  <c r="O102" i="10" s="1"/>
  <c r="N102" i="10" s="1"/>
  <c r="M102" i="10" s="1"/>
  <c r="L102" i="10" s="1"/>
  <c r="F59" i="13"/>
  <c r="AI58" i="1"/>
  <c r="AJ58" i="1" s="1"/>
  <c r="M59" i="13" s="1"/>
  <c r="G59" i="13"/>
  <c r="E58" i="31"/>
  <c r="AN58" i="1"/>
  <c r="G59" i="1" l="1"/>
  <c r="F59" i="1"/>
  <c r="C57" i="11"/>
  <c r="C58" i="31"/>
  <c r="B58" i="31"/>
  <c r="AM58" i="1"/>
  <c r="N59" i="13" s="1"/>
  <c r="E59" i="1" l="1"/>
  <c r="D59" i="1" s="1"/>
  <c r="Q59" i="1" s="1"/>
  <c r="S59" i="1" s="1"/>
  <c r="K59" i="13"/>
  <c r="G57" i="11"/>
  <c r="H57" i="11" s="1"/>
  <c r="J59" i="13" s="1"/>
  <c r="D57" i="11"/>
  <c r="D58" i="31"/>
  <c r="O59" i="13" s="1"/>
  <c r="B60" i="13" l="1"/>
  <c r="C60" i="13"/>
  <c r="H60" i="1"/>
  <c r="AE59" i="1"/>
  <c r="A58" i="11"/>
  <c r="L60" i="13" s="1"/>
  <c r="I60" i="1"/>
  <c r="C59" i="1"/>
  <c r="L59" i="1"/>
  <c r="F58" i="31"/>
  <c r="P59" i="13" s="1"/>
  <c r="H58" i="31"/>
  <c r="Q59" i="13" s="1"/>
  <c r="H59" i="13"/>
  <c r="E57" i="11"/>
  <c r="I59" i="13" s="1"/>
  <c r="AF59" i="1" l="1"/>
  <c r="D60" i="13"/>
  <c r="Y59" i="1"/>
  <c r="X59" i="1" s="1"/>
  <c r="W59" i="1" s="1"/>
  <c r="V59" i="1" s="1"/>
  <c r="U59" i="1" s="1"/>
  <c r="F60" i="13" s="1"/>
  <c r="B58" i="11"/>
  <c r="AH59" i="1"/>
  <c r="F59" i="11"/>
  <c r="AK59" i="1"/>
  <c r="E60" i="13"/>
  <c r="T59" i="1" l="1"/>
  <c r="E59" i="31" s="1"/>
  <c r="AN59" i="1"/>
  <c r="G60" i="13" l="1"/>
  <c r="AI59" i="1"/>
  <c r="AJ59" i="1" s="1"/>
  <c r="M60" i="13" s="1"/>
  <c r="F60" i="1"/>
  <c r="G60" i="1"/>
  <c r="C58" i="11"/>
  <c r="E60" i="1" l="1"/>
  <c r="D60" i="1" s="1"/>
  <c r="Q60" i="1" s="1"/>
  <c r="S60" i="1" s="1"/>
  <c r="AM59" i="1"/>
  <c r="N60" i="13" s="1"/>
  <c r="B59" i="31"/>
  <c r="C59" i="31"/>
  <c r="K60" i="13"/>
  <c r="G58" i="11"/>
  <c r="H58" i="11" s="1"/>
  <c r="J60" i="13" s="1"/>
  <c r="D58" i="11"/>
  <c r="A59" i="11" l="1"/>
  <c r="B59" i="11" s="1"/>
  <c r="L60" i="1"/>
  <c r="B61" i="13"/>
  <c r="C61" i="13"/>
  <c r="AE60" i="1"/>
  <c r="I61" i="1"/>
  <c r="C60" i="1"/>
  <c r="H61" i="1"/>
  <c r="AH60" i="1" s="1"/>
  <c r="D59" i="31"/>
  <c r="O60" i="13" s="1"/>
  <c r="E58" i="11"/>
  <c r="I60" i="13" s="1"/>
  <c r="H60" i="13"/>
  <c r="L61" i="13" l="1"/>
  <c r="AF60" i="1"/>
  <c r="D61" i="13"/>
  <c r="Y60" i="1"/>
  <c r="X60" i="1" s="1"/>
  <c r="W60" i="1" s="1"/>
  <c r="V60" i="1" s="1"/>
  <c r="U60" i="1" s="1"/>
  <c r="F61" i="13" s="1"/>
  <c r="AK60" i="1"/>
  <c r="F60" i="11"/>
  <c r="E61" i="13"/>
  <c r="F59" i="31"/>
  <c r="P60" i="13" s="1"/>
  <c r="H59" i="31"/>
  <c r="Q60" i="13" s="1"/>
  <c r="T60" i="1" l="1"/>
  <c r="AI60" i="1" s="1"/>
  <c r="AJ60" i="1" s="1"/>
  <c r="M61" i="13" s="1"/>
  <c r="AN60" i="1"/>
  <c r="G61" i="13" l="1"/>
  <c r="E60" i="31"/>
  <c r="F61" i="1"/>
  <c r="G61" i="1"/>
  <c r="C59" i="11"/>
  <c r="B60" i="31"/>
  <c r="C60" i="31"/>
  <c r="AM60" i="1"/>
  <c r="N61" i="13" s="1"/>
  <c r="E61" i="1" l="1"/>
  <c r="D61" i="1" s="1"/>
  <c r="Q61" i="1" s="1"/>
  <c r="S61" i="1" s="1"/>
  <c r="D60" i="31"/>
  <c r="K61" i="13"/>
  <c r="G59" i="11"/>
  <c r="H59" i="11" s="1"/>
  <c r="J61" i="13" s="1"/>
  <c r="D59" i="11"/>
  <c r="C61" i="1" l="1"/>
  <c r="D62" i="13" s="1"/>
  <c r="I62" i="1"/>
  <c r="L61" i="1"/>
  <c r="A60" i="11"/>
  <c r="L62" i="13" s="1"/>
  <c r="B62" i="13"/>
  <c r="AE61" i="1"/>
  <c r="C62" i="13"/>
  <c r="H62" i="1"/>
  <c r="F60" i="31"/>
  <c r="P61" i="13" s="1"/>
  <c r="O61" i="13"/>
  <c r="H60" i="31"/>
  <c r="Q61" i="13" s="1"/>
  <c r="E59" i="11"/>
  <c r="I61" i="13" s="1"/>
  <c r="H61" i="13"/>
  <c r="AK61" i="1" l="1"/>
  <c r="AH61" i="1"/>
  <c r="AF61" i="1"/>
  <c r="Y61" i="1"/>
  <c r="X61" i="1" s="1"/>
  <c r="W61" i="1" s="1"/>
  <c r="V61" i="1" s="1"/>
  <c r="U61" i="1" s="1"/>
  <c r="F62" i="13" s="1"/>
  <c r="B60" i="11"/>
  <c r="E62" i="13"/>
  <c r="F61" i="11"/>
  <c r="T61" i="1" l="1"/>
  <c r="E61" i="31" s="1"/>
  <c r="AN61" i="1"/>
  <c r="AI61" i="1" l="1"/>
  <c r="AJ61" i="1" s="1"/>
  <c r="M62" i="13" s="1"/>
  <c r="G62" i="13"/>
  <c r="F62" i="1"/>
  <c r="G62" i="1"/>
  <c r="C60" i="11"/>
  <c r="AM61" i="1" l="1"/>
  <c r="N62" i="13" s="1"/>
  <c r="C61" i="31"/>
  <c r="B61" i="31"/>
  <c r="E62" i="1"/>
  <c r="D62" i="1" s="1"/>
  <c r="Q62" i="1" s="1"/>
  <c r="S62" i="1" s="1"/>
  <c r="K62" i="13"/>
  <c r="G60" i="11"/>
  <c r="H60" i="11" s="1"/>
  <c r="J62" i="13" s="1"/>
  <c r="D60" i="11"/>
  <c r="B63" i="13" l="1"/>
  <c r="D61" i="31"/>
  <c r="H61" i="31" s="1"/>
  <c r="Q62" i="13" s="1"/>
  <c r="AE62" i="1"/>
  <c r="C63" i="13"/>
  <c r="A61" i="11"/>
  <c r="B61" i="11" s="1"/>
  <c r="H63" i="1"/>
  <c r="C62" i="1"/>
  <c r="L62" i="1"/>
  <c r="I63" i="1"/>
  <c r="O62" i="13"/>
  <c r="H62" i="13"/>
  <c r="E60" i="11"/>
  <c r="I62" i="13" s="1"/>
  <c r="E63" i="13" l="1"/>
  <c r="D63" i="13"/>
  <c r="AH62" i="1"/>
  <c r="F61" i="31"/>
  <c r="P62" i="13" s="1"/>
  <c r="AK62" i="1"/>
  <c r="Y62" i="1"/>
  <c r="X62" i="1" s="1"/>
  <c r="W62" i="1" s="1"/>
  <c r="V62" i="1" s="1"/>
  <c r="U62" i="1" s="1"/>
  <c r="T62" i="1" s="1"/>
  <c r="L63" i="13"/>
  <c r="F62" i="11"/>
  <c r="AF62" i="1"/>
  <c r="F63" i="13" l="1"/>
  <c r="AI62" i="1"/>
  <c r="AJ62" i="1" s="1"/>
  <c r="M63" i="13" s="1"/>
  <c r="G63" i="13"/>
  <c r="E62" i="31"/>
  <c r="AN62" i="1"/>
  <c r="C61" i="11" s="1"/>
  <c r="G63" i="1" l="1"/>
  <c r="F63" i="1"/>
  <c r="K63" i="13"/>
  <c r="G61" i="11"/>
  <c r="H61" i="11" s="1"/>
  <c r="J63" i="13" s="1"/>
  <c r="D61" i="11"/>
  <c r="B62" i="31"/>
  <c r="C62" i="31"/>
  <c r="AM62" i="1"/>
  <c r="N63" i="13" s="1"/>
  <c r="E63" i="1" l="1"/>
  <c r="D63" i="1" s="1"/>
  <c r="Q63" i="1" s="1"/>
  <c r="S63" i="1" s="1"/>
  <c r="D62" i="31"/>
  <c r="E61" i="11"/>
  <c r="I63" i="13" s="1"/>
  <c r="H63" i="13"/>
  <c r="B64" i="13" l="1"/>
  <c r="H64" i="1"/>
  <c r="C64" i="13"/>
  <c r="A62" i="11"/>
  <c r="B62" i="11" s="1"/>
  <c r="I64" i="1"/>
  <c r="AE63" i="1"/>
  <c r="C63" i="1"/>
  <c r="L63" i="1"/>
  <c r="H62" i="31"/>
  <c r="Q63" i="13" s="1"/>
  <c r="O63" i="13"/>
  <c r="F62" i="31"/>
  <c r="P63" i="13" s="1"/>
  <c r="AF63" i="1" l="1"/>
  <c r="D64" i="13"/>
  <c r="L64" i="13"/>
  <c r="E64" i="13"/>
  <c r="AH63" i="1"/>
  <c r="Y63" i="1"/>
  <c r="X63" i="1" s="1"/>
  <c r="W63" i="1" s="1"/>
  <c r="V63" i="1" s="1"/>
  <c r="U63" i="1" s="1"/>
  <c r="T63" i="1" s="1"/>
  <c r="G64" i="13" s="1"/>
  <c r="F63" i="11"/>
  <c r="AK63" i="1"/>
  <c r="AN63" i="1"/>
  <c r="F64" i="13" l="1"/>
  <c r="AI63" i="1"/>
  <c r="AJ63" i="1" s="1"/>
  <c r="M64" i="13" s="1"/>
  <c r="E63" i="31"/>
  <c r="G64" i="1"/>
  <c r="F64" i="1"/>
  <c r="C62" i="11"/>
  <c r="B63" i="31" l="1"/>
  <c r="C63" i="31"/>
  <c r="AM63" i="1"/>
  <c r="N64" i="13" s="1"/>
  <c r="E64" i="1"/>
  <c r="D64" i="1" s="1"/>
  <c r="Q64" i="1" s="1"/>
  <c r="S64" i="1" s="1"/>
  <c r="K64" i="13"/>
  <c r="G62" i="11"/>
  <c r="H62" i="11" s="1"/>
  <c r="J64" i="13" s="1"/>
  <c r="D62" i="11"/>
  <c r="B65" i="13" l="1"/>
  <c r="D63" i="31"/>
  <c r="F63" i="31" s="1"/>
  <c r="P64" i="13" s="1"/>
  <c r="AE64" i="1"/>
  <c r="C64" i="1"/>
  <c r="A63" i="11"/>
  <c r="B63" i="11" s="1"/>
  <c r="I65" i="1"/>
  <c r="C65" i="13"/>
  <c r="L64" i="1"/>
  <c r="H65" i="1"/>
  <c r="O64" i="13"/>
  <c r="H64" i="13"/>
  <c r="E62" i="11"/>
  <c r="I64" i="13" s="1"/>
  <c r="AF64" i="1" l="1"/>
  <c r="D65" i="13"/>
  <c r="Y64" i="1"/>
  <c r="X64" i="1" s="1"/>
  <c r="W64" i="1" s="1"/>
  <c r="V64" i="1" s="1"/>
  <c r="U64" i="1" s="1"/>
  <c r="T64" i="1" s="1"/>
  <c r="AH64" i="1"/>
  <c r="H63" i="31"/>
  <c r="Q64" i="13" s="1"/>
  <c r="L65" i="13"/>
  <c r="AK64" i="1"/>
  <c r="E65" i="13"/>
  <c r="F64" i="11"/>
  <c r="F65" i="13" l="1"/>
  <c r="AI64" i="1"/>
  <c r="AJ64" i="1" s="1"/>
  <c r="M65" i="13" s="1"/>
  <c r="G65" i="13"/>
  <c r="E64" i="31"/>
  <c r="G65" i="1" l="1"/>
  <c r="F65" i="1"/>
  <c r="B64" i="31"/>
  <c r="C64" i="31"/>
  <c r="AM64" i="1"/>
  <c r="N65" i="13" s="1"/>
  <c r="AN64" i="1"/>
  <c r="D64" i="31" l="1"/>
  <c r="C63" i="11"/>
  <c r="E65" i="1"/>
  <c r="D65" i="1" s="1"/>
  <c r="Q65" i="1" s="1"/>
  <c r="S65" i="1" s="1"/>
  <c r="H64" i="31" l="1"/>
  <c r="Q65" i="13" s="1"/>
  <c r="O65" i="13"/>
  <c r="F64" i="31"/>
  <c r="P65" i="13" s="1"/>
  <c r="B66" i="13"/>
  <c r="A64" i="11"/>
  <c r="C66" i="13"/>
  <c r="C65" i="1"/>
  <c r="AE65" i="1"/>
  <c r="I66" i="1"/>
  <c r="H66" i="1"/>
  <c r="L65" i="1"/>
  <c r="G63" i="11"/>
  <c r="H63" i="11" s="1"/>
  <c r="J65" i="13" s="1"/>
  <c r="K65" i="13"/>
  <c r="D63" i="11"/>
  <c r="D66" i="13" l="1"/>
  <c r="AH65" i="1"/>
  <c r="B64" i="11"/>
  <c r="L66" i="13"/>
  <c r="AF65" i="1"/>
  <c r="E66" i="13"/>
  <c r="F65" i="11"/>
  <c r="AK65" i="1"/>
  <c r="H65" i="13"/>
  <c r="E63" i="11"/>
  <c r="I65" i="13" s="1"/>
  <c r="Y65" i="1"/>
  <c r="X65" i="1" s="1"/>
  <c r="W65" i="1" s="1"/>
  <c r="V65" i="1" s="1"/>
  <c r="U65" i="1" s="1"/>
  <c r="F66" i="13" l="1"/>
  <c r="T65" i="1"/>
  <c r="AI65" i="1" l="1"/>
  <c r="AJ65" i="1" s="1"/>
  <c r="M66" i="13" s="1"/>
  <c r="E65" i="31"/>
  <c r="G66" i="13"/>
  <c r="AN65" i="1"/>
  <c r="G66" i="1" l="1"/>
  <c r="F66" i="1"/>
  <c r="C64" i="11"/>
  <c r="B65" i="31"/>
  <c r="C65" i="31"/>
  <c r="AM65" i="1"/>
  <c r="N66" i="13" s="1"/>
  <c r="E66" i="1" l="1"/>
  <c r="D66" i="1" s="1"/>
  <c r="Q66" i="1" s="1"/>
  <c r="S66" i="1" s="1"/>
  <c r="D65" i="31"/>
  <c r="K66" i="13"/>
  <c r="G64" i="11"/>
  <c r="H64" i="11" s="1"/>
  <c r="J66" i="13" s="1"/>
  <c r="D64" i="11"/>
  <c r="A65" i="11" l="1"/>
  <c r="B65" i="11" s="1"/>
  <c r="H67" i="1"/>
  <c r="AE66" i="1"/>
  <c r="I67" i="1"/>
  <c r="B67" i="13"/>
  <c r="L66" i="1"/>
  <c r="C67" i="13"/>
  <c r="C66" i="1"/>
  <c r="H65" i="31"/>
  <c r="Q66" i="13" s="1"/>
  <c r="O66" i="13"/>
  <c r="F65" i="31"/>
  <c r="P66" i="13" s="1"/>
  <c r="E64" i="11"/>
  <c r="I66" i="13" s="1"/>
  <c r="H66" i="13"/>
  <c r="L67" i="13" l="1"/>
  <c r="AF66" i="1"/>
  <c r="D67" i="13"/>
  <c r="AH66" i="1"/>
  <c r="Y66" i="1"/>
  <c r="X66" i="1" s="1"/>
  <c r="W66" i="1" s="1"/>
  <c r="V66" i="1" s="1"/>
  <c r="U66" i="1" s="1"/>
  <c r="F67" i="13" s="1"/>
  <c r="E67" i="13"/>
  <c r="AK66" i="1"/>
  <c r="F66" i="11"/>
  <c r="T66" i="1" l="1"/>
  <c r="E66" i="31" s="1"/>
  <c r="AI66" i="1" l="1"/>
  <c r="AJ66" i="1" s="1"/>
  <c r="M67" i="13" s="1"/>
  <c r="G67" i="13"/>
  <c r="G67" i="1"/>
  <c r="F67" i="1"/>
  <c r="AN66" i="1"/>
  <c r="B66" i="31" l="1"/>
  <c r="AM66" i="1"/>
  <c r="N67" i="13" s="1"/>
  <c r="C66" i="31"/>
  <c r="C65" i="11"/>
  <c r="E67" i="1"/>
  <c r="D67" i="1" s="1"/>
  <c r="Q67" i="1" s="1"/>
  <c r="S67" i="1" s="1"/>
  <c r="D66" i="31" l="1"/>
  <c r="F66" i="31" s="1"/>
  <c r="P67" i="13" s="1"/>
  <c r="O67" i="13"/>
  <c r="B68" i="13"/>
  <c r="A66" i="11"/>
  <c r="C68" i="13"/>
  <c r="AE67" i="1"/>
  <c r="C67" i="1"/>
  <c r="L67" i="1"/>
  <c r="H68" i="1"/>
  <c r="I68" i="1"/>
  <c r="G65" i="11"/>
  <c r="H65" i="11" s="1"/>
  <c r="J67" i="13" s="1"/>
  <c r="K67" i="13"/>
  <c r="D65" i="11"/>
  <c r="D68" i="13" l="1"/>
  <c r="H66" i="31"/>
  <c r="Q67" i="13" s="1"/>
  <c r="AH67" i="1"/>
  <c r="L68" i="13"/>
  <c r="B66" i="11"/>
  <c r="H67" i="13"/>
  <c r="E65" i="11"/>
  <c r="I67" i="13" s="1"/>
  <c r="Y67" i="1"/>
  <c r="X67" i="1" s="1"/>
  <c r="W67" i="1" s="1"/>
  <c r="V67" i="1" s="1"/>
  <c r="U67" i="1" s="1"/>
  <c r="E68" i="13"/>
  <c r="AF67" i="1"/>
  <c r="AK67" i="1"/>
  <c r="F67" i="11"/>
  <c r="F68" i="13" l="1"/>
  <c r="T67" i="1"/>
  <c r="AI67" i="1" l="1"/>
  <c r="AJ67" i="1" s="1"/>
  <c r="M68" i="13" s="1"/>
  <c r="E67" i="31"/>
  <c r="G68" i="13"/>
  <c r="AN67" i="1"/>
  <c r="F68" i="1" l="1"/>
  <c r="G68" i="1"/>
  <c r="C66" i="11"/>
  <c r="B67" i="31"/>
  <c r="C67" i="31"/>
  <c r="AM67" i="1"/>
  <c r="N68" i="13" s="1"/>
  <c r="E68" i="1" l="1"/>
  <c r="D68" i="1" s="1"/>
  <c r="Q68" i="1" s="1"/>
  <c r="S68" i="1" s="1"/>
  <c r="D67" i="31"/>
  <c r="G66" i="11"/>
  <c r="H66" i="11" s="1"/>
  <c r="J68" i="13" s="1"/>
  <c r="K68" i="13"/>
  <c r="D66" i="11"/>
  <c r="A67" i="11" l="1"/>
  <c r="B67" i="11" s="1"/>
  <c r="H69" i="1"/>
  <c r="C68" i="1"/>
  <c r="AE68" i="1"/>
  <c r="B69" i="13"/>
  <c r="I69" i="1"/>
  <c r="C69" i="13"/>
  <c r="L68" i="1"/>
  <c r="F67" i="31"/>
  <c r="P68" i="13" s="1"/>
  <c r="O68" i="13"/>
  <c r="H67" i="31"/>
  <c r="Q68" i="13" s="1"/>
  <c r="H68" i="13"/>
  <c r="E66" i="11"/>
  <c r="I68" i="13" s="1"/>
  <c r="L69" i="13" l="1"/>
  <c r="E69" i="13"/>
  <c r="D69" i="13"/>
  <c r="AF68" i="1"/>
  <c r="F68" i="11"/>
  <c r="AK68" i="1"/>
  <c r="AH68" i="1"/>
  <c r="Y68" i="1"/>
  <c r="X68" i="1" s="1"/>
  <c r="W68" i="1" s="1"/>
  <c r="V68" i="1" s="1"/>
  <c r="U68" i="1" s="1"/>
  <c r="F69" i="13" s="1"/>
  <c r="T68" i="1" l="1"/>
  <c r="AI68" i="1" s="1"/>
  <c r="AJ68" i="1" s="1"/>
  <c r="M69" i="13" s="1"/>
  <c r="G69" i="13" l="1"/>
  <c r="F69" i="1"/>
  <c r="E68" i="31"/>
  <c r="G69" i="1"/>
  <c r="B68" i="31"/>
  <c r="C68" i="31"/>
  <c r="AM68" i="1"/>
  <c r="N69" i="13" s="1"/>
  <c r="AN68" i="1"/>
  <c r="D68" i="31" l="1"/>
  <c r="E69" i="1"/>
  <c r="D69" i="1" s="1"/>
  <c r="Q69" i="1" s="1"/>
  <c r="S69" i="1" s="1"/>
  <c r="C67" i="11"/>
  <c r="F68" i="31" l="1"/>
  <c r="P69" i="13" s="1"/>
  <c r="O69" i="13"/>
  <c r="H68" i="31"/>
  <c r="Q69" i="13" s="1"/>
  <c r="K69" i="13"/>
  <c r="G67" i="11"/>
  <c r="H67" i="11" s="1"/>
  <c r="J69" i="13" s="1"/>
  <c r="D67" i="11"/>
  <c r="B70" i="13"/>
  <c r="A68" i="11"/>
  <c r="C70" i="13"/>
  <c r="AE69" i="1"/>
  <c r="C69" i="1"/>
  <c r="L69" i="1"/>
  <c r="H70" i="1"/>
  <c r="I70" i="1"/>
  <c r="D70" i="13" l="1"/>
  <c r="AH69" i="1"/>
  <c r="AF69" i="1"/>
  <c r="E70" i="13"/>
  <c r="AK69" i="1"/>
  <c r="F69" i="11"/>
  <c r="B68" i="11"/>
  <c r="L70" i="13"/>
  <c r="Y69" i="1"/>
  <c r="X69" i="1" s="1"/>
  <c r="W69" i="1" s="1"/>
  <c r="V69" i="1" s="1"/>
  <c r="U69" i="1" s="1"/>
  <c r="H69" i="13"/>
  <c r="E67" i="11"/>
  <c r="I69" i="13" s="1"/>
  <c r="T69" i="1" l="1"/>
  <c r="F70" i="13"/>
  <c r="AI69" i="1" l="1"/>
  <c r="AJ69" i="1" s="1"/>
  <c r="M70" i="13" s="1"/>
  <c r="E69" i="31"/>
  <c r="G70" i="13"/>
  <c r="F70" i="1" l="1"/>
  <c r="G70" i="1"/>
  <c r="C69" i="31"/>
  <c r="B69" i="31"/>
  <c r="AM69" i="1"/>
  <c r="N70" i="13" s="1"/>
  <c r="AN69" i="1"/>
  <c r="D69" i="31" l="1"/>
  <c r="O70" i="13" s="1"/>
  <c r="E70" i="1"/>
  <c r="D70" i="1" s="1"/>
  <c r="Q70" i="1" s="1"/>
  <c r="S70" i="1" s="1"/>
  <c r="C68" i="11"/>
  <c r="C71" i="13" l="1"/>
  <c r="C70" i="1"/>
  <c r="A69" i="11"/>
  <c r="AE70" i="1"/>
  <c r="B71" i="13"/>
  <c r="H71" i="1"/>
  <c r="L70" i="1"/>
  <c r="I71" i="1"/>
  <c r="H69" i="31"/>
  <c r="Q70" i="13" s="1"/>
  <c r="F69" i="31"/>
  <c r="P70" i="13" s="1"/>
  <c r="G68" i="11"/>
  <c r="H68" i="11" s="1"/>
  <c r="J70" i="13" s="1"/>
  <c r="K70" i="13"/>
  <c r="D68" i="11"/>
  <c r="D71" i="13" l="1"/>
  <c r="AH70" i="1"/>
  <c r="H70" i="13"/>
  <c r="E68" i="11"/>
  <c r="I70" i="13" s="1"/>
  <c r="AF70" i="1"/>
  <c r="E71" i="13"/>
  <c r="AK70" i="1"/>
  <c r="F70" i="11"/>
  <c r="Y70" i="1"/>
  <c r="X70" i="1" s="1"/>
  <c r="W70" i="1" s="1"/>
  <c r="V70" i="1" s="1"/>
  <c r="U70" i="1" s="1"/>
  <c r="L71" i="13"/>
  <c r="B69" i="11"/>
  <c r="T70" i="1" l="1"/>
  <c r="F71" i="13"/>
  <c r="AI70" i="1" l="1"/>
  <c r="AJ70" i="1" s="1"/>
  <c r="M71" i="13" s="1"/>
  <c r="G71" i="13"/>
  <c r="E70" i="31"/>
  <c r="AN70" i="1"/>
  <c r="F71" i="1" l="1"/>
  <c r="G71" i="1"/>
  <c r="C69" i="11"/>
  <c r="B70" i="31"/>
  <c r="C70" i="31"/>
  <c r="AM70" i="1"/>
  <c r="N71" i="13" s="1"/>
  <c r="E71" i="1" l="1"/>
  <c r="D71" i="1" s="1"/>
  <c r="Q71" i="1" s="1"/>
  <c r="S71" i="1" s="1"/>
  <c r="D70" i="31"/>
  <c r="G69" i="11"/>
  <c r="H69" i="11" s="1"/>
  <c r="J71" i="13" s="1"/>
  <c r="K71" i="13"/>
  <c r="D69" i="11"/>
  <c r="AE71" i="1" l="1"/>
  <c r="L71" i="1"/>
  <c r="H72" i="1"/>
  <c r="A70" i="11"/>
  <c r="B70" i="11" s="1"/>
  <c r="C72" i="13"/>
  <c r="B72" i="13"/>
  <c r="C71" i="1"/>
  <c r="I72" i="1"/>
  <c r="F70" i="31"/>
  <c r="P71" i="13" s="1"/>
  <c r="O71" i="13"/>
  <c r="H70" i="31"/>
  <c r="Q71" i="13" s="1"/>
  <c r="H71" i="13"/>
  <c r="E69" i="11"/>
  <c r="I71" i="13" s="1"/>
  <c r="AF71" i="1" l="1"/>
  <c r="D72" i="13"/>
  <c r="L72" i="13"/>
  <c r="Y71" i="1"/>
  <c r="X71" i="1" s="1"/>
  <c r="W71" i="1" s="1"/>
  <c r="V71" i="1" s="1"/>
  <c r="U71" i="1" s="1"/>
  <c r="F72" i="13" s="1"/>
  <c r="AK71" i="1"/>
  <c r="F71" i="11"/>
  <c r="E72" i="13"/>
  <c r="AH71" i="1"/>
  <c r="T71" i="1" l="1"/>
  <c r="AI71" i="1" s="1"/>
  <c r="AJ71" i="1" s="1"/>
  <c r="M72" i="13" s="1"/>
  <c r="AN71" i="1"/>
  <c r="E71" i="31" l="1"/>
  <c r="F72" i="1"/>
  <c r="G72" i="13"/>
  <c r="G72" i="1"/>
  <c r="AM71" i="1"/>
  <c r="N72" i="13" s="1"/>
  <c r="B71" i="31"/>
  <c r="C71" i="31"/>
  <c r="C70" i="11"/>
  <c r="E72" i="1" l="1"/>
  <c r="D72" i="1" s="1"/>
  <c r="Q72" i="1" s="1"/>
  <c r="S72" i="1" s="1"/>
  <c r="D71" i="31"/>
  <c r="F71" i="31" s="1"/>
  <c r="P72" i="13" s="1"/>
  <c r="O72" i="13"/>
  <c r="G70" i="11"/>
  <c r="H70" i="11" s="1"/>
  <c r="J72" i="13" s="1"/>
  <c r="K72" i="13"/>
  <c r="D70" i="11"/>
  <c r="C73" i="13" l="1"/>
  <c r="H73" i="1"/>
  <c r="Y72" i="1" s="1"/>
  <c r="A71" i="11"/>
  <c r="B71" i="11" s="1"/>
  <c r="I73" i="1"/>
  <c r="AE72" i="1"/>
  <c r="B73" i="13"/>
  <c r="C72" i="1"/>
  <c r="L72" i="1"/>
  <c r="H71" i="31"/>
  <c r="Q72" i="13" s="1"/>
  <c r="E70" i="11"/>
  <c r="I72" i="13" s="1"/>
  <c r="H72" i="13"/>
  <c r="AH72" i="1" l="1"/>
  <c r="AK72" i="1"/>
  <c r="D73" i="13"/>
  <c r="L73" i="13"/>
  <c r="X72" i="1"/>
  <c r="W72" i="1" s="1"/>
  <c r="V72" i="1" s="1"/>
  <c r="U72" i="1" s="1"/>
  <c r="F73" i="13" s="1"/>
  <c r="AF72" i="1"/>
  <c r="F72" i="11"/>
  <c r="E73" i="13"/>
  <c r="T72" i="1" l="1"/>
  <c r="AI72" i="1" s="1"/>
  <c r="AJ72" i="1" s="1"/>
  <c r="M73" i="13" s="1"/>
  <c r="AN72" i="1"/>
  <c r="E72" i="31" l="1"/>
  <c r="G73" i="13"/>
  <c r="F73" i="1"/>
  <c r="G73" i="1"/>
  <c r="C71" i="11"/>
  <c r="B72" i="31"/>
  <c r="C72" i="31"/>
  <c r="AM72" i="1"/>
  <c r="N73" i="13" s="1"/>
  <c r="E73" i="1" l="1"/>
  <c r="D73" i="1" s="1"/>
  <c r="Q73" i="1" s="1"/>
  <c r="S73" i="1" s="1"/>
  <c r="D72" i="31"/>
  <c r="K73" i="13"/>
  <c r="G71" i="11"/>
  <c r="H71" i="11" s="1"/>
  <c r="J73" i="13" s="1"/>
  <c r="D71" i="11"/>
  <c r="C73" i="1" l="1"/>
  <c r="L73" i="1"/>
  <c r="AE73" i="1"/>
  <c r="I74" i="1"/>
  <c r="H74" i="1"/>
  <c r="C74" i="13"/>
  <c r="A72" i="11"/>
  <c r="L74" i="13" s="1"/>
  <c r="B74" i="13"/>
  <c r="H72" i="31"/>
  <c r="Q73" i="13" s="1"/>
  <c r="O73" i="13"/>
  <c r="F72" i="31"/>
  <c r="P73" i="13" s="1"/>
  <c r="E71" i="11"/>
  <c r="I73" i="13" s="1"/>
  <c r="H73" i="13"/>
  <c r="D74" i="13" l="1"/>
  <c r="F73" i="11"/>
  <c r="Y73" i="1"/>
  <c r="X73" i="1" s="1"/>
  <c r="W73" i="1" s="1"/>
  <c r="V73" i="1" s="1"/>
  <c r="U73" i="1" s="1"/>
  <c r="F74" i="13" s="1"/>
  <c r="AH73" i="1"/>
  <c r="AK73" i="1"/>
  <c r="AF73" i="1"/>
  <c r="E74" i="13"/>
  <c r="B72" i="11"/>
  <c r="T73" i="1" l="1"/>
  <c r="AI73" i="1" s="1"/>
  <c r="AJ73" i="1" s="1"/>
  <c r="M74" i="13" s="1"/>
  <c r="AN73" i="1"/>
  <c r="G74" i="13" l="1"/>
  <c r="E73" i="31"/>
  <c r="G74" i="1"/>
  <c r="AM73" i="1"/>
  <c r="N74" i="13" s="1"/>
  <c r="F74" i="1"/>
  <c r="C73" i="31"/>
  <c r="B73" i="31"/>
  <c r="C72" i="11"/>
  <c r="D73" i="31" l="1"/>
  <c r="F73" i="31" s="1"/>
  <c r="P74" i="13" s="1"/>
  <c r="E74" i="1"/>
  <c r="D74" i="1" s="1"/>
  <c r="Q74" i="1" s="1"/>
  <c r="S74" i="1" s="1"/>
  <c r="O74" i="13"/>
  <c r="K74" i="13"/>
  <c r="G72" i="11"/>
  <c r="H72" i="11" s="1"/>
  <c r="J74" i="13" s="1"/>
  <c r="D72" i="11"/>
  <c r="C74" i="1" l="1"/>
  <c r="H75" i="1"/>
  <c r="H73" i="31"/>
  <c r="Q74" i="13" s="1"/>
  <c r="AE74" i="1"/>
  <c r="L74" i="1"/>
  <c r="A73" i="11"/>
  <c r="B73" i="11" s="1"/>
  <c r="I75" i="1"/>
  <c r="B75" i="13"/>
  <c r="C75" i="13"/>
  <c r="H74" i="13"/>
  <c r="E72" i="11"/>
  <c r="I74" i="13" s="1"/>
  <c r="D75" i="13" l="1"/>
  <c r="E75" i="13"/>
  <c r="L75" i="13"/>
  <c r="AH74" i="1"/>
  <c r="AK74" i="1"/>
  <c r="F74" i="11"/>
  <c r="AF74" i="1"/>
  <c r="Y74" i="1"/>
  <c r="X74" i="1" s="1"/>
  <c r="W74" i="1" s="1"/>
  <c r="V74" i="1" s="1"/>
  <c r="U74" i="1" s="1"/>
  <c r="T74" i="1" s="1"/>
  <c r="F75" i="13" l="1"/>
  <c r="AI74" i="1"/>
  <c r="AJ74" i="1" s="1"/>
  <c r="M75" i="13" s="1"/>
  <c r="E74" i="31"/>
  <c r="G75" i="13"/>
  <c r="AN74" i="1"/>
  <c r="F75" i="1" l="1"/>
  <c r="G75" i="1"/>
  <c r="C73" i="11"/>
  <c r="B74" i="31"/>
  <c r="C74" i="31"/>
  <c r="AM74" i="1"/>
  <c r="N75" i="13" s="1"/>
  <c r="E75" i="1" l="1"/>
  <c r="D75" i="1" s="1"/>
  <c r="Q75" i="1" s="1"/>
  <c r="S75" i="1" s="1"/>
  <c r="D74" i="31"/>
  <c r="K75" i="13"/>
  <c r="G73" i="11"/>
  <c r="H73" i="11" s="1"/>
  <c r="J75" i="13" s="1"/>
  <c r="D73" i="11"/>
  <c r="A74" i="11" l="1"/>
  <c r="L76" i="13" s="1"/>
  <c r="L75" i="1"/>
  <c r="C75" i="1"/>
  <c r="I76" i="1"/>
  <c r="C76" i="13"/>
  <c r="AE75" i="1"/>
  <c r="B76" i="13"/>
  <c r="H76" i="1"/>
  <c r="AH75" i="1" s="1"/>
  <c r="H74" i="31"/>
  <c r="Q75" i="13" s="1"/>
  <c r="O75" i="13"/>
  <c r="F74" i="31"/>
  <c r="P75" i="13" s="1"/>
  <c r="E73" i="11"/>
  <c r="I75" i="13" s="1"/>
  <c r="H75" i="13"/>
  <c r="B74" i="11" l="1"/>
  <c r="AK75" i="1"/>
  <c r="D76" i="13"/>
  <c r="E76" i="13"/>
  <c r="F75" i="11"/>
  <c r="AF75" i="1"/>
  <c r="Y75" i="1"/>
  <c r="X75" i="1" s="1"/>
  <c r="W75" i="1" s="1"/>
  <c r="V75" i="1" s="1"/>
  <c r="U75" i="1" s="1"/>
  <c r="T75" i="1" s="1"/>
  <c r="F76" i="13" l="1"/>
  <c r="AI75" i="1"/>
  <c r="AJ75" i="1" s="1"/>
  <c r="M76" i="13" s="1"/>
  <c r="E75" i="31"/>
  <c r="G76" i="13"/>
  <c r="AN75" i="1"/>
  <c r="G76" i="1" l="1"/>
  <c r="F76" i="1"/>
  <c r="C74" i="11"/>
  <c r="B75" i="31"/>
  <c r="C75" i="31"/>
  <c r="AM75" i="1"/>
  <c r="N76" i="13" s="1"/>
  <c r="E76" i="1" l="1"/>
  <c r="D76" i="1" s="1"/>
  <c r="Q76" i="1" s="1"/>
  <c r="S76" i="1" s="1"/>
  <c r="D75" i="31"/>
  <c r="K76" i="13"/>
  <c r="G74" i="11"/>
  <c r="H74" i="11" s="1"/>
  <c r="J76" i="13" s="1"/>
  <c r="D74" i="11"/>
  <c r="C76" i="1" l="1"/>
  <c r="L76" i="1"/>
  <c r="B77" i="13"/>
  <c r="H77" i="1"/>
  <c r="C77" i="13"/>
  <c r="I77" i="1"/>
  <c r="AE76" i="1"/>
  <c r="A75" i="11"/>
  <c r="B75" i="11" s="1"/>
  <c r="F75" i="31"/>
  <c r="P76" i="13" s="1"/>
  <c r="O76" i="13"/>
  <c r="H75" i="31"/>
  <c r="Q76" i="13" s="1"/>
  <c r="H76" i="13"/>
  <c r="E74" i="11"/>
  <c r="I76" i="13" s="1"/>
  <c r="D77" i="13" l="1"/>
  <c r="E77" i="13"/>
  <c r="Y76" i="1"/>
  <c r="X76" i="1" s="1"/>
  <c r="W76" i="1" s="1"/>
  <c r="V76" i="1" s="1"/>
  <c r="U76" i="1" s="1"/>
  <c r="T76" i="1" s="1"/>
  <c r="AH76" i="1"/>
  <c r="L77" i="13"/>
  <c r="AK76" i="1"/>
  <c r="F76" i="11"/>
  <c r="AF76" i="1"/>
  <c r="F77" i="13" l="1"/>
  <c r="AI76" i="1"/>
  <c r="AJ76" i="1" s="1"/>
  <c r="M77" i="13" s="1"/>
  <c r="G77" i="13"/>
  <c r="E76" i="31"/>
  <c r="AN76" i="1"/>
  <c r="F77" i="1" l="1"/>
  <c r="G77" i="1"/>
  <c r="C75" i="11"/>
  <c r="C76" i="31"/>
  <c r="B76" i="31"/>
  <c r="AM76" i="1"/>
  <c r="N77" i="13" s="1"/>
  <c r="E77" i="1" l="1"/>
  <c r="D77" i="1" s="1"/>
  <c r="Q77" i="1" s="1"/>
  <c r="S77" i="1" s="1"/>
  <c r="D76" i="31"/>
  <c r="O77" i="13" s="1"/>
  <c r="K77" i="13"/>
  <c r="G75" i="11"/>
  <c r="H75" i="11" s="1"/>
  <c r="J77" i="13" s="1"/>
  <c r="D75" i="11"/>
  <c r="AE77" i="1" l="1"/>
  <c r="L77" i="1"/>
  <c r="H78" i="1"/>
  <c r="A76" i="11"/>
  <c r="B76" i="11" s="1"/>
  <c r="I78" i="1"/>
  <c r="C78" i="13"/>
  <c r="C77" i="1"/>
  <c r="B78" i="13"/>
  <c r="H77" i="13"/>
  <c r="E75" i="11"/>
  <c r="I77" i="13" s="1"/>
  <c r="H76" i="31"/>
  <c r="Q77" i="13" s="1"/>
  <c r="F76" i="31"/>
  <c r="P77" i="13" s="1"/>
  <c r="AK77" i="1" l="1"/>
  <c r="D78" i="13"/>
  <c r="E78" i="13"/>
  <c r="F77" i="11"/>
  <c r="AF77" i="1"/>
  <c r="L78" i="13"/>
  <c r="AH77" i="1"/>
  <c r="Y77" i="1"/>
  <c r="X77" i="1" s="1"/>
  <c r="W77" i="1" s="1"/>
  <c r="V77" i="1" s="1"/>
  <c r="U77" i="1" s="1"/>
  <c r="T77" i="1" s="1"/>
  <c r="F78" i="13" l="1"/>
  <c r="G78" i="13"/>
  <c r="E77" i="31"/>
  <c r="AN77" i="1"/>
  <c r="AI77" i="1"/>
  <c r="AJ77" i="1" s="1"/>
  <c r="M78" i="13" s="1"/>
  <c r="F78" i="1" l="1"/>
  <c r="G78" i="1"/>
  <c r="C76" i="11"/>
  <c r="B77" i="31"/>
  <c r="C77" i="31"/>
  <c r="AM77" i="1"/>
  <c r="N78" i="13" s="1"/>
  <c r="E78" i="1" l="1"/>
  <c r="D78" i="1" s="1"/>
  <c r="Q78" i="1" s="1"/>
  <c r="S78" i="1" s="1"/>
  <c r="D77" i="31"/>
  <c r="G76" i="11"/>
  <c r="H76" i="11" s="1"/>
  <c r="J78" i="13" s="1"/>
  <c r="K78" i="13"/>
  <c r="D76" i="11"/>
  <c r="AE78" i="1" l="1"/>
  <c r="H79" i="1"/>
  <c r="A77" i="11"/>
  <c r="B77" i="11" s="1"/>
  <c r="I79" i="1"/>
  <c r="C79" i="13"/>
  <c r="L78" i="1"/>
  <c r="B79" i="13"/>
  <c r="C78" i="1"/>
  <c r="H77" i="31"/>
  <c r="Q78" i="13" s="1"/>
  <c r="O78" i="13"/>
  <c r="F77" i="31"/>
  <c r="P78" i="13" s="1"/>
  <c r="H78" i="13"/>
  <c r="E76" i="11"/>
  <c r="I78" i="13" s="1"/>
  <c r="E79" i="13" l="1"/>
  <c r="D79" i="13"/>
  <c r="Y78" i="1"/>
  <c r="X78" i="1" s="1"/>
  <c r="W78" i="1" s="1"/>
  <c r="V78" i="1" s="1"/>
  <c r="U78" i="1" s="1"/>
  <c r="F79" i="13" s="1"/>
  <c r="L79" i="13"/>
  <c r="AH78" i="1"/>
  <c r="AF78" i="1"/>
  <c r="F78" i="11"/>
  <c r="AK78" i="1"/>
  <c r="T78" i="1" l="1"/>
  <c r="AI78" i="1" s="1"/>
  <c r="AJ78" i="1" s="1"/>
  <c r="M79" i="13" s="1"/>
  <c r="G79" i="13" l="1"/>
  <c r="E78" i="31"/>
  <c r="F79" i="1"/>
  <c r="G79" i="1"/>
  <c r="B78" i="31"/>
  <c r="C78" i="31"/>
  <c r="AM78" i="1"/>
  <c r="N79" i="13" s="1"/>
  <c r="AN78" i="1"/>
  <c r="C77" i="11" l="1"/>
  <c r="E79" i="1"/>
  <c r="D79" i="1" s="1"/>
  <c r="Q79" i="1" s="1"/>
  <c r="S79" i="1" s="1"/>
  <c r="D78" i="31"/>
  <c r="O79" i="13" s="1"/>
  <c r="G77" i="11" l="1"/>
  <c r="H77" i="11" s="1"/>
  <c r="J79" i="13" s="1"/>
  <c r="K79" i="13"/>
  <c r="D77" i="11"/>
  <c r="H78" i="31"/>
  <c r="Q79" i="13" s="1"/>
  <c r="F78" i="31"/>
  <c r="P79" i="13" s="1"/>
  <c r="C80" i="13"/>
  <c r="C79" i="1"/>
  <c r="AE79" i="1"/>
  <c r="A78" i="11"/>
  <c r="B80" i="13"/>
  <c r="L79" i="1"/>
  <c r="H80" i="1"/>
  <c r="I80" i="1"/>
  <c r="D80" i="13" l="1"/>
  <c r="AH79" i="1"/>
  <c r="H79" i="13"/>
  <c r="E77" i="11"/>
  <c r="I79" i="13" s="1"/>
  <c r="E80" i="13"/>
  <c r="AF79" i="1"/>
  <c r="F79" i="11"/>
  <c r="AK79" i="1"/>
  <c r="Y79" i="1"/>
  <c r="X79" i="1" s="1"/>
  <c r="W79" i="1" s="1"/>
  <c r="V79" i="1" s="1"/>
  <c r="U79" i="1" s="1"/>
  <c r="B78" i="11"/>
  <c r="L80" i="13"/>
  <c r="T79" i="1" l="1"/>
  <c r="F80" i="13"/>
  <c r="AI79" i="1" l="1"/>
  <c r="AJ79" i="1" s="1"/>
  <c r="M80" i="13" s="1"/>
  <c r="E79" i="31"/>
  <c r="G80" i="13"/>
  <c r="F80" i="1" l="1"/>
  <c r="G80" i="1"/>
  <c r="AN79" i="1"/>
  <c r="C79" i="31"/>
  <c r="B79" i="31"/>
  <c r="AM79" i="1"/>
  <c r="N80" i="13" s="1"/>
  <c r="C78" i="11" l="1"/>
  <c r="E80" i="1"/>
  <c r="D80" i="1" s="1"/>
  <c r="Q80" i="1" s="1"/>
  <c r="S80" i="1" s="1"/>
  <c r="D79" i="31"/>
  <c r="O80" i="13" s="1"/>
  <c r="K80" i="13" l="1"/>
  <c r="G78" i="11"/>
  <c r="H78" i="11" s="1"/>
  <c r="J80" i="13" s="1"/>
  <c r="D78" i="11"/>
  <c r="H79" i="31"/>
  <c r="Q80" i="13" s="1"/>
  <c r="F79" i="31"/>
  <c r="P80" i="13" s="1"/>
  <c r="A79" i="11"/>
  <c r="C81" i="13"/>
  <c r="C80" i="1"/>
  <c r="AE80" i="1"/>
  <c r="B81" i="13"/>
  <c r="H81" i="1"/>
  <c r="L80" i="1"/>
  <c r="I81" i="1"/>
  <c r="D81" i="13" l="1"/>
  <c r="AH80" i="1"/>
  <c r="H80" i="13"/>
  <c r="E78" i="11"/>
  <c r="I80" i="13" s="1"/>
  <c r="Y80" i="1"/>
  <c r="X80" i="1" s="1"/>
  <c r="W80" i="1" s="1"/>
  <c r="V80" i="1" s="1"/>
  <c r="U80" i="1" s="1"/>
  <c r="B79" i="11"/>
  <c r="L81" i="13"/>
  <c r="E81" i="13"/>
  <c r="AF80" i="1"/>
  <c r="F80" i="11"/>
  <c r="AK80" i="1"/>
  <c r="F81" i="13" l="1"/>
  <c r="T80" i="1"/>
  <c r="E80" i="31" l="1"/>
  <c r="G81" i="13"/>
  <c r="AN80" i="1"/>
  <c r="AI80" i="1"/>
  <c r="AJ80" i="1" s="1"/>
  <c r="M81" i="13" s="1"/>
  <c r="G81" i="1" l="1"/>
  <c r="F81" i="1"/>
  <c r="B80" i="31"/>
  <c r="C80" i="31"/>
  <c r="AM80" i="1"/>
  <c r="N81" i="13" s="1"/>
  <c r="C79" i="11"/>
  <c r="E81" i="1" l="1"/>
  <c r="D81" i="1" s="1"/>
  <c r="Q81" i="1" s="1"/>
  <c r="S81" i="1" s="1"/>
  <c r="K81" i="13"/>
  <c r="G79" i="11"/>
  <c r="H79" i="11" s="1"/>
  <c r="J81" i="13" s="1"/>
  <c r="D79" i="11"/>
  <c r="D80" i="31"/>
  <c r="O81" i="13" s="1"/>
  <c r="C82" i="13" l="1"/>
  <c r="L81" i="1"/>
  <c r="H82" i="1"/>
  <c r="B82" i="13"/>
  <c r="I82" i="1"/>
  <c r="A80" i="11"/>
  <c r="L82" i="13" s="1"/>
  <c r="C81" i="1"/>
  <c r="AE81" i="1"/>
  <c r="H81" i="13"/>
  <c r="E79" i="11"/>
  <c r="I81" i="13" s="1"/>
  <c r="F80" i="31"/>
  <c r="P81" i="13" s="1"/>
  <c r="H80" i="31"/>
  <c r="Q81" i="13" s="1"/>
  <c r="AF81" i="1" l="1"/>
  <c r="D82" i="13"/>
  <c r="Y81" i="1"/>
  <c r="X81" i="1" s="1"/>
  <c r="W81" i="1" s="1"/>
  <c r="V81" i="1" s="1"/>
  <c r="U81" i="1" s="1"/>
  <c r="T81" i="1" s="1"/>
  <c r="F81" i="11"/>
  <c r="B80" i="11"/>
  <c r="E82" i="13"/>
  <c r="AK81" i="1"/>
  <c r="AH81" i="1"/>
  <c r="F82" i="13" l="1"/>
  <c r="AI81" i="1"/>
  <c r="AJ81" i="1" s="1"/>
  <c r="M82" i="13" s="1"/>
  <c r="E81" i="31"/>
  <c r="G82" i="13"/>
  <c r="G82" i="1" l="1"/>
  <c r="F82" i="1"/>
  <c r="AN81" i="1"/>
  <c r="C81" i="31"/>
  <c r="B81" i="31"/>
  <c r="AM81" i="1"/>
  <c r="N82" i="13" s="1"/>
  <c r="C80" i="11" l="1"/>
  <c r="E82" i="1"/>
  <c r="D82" i="1" s="1"/>
  <c r="Q82" i="1" s="1"/>
  <c r="S82" i="1" s="1"/>
  <c r="D81" i="31"/>
  <c r="O82" i="13" s="1"/>
  <c r="H81" i="31" l="1"/>
  <c r="Q82" i="13" s="1"/>
  <c r="F81" i="31"/>
  <c r="P82" i="13" s="1"/>
  <c r="K82" i="13"/>
  <c r="G80" i="11"/>
  <c r="H80" i="11" s="1"/>
  <c r="J82" i="13" s="1"/>
  <c r="D80" i="11"/>
  <c r="C82" i="1"/>
  <c r="C83" i="13"/>
  <c r="A81" i="11"/>
  <c r="B83" i="13"/>
  <c r="AE82" i="1"/>
  <c r="H83" i="1"/>
  <c r="I83" i="1"/>
  <c r="L82" i="1"/>
  <c r="D83" i="13" l="1"/>
  <c r="AH82" i="1"/>
  <c r="Y82" i="1"/>
  <c r="X82" i="1" s="1"/>
  <c r="W82" i="1" s="1"/>
  <c r="V82" i="1" s="1"/>
  <c r="U82" i="1" s="1"/>
  <c r="L83" i="13"/>
  <c r="B81" i="11"/>
  <c r="E83" i="13"/>
  <c r="AF82" i="1"/>
  <c r="AK82" i="1"/>
  <c r="F82" i="11"/>
  <c r="E80" i="11"/>
  <c r="I82" i="13" s="1"/>
  <c r="H82" i="13"/>
  <c r="T82" i="1" l="1"/>
  <c r="F83" i="13"/>
  <c r="AI82" i="1" l="1"/>
  <c r="AJ82" i="1" s="1"/>
  <c r="M83" i="13" s="1"/>
  <c r="E82" i="31"/>
  <c r="G83" i="13"/>
  <c r="AN82" i="1"/>
  <c r="F83" i="1" l="1"/>
  <c r="G83" i="1"/>
  <c r="C81" i="11"/>
  <c r="C82" i="31"/>
  <c r="B82" i="31"/>
  <c r="AM82" i="1"/>
  <c r="N83" i="13" s="1"/>
  <c r="E83" i="1" l="1"/>
  <c r="D83" i="1" s="1"/>
  <c r="Q83" i="1" s="1"/>
  <c r="S83" i="1" s="1"/>
  <c r="D82" i="31"/>
  <c r="O83" i="13" s="1"/>
  <c r="K83" i="13"/>
  <c r="G81" i="11"/>
  <c r="H81" i="11" s="1"/>
  <c r="J83" i="13" s="1"/>
  <c r="D81" i="11"/>
  <c r="B84" i="13" l="1"/>
  <c r="I84" i="1"/>
  <c r="AE83" i="1"/>
  <c r="L83" i="1"/>
  <c r="C83" i="1"/>
  <c r="A82" i="11"/>
  <c r="L84" i="13" s="1"/>
  <c r="C84" i="13"/>
  <c r="H84" i="1"/>
  <c r="H82" i="31"/>
  <c r="Q83" i="13" s="1"/>
  <c r="F82" i="31"/>
  <c r="P83" i="13" s="1"/>
  <c r="E81" i="11"/>
  <c r="I83" i="13" s="1"/>
  <c r="H83" i="13"/>
  <c r="F83" i="11" l="1"/>
  <c r="D84" i="13"/>
  <c r="Y83" i="1"/>
  <c r="X83" i="1" s="1"/>
  <c r="W83" i="1" s="1"/>
  <c r="V83" i="1" s="1"/>
  <c r="U83" i="1" s="1"/>
  <c r="T83" i="1" s="1"/>
  <c r="AH83" i="1"/>
  <c r="B82" i="11"/>
  <c r="E84" i="13"/>
  <c r="AK83" i="1"/>
  <c r="AF83" i="1"/>
  <c r="F84" i="13" l="1"/>
  <c r="AI83" i="1"/>
  <c r="AJ83" i="1" s="1"/>
  <c r="M84" i="13" s="1"/>
  <c r="E83" i="31"/>
  <c r="G84" i="13"/>
  <c r="AN83" i="1"/>
  <c r="G84" i="1" l="1"/>
  <c r="F84" i="1"/>
  <c r="C82" i="11"/>
  <c r="B83" i="31"/>
  <c r="C83" i="31"/>
  <c r="AM83" i="1"/>
  <c r="N84" i="13" s="1"/>
  <c r="E84" i="1" l="1"/>
  <c r="D84" i="1" s="1"/>
  <c r="Q84" i="1" s="1"/>
  <c r="S84" i="1" s="1"/>
  <c r="D83" i="31"/>
  <c r="K84" i="13"/>
  <c r="G82" i="11"/>
  <c r="H82" i="11" s="1"/>
  <c r="J84" i="13" s="1"/>
  <c r="D82" i="11"/>
  <c r="C85" i="13" l="1"/>
  <c r="L84" i="1"/>
  <c r="A83" i="11"/>
  <c r="B83" i="11" s="1"/>
  <c r="AE84" i="1"/>
  <c r="I85" i="1"/>
  <c r="C84" i="1"/>
  <c r="H85" i="1"/>
  <c r="Y84" i="1" s="1"/>
  <c r="B85" i="13"/>
  <c r="H83" i="31"/>
  <c r="Q84" i="13" s="1"/>
  <c r="O84" i="13"/>
  <c r="F83" i="31"/>
  <c r="P84" i="13" s="1"/>
  <c r="E82" i="11"/>
  <c r="I84" i="13" s="1"/>
  <c r="H84" i="13"/>
  <c r="F84" i="11" l="1"/>
  <c r="D85" i="13"/>
  <c r="AF84" i="1"/>
  <c r="L85" i="13"/>
  <c r="AH84" i="1"/>
  <c r="E85" i="13"/>
  <c r="X84" i="1"/>
  <c r="W84" i="1" s="1"/>
  <c r="V84" i="1" s="1"/>
  <c r="U84" i="1" s="1"/>
  <c r="F85" i="13" s="1"/>
  <c r="AK84" i="1"/>
  <c r="T84" i="1" l="1"/>
  <c r="AI84" i="1" s="1"/>
  <c r="AJ84" i="1" s="1"/>
  <c r="M85" i="13" s="1"/>
  <c r="AN84" i="1"/>
  <c r="G85" i="13" l="1"/>
  <c r="G85" i="1"/>
  <c r="E84" i="31"/>
  <c r="F85" i="1"/>
  <c r="E85" i="1" s="1"/>
  <c r="D85" i="1" s="1"/>
  <c r="Q85" i="1" s="1"/>
  <c r="S85" i="1" s="1"/>
  <c r="C83" i="11"/>
  <c r="B84" i="31"/>
  <c r="C84" i="31"/>
  <c r="AM84" i="1"/>
  <c r="N85" i="13" s="1"/>
  <c r="D84" i="31" l="1"/>
  <c r="C85" i="1"/>
  <c r="B86" i="13"/>
  <c r="AE85" i="1"/>
  <c r="A84" i="11"/>
  <c r="C86" i="13"/>
  <c r="H86" i="1"/>
  <c r="L85" i="1"/>
  <c r="I86" i="1"/>
  <c r="G83" i="11"/>
  <c r="H83" i="11" s="1"/>
  <c r="J85" i="13" s="1"/>
  <c r="K85" i="13"/>
  <c r="D83" i="11"/>
  <c r="D86" i="13" l="1"/>
  <c r="F84" i="31"/>
  <c r="P85" i="13" s="1"/>
  <c r="O85" i="13"/>
  <c r="H84" i="31"/>
  <c r="Q85" i="13" s="1"/>
  <c r="E86" i="13"/>
  <c r="AF85" i="1"/>
  <c r="F85" i="11"/>
  <c r="AK85" i="1"/>
  <c r="Y85" i="1"/>
  <c r="X85" i="1" s="1"/>
  <c r="W85" i="1" s="1"/>
  <c r="V85" i="1" s="1"/>
  <c r="U85" i="1" s="1"/>
  <c r="AH85" i="1"/>
  <c r="B84" i="11"/>
  <c r="L86" i="13"/>
  <c r="H85" i="13"/>
  <c r="E83" i="11"/>
  <c r="I85" i="13" s="1"/>
  <c r="T85" i="1" l="1"/>
  <c r="F86" i="13"/>
  <c r="AI85" i="1" l="1"/>
  <c r="AJ85" i="1" s="1"/>
  <c r="M86" i="13" s="1"/>
  <c r="G86" i="13"/>
  <c r="E85" i="31"/>
  <c r="AN85" i="1"/>
  <c r="F86" i="1" l="1"/>
  <c r="G86" i="1"/>
  <c r="C84" i="11"/>
  <c r="B85" i="31"/>
  <c r="C85" i="31"/>
  <c r="AM85" i="1"/>
  <c r="N86" i="13" s="1"/>
  <c r="E86" i="1" l="1"/>
  <c r="D86" i="1" s="1"/>
  <c r="Q86" i="1" s="1"/>
  <c r="S86" i="1" s="1"/>
  <c r="D85" i="31"/>
  <c r="K86" i="13"/>
  <c r="G84" i="11"/>
  <c r="H84" i="11" s="1"/>
  <c r="J86" i="13" s="1"/>
  <c r="D84" i="11"/>
  <c r="A85" i="11" l="1"/>
  <c r="B85" i="11" s="1"/>
  <c r="L86" i="1"/>
  <c r="AE86" i="1"/>
  <c r="I87" i="1"/>
  <c r="C86" i="1"/>
  <c r="C87" i="13"/>
  <c r="H87" i="1"/>
  <c r="Y86" i="1" s="1"/>
  <c r="B87" i="13"/>
  <c r="H85" i="31"/>
  <c r="Q86" i="13" s="1"/>
  <c r="O86" i="13"/>
  <c r="F85" i="31"/>
  <c r="P86" i="13" s="1"/>
  <c r="E84" i="11"/>
  <c r="I86" i="13" s="1"/>
  <c r="H86" i="13"/>
  <c r="L87" i="13" l="1"/>
  <c r="AF86" i="1"/>
  <c r="D87" i="13"/>
  <c r="AH86" i="1"/>
  <c r="AK86" i="1"/>
  <c r="E87" i="13"/>
  <c r="F86" i="11"/>
  <c r="X86" i="1"/>
  <c r="W86" i="1" s="1"/>
  <c r="V86" i="1" s="1"/>
  <c r="U86" i="1" s="1"/>
  <c r="F87" i="13" s="1"/>
  <c r="T86" i="1" l="1"/>
  <c r="AI86" i="1" s="1"/>
  <c r="AJ86" i="1" s="1"/>
  <c r="M87" i="13" s="1"/>
  <c r="AN86" i="1"/>
  <c r="E86" i="31" l="1"/>
  <c r="G87" i="13"/>
  <c r="F87" i="1"/>
  <c r="G87" i="1"/>
  <c r="C85" i="11"/>
  <c r="B86" i="31"/>
  <c r="C86" i="31"/>
  <c r="AM86" i="1"/>
  <c r="N87" i="13" s="1"/>
  <c r="E87" i="1" l="1"/>
  <c r="D87" i="1" s="1"/>
  <c r="Q87" i="1" s="1"/>
  <c r="S87" i="1" s="1"/>
  <c r="D86" i="31"/>
  <c r="K87" i="13"/>
  <c r="G85" i="11"/>
  <c r="H85" i="11" s="1"/>
  <c r="J87" i="13" s="1"/>
  <c r="D85" i="11"/>
  <c r="B88" i="13" l="1"/>
  <c r="H88" i="1"/>
  <c r="AE87" i="1"/>
  <c r="L87" i="1"/>
  <c r="C87" i="1"/>
  <c r="I88" i="1"/>
  <c r="A86" i="11"/>
  <c r="L88" i="13" s="1"/>
  <c r="C88" i="13"/>
  <c r="F86" i="31"/>
  <c r="P87" i="13" s="1"/>
  <c r="O87" i="13"/>
  <c r="H86" i="31"/>
  <c r="Q87" i="13" s="1"/>
  <c r="H87" i="13"/>
  <c r="E85" i="11"/>
  <c r="I87" i="13" s="1"/>
  <c r="AH87" i="1" l="1"/>
  <c r="AF87" i="1"/>
  <c r="D88" i="13"/>
  <c r="B86" i="11"/>
  <c r="Y87" i="1"/>
  <c r="X87" i="1" s="1"/>
  <c r="W87" i="1" s="1"/>
  <c r="V87" i="1" s="1"/>
  <c r="U87" i="1" s="1"/>
  <c r="F88" i="13" s="1"/>
  <c r="F87" i="11"/>
  <c r="E88" i="13"/>
  <c r="AK87" i="1"/>
  <c r="T87" i="1" l="1"/>
  <c r="G88" i="13" s="1"/>
  <c r="AN87" i="1"/>
  <c r="E87" i="31" l="1"/>
  <c r="AI87" i="1"/>
  <c r="AJ87" i="1" s="1"/>
  <c r="M88" i="13" s="1"/>
  <c r="F88" i="1"/>
  <c r="G88" i="1"/>
  <c r="C86" i="11"/>
  <c r="C87" i="31" l="1"/>
  <c r="B87" i="31"/>
  <c r="AM87" i="1"/>
  <c r="N88" i="13" s="1"/>
  <c r="E88" i="1"/>
  <c r="D88" i="1" s="1"/>
  <c r="Q88" i="1" s="1"/>
  <c r="S88" i="1" s="1"/>
  <c r="K88" i="13"/>
  <c r="G86" i="11"/>
  <c r="H86" i="11" s="1"/>
  <c r="J88" i="13" s="1"/>
  <c r="D86" i="11"/>
  <c r="C89" i="13" l="1"/>
  <c r="D87" i="31"/>
  <c r="F87" i="31" s="1"/>
  <c r="P88" i="13" s="1"/>
  <c r="H89" i="1"/>
  <c r="C88" i="1"/>
  <c r="I89" i="1"/>
  <c r="B89" i="13"/>
  <c r="A87" i="11"/>
  <c r="L89" i="13" s="1"/>
  <c r="AE88" i="1"/>
  <c r="L88" i="1"/>
  <c r="O88" i="13"/>
  <c r="E86" i="11"/>
  <c r="I88" i="13" s="1"/>
  <c r="H88" i="13"/>
  <c r="E89" i="13" l="1"/>
  <c r="D89" i="13"/>
  <c r="H87" i="31"/>
  <c r="Q88" i="13" s="1"/>
  <c r="Y88" i="1"/>
  <c r="X88" i="1" s="1"/>
  <c r="W88" i="1" s="1"/>
  <c r="V88" i="1" s="1"/>
  <c r="U88" i="1" s="1"/>
  <c r="T88" i="1" s="1"/>
  <c r="B87" i="11"/>
  <c r="AK88" i="1"/>
  <c r="AH88" i="1"/>
  <c r="F88" i="11"/>
  <c r="AF88" i="1"/>
  <c r="F89" i="13" l="1"/>
  <c r="AI88" i="1"/>
  <c r="AJ88" i="1" s="1"/>
  <c r="M89" i="13" s="1"/>
  <c r="E88" i="31"/>
  <c r="G89" i="13"/>
  <c r="AN88" i="1"/>
  <c r="F89" i="1" l="1"/>
  <c r="G89" i="1"/>
  <c r="C87" i="11"/>
  <c r="C88" i="31"/>
  <c r="B88" i="31"/>
  <c r="AM88" i="1"/>
  <c r="N89" i="13" s="1"/>
  <c r="E89" i="1" l="1"/>
  <c r="D89" i="1" s="1"/>
  <c r="Q89" i="1" s="1"/>
  <c r="S89" i="1" s="1"/>
  <c r="D88" i="31"/>
  <c r="O89" i="13" s="1"/>
  <c r="K89" i="13"/>
  <c r="G87" i="11"/>
  <c r="H87" i="11" s="1"/>
  <c r="J89" i="13" s="1"/>
  <c r="D87" i="11"/>
  <c r="B90" i="13" l="1"/>
  <c r="I90" i="1"/>
  <c r="AE89" i="1"/>
  <c r="H90" i="1"/>
  <c r="A88" i="11"/>
  <c r="L90" i="13" s="1"/>
  <c r="C89" i="1"/>
  <c r="C90" i="13"/>
  <c r="L89" i="1"/>
  <c r="E87" i="11"/>
  <c r="I89" i="13" s="1"/>
  <c r="H89" i="13"/>
  <c r="F88" i="31"/>
  <c r="P89" i="13" s="1"/>
  <c r="H88" i="31"/>
  <c r="Q89" i="13" s="1"/>
  <c r="AF89" i="1" l="1"/>
  <c r="D90" i="13"/>
  <c r="B88" i="11"/>
  <c r="Y89" i="1"/>
  <c r="X89" i="1" s="1"/>
  <c r="W89" i="1" s="1"/>
  <c r="V89" i="1" s="1"/>
  <c r="U89" i="1" s="1"/>
  <c r="F90" i="13" s="1"/>
  <c r="AH89" i="1"/>
  <c r="F89" i="11"/>
  <c r="AK89" i="1"/>
  <c r="E90" i="13"/>
  <c r="T89" i="1" l="1"/>
  <c r="AI89" i="1" s="1"/>
  <c r="AJ89" i="1" s="1"/>
  <c r="M90" i="13" s="1"/>
  <c r="AN89" i="1"/>
  <c r="E89" i="31" l="1"/>
  <c r="G90" i="13"/>
  <c r="F90" i="1"/>
  <c r="G90" i="1"/>
  <c r="C88" i="11"/>
  <c r="C89" i="31"/>
  <c r="B89" i="31"/>
  <c r="AM89" i="1"/>
  <c r="N90" i="13" s="1"/>
  <c r="E90" i="1" l="1"/>
  <c r="D90" i="1" s="1"/>
  <c r="Q90" i="1" s="1"/>
  <c r="S90" i="1" s="1"/>
  <c r="D89" i="31"/>
  <c r="O90" i="13" s="1"/>
  <c r="K90" i="13"/>
  <c r="G88" i="11"/>
  <c r="H88" i="11" s="1"/>
  <c r="J90" i="13" s="1"/>
  <c r="D88" i="11"/>
  <c r="C90" i="1" l="1"/>
  <c r="I91" i="1"/>
  <c r="A89" i="11"/>
  <c r="L91" i="13" s="1"/>
  <c r="H91" i="1"/>
  <c r="AH90" i="1" s="1"/>
  <c r="C91" i="13"/>
  <c r="L90" i="1"/>
  <c r="AE90" i="1"/>
  <c r="B91" i="13"/>
  <c r="H90" i="13"/>
  <c r="E88" i="11"/>
  <c r="I90" i="13" s="1"/>
  <c r="F89" i="31"/>
  <c r="P90" i="13" s="1"/>
  <c r="H89" i="31"/>
  <c r="Q90" i="13" s="1"/>
  <c r="D91" i="13" l="1"/>
  <c r="F90" i="11"/>
  <c r="B89" i="11"/>
  <c r="Y90" i="1"/>
  <c r="X90" i="1" s="1"/>
  <c r="W90" i="1" s="1"/>
  <c r="V90" i="1" s="1"/>
  <c r="U90" i="1" s="1"/>
  <c r="F91" i="13" s="1"/>
  <c r="AK90" i="1"/>
  <c r="E91" i="13"/>
  <c r="AF90" i="1"/>
  <c r="T90" i="1" l="1"/>
  <c r="G91" i="13" s="1"/>
  <c r="AN90" i="1"/>
  <c r="G91" i="1" l="1"/>
  <c r="E90" i="31"/>
  <c r="AI90" i="1"/>
  <c r="AJ90" i="1" s="1"/>
  <c r="M91" i="13" s="1"/>
  <c r="F91" i="1"/>
  <c r="E91" i="1" s="1"/>
  <c r="D91" i="1" s="1"/>
  <c r="Q91" i="1" s="1"/>
  <c r="S91" i="1" s="1"/>
  <c r="C89" i="11"/>
  <c r="B90" i="31" l="1"/>
  <c r="AM90" i="1"/>
  <c r="N91" i="13" s="1"/>
  <c r="C90" i="31"/>
  <c r="B92" i="13"/>
  <c r="C92" i="13"/>
  <c r="AE91" i="1"/>
  <c r="C91" i="1"/>
  <c r="A90" i="11"/>
  <c r="H92" i="1"/>
  <c r="L91" i="1"/>
  <c r="I92" i="1"/>
  <c r="K91" i="13"/>
  <c r="G89" i="11"/>
  <c r="H89" i="11" s="1"/>
  <c r="J91" i="13" s="1"/>
  <c r="D89" i="11"/>
  <c r="D92" i="13" l="1"/>
  <c r="D90" i="31"/>
  <c r="O91" i="13" s="1"/>
  <c r="Y91" i="1"/>
  <c r="X91" i="1" s="1"/>
  <c r="W91" i="1" s="1"/>
  <c r="V91" i="1" s="1"/>
  <c r="U91" i="1" s="1"/>
  <c r="B90" i="11"/>
  <c r="L92" i="13"/>
  <c r="AH91" i="1"/>
  <c r="H91" i="13"/>
  <c r="E89" i="11"/>
  <c r="I91" i="13" s="1"/>
  <c r="AF91" i="1"/>
  <c r="E92" i="13"/>
  <c r="F91" i="11"/>
  <c r="AK91" i="1"/>
  <c r="F90" i="31" l="1"/>
  <c r="P91" i="13" s="1"/>
  <c r="H90" i="31"/>
  <c r="Q91" i="13" s="1"/>
  <c r="F92" i="13"/>
  <c r="T91" i="1"/>
  <c r="AI91" i="1" l="1"/>
  <c r="AJ91" i="1" s="1"/>
  <c r="M92" i="13" s="1"/>
  <c r="G92" i="13"/>
  <c r="E91" i="31"/>
  <c r="F92" i="1" l="1"/>
  <c r="G92" i="1"/>
  <c r="B91" i="31"/>
  <c r="C91" i="31"/>
  <c r="AM91" i="1"/>
  <c r="N92" i="13" s="1"/>
  <c r="AN91" i="1"/>
  <c r="C90" i="11" l="1"/>
  <c r="E92" i="1"/>
  <c r="D92" i="1" s="1"/>
  <c r="Q92" i="1" s="1"/>
  <c r="S92" i="1" s="1"/>
  <c r="D91" i="31"/>
  <c r="O92" i="13" s="1"/>
  <c r="K92" i="13" l="1"/>
  <c r="G90" i="11"/>
  <c r="H90" i="11" s="1"/>
  <c r="J92" i="13" s="1"/>
  <c r="D90" i="11"/>
  <c r="H91" i="31"/>
  <c r="Q92" i="13" s="1"/>
  <c r="F91" i="31"/>
  <c r="P92" i="13" s="1"/>
  <c r="A91" i="11"/>
  <c r="AE92" i="1"/>
  <c r="B93" i="13"/>
  <c r="C92" i="1"/>
  <c r="C93" i="13"/>
  <c r="L92" i="1"/>
  <c r="H93" i="1"/>
  <c r="I93" i="1"/>
  <c r="D93" i="13" l="1"/>
  <c r="Y92" i="1"/>
  <c r="X92" i="1" s="1"/>
  <c r="W92" i="1" s="1"/>
  <c r="V92" i="1" s="1"/>
  <c r="U92" i="1" s="1"/>
  <c r="AH92" i="1"/>
  <c r="H92" i="13"/>
  <c r="E90" i="11"/>
  <c r="I92" i="13" s="1"/>
  <c r="AF92" i="1"/>
  <c r="E93" i="13"/>
  <c r="AK92" i="1"/>
  <c r="F92" i="11"/>
  <c r="B91" i="11"/>
  <c r="L93" i="13"/>
  <c r="F93" i="13" l="1"/>
  <c r="T92" i="1"/>
  <c r="AI92" i="1" l="1"/>
  <c r="AJ92" i="1" s="1"/>
  <c r="M93" i="13" s="1"/>
  <c r="G93" i="13"/>
  <c r="E92" i="31"/>
  <c r="G93" i="1" l="1"/>
  <c r="F93" i="1"/>
  <c r="AN92" i="1"/>
  <c r="B92" i="31"/>
  <c r="C92" i="31"/>
  <c r="AM92" i="1"/>
  <c r="N93" i="13" s="1"/>
  <c r="D92" i="31" l="1"/>
  <c r="C91" i="11"/>
  <c r="E93" i="1"/>
  <c r="D93" i="1" s="1"/>
  <c r="Q93" i="1" s="1"/>
  <c r="S93" i="1" s="1"/>
  <c r="H92" i="31" l="1"/>
  <c r="Q93" i="13" s="1"/>
  <c r="O93" i="13"/>
  <c r="F92" i="31"/>
  <c r="P93" i="13" s="1"/>
  <c r="C94" i="13"/>
  <c r="B94" i="13"/>
  <c r="A92" i="11"/>
  <c r="C93" i="1"/>
  <c r="AE93" i="1"/>
  <c r="L93" i="1"/>
  <c r="I94" i="1"/>
  <c r="H94" i="1"/>
  <c r="K93" i="13"/>
  <c r="G91" i="11"/>
  <c r="H91" i="11" s="1"/>
  <c r="J93" i="13" s="1"/>
  <c r="D91" i="11"/>
  <c r="D94" i="13" l="1"/>
  <c r="E94" i="13"/>
  <c r="AF93" i="1"/>
  <c r="AK93" i="1"/>
  <c r="F93" i="11"/>
  <c r="L94" i="13"/>
  <c r="B92" i="11"/>
  <c r="H93" i="13"/>
  <c r="E91" i="11"/>
  <c r="I93" i="13" s="1"/>
  <c r="Y93" i="1"/>
  <c r="X93" i="1" s="1"/>
  <c r="W93" i="1" s="1"/>
  <c r="V93" i="1" s="1"/>
  <c r="U93" i="1" s="1"/>
  <c r="AH93" i="1"/>
  <c r="T93" i="1" l="1"/>
  <c r="AI93" i="1" s="1"/>
  <c r="AJ93" i="1" s="1"/>
  <c r="F94" i="13"/>
  <c r="AM93" i="1" l="1"/>
  <c r="N94" i="13" s="1"/>
  <c r="M94" i="13"/>
  <c r="B93" i="31"/>
  <c r="C93" i="31"/>
  <c r="E93" i="31"/>
  <c r="G94" i="13"/>
  <c r="AN93" i="1"/>
  <c r="F94" i="1"/>
  <c r="G94" i="1"/>
  <c r="C92" i="11" l="1"/>
  <c r="E94" i="1"/>
  <c r="D94" i="1" s="1"/>
  <c r="Q94" i="1" s="1"/>
  <c r="S94" i="1" s="1"/>
  <c r="D93" i="31"/>
  <c r="O94" i="13" s="1"/>
  <c r="K94" i="13" l="1"/>
  <c r="G92" i="11"/>
  <c r="H92" i="11" s="1"/>
  <c r="J94" i="13" s="1"/>
  <c r="D92" i="11"/>
  <c r="H93" i="31"/>
  <c r="Q94" i="13" s="1"/>
  <c r="F93" i="31"/>
  <c r="P94" i="13" s="1"/>
  <c r="AE94" i="1"/>
  <c r="C94" i="1"/>
  <c r="C95" i="13"/>
  <c r="A93" i="11"/>
  <c r="B95" i="13"/>
  <c r="I95" i="1"/>
  <c r="H95" i="1"/>
  <c r="L94" i="1"/>
  <c r="D95" i="13" l="1"/>
  <c r="AH94" i="1"/>
  <c r="E92" i="11"/>
  <c r="I94" i="13" s="1"/>
  <c r="H94" i="13"/>
  <c r="E95" i="13"/>
  <c r="AF94" i="1"/>
  <c r="AK94" i="1"/>
  <c r="F94" i="11"/>
  <c r="Y94" i="1"/>
  <c r="X94" i="1" s="1"/>
  <c r="W94" i="1" s="1"/>
  <c r="V94" i="1" s="1"/>
  <c r="U94" i="1" s="1"/>
  <c r="L95" i="13"/>
  <c r="B93" i="11"/>
  <c r="T94" i="1" l="1"/>
  <c r="F95" i="13"/>
  <c r="AI94" i="1" l="1"/>
  <c r="AJ94" i="1" s="1"/>
  <c r="M95" i="13" s="1"/>
  <c r="E94" i="31"/>
  <c r="G95" i="13"/>
  <c r="AN94" i="1"/>
  <c r="F95" i="1" l="1"/>
  <c r="G95" i="1"/>
  <c r="C93" i="11"/>
  <c r="B94" i="31"/>
  <c r="C94" i="31"/>
  <c r="AM94" i="1"/>
  <c r="N95" i="13" s="1"/>
  <c r="E95" i="1" l="1"/>
  <c r="D95" i="1" s="1"/>
  <c r="Q95" i="1" s="1"/>
  <c r="S95" i="1" s="1"/>
  <c r="D94" i="31"/>
  <c r="K95" i="13"/>
  <c r="G93" i="11"/>
  <c r="H93" i="11" s="1"/>
  <c r="J95" i="13" s="1"/>
  <c r="D93" i="11"/>
  <c r="C95" i="1" l="1"/>
  <c r="I96" i="1"/>
  <c r="C96" i="13"/>
  <c r="A94" i="11"/>
  <c r="L96" i="13" s="1"/>
  <c r="B96" i="13"/>
  <c r="AE95" i="1"/>
  <c r="H96" i="1"/>
  <c r="L95" i="1"/>
  <c r="H94" i="31"/>
  <c r="Q95" i="13" s="1"/>
  <c r="O95" i="13"/>
  <c r="F94" i="31"/>
  <c r="P95" i="13" s="1"/>
  <c r="H95" i="13"/>
  <c r="E93" i="11"/>
  <c r="I95" i="13" s="1"/>
  <c r="D96" i="13" l="1"/>
  <c r="AF95" i="1"/>
  <c r="AH95" i="1"/>
  <c r="B94" i="11"/>
  <c r="Y95" i="1"/>
  <c r="X95" i="1" s="1"/>
  <c r="W95" i="1" s="1"/>
  <c r="V95" i="1" s="1"/>
  <c r="U95" i="1" s="1"/>
  <c r="F96" i="13" s="1"/>
  <c r="AK95" i="1"/>
  <c r="F95" i="11"/>
  <c r="E96" i="13"/>
  <c r="T95" i="1" l="1"/>
  <c r="AI95" i="1" s="1"/>
  <c r="AJ95" i="1" s="1"/>
  <c r="M96" i="13" s="1"/>
  <c r="AN95" i="1"/>
  <c r="E95" i="31" l="1"/>
  <c r="G96" i="13"/>
  <c r="G96" i="1"/>
  <c r="F96" i="1"/>
  <c r="C94" i="11"/>
  <c r="C95" i="31"/>
  <c r="B95" i="31"/>
  <c r="AM95" i="1"/>
  <c r="N96" i="13" s="1"/>
  <c r="E96" i="1" l="1"/>
  <c r="D96" i="1" s="1"/>
  <c r="Q96" i="1" s="1"/>
  <c r="S96" i="1" s="1"/>
  <c r="D95" i="31"/>
  <c r="O96" i="13" s="1"/>
  <c r="K96" i="13"/>
  <c r="G94" i="11"/>
  <c r="H94" i="11" s="1"/>
  <c r="J96" i="13" s="1"/>
  <c r="D94" i="11"/>
  <c r="B97" i="13" l="1"/>
  <c r="I97" i="1"/>
  <c r="C96" i="1"/>
  <c r="H97" i="1"/>
  <c r="C97" i="13"/>
  <c r="L96" i="1"/>
  <c r="A95" i="11"/>
  <c r="L97" i="13" s="1"/>
  <c r="AE96" i="1"/>
  <c r="E94" i="11"/>
  <c r="I96" i="13" s="1"/>
  <c r="H96" i="13"/>
  <c r="H95" i="31"/>
  <c r="Q96" i="13" s="1"/>
  <c r="F95" i="31"/>
  <c r="P96" i="13" s="1"/>
  <c r="AF96" i="1" l="1"/>
  <c r="D97" i="13"/>
  <c r="Y96" i="1"/>
  <c r="X96" i="1" s="1"/>
  <c r="W96" i="1" s="1"/>
  <c r="V96" i="1" s="1"/>
  <c r="U96" i="1" s="1"/>
  <c r="F97" i="13" s="1"/>
  <c r="AK96" i="1"/>
  <c r="B95" i="11"/>
  <c r="F96" i="11"/>
  <c r="E97" i="13"/>
  <c r="AH96" i="1"/>
  <c r="T96" i="1" l="1"/>
  <c r="AI96" i="1" s="1"/>
  <c r="AJ96" i="1" s="1"/>
  <c r="M97" i="13" s="1"/>
  <c r="E96" i="31" l="1"/>
  <c r="G97" i="13"/>
  <c r="F97" i="1"/>
  <c r="G97" i="1"/>
  <c r="AN96" i="1"/>
  <c r="B96" i="31"/>
  <c r="C96" i="31"/>
  <c r="AM96" i="1"/>
  <c r="N97" i="13" s="1"/>
  <c r="D96" i="31" l="1"/>
  <c r="E97" i="1"/>
  <c r="D97" i="1" s="1"/>
  <c r="Q97" i="1" s="1"/>
  <c r="S97" i="1" s="1"/>
  <c r="C95" i="11"/>
  <c r="F96" i="31" l="1"/>
  <c r="P97" i="13" s="1"/>
  <c r="O97" i="13"/>
  <c r="H96" i="31"/>
  <c r="Q97" i="13" s="1"/>
  <c r="K97" i="13"/>
  <c r="G95" i="11"/>
  <c r="H95" i="11" s="1"/>
  <c r="J97" i="13" s="1"/>
  <c r="D95" i="11"/>
  <c r="B98" i="13"/>
  <c r="C97" i="1"/>
  <c r="A96" i="11"/>
  <c r="C98" i="13"/>
  <c r="AE97" i="1"/>
  <c r="H98" i="1"/>
  <c r="L97" i="1"/>
  <c r="I98" i="1"/>
  <c r="D98" i="13" l="1"/>
  <c r="AH97" i="1"/>
  <c r="E98" i="13"/>
  <c r="AF97" i="1"/>
  <c r="F97" i="11"/>
  <c r="AK97" i="1"/>
  <c r="E95" i="11"/>
  <c r="I97" i="13" s="1"/>
  <c r="H97" i="13"/>
  <c r="Y97" i="1"/>
  <c r="X97" i="1" s="1"/>
  <c r="W97" i="1" s="1"/>
  <c r="V97" i="1" s="1"/>
  <c r="U97" i="1" s="1"/>
  <c r="L98" i="13"/>
  <c r="B96" i="11"/>
  <c r="F98" i="13" l="1"/>
  <c r="T97" i="1"/>
  <c r="AI97" i="1" l="1"/>
  <c r="AJ97" i="1" s="1"/>
  <c r="M98" i="13" s="1"/>
  <c r="E97" i="31"/>
  <c r="G98" i="13"/>
  <c r="F98" i="1"/>
  <c r="G98" i="1" l="1"/>
  <c r="C97" i="31"/>
  <c r="B97" i="31"/>
  <c r="AM97" i="1"/>
  <c r="N98" i="13" s="1"/>
  <c r="AN97" i="1"/>
  <c r="D97" i="31" l="1"/>
  <c r="C96" i="11"/>
  <c r="E98" i="1"/>
  <c r="D98" i="1" s="1"/>
  <c r="Q98" i="1" s="1"/>
  <c r="S98" i="1" s="1"/>
  <c r="H97" i="31" l="1"/>
  <c r="Q98" i="13" s="1"/>
  <c r="O98" i="13"/>
  <c r="F97" i="31"/>
  <c r="P98" i="13" s="1"/>
  <c r="K98" i="13"/>
  <c r="G96" i="11"/>
  <c r="H96" i="11" s="1"/>
  <c r="J98" i="13" s="1"/>
  <c r="D96" i="11"/>
  <c r="AE98" i="1"/>
  <c r="C98" i="1"/>
  <c r="B99" i="13"/>
  <c r="C99" i="13"/>
  <c r="A97" i="11"/>
  <c r="L98" i="1"/>
  <c r="I99" i="1"/>
  <c r="H99" i="1"/>
  <c r="D99" i="13" l="1"/>
  <c r="AH98" i="1"/>
  <c r="B97" i="11"/>
  <c r="L99" i="13"/>
  <c r="E96" i="11"/>
  <c r="I98" i="13" s="1"/>
  <c r="H98" i="13"/>
  <c r="Y98" i="1"/>
  <c r="X98" i="1" s="1"/>
  <c r="W98" i="1" s="1"/>
  <c r="V98" i="1" s="1"/>
  <c r="U98" i="1" s="1"/>
  <c r="AF98" i="1"/>
  <c r="E99" i="13"/>
  <c r="AK98" i="1"/>
  <c r="F98" i="11"/>
  <c r="F99" i="13" l="1"/>
  <c r="T98" i="1"/>
  <c r="AI98" i="1" s="1"/>
  <c r="AJ98" i="1" s="1"/>
  <c r="M99" i="13" s="1"/>
  <c r="B98" i="31" l="1"/>
  <c r="C98" i="31"/>
  <c r="AM98" i="1"/>
  <c r="N99" i="13" s="1"/>
  <c r="G99" i="13"/>
  <c r="E98" i="31"/>
  <c r="AN98" i="1"/>
  <c r="F99" i="1"/>
  <c r="G99" i="1"/>
  <c r="E99" i="1" l="1"/>
  <c r="D99" i="1" s="1"/>
  <c r="Q99" i="1" s="1"/>
  <c r="S99" i="1" s="1"/>
  <c r="C97" i="11"/>
  <c r="D98" i="31"/>
  <c r="O99" i="13" s="1"/>
  <c r="F98" i="31" l="1"/>
  <c r="P99" i="13" s="1"/>
  <c r="H98" i="31"/>
  <c r="Q99" i="13" s="1"/>
  <c r="G97" i="11"/>
  <c r="H97" i="11" s="1"/>
  <c r="J99" i="13" s="1"/>
  <c r="K99" i="13"/>
  <c r="D97" i="11"/>
  <c r="C99" i="1"/>
  <c r="B100" i="13"/>
  <c r="A98" i="11"/>
  <c r="AE99" i="1"/>
  <c r="C100" i="13"/>
  <c r="L99" i="1"/>
  <c r="I100" i="1"/>
  <c r="H100" i="1"/>
  <c r="D100" i="13" l="1"/>
  <c r="AH99" i="1"/>
  <c r="E97" i="11"/>
  <c r="I99" i="13" s="1"/>
  <c r="H99" i="13"/>
  <c r="E100" i="13"/>
  <c r="AF99" i="1"/>
  <c r="F99" i="11"/>
  <c r="AK99" i="1"/>
  <c r="L100" i="13"/>
  <c r="B98" i="11"/>
  <c r="Y99" i="1"/>
  <c r="X99" i="1" s="1"/>
  <c r="W99" i="1" s="1"/>
  <c r="V99" i="1" s="1"/>
  <c r="U99" i="1" s="1"/>
  <c r="F100" i="13" l="1"/>
  <c r="T99" i="1"/>
  <c r="AI99" i="1" l="1"/>
  <c r="AJ99" i="1" s="1"/>
  <c r="M100" i="13" s="1"/>
  <c r="G100" i="13"/>
  <c r="E99" i="31"/>
  <c r="AN99" i="1"/>
  <c r="G100" i="1" l="1"/>
  <c r="F100" i="1"/>
  <c r="C98" i="11"/>
  <c r="B99" i="31"/>
  <c r="C99" i="31"/>
  <c r="AM99" i="1"/>
  <c r="N100" i="13" s="1"/>
  <c r="E100" i="1" l="1"/>
  <c r="D100" i="1" s="1"/>
  <c r="Q100" i="1" s="1"/>
  <c r="S100" i="1" s="1"/>
  <c r="D99" i="31"/>
  <c r="G98" i="11"/>
  <c r="H98" i="11" s="1"/>
  <c r="J100" i="13" s="1"/>
  <c r="K100" i="13"/>
  <c r="D98" i="11"/>
  <c r="C100" i="1" l="1"/>
  <c r="B101" i="13"/>
  <c r="H101" i="1"/>
  <c r="AH100" i="1" s="1"/>
  <c r="A99" i="11"/>
  <c r="B99" i="11" s="1"/>
  <c r="L100" i="1"/>
  <c r="AE100" i="1"/>
  <c r="I101" i="1"/>
  <c r="C101" i="13"/>
  <c r="H99" i="31"/>
  <c r="Q100" i="13" s="1"/>
  <c r="O100" i="13"/>
  <c r="F99" i="31"/>
  <c r="P100" i="13" s="1"/>
  <c r="H100" i="13"/>
  <c r="E98" i="11"/>
  <c r="I100" i="13" s="1"/>
  <c r="D101" i="13" l="1"/>
  <c r="E101" i="13"/>
  <c r="F100" i="11"/>
  <c r="AK100" i="1"/>
  <c r="AF100" i="1"/>
  <c r="Y100" i="1"/>
  <c r="X100" i="1" s="1"/>
  <c r="W100" i="1" s="1"/>
  <c r="V100" i="1" s="1"/>
  <c r="U100" i="1" s="1"/>
  <c r="F101" i="13" s="1"/>
  <c r="L101" i="13"/>
  <c r="T100" i="1" l="1"/>
  <c r="AI100" i="1" s="1"/>
  <c r="AJ100" i="1" s="1"/>
  <c r="M101" i="13" s="1"/>
  <c r="E100" i="31" l="1"/>
  <c r="G101" i="13"/>
  <c r="F101" i="1"/>
  <c r="G101" i="1"/>
  <c r="AN100" i="1"/>
  <c r="C100" i="31"/>
  <c r="B100" i="31"/>
  <c r="AM100" i="1"/>
  <c r="N101" i="13" s="1"/>
  <c r="D100" i="31" l="1"/>
  <c r="O101" i="13" s="1"/>
  <c r="C99" i="11"/>
  <c r="E101" i="1"/>
  <c r="D101" i="1" s="1"/>
  <c r="Q101" i="1" s="1"/>
  <c r="S101" i="1" s="1"/>
  <c r="C102" i="13" l="1"/>
  <c r="C101" i="1"/>
  <c r="B102" i="13"/>
  <c r="A100" i="11"/>
  <c r="AE101" i="1"/>
  <c r="L101" i="1"/>
  <c r="I102" i="1"/>
  <c r="H102" i="1"/>
  <c r="K101" i="13"/>
  <c r="G99" i="11"/>
  <c r="H99" i="11" s="1"/>
  <c r="J101" i="13" s="1"/>
  <c r="D99" i="11"/>
  <c r="F100" i="31"/>
  <c r="P101" i="13" s="1"/>
  <c r="H100" i="31"/>
  <c r="Q101" i="13" s="1"/>
  <c r="D102" i="13" l="1"/>
  <c r="Y101" i="1"/>
  <c r="X101" i="1" s="1"/>
  <c r="W101" i="1" s="1"/>
  <c r="V101" i="1" s="1"/>
  <c r="U101" i="1" s="1"/>
  <c r="AF101" i="1"/>
  <c r="E102" i="13"/>
  <c r="F101" i="11"/>
  <c r="AK101" i="1"/>
  <c r="E99" i="11"/>
  <c r="I101" i="13" s="1"/>
  <c r="H101" i="13"/>
  <c r="B100" i="11"/>
  <c r="L102" i="13"/>
  <c r="AH101" i="1"/>
  <c r="T101" i="1" l="1"/>
  <c r="F102" i="13"/>
  <c r="AI101" i="1" l="1"/>
  <c r="AJ101" i="1" s="1"/>
  <c r="M102" i="13" s="1"/>
  <c r="E101" i="31"/>
  <c r="G102" i="13"/>
  <c r="G102" i="1" l="1"/>
  <c r="F102" i="1"/>
  <c r="AN101" i="1"/>
  <c r="B101" i="31"/>
  <c r="C101" i="31"/>
  <c r="AM101" i="1"/>
  <c r="N102" i="13" s="1"/>
  <c r="D101" i="31" l="1"/>
  <c r="E102" i="1"/>
  <c r="D102" i="1" s="1"/>
  <c r="Q102" i="1" s="1"/>
  <c r="S102" i="1" s="1"/>
  <c r="C100" i="11"/>
  <c r="H101" i="31" l="1"/>
  <c r="Q102" i="13" s="1"/>
  <c r="O102" i="13"/>
  <c r="F101" i="31"/>
  <c r="P102" i="13" s="1"/>
  <c r="K102" i="13"/>
  <c r="G100" i="11"/>
  <c r="H100" i="11" s="1"/>
  <c r="J102" i="13" s="1"/>
  <c r="D100" i="11"/>
  <c r="C103" i="13"/>
  <c r="B103" i="13"/>
  <c r="C102" i="1"/>
  <c r="A101" i="11"/>
  <c r="AE102" i="1"/>
  <c r="I103" i="1"/>
  <c r="L102" i="1"/>
  <c r="H103" i="1"/>
  <c r="D103" i="13" l="1"/>
  <c r="AH102" i="1"/>
  <c r="E103" i="13"/>
  <c r="AF102" i="1"/>
  <c r="AK102" i="1"/>
  <c r="F102" i="11"/>
  <c r="L103" i="13"/>
  <c r="E100" i="11"/>
  <c r="I102" i="13" s="1"/>
  <c r="H102" i="13"/>
  <c r="Y102" i="1"/>
  <c r="X102" i="1" s="1"/>
  <c r="W102" i="1" s="1"/>
  <c r="V102" i="1" s="1"/>
  <c r="U102" i="1" s="1"/>
  <c r="T102" i="1" l="1"/>
  <c r="F103" i="13"/>
  <c r="AI102" i="1" l="1"/>
  <c r="AJ102" i="1" s="1"/>
  <c r="M103" i="13" s="1"/>
  <c r="G103" i="13"/>
  <c r="E102" i="31"/>
  <c r="F103" i="1" l="1"/>
  <c r="G103" i="1"/>
  <c r="AN102" i="1"/>
  <c r="C102" i="31"/>
  <c r="B102" i="31"/>
  <c r="AM102" i="1"/>
  <c r="N103" i="13" s="1"/>
  <c r="C101" i="11" l="1"/>
  <c r="E103" i="1"/>
  <c r="D103" i="1" s="1"/>
  <c r="Q103" i="1" s="1"/>
  <c r="S103" i="1" s="1"/>
  <c r="D102" i="31"/>
  <c r="O103" i="13" s="1"/>
  <c r="F102" i="31" l="1"/>
  <c r="P103" i="13" s="1"/>
  <c r="H102" i="31"/>
  <c r="Q103" i="13" s="1"/>
  <c r="AE103" i="1"/>
  <c r="C104" i="13"/>
  <c r="C103" i="1"/>
  <c r="A102" i="11"/>
  <c r="B104" i="13"/>
  <c r="H104" i="1"/>
  <c r="L103" i="1"/>
  <c r="I104" i="1"/>
  <c r="K103" i="13"/>
  <c r="G101" i="11"/>
  <c r="H101" i="11" s="1"/>
  <c r="J103" i="13" s="1"/>
  <c r="D101" i="11"/>
  <c r="D104" i="13" l="1"/>
  <c r="AH103" i="1"/>
  <c r="H103" i="13"/>
  <c r="E101" i="11"/>
  <c r="I103" i="13" s="1"/>
  <c r="AF103" i="1"/>
  <c r="E104" i="13"/>
  <c r="F103" i="11"/>
  <c r="AK103" i="1"/>
  <c r="L104" i="13"/>
  <c r="Y103" i="1"/>
  <c r="X103" i="1" s="1"/>
  <c r="W103" i="1" s="1"/>
  <c r="V103" i="1" s="1"/>
  <c r="U103" i="1" s="1"/>
  <c r="T103" i="1" l="1"/>
  <c r="AI103" i="1" s="1"/>
  <c r="AJ103" i="1" s="1"/>
  <c r="M104" i="13" s="1"/>
  <c r="F104" i="13"/>
  <c r="C103" i="31" l="1"/>
  <c r="B103" i="31"/>
  <c r="AM103" i="1"/>
  <c r="N104" i="13" s="1"/>
  <c r="E103" i="31"/>
  <c r="G104" i="13"/>
  <c r="AN103" i="1"/>
  <c r="G104" i="1"/>
  <c r="F104" i="1"/>
  <c r="D103" i="31" l="1"/>
  <c r="E104" i="1"/>
  <c r="D104" i="1" s="1"/>
  <c r="Q104" i="1" s="1"/>
  <c r="S104" i="1" s="1"/>
  <c r="C102" i="11"/>
  <c r="F103" i="31" l="1"/>
  <c r="P104" i="13" s="1"/>
  <c r="O104" i="13"/>
  <c r="H103" i="31"/>
  <c r="Q104" i="13" s="1"/>
  <c r="A103" i="11"/>
  <c r="AE104" i="1"/>
  <c r="C104" i="1"/>
  <c r="B105" i="13"/>
  <c r="C105" i="13"/>
  <c r="I105" i="1"/>
  <c r="H105" i="1"/>
  <c r="L104" i="1"/>
  <c r="G102" i="11"/>
  <c r="H102" i="11" s="1"/>
  <c r="J104" i="13" s="1"/>
  <c r="K104" i="13"/>
  <c r="D102" i="11"/>
  <c r="D105" i="13" l="1"/>
  <c r="H104" i="13"/>
  <c r="E102" i="11"/>
  <c r="I104" i="13" s="1"/>
  <c r="Y104" i="1"/>
  <c r="X104" i="1" s="1"/>
  <c r="W104" i="1" s="1"/>
  <c r="V104" i="1" s="1"/>
  <c r="U104" i="1" s="1"/>
  <c r="AH104" i="1"/>
  <c r="AF104" i="1"/>
  <c r="E105" i="13"/>
  <c r="AK104" i="1"/>
  <c r="F104" i="11"/>
  <c r="L105" i="13"/>
  <c r="F105" i="13" l="1"/>
  <c r="T104" i="1"/>
  <c r="AI104" i="1" l="1"/>
  <c r="AJ104" i="1" s="1"/>
  <c r="M105" i="13" s="1"/>
  <c r="E104" i="31"/>
  <c r="G105" i="13"/>
  <c r="F105" i="1"/>
  <c r="G105" i="1" l="1"/>
  <c r="B104" i="31"/>
  <c r="C104" i="31"/>
  <c r="AM104" i="1"/>
  <c r="N105" i="13" s="1"/>
  <c r="AN104" i="1"/>
  <c r="C103" i="11" s="1"/>
  <c r="E105" i="1" l="1"/>
  <c r="D105" i="1" s="1"/>
  <c r="Q105" i="1" s="1"/>
  <c r="S105" i="1" s="1"/>
  <c r="K105" i="13"/>
  <c r="G103" i="11"/>
  <c r="H103" i="11" s="1"/>
  <c r="J105" i="13" s="1"/>
  <c r="D103" i="11"/>
  <c r="D104" i="31"/>
  <c r="O105" i="13" s="1"/>
  <c r="H104" i="31" l="1"/>
  <c r="Q105" i="13" s="1"/>
  <c r="F104" i="31"/>
  <c r="P105" i="13" s="1"/>
  <c r="C106" i="13"/>
  <c r="AE105" i="1"/>
  <c r="C105" i="1"/>
  <c r="B106" i="13"/>
  <c r="A104" i="11"/>
  <c r="I106" i="1"/>
  <c r="H106" i="1"/>
  <c r="L105" i="1"/>
  <c r="H105" i="13"/>
  <c r="E103" i="11"/>
  <c r="I105" i="13" s="1"/>
  <c r="D106" i="13" l="1"/>
  <c r="AH105" i="1"/>
  <c r="L106" i="13"/>
  <c r="E106" i="13"/>
  <c r="AF105" i="1"/>
  <c r="AK105" i="1"/>
  <c r="F105" i="11"/>
  <c r="Y105" i="1"/>
  <c r="X105" i="1" s="1"/>
  <c r="W105" i="1" s="1"/>
  <c r="V105" i="1" s="1"/>
  <c r="U105" i="1" s="1"/>
  <c r="T105" i="1" l="1"/>
  <c r="AI105" i="1" s="1"/>
  <c r="AJ105" i="1" s="1"/>
  <c r="M106" i="13" s="1"/>
  <c r="F106" i="13"/>
  <c r="B105" i="31" l="1"/>
  <c r="C105" i="31"/>
  <c r="E105" i="31"/>
  <c r="G106" i="13"/>
  <c r="AN105" i="1"/>
  <c r="G106" i="1"/>
  <c r="F106" i="1"/>
  <c r="AM105" i="1"/>
  <c r="N106" i="13" s="1"/>
  <c r="E106" i="1" l="1"/>
  <c r="D106" i="1" s="1"/>
  <c r="Q106" i="1" s="1"/>
  <c r="S106" i="1" s="1"/>
  <c r="C104" i="11"/>
  <c r="D105" i="31"/>
  <c r="H105" i="31" l="1"/>
  <c r="Q106" i="13" s="1"/>
  <c r="O106" i="13"/>
  <c r="K106" i="13"/>
  <c r="G104" i="11"/>
  <c r="H104" i="11" s="1"/>
  <c r="J106" i="13" s="1"/>
  <c r="D104" i="11"/>
  <c r="C106" i="1"/>
  <c r="AE106" i="1"/>
  <c r="A105" i="11"/>
  <c r="B107" i="13"/>
  <c r="C107" i="13"/>
  <c r="H107" i="1"/>
  <c r="L106" i="1"/>
  <c r="I107" i="1"/>
  <c r="F105" i="31"/>
  <c r="P106" i="13" s="1"/>
  <c r="D107" i="13" l="1"/>
  <c r="AH106" i="1"/>
  <c r="AF106" i="1"/>
  <c r="E107" i="13"/>
  <c r="F106" i="11"/>
  <c r="AK106" i="1"/>
  <c r="H106" i="13"/>
  <c r="E104" i="11"/>
  <c r="I106" i="13" s="1"/>
  <c r="Y106" i="1"/>
  <c r="X106" i="1" s="1"/>
  <c r="W106" i="1" s="1"/>
  <c r="V106" i="1" s="1"/>
  <c r="U106" i="1" s="1"/>
  <c r="L107" i="13"/>
  <c r="T106" i="1" l="1"/>
  <c r="F107" i="13"/>
  <c r="AI106" i="1" l="1"/>
  <c r="AJ106" i="1" s="1"/>
  <c r="M107" i="13" s="1"/>
  <c r="G107" i="13"/>
  <c r="E106" i="31"/>
  <c r="F107" i="1"/>
  <c r="G107" i="1" l="1"/>
  <c r="C106" i="31"/>
  <c r="B106" i="31"/>
  <c r="AM106" i="1"/>
  <c r="N107" i="13" s="1"/>
  <c r="AN106" i="1"/>
  <c r="D106" i="31" l="1"/>
  <c r="E107" i="1"/>
  <c r="D107" i="1" s="1"/>
  <c r="Q107" i="1" s="1"/>
  <c r="S107" i="1" s="1"/>
  <c r="C105" i="11"/>
  <c r="F106" i="31" l="1"/>
  <c r="P107" i="13" s="1"/>
  <c r="O107" i="13"/>
  <c r="H106" i="31"/>
  <c r="Q107" i="13" s="1"/>
  <c r="C108" i="13"/>
  <c r="A106" i="11"/>
  <c r="AE107" i="1"/>
  <c r="C107" i="1"/>
  <c r="B108" i="13"/>
  <c r="L107" i="1"/>
  <c r="I108" i="1"/>
  <c r="H108" i="1"/>
  <c r="K107" i="13"/>
  <c r="G105" i="11"/>
  <c r="H105" i="11" s="1"/>
  <c r="J107" i="13" s="1"/>
  <c r="D105" i="11"/>
  <c r="D108" i="13" l="1"/>
  <c r="Y107" i="1"/>
  <c r="X107" i="1" s="1"/>
  <c r="W107" i="1" s="1"/>
  <c r="V107" i="1" s="1"/>
  <c r="U107" i="1" s="1"/>
  <c r="E105" i="11"/>
  <c r="I107" i="13" s="1"/>
  <c r="H107" i="13"/>
  <c r="AF107" i="1"/>
  <c r="E108" i="13"/>
  <c r="AK107" i="1"/>
  <c r="F107" i="11"/>
  <c r="AH107" i="1"/>
  <c r="L108" i="13"/>
  <c r="F108" i="13" l="1"/>
  <c r="T107" i="1"/>
  <c r="AI107" i="1" l="1"/>
  <c r="AJ107" i="1" s="1"/>
  <c r="M108" i="13" s="1"/>
  <c r="E107" i="31"/>
  <c r="G108" i="13"/>
  <c r="G108" i="1" l="1"/>
  <c r="F108" i="1"/>
  <c r="AN107" i="1"/>
  <c r="B107" i="31"/>
  <c r="C107" i="31"/>
  <c r="AM107" i="1"/>
  <c r="N108" i="13" s="1"/>
  <c r="D107" i="31" l="1"/>
  <c r="C106" i="11"/>
  <c r="E108" i="1"/>
  <c r="D108" i="1" s="1"/>
  <c r="Q108" i="1" s="1"/>
  <c r="S108" i="1" s="1"/>
  <c r="F107" i="31" l="1"/>
  <c r="P108" i="13" s="1"/>
  <c r="O108" i="13"/>
  <c r="H107" i="31"/>
  <c r="Q108" i="13" s="1"/>
  <c r="C108" i="1"/>
  <c r="AE108" i="1"/>
  <c r="B109" i="13"/>
  <c r="A107" i="11"/>
  <c r="C109" i="13"/>
  <c r="L108" i="1"/>
  <c r="H109" i="1"/>
  <c r="I109" i="1"/>
  <c r="K108" i="13"/>
  <c r="G106" i="11"/>
  <c r="H106" i="11" s="1"/>
  <c r="J108" i="13" s="1"/>
  <c r="D106" i="11"/>
  <c r="D109" i="13" l="1"/>
  <c r="Y108" i="1"/>
  <c r="X108" i="1" s="1"/>
  <c r="W108" i="1" s="1"/>
  <c r="V108" i="1" s="1"/>
  <c r="U108" i="1" s="1"/>
  <c r="L109" i="13"/>
  <c r="AF108" i="1"/>
  <c r="E109" i="13"/>
  <c r="AK108" i="1"/>
  <c r="F108" i="11"/>
  <c r="H108" i="13"/>
  <c r="E106" i="11"/>
  <c r="I108" i="13" s="1"/>
  <c r="AH108" i="1"/>
  <c r="F109" i="13" l="1"/>
  <c r="T108" i="1"/>
  <c r="AI108" i="1" l="1"/>
  <c r="AJ108" i="1" s="1"/>
  <c r="M109" i="13" s="1"/>
  <c r="G109" i="13"/>
  <c r="E108" i="31"/>
  <c r="F109" i="1"/>
  <c r="G109" i="1" l="1"/>
  <c r="AN108" i="1"/>
  <c r="C108" i="31"/>
  <c r="B108" i="31"/>
  <c r="AM108" i="1"/>
  <c r="N109" i="13" s="1"/>
  <c r="C107" i="11" l="1"/>
  <c r="E109" i="1"/>
  <c r="D109" i="1" s="1"/>
  <c r="Q109" i="1" s="1"/>
  <c r="S109" i="1" s="1"/>
  <c r="D108" i="31"/>
  <c r="O109" i="13" s="1"/>
  <c r="K109" i="13" l="1"/>
  <c r="G107" i="11"/>
  <c r="H107" i="11" s="1"/>
  <c r="J109" i="13" s="1"/>
  <c r="D107" i="11"/>
  <c r="F108" i="31"/>
  <c r="P109" i="13" s="1"/>
  <c r="H108" i="31"/>
  <c r="Q109" i="13" s="1"/>
  <c r="B110" i="13"/>
  <c r="C110" i="13"/>
  <c r="AE109" i="1"/>
  <c r="A108" i="11"/>
  <c r="C109" i="1"/>
  <c r="H110" i="1"/>
  <c r="I110" i="1"/>
  <c r="L109" i="1"/>
  <c r="D110" i="13" l="1"/>
  <c r="AH109" i="1"/>
  <c r="E107" i="11"/>
  <c r="I109" i="13" s="1"/>
  <c r="H109" i="13"/>
  <c r="Y109" i="1"/>
  <c r="X109" i="1" s="1"/>
  <c r="W109" i="1" s="1"/>
  <c r="V109" i="1" s="1"/>
  <c r="U109" i="1" s="1"/>
  <c r="E110" i="13"/>
  <c r="AF109" i="1"/>
  <c r="F109" i="11"/>
  <c r="AK109" i="1"/>
  <c r="L110" i="13"/>
  <c r="T109" i="1" l="1"/>
  <c r="F110" i="13"/>
  <c r="AI109" i="1" l="1"/>
  <c r="AJ109" i="1" s="1"/>
  <c r="M110" i="13" s="1"/>
  <c r="E109" i="31"/>
  <c r="G110" i="13"/>
  <c r="AN109" i="1"/>
  <c r="G110" i="1" l="1"/>
  <c r="F110" i="1"/>
  <c r="C109" i="31"/>
  <c r="B109" i="31"/>
  <c r="AM109" i="1"/>
  <c r="N110" i="13" s="1"/>
  <c r="C108" i="11"/>
  <c r="E110" i="1" l="1"/>
  <c r="D110" i="1" s="1"/>
  <c r="Q110" i="1" s="1"/>
  <c r="S110" i="1" s="1"/>
  <c r="D109" i="31"/>
  <c r="G108" i="11"/>
  <c r="H108" i="11" s="1"/>
  <c r="J110" i="13" s="1"/>
  <c r="K110" i="13"/>
  <c r="D108" i="11"/>
  <c r="A109" i="11" l="1"/>
  <c r="L111" i="13" s="1"/>
  <c r="C110" i="1"/>
  <c r="B111" i="13"/>
  <c r="H111" i="1"/>
  <c r="AE110" i="1"/>
  <c r="L110" i="1"/>
  <c r="C111" i="13"/>
  <c r="I111" i="1"/>
  <c r="H109" i="31"/>
  <c r="Q110" i="13" s="1"/>
  <c r="O110" i="13"/>
  <c r="F109" i="31"/>
  <c r="P110" i="13" s="1"/>
  <c r="H110" i="13"/>
  <c r="E108" i="11"/>
  <c r="I110" i="13" s="1"/>
  <c r="E111" i="13" l="1"/>
  <c r="AH110" i="1"/>
  <c r="D111" i="13"/>
  <c r="Y110" i="1"/>
  <c r="X110" i="1" s="1"/>
  <c r="W110" i="1" s="1"/>
  <c r="V110" i="1" s="1"/>
  <c r="U110" i="1" s="1"/>
  <c r="F111" i="13" s="1"/>
  <c r="F110" i="11"/>
  <c r="AK110" i="1"/>
  <c r="AF110" i="1"/>
  <c r="T110" i="1" l="1"/>
  <c r="AI110" i="1" s="1"/>
  <c r="AJ110" i="1" s="1"/>
  <c r="M111" i="13" s="1"/>
  <c r="AN110" i="1"/>
  <c r="E110" i="31" l="1"/>
  <c r="G111" i="13"/>
  <c r="G111" i="1"/>
  <c r="F111" i="1"/>
  <c r="C109" i="11"/>
  <c r="C110" i="31"/>
  <c r="B110" i="31"/>
  <c r="AM110" i="1"/>
  <c r="N111" i="13" s="1"/>
  <c r="E111" i="1" l="1"/>
  <c r="D111" i="1" s="1"/>
  <c r="Q111" i="1" s="1"/>
  <c r="S111" i="1" s="1"/>
  <c r="D110" i="31"/>
  <c r="O111" i="13" s="1"/>
  <c r="K111" i="13"/>
  <c r="G109" i="11"/>
  <c r="H109" i="11" s="1"/>
  <c r="J111" i="13" s="1"/>
  <c r="D109" i="11"/>
  <c r="C112" i="13" l="1"/>
  <c r="I112" i="1"/>
  <c r="L111" i="1"/>
  <c r="H112" i="1"/>
  <c r="A110" i="11"/>
  <c r="L112" i="13" s="1"/>
  <c r="AE111" i="1"/>
  <c r="B112" i="13"/>
  <c r="C111" i="1"/>
  <c r="H111" i="13"/>
  <c r="E109" i="11"/>
  <c r="I111" i="13" s="1"/>
  <c r="F110" i="31"/>
  <c r="P111" i="13" s="1"/>
  <c r="H110" i="31"/>
  <c r="Q111" i="13" s="1"/>
  <c r="AF111" i="1" l="1"/>
  <c r="D112" i="13"/>
  <c r="Y111" i="1"/>
  <c r="X111" i="1" s="1"/>
  <c r="W111" i="1" s="1"/>
  <c r="V111" i="1" s="1"/>
  <c r="U111" i="1" s="1"/>
  <c r="T111" i="1" s="1"/>
  <c r="AK111" i="1"/>
  <c r="AH111" i="1"/>
  <c r="F111" i="11"/>
  <c r="E112" i="13"/>
  <c r="F112" i="13" l="1"/>
  <c r="AI111" i="1"/>
  <c r="AJ111" i="1" s="1"/>
  <c r="M112" i="13" s="1"/>
  <c r="E111" i="31"/>
  <c r="G112" i="13"/>
  <c r="AN111" i="1"/>
  <c r="F112" i="1" l="1"/>
  <c r="G112" i="1"/>
  <c r="C110" i="11"/>
  <c r="C111" i="31"/>
  <c r="B111" i="31"/>
  <c r="AM111" i="1"/>
  <c r="N112" i="13" s="1"/>
  <c r="E112" i="1" l="1"/>
  <c r="D112" i="1" s="1"/>
  <c r="Q112" i="1" s="1"/>
  <c r="S112" i="1" s="1"/>
  <c r="D111" i="31"/>
  <c r="O112" i="13" s="1"/>
  <c r="K112" i="13"/>
  <c r="G110" i="11"/>
  <c r="H110" i="11" s="1"/>
  <c r="J112" i="13" s="1"/>
  <c r="D110" i="11"/>
  <c r="B113" i="13" l="1"/>
  <c r="L112" i="1"/>
  <c r="C113" i="13"/>
  <c r="H113" i="1"/>
  <c r="A111" i="11"/>
  <c r="L113" i="13" s="1"/>
  <c r="I113" i="1"/>
  <c r="C112" i="1"/>
  <c r="AE112" i="1"/>
  <c r="E110" i="11"/>
  <c r="I112" i="13" s="1"/>
  <c r="H112" i="13"/>
  <c r="F111" i="31"/>
  <c r="P112" i="13" s="1"/>
  <c r="H111" i="31"/>
  <c r="Q112" i="13" s="1"/>
  <c r="F112" i="11" l="1"/>
  <c r="D113" i="13"/>
  <c r="AH112" i="1"/>
  <c r="AF112" i="1"/>
  <c r="Y112" i="1"/>
  <c r="X112" i="1" s="1"/>
  <c r="W112" i="1" s="1"/>
  <c r="V112" i="1" s="1"/>
  <c r="U112" i="1" s="1"/>
  <c r="F113" i="13" s="1"/>
  <c r="AK112" i="1"/>
  <c r="E113" i="13"/>
  <c r="T112" i="1" l="1"/>
  <c r="AI112" i="1" s="1"/>
  <c r="AJ112" i="1" s="1"/>
  <c r="M113" i="13" s="1"/>
  <c r="G113" i="13" l="1"/>
  <c r="F113" i="1"/>
  <c r="E112" i="31"/>
  <c r="G113" i="1"/>
  <c r="B112" i="31"/>
  <c r="C112" i="31"/>
  <c r="AM112" i="1"/>
  <c r="N113" i="13" s="1"/>
  <c r="AN112" i="1"/>
  <c r="C111" i="11" l="1"/>
  <c r="E113" i="1"/>
  <c r="D113" i="1" s="1"/>
  <c r="Q113" i="1" s="1"/>
  <c r="S113" i="1" s="1"/>
  <c r="D112" i="31"/>
  <c r="O113" i="13" s="1"/>
  <c r="G111" i="11" l="1"/>
  <c r="H111" i="11" s="1"/>
  <c r="J113" i="13" s="1"/>
  <c r="K113" i="13"/>
  <c r="D111" i="11"/>
  <c r="H112" i="31"/>
  <c r="Q113" i="13" s="1"/>
  <c r="F112" i="31"/>
  <c r="P113" i="13" s="1"/>
  <c r="C114" i="13"/>
  <c r="B114" i="13"/>
  <c r="AE113" i="1"/>
  <c r="C113" i="1"/>
  <c r="A112" i="11"/>
  <c r="I114" i="1"/>
  <c r="L113" i="1"/>
  <c r="H114" i="1"/>
  <c r="D114" i="13" l="1"/>
  <c r="AH113" i="1"/>
  <c r="E114" i="13"/>
  <c r="AF113" i="1"/>
  <c r="AK113" i="1"/>
  <c r="F113" i="11"/>
  <c r="H113" i="13"/>
  <c r="E111" i="11"/>
  <c r="I113" i="13" s="1"/>
  <c r="Y113" i="1"/>
  <c r="X113" i="1" s="1"/>
  <c r="W113" i="1" s="1"/>
  <c r="V113" i="1" s="1"/>
  <c r="U113" i="1" s="1"/>
  <c r="L114" i="13"/>
  <c r="T113" i="1" l="1"/>
  <c r="F114" i="13"/>
  <c r="E113" i="31" l="1"/>
  <c r="G114" i="13"/>
  <c r="AN113" i="1"/>
  <c r="AI113" i="1"/>
  <c r="AJ113" i="1" s="1"/>
  <c r="M114" i="13" s="1"/>
  <c r="G114" i="1" l="1"/>
  <c r="F114" i="1"/>
  <c r="C112" i="11"/>
  <c r="C113" i="31"/>
  <c r="B113" i="31"/>
  <c r="AM113" i="1"/>
  <c r="N114" i="13" s="1"/>
  <c r="E114" i="1" l="1"/>
  <c r="D114" i="1" s="1"/>
  <c r="Q114" i="1" s="1"/>
  <c r="S114" i="1" s="1"/>
  <c r="D113" i="31"/>
  <c r="O114" i="13" s="1"/>
  <c r="K114" i="13"/>
  <c r="G112" i="11"/>
  <c r="H112" i="11" s="1"/>
  <c r="J114" i="13" s="1"/>
  <c r="D112" i="11"/>
  <c r="C114" i="1" l="1"/>
  <c r="C115" i="13"/>
  <c r="AE114" i="1"/>
  <c r="I115" i="1"/>
  <c r="H115" i="1"/>
  <c r="A113" i="11"/>
  <c r="L115" i="13" s="1"/>
  <c r="L114" i="1"/>
  <c r="B115" i="13"/>
  <c r="H114" i="13"/>
  <c r="E112" i="11"/>
  <c r="I114" i="13" s="1"/>
  <c r="F113" i="31"/>
  <c r="P114" i="13" s="1"/>
  <c r="H113" i="31"/>
  <c r="Q114" i="13" s="1"/>
  <c r="D115" i="13" l="1"/>
  <c r="E115" i="13"/>
  <c r="AH114" i="1"/>
  <c r="F114" i="11"/>
  <c r="AK114" i="1"/>
  <c r="AF114" i="1"/>
  <c r="Y114" i="1"/>
  <c r="X114" i="1" s="1"/>
  <c r="W114" i="1" s="1"/>
  <c r="V114" i="1" s="1"/>
  <c r="U114" i="1" s="1"/>
  <c r="F115" i="13" s="1"/>
  <c r="T114" i="1" l="1"/>
  <c r="G115" i="13" s="1"/>
  <c r="F115" i="1" l="1"/>
  <c r="E114" i="31"/>
  <c r="AI114" i="1"/>
  <c r="AJ114" i="1" s="1"/>
  <c r="M115" i="13" s="1"/>
  <c r="G115" i="1"/>
  <c r="AN114" i="1"/>
  <c r="AM114" i="1" l="1"/>
  <c r="N115" i="13" s="1"/>
  <c r="B114" i="31"/>
  <c r="C114" i="31"/>
  <c r="C113" i="11"/>
  <c r="E115" i="1"/>
  <c r="D115" i="1" s="1"/>
  <c r="Q115" i="1" s="1"/>
  <c r="S115" i="1" s="1"/>
  <c r="D114" i="31" l="1"/>
  <c r="O115" i="13" s="1"/>
  <c r="B116" i="13"/>
  <c r="AE115" i="1"/>
  <c r="C115" i="1"/>
  <c r="C116" i="13"/>
  <c r="A114" i="11"/>
  <c r="L115" i="1"/>
  <c r="I116" i="1"/>
  <c r="H116" i="1"/>
  <c r="G113" i="11"/>
  <c r="H113" i="11" s="1"/>
  <c r="J115" i="13" s="1"/>
  <c r="K115" i="13"/>
  <c r="D113" i="11"/>
  <c r="D116" i="13" l="1"/>
  <c r="F114" i="31"/>
  <c r="P115" i="13" s="1"/>
  <c r="H114" i="31"/>
  <c r="Q115" i="13" s="1"/>
  <c r="AH115" i="1"/>
  <c r="Y115" i="1"/>
  <c r="X115" i="1" s="1"/>
  <c r="W115" i="1" s="1"/>
  <c r="V115" i="1" s="1"/>
  <c r="U115" i="1" s="1"/>
  <c r="L116" i="13"/>
  <c r="E113" i="11"/>
  <c r="I115" i="13" s="1"/>
  <c r="H115" i="13"/>
  <c r="AF115" i="1"/>
  <c r="E116" i="13"/>
  <c r="AK115" i="1"/>
  <c r="F115" i="11"/>
  <c r="F116" i="13" l="1"/>
  <c r="T115" i="1"/>
  <c r="AI115" i="1" l="1"/>
  <c r="AJ115" i="1" s="1"/>
  <c r="M116" i="13" s="1"/>
  <c r="G116" i="13"/>
  <c r="E115" i="31"/>
  <c r="F116" i="1" l="1"/>
  <c r="G116" i="1"/>
  <c r="C115" i="31"/>
  <c r="B115" i="31"/>
  <c r="AM115" i="1"/>
  <c r="N116" i="13" s="1"/>
  <c r="AN115" i="1"/>
  <c r="D115" i="31" l="1"/>
  <c r="C114" i="11"/>
  <c r="E116" i="1"/>
  <c r="D116" i="1" s="1"/>
  <c r="Q116" i="1" s="1"/>
  <c r="S116" i="1" s="1"/>
  <c r="H115" i="31" l="1"/>
  <c r="Q116" i="13" s="1"/>
  <c r="O116" i="13"/>
  <c r="F115" i="31"/>
  <c r="P116" i="13" s="1"/>
  <c r="G114" i="11"/>
  <c r="H114" i="11" s="1"/>
  <c r="J116" i="13" s="1"/>
  <c r="K116" i="13"/>
  <c r="D114" i="11"/>
  <c r="A115" i="11"/>
  <c r="C117" i="13"/>
  <c r="B117" i="13"/>
  <c r="C116" i="1"/>
  <c r="AE116" i="1"/>
  <c r="I117" i="1"/>
  <c r="L116" i="1"/>
  <c r="H117" i="1"/>
  <c r="D117" i="13" l="1"/>
  <c r="AH116" i="1"/>
  <c r="Y116" i="1"/>
  <c r="X116" i="1" s="1"/>
  <c r="W116" i="1" s="1"/>
  <c r="V116" i="1" s="1"/>
  <c r="U116" i="1" s="1"/>
  <c r="L117" i="13"/>
  <c r="AF116" i="1"/>
  <c r="E117" i="13"/>
  <c r="F116" i="11"/>
  <c r="AK116" i="1"/>
  <c r="H116" i="13"/>
  <c r="E114" i="11"/>
  <c r="I116" i="13" s="1"/>
  <c r="T116" i="1" l="1"/>
  <c r="F117" i="13"/>
  <c r="AI116" i="1" l="1"/>
  <c r="AJ116" i="1" s="1"/>
  <c r="M117" i="13" s="1"/>
  <c r="E116" i="31"/>
  <c r="G117" i="13"/>
  <c r="F117" i="1"/>
  <c r="AN116" i="1"/>
  <c r="G117" i="1" l="1"/>
  <c r="E117" i="1" s="1"/>
  <c r="D117" i="1" s="1"/>
  <c r="Q117" i="1" s="1"/>
  <c r="S117" i="1" s="1"/>
  <c r="C115" i="11"/>
  <c r="B116" i="31"/>
  <c r="C116" i="31"/>
  <c r="AM116" i="1"/>
  <c r="N117" i="13" s="1"/>
  <c r="D116" i="31" l="1"/>
  <c r="C118" i="13"/>
  <c r="B118" i="13"/>
  <c r="C117" i="1"/>
  <c r="AE117" i="1"/>
  <c r="A116" i="11"/>
  <c r="I118" i="1"/>
  <c r="H118" i="1"/>
  <c r="L117" i="1"/>
  <c r="K117" i="13"/>
  <c r="G115" i="11"/>
  <c r="H115" i="11" s="1"/>
  <c r="J117" i="13" s="1"/>
  <c r="D115" i="11"/>
  <c r="D118" i="13" l="1"/>
  <c r="H116" i="31"/>
  <c r="Q117" i="13" s="1"/>
  <c r="O117" i="13"/>
  <c r="AH117" i="1"/>
  <c r="F116" i="31"/>
  <c r="P117" i="13" s="1"/>
  <c r="E115" i="11"/>
  <c r="I117" i="13" s="1"/>
  <c r="H117" i="13"/>
  <c r="Y117" i="1"/>
  <c r="X117" i="1" s="1"/>
  <c r="W117" i="1" s="1"/>
  <c r="V117" i="1" s="1"/>
  <c r="U117" i="1" s="1"/>
  <c r="E118" i="13"/>
  <c r="AF117" i="1"/>
  <c r="AK117" i="1"/>
  <c r="F117" i="11"/>
  <c r="L118" i="13"/>
  <c r="F118" i="13" l="1"/>
  <c r="T117" i="1"/>
  <c r="G118" i="13" l="1"/>
  <c r="E117" i="31"/>
  <c r="AI117" i="1"/>
  <c r="AJ117" i="1" s="1"/>
  <c r="M118" i="13" s="1"/>
  <c r="G118" i="1" l="1"/>
  <c r="F118" i="1"/>
  <c r="C117" i="31"/>
  <c r="B117" i="31"/>
  <c r="AM117" i="1"/>
  <c r="N118" i="13" s="1"/>
  <c r="AN117" i="1"/>
  <c r="E118" i="1" l="1"/>
  <c r="D118" i="1" s="1"/>
  <c r="Q118" i="1" s="1"/>
  <c r="S118" i="1" s="1"/>
  <c r="C116" i="11"/>
  <c r="D117" i="31"/>
  <c r="O118" i="13" s="1"/>
  <c r="F117" i="31" l="1"/>
  <c r="P118" i="13" s="1"/>
  <c r="H117" i="31"/>
  <c r="Q118" i="13" s="1"/>
  <c r="K118" i="13"/>
  <c r="G116" i="11"/>
  <c r="H116" i="11" s="1"/>
  <c r="J118" i="13" s="1"/>
  <c r="D116" i="11"/>
  <c r="B119" i="13"/>
  <c r="C118" i="1"/>
  <c r="AE118" i="1"/>
  <c r="A117" i="11"/>
  <c r="C119" i="13"/>
  <c r="I119" i="1"/>
  <c r="L118" i="1"/>
  <c r="H119" i="1"/>
  <c r="D119" i="13" l="1"/>
  <c r="AH118" i="1"/>
  <c r="Y118" i="1"/>
  <c r="X118" i="1" s="1"/>
  <c r="W118" i="1" s="1"/>
  <c r="V118" i="1" s="1"/>
  <c r="U118" i="1" s="1"/>
  <c r="E119" i="13"/>
  <c r="AF118" i="1"/>
  <c r="F118" i="11"/>
  <c r="AK118" i="1"/>
  <c r="L119" i="13"/>
  <c r="H118" i="13"/>
  <c r="E116" i="11"/>
  <c r="I118" i="13" s="1"/>
  <c r="F119" i="13" l="1"/>
  <c r="T118" i="1"/>
  <c r="E118" i="31" l="1"/>
  <c r="G119" i="13"/>
  <c r="AN118" i="1"/>
  <c r="C117" i="11" s="1"/>
  <c r="AI118" i="1"/>
  <c r="AJ118" i="1" s="1"/>
  <c r="M119" i="13" s="1"/>
  <c r="F119" i="1" l="1"/>
  <c r="G119" i="1"/>
  <c r="B118" i="31"/>
  <c r="C118" i="31"/>
  <c r="AM118" i="1"/>
  <c r="N119" i="13" s="1"/>
  <c r="K119" i="13"/>
  <c r="G117" i="11"/>
  <c r="H117" i="11" s="1"/>
  <c r="J119" i="13" s="1"/>
  <c r="D117" i="11"/>
  <c r="E119" i="1" l="1"/>
  <c r="D119" i="1" s="1"/>
  <c r="Q119" i="1" s="1"/>
  <c r="S119" i="1" s="1"/>
  <c r="E117" i="11"/>
  <c r="I119" i="13" s="1"/>
  <c r="H119" i="13"/>
  <c r="D118" i="31"/>
  <c r="O119" i="13" s="1"/>
  <c r="C120" i="13" l="1"/>
  <c r="I120" i="1"/>
  <c r="B120" i="13"/>
  <c r="H120" i="1"/>
  <c r="C119" i="1"/>
  <c r="L119" i="1"/>
  <c r="AE119" i="1"/>
  <c r="A118" i="11"/>
  <c r="L120" i="13" s="1"/>
  <c r="F118" i="31"/>
  <c r="P119" i="13" s="1"/>
  <c r="H118" i="31"/>
  <c r="Q119" i="13" s="1"/>
  <c r="E120" i="13" l="1"/>
  <c r="D120" i="13"/>
  <c r="Y119" i="1"/>
  <c r="X119" i="1" s="1"/>
  <c r="W119" i="1" s="1"/>
  <c r="V119" i="1" s="1"/>
  <c r="U119" i="1" s="1"/>
  <c r="F120" i="13" s="1"/>
  <c r="AH119" i="1"/>
  <c r="AF119" i="1"/>
  <c r="AK119" i="1"/>
  <c r="F119" i="11"/>
  <c r="T119" i="1" l="1"/>
  <c r="G120" i="13" s="1"/>
  <c r="AN119" i="1"/>
  <c r="G120" i="1" l="1"/>
  <c r="E119" i="31"/>
  <c r="F120" i="1"/>
  <c r="E120" i="1" s="1"/>
  <c r="D120" i="1" s="1"/>
  <c r="Q120" i="1" s="1"/>
  <c r="S120" i="1" s="1"/>
  <c r="AI119" i="1"/>
  <c r="AJ119" i="1" s="1"/>
  <c r="M120" i="13" s="1"/>
  <c r="C118" i="11"/>
  <c r="C119" i="31" l="1"/>
  <c r="B119" i="31"/>
  <c r="AM119" i="1"/>
  <c r="N120" i="13" s="1"/>
  <c r="K120" i="13"/>
  <c r="G118" i="11"/>
  <c r="H118" i="11" s="1"/>
  <c r="J120" i="13" s="1"/>
  <c r="D118" i="11"/>
  <c r="C120" i="1"/>
  <c r="B121" i="13"/>
  <c r="A119" i="11"/>
  <c r="AE120" i="1"/>
  <c r="C121" i="13"/>
  <c r="I121" i="1"/>
  <c r="H121" i="1"/>
  <c r="L120" i="1"/>
  <c r="D121" i="13" l="1"/>
  <c r="D119" i="31"/>
  <c r="F119" i="31" s="1"/>
  <c r="P120" i="13" s="1"/>
  <c r="O120" i="13"/>
  <c r="AH120" i="1"/>
  <c r="L121" i="13"/>
  <c r="E121" i="13"/>
  <c r="AF120" i="1"/>
  <c r="F120" i="11"/>
  <c r="AK120" i="1"/>
  <c r="Y120" i="1"/>
  <c r="X120" i="1" s="1"/>
  <c r="W120" i="1" s="1"/>
  <c r="V120" i="1" s="1"/>
  <c r="U120" i="1" s="1"/>
  <c r="H120" i="13"/>
  <c r="E118" i="11"/>
  <c r="I120" i="13" s="1"/>
  <c r="H119" i="31" l="1"/>
  <c r="Q120" i="13" s="1"/>
  <c r="T120" i="1"/>
  <c r="F121" i="13"/>
  <c r="AI120" i="1" l="1"/>
  <c r="AJ120" i="1" s="1"/>
  <c r="M121" i="13" s="1"/>
  <c r="E120" i="31"/>
  <c r="G121" i="13"/>
  <c r="F121" i="1" l="1"/>
  <c r="G121" i="1"/>
  <c r="C120" i="31"/>
  <c r="B120" i="31"/>
  <c r="AM120" i="1"/>
  <c r="N121" i="13" s="1"/>
  <c r="AN120" i="1"/>
  <c r="C119" i="11" s="1"/>
  <c r="K121" i="13" l="1"/>
  <c r="G119" i="11"/>
  <c r="H119" i="11" s="1"/>
  <c r="J121" i="13" s="1"/>
  <c r="D119" i="11"/>
  <c r="D120" i="31"/>
  <c r="O121" i="13" s="1"/>
  <c r="E121" i="1"/>
  <c r="D121" i="1" s="1"/>
  <c r="Q121" i="1" s="1"/>
  <c r="S121" i="1" s="1"/>
  <c r="F120" i="31" l="1"/>
  <c r="P121" i="13" s="1"/>
  <c r="H120" i="31"/>
  <c r="Q121" i="13" s="1"/>
  <c r="E119" i="11"/>
  <c r="I121" i="13" s="1"/>
  <c r="H121" i="13"/>
  <c r="C121" i="1"/>
  <c r="A120" i="11"/>
  <c r="C122" i="13"/>
  <c r="B122" i="13"/>
  <c r="AE121" i="1"/>
  <c r="H122" i="1"/>
  <c r="I122" i="1"/>
  <c r="L121" i="1"/>
  <c r="D122" i="13" l="1"/>
  <c r="AH121" i="1"/>
  <c r="Y121" i="1"/>
  <c r="X121" i="1" s="1"/>
  <c r="W121" i="1" s="1"/>
  <c r="V121" i="1" s="1"/>
  <c r="U121" i="1" s="1"/>
  <c r="L122" i="13"/>
  <c r="AF121" i="1"/>
  <c r="E122" i="13"/>
  <c r="F121" i="11"/>
  <c r="AK121" i="1"/>
  <c r="F122" i="13" l="1"/>
  <c r="T121" i="1"/>
  <c r="AI121" i="1" l="1"/>
  <c r="AJ121" i="1" s="1"/>
  <c r="M122" i="13" s="1"/>
  <c r="E121" i="31"/>
  <c r="G122" i="13"/>
  <c r="AN121" i="1"/>
  <c r="F122" i="1" l="1"/>
  <c r="G122" i="1"/>
  <c r="C120" i="11"/>
  <c r="C121" i="31"/>
  <c r="B121" i="31"/>
  <c r="AM121" i="1"/>
  <c r="N122" i="13" s="1"/>
  <c r="E122" i="1" l="1"/>
  <c r="D122" i="1" s="1"/>
  <c r="Q122" i="1" s="1"/>
  <c r="S122" i="1" s="1"/>
  <c r="D121" i="31"/>
  <c r="O122" i="13" s="1"/>
  <c r="K122" i="13"/>
  <c r="G120" i="11"/>
  <c r="H120" i="11" s="1"/>
  <c r="J122" i="13" s="1"/>
  <c r="D120" i="11"/>
  <c r="C122" i="1" l="1"/>
  <c r="D123" i="13" s="1"/>
  <c r="A121" i="11"/>
  <c r="L123" i="13" s="1"/>
  <c r="H123" i="1"/>
  <c r="AH122" i="1" s="1"/>
  <c r="I123" i="1"/>
  <c r="AE122" i="1"/>
  <c r="L122" i="1"/>
  <c r="B123" i="13"/>
  <c r="C123" i="13"/>
  <c r="E120" i="11"/>
  <c r="I122" i="13" s="1"/>
  <c r="H122" i="13"/>
  <c r="F121" i="31"/>
  <c r="P122" i="13" s="1"/>
  <c r="H121" i="31"/>
  <c r="Q122" i="13" s="1"/>
  <c r="F122" i="11" l="1"/>
  <c r="Y122" i="1"/>
  <c r="X122" i="1" s="1"/>
  <c r="W122" i="1" s="1"/>
  <c r="V122" i="1" s="1"/>
  <c r="U122" i="1" s="1"/>
  <c r="F123" i="13" s="1"/>
  <c r="AF122" i="1"/>
  <c r="E123" i="13"/>
  <c r="AK122" i="1"/>
  <c r="T122" i="1" l="1"/>
  <c r="AI122" i="1" s="1"/>
  <c r="AJ122" i="1" s="1"/>
  <c r="M123" i="13" s="1"/>
  <c r="AN122" i="1"/>
  <c r="G123" i="13" l="1"/>
  <c r="E122" i="31"/>
  <c r="G123" i="1"/>
  <c r="F123" i="1"/>
  <c r="C121" i="11"/>
  <c r="C122" i="31"/>
  <c r="B122" i="31"/>
  <c r="AM122" i="1"/>
  <c r="N123" i="13" s="1"/>
  <c r="E123" i="1" l="1"/>
  <c r="D123" i="1" s="1"/>
  <c r="Q123" i="1" s="1"/>
  <c r="S123" i="1" s="1"/>
  <c r="D122" i="31"/>
  <c r="O123" i="13" s="1"/>
  <c r="K123" i="13"/>
  <c r="G121" i="11"/>
  <c r="H121" i="11" s="1"/>
  <c r="J123" i="13" s="1"/>
  <c r="D121" i="11"/>
  <c r="C123" i="1" l="1"/>
  <c r="D124" i="13" s="1"/>
  <c r="H124" i="1"/>
  <c r="L123" i="1"/>
  <c r="AE123" i="1"/>
  <c r="B124" i="13"/>
  <c r="C124" i="13"/>
  <c r="A122" i="11"/>
  <c r="L124" i="13" s="1"/>
  <c r="I124" i="1"/>
  <c r="E121" i="11"/>
  <c r="I123" i="13" s="1"/>
  <c r="H123" i="13"/>
  <c r="F122" i="31"/>
  <c r="P123" i="13" s="1"/>
  <c r="H122" i="31"/>
  <c r="Q123" i="13" s="1"/>
  <c r="F123" i="11" l="1"/>
  <c r="AH123" i="1"/>
  <c r="Y123" i="1"/>
  <c r="X123" i="1" s="1"/>
  <c r="W123" i="1" s="1"/>
  <c r="V123" i="1" s="1"/>
  <c r="U123" i="1" s="1"/>
  <c r="F124" i="13" s="1"/>
  <c r="E124" i="13"/>
  <c r="AK123" i="1"/>
  <c r="AF123" i="1"/>
  <c r="T123" i="1" l="1"/>
  <c r="E123" i="31" s="1"/>
  <c r="AN123" i="1"/>
  <c r="G124" i="13" l="1"/>
  <c r="AI123" i="1"/>
  <c r="AJ123" i="1" s="1"/>
  <c r="M124" i="13" s="1"/>
  <c r="F124" i="1"/>
  <c r="G124" i="1"/>
  <c r="C122" i="11"/>
  <c r="AM123" i="1" l="1"/>
  <c r="N124" i="13" s="1"/>
  <c r="C123" i="31"/>
  <c r="B123" i="31"/>
  <c r="E124" i="1"/>
  <c r="D124" i="1" s="1"/>
  <c r="Q124" i="1" s="1"/>
  <c r="S124" i="1" s="1"/>
  <c r="G122" i="11"/>
  <c r="H122" i="11" s="1"/>
  <c r="J124" i="13" s="1"/>
  <c r="K124" i="13"/>
  <c r="D122" i="11"/>
  <c r="AE124" i="1" l="1"/>
  <c r="D123" i="31"/>
  <c r="O124" i="13" s="1"/>
  <c r="H125" i="1"/>
  <c r="C124" i="1"/>
  <c r="C125" i="13"/>
  <c r="L124" i="1"/>
  <c r="B125" i="13"/>
  <c r="I125" i="1"/>
  <c r="A123" i="11"/>
  <c r="L125" i="13" s="1"/>
  <c r="E122" i="11"/>
  <c r="I124" i="13" s="1"/>
  <c r="H124" i="13"/>
  <c r="E125" i="13" l="1"/>
  <c r="D125" i="13"/>
  <c r="H123" i="31"/>
  <c r="Q124" i="13" s="1"/>
  <c r="F123" i="31"/>
  <c r="P124" i="13" s="1"/>
  <c r="AH124" i="1"/>
  <c r="Y124" i="1"/>
  <c r="X124" i="1" s="1"/>
  <c r="W124" i="1" s="1"/>
  <c r="V124" i="1" s="1"/>
  <c r="U124" i="1" s="1"/>
  <c r="T124" i="1" s="1"/>
  <c r="F124" i="11"/>
  <c r="AK124" i="1"/>
  <c r="AF124" i="1"/>
  <c r="F125" i="13" l="1"/>
  <c r="AI124" i="1"/>
  <c r="AJ124" i="1" s="1"/>
  <c r="M125" i="13" s="1"/>
  <c r="G125" i="13"/>
  <c r="E124" i="31"/>
  <c r="G125" i="1" l="1"/>
  <c r="F125" i="1"/>
  <c r="AN124" i="1"/>
  <c r="C124" i="31"/>
  <c r="B124" i="31"/>
  <c r="AM124" i="1"/>
  <c r="N125" i="13" s="1"/>
  <c r="D124" i="31" l="1"/>
  <c r="O125" i="13" s="1"/>
  <c r="C123" i="11"/>
  <c r="E125" i="1"/>
  <c r="D125" i="1" s="1"/>
  <c r="Q125" i="1" s="1"/>
  <c r="S125" i="1" s="1"/>
  <c r="H124" i="31" l="1"/>
  <c r="Q125" i="13" s="1"/>
  <c r="F124" i="31"/>
  <c r="P125" i="13" s="1"/>
  <c r="A124" i="11"/>
  <c r="C125" i="1"/>
  <c r="B126" i="13"/>
  <c r="C126" i="13"/>
  <c r="AE125" i="1"/>
  <c r="I126" i="1"/>
  <c r="H126" i="1"/>
  <c r="L125" i="1"/>
  <c r="K125" i="13"/>
  <c r="G123" i="11"/>
  <c r="H123" i="11" s="1"/>
  <c r="J125" i="13" s="1"/>
  <c r="D123" i="11"/>
  <c r="D126" i="13" l="1"/>
  <c r="AH125" i="1"/>
  <c r="E126" i="13"/>
  <c r="AF125" i="1"/>
  <c r="AK125" i="1"/>
  <c r="F125" i="11"/>
  <c r="L126" i="13"/>
  <c r="E123" i="11"/>
  <c r="I125" i="13" s="1"/>
  <c r="H125" i="13"/>
  <c r="Y125" i="1"/>
  <c r="X125" i="1" s="1"/>
  <c r="W125" i="1" s="1"/>
  <c r="V125" i="1" s="1"/>
  <c r="U125" i="1" s="1"/>
  <c r="T125" i="1" l="1"/>
  <c r="AI125" i="1" s="1"/>
  <c r="AJ125" i="1" s="1"/>
  <c r="F126" i="13"/>
  <c r="AM125" i="1" l="1"/>
  <c r="N126" i="13" s="1"/>
  <c r="M126" i="13"/>
  <c r="C125" i="31"/>
  <c r="B125" i="31"/>
  <c r="E125" i="31"/>
  <c r="G126" i="13"/>
  <c r="AN125" i="1"/>
  <c r="G126" i="1"/>
  <c r="F126" i="1"/>
  <c r="D125" i="31" l="1"/>
  <c r="C124" i="11"/>
  <c r="E126" i="1"/>
  <c r="D126" i="1" s="1"/>
  <c r="Q126" i="1" s="1"/>
  <c r="S126" i="1" s="1"/>
  <c r="H125" i="31" l="1"/>
  <c r="Q126" i="13" s="1"/>
  <c r="O126" i="13"/>
  <c r="F125" i="31"/>
  <c r="P126" i="13" s="1"/>
  <c r="K126" i="13"/>
  <c r="G124" i="11"/>
  <c r="H124" i="11" s="1"/>
  <c r="J126" i="13" s="1"/>
  <c r="D124" i="11"/>
  <c r="C126" i="1"/>
  <c r="B127" i="13"/>
  <c r="AE126" i="1"/>
  <c r="C127" i="13"/>
  <c r="A125" i="11"/>
  <c r="I127" i="1"/>
  <c r="L126" i="1"/>
  <c r="H127" i="1"/>
  <c r="D127" i="13" l="1"/>
  <c r="L127" i="13"/>
  <c r="AF126" i="1"/>
  <c r="E127" i="13"/>
  <c r="AK126" i="1"/>
  <c r="F126" i="11"/>
  <c r="E124" i="11"/>
  <c r="I126" i="13" s="1"/>
  <c r="H126" i="13"/>
  <c r="Y126" i="1"/>
  <c r="X126" i="1" s="1"/>
  <c r="W126" i="1" s="1"/>
  <c r="V126" i="1" s="1"/>
  <c r="U126" i="1" s="1"/>
  <c r="AH126" i="1"/>
  <c r="T126" i="1" l="1"/>
  <c r="F127" i="13"/>
  <c r="AI126" i="1" l="1"/>
  <c r="AJ126" i="1" s="1"/>
  <c r="M127" i="13" s="1"/>
  <c r="G127" i="13"/>
  <c r="E126" i="31"/>
  <c r="F127" i="1"/>
  <c r="AN126" i="1"/>
  <c r="G127" i="1" l="1"/>
  <c r="E127" i="1" s="1"/>
  <c r="D127" i="1" s="1"/>
  <c r="Q127" i="1" s="1"/>
  <c r="S127" i="1" s="1"/>
  <c r="C125" i="11"/>
  <c r="B126" i="31"/>
  <c r="C126" i="31"/>
  <c r="AM126" i="1"/>
  <c r="N127" i="13" s="1"/>
  <c r="D126" i="31" l="1"/>
  <c r="B128" i="13"/>
  <c r="C128" i="13"/>
  <c r="A126" i="11"/>
  <c r="AE127" i="1"/>
  <c r="C127" i="1"/>
  <c r="I128" i="1"/>
  <c r="H128" i="1"/>
  <c r="L127" i="1"/>
  <c r="K127" i="13"/>
  <c r="G125" i="11"/>
  <c r="H125" i="11" s="1"/>
  <c r="J127" i="13" s="1"/>
  <c r="D125" i="11"/>
  <c r="D128" i="13" l="1"/>
  <c r="F126" i="31"/>
  <c r="P127" i="13" s="1"/>
  <c r="O127" i="13"/>
  <c r="AH127" i="1"/>
  <c r="H126" i="31"/>
  <c r="Q127" i="13" s="1"/>
  <c r="E128" i="13"/>
  <c r="AF127" i="1"/>
  <c r="AK127" i="1"/>
  <c r="F127" i="11"/>
  <c r="H127" i="13"/>
  <c r="E125" i="11"/>
  <c r="I127" i="13" s="1"/>
  <c r="Y127" i="1"/>
  <c r="X127" i="1" s="1"/>
  <c r="W127" i="1" s="1"/>
  <c r="V127" i="1" s="1"/>
  <c r="U127" i="1" s="1"/>
  <c r="L128" i="13"/>
  <c r="T127" i="1" l="1"/>
  <c r="AI127" i="1" s="1"/>
  <c r="AJ127" i="1" s="1"/>
  <c r="M128" i="13" s="1"/>
  <c r="F128" i="13"/>
  <c r="B127" i="31" l="1"/>
  <c r="C127" i="31"/>
  <c r="AM127" i="1"/>
  <c r="N128" i="13" s="1"/>
  <c r="E127" i="31"/>
  <c r="G128" i="13"/>
  <c r="AN127" i="1"/>
  <c r="G128" i="1"/>
  <c r="F128" i="1"/>
  <c r="E128" i="1" l="1"/>
  <c r="D128" i="1" s="1"/>
  <c r="Q128" i="1" s="1"/>
  <c r="S128" i="1" s="1"/>
  <c r="C126" i="11"/>
  <c r="D127" i="31"/>
  <c r="H127" i="31" l="1"/>
  <c r="Q128" i="13" s="1"/>
  <c r="O128" i="13"/>
  <c r="G126" i="11"/>
  <c r="H126" i="11" s="1"/>
  <c r="J128" i="13" s="1"/>
  <c r="K128" i="13"/>
  <c r="D126" i="11"/>
  <c r="AE128" i="1"/>
  <c r="C129" i="13"/>
  <c r="A127" i="11"/>
  <c r="B129" i="13"/>
  <c r="C128" i="1"/>
  <c r="I129" i="1"/>
  <c r="L128" i="1"/>
  <c r="H129" i="1"/>
  <c r="F127" i="31"/>
  <c r="P128" i="13" s="1"/>
  <c r="D129" i="13" l="1"/>
  <c r="AH128" i="1"/>
  <c r="AF128" i="1"/>
  <c r="E129" i="13"/>
  <c r="AK128" i="1"/>
  <c r="F128" i="11"/>
  <c r="H128" i="13"/>
  <c r="E126" i="11"/>
  <c r="I128" i="13" s="1"/>
  <c r="Y128" i="1"/>
  <c r="X128" i="1" s="1"/>
  <c r="W128" i="1" s="1"/>
  <c r="V128" i="1" s="1"/>
  <c r="U128" i="1" s="1"/>
  <c r="L129" i="13"/>
  <c r="T128" i="1" l="1"/>
  <c r="F129" i="13"/>
  <c r="AI128" i="1" l="1"/>
  <c r="AJ128" i="1" s="1"/>
  <c r="M129" i="13" s="1"/>
  <c r="E128" i="31"/>
  <c r="G129" i="13"/>
  <c r="AN128" i="1"/>
  <c r="G129" i="1" l="1"/>
  <c r="F129" i="1"/>
  <c r="C127" i="11"/>
  <c r="B128" i="31"/>
  <c r="C128" i="31"/>
  <c r="AM128" i="1"/>
  <c r="N129" i="13" s="1"/>
  <c r="E129" i="1" l="1"/>
  <c r="D129" i="1" s="1"/>
  <c r="Q129" i="1" s="1"/>
  <c r="S129" i="1" s="1"/>
  <c r="D128" i="31"/>
  <c r="G127" i="11"/>
  <c r="H127" i="11" s="1"/>
  <c r="J129" i="13" s="1"/>
  <c r="K129" i="13"/>
  <c r="D127" i="11"/>
  <c r="AE129" i="1" l="1"/>
  <c r="L129" i="1"/>
  <c r="H130" i="1"/>
  <c r="Y129" i="1" s="1"/>
  <c r="A128" i="11"/>
  <c r="L130" i="13" s="1"/>
  <c r="I130" i="1"/>
  <c r="C130" i="13"/>
  <c r="B130" i="13"/>
  <c r="C129" i="1"/>
  <c r="F128" i="31"/>
  <c r="P129" i="13" s="1"/>
  <c r="O129" i="13"/>
  <c r="H128" i="31"/>
  <c r="Q129" i="13" s="1"/>
  <c r="H129" i="13"/>
  <c r="E127" i="11"/>
  <c r="I129" i="13" s="1"/>
  <c r="AK129" i="1" l="1"/>
  <c r="D130" i="13"/>
  <c r="AF129" i="1"/>
  <c r="E130" i="13"/>
  <c r="F129" i="11"/>
  <c r="X129" i="1"/>
  <c r="W129" i="1" s="1"/>
  <c r="V129" i="1" s="1"/>
  <c r="U129" i="1" s="1"/>
  <c r="T129" i="1" s="1"/>
  <c r="AH129" i="1"/>
  <c r="F130" i="13" l="1"/>
  <c r="AI129" i="1"/>
  <c r="AJ129" i="1" s="1"/>
  <c r="M130" i="13" s="1"/>
  <c r="E129" i="31"/>
  <c r="G130" i="13"/>
  <c r="G130" i="1"/>
  <c r="AN129" i="1"/>
  <c r="F130" i="1" l="1"/>
  <c r="E130" i="1" s="1"/>
  <c r="D130" i="1" s="1"/>
  <c r="Q130" i="1" s="1"/>
  <c r="S130" i="1" s="1"/>
  <c r="C128" i="11"/>
  <c r="B129" i="31"/>
  <c r="C129" i="31"/>
  <c r="AM129" i="1"/>
  <c r="N130" i="13" s="1"/>
  <c r="D129" i="31" l="1"/>
  <c r="K130" i="13"/>
  <c r="G128" i="11"/>
  <c r="H128" i="11" s="1"/>
  <c r="J130" i="13" s="1"/>
  <c r="D128" i="11"/>
  <c r="C131" i="13"/>
  <c r="AE130" i="1"/>
  <c r="A129" i="11"/>
  <c r="B131" i="13"/>
  <c r="C130" i="1"/>
  <c r="L130" i="1"/>
  <c r="H131" i="1"/>
  <c r="I131" i="1"/>
  <c r="D131" i="13" l="1"/>
  <c r="F129" i="31"/>
  <c r="P130" i="13" s="1"/>
  <c r="O130" i="13"/>
  <c r="AH130" i="1"/>
  <c r="H129" i="31"/>
  <c r="Q130" i="13" s="1"/>
  <c r="L131" i="13"/>
  <c r="E131" i="13"/>
  <c r="AF130" i="1"/>
  <c r="AK130" i="1"/>
  <c r="F130" i="11"/>
  <c r="Y130" i="1"/>
  <c r="X130" i="1" s="1"/>
  <c r="W130" i="1" s="1"/>
  <c r="V130" i="1" s="1"/>
  <c r="U130" i="1" s="1"/>
  <c r="H130" i="13"/>
  <c r="E128" i="11"/>
  <c r="I130" i="13" s="1"/>
  <c r="F131" i="13" l="1"/>
  <c r="T130" i="1"/>
  <c r="AI130" i="1" l="1"/>
  <c r="AJ130" i="1" s="1"/>
  <c r="M131" i="13" s="1"/>
  <c r="G131" i="13"/>
  <c r="E130" i="31"/>
  <c r="AN130" i="1"/>
  <c r="C129" i="11" s="1"/>
  <c r="G131" i="1" l="1"/>
  <c r="F131" i="1"/>
  <c r="K131" i="13"/>
  <c r="G129" i="11"/>
  <c r="H129" i="11" s="1"/>
  <c r="J131" i="13" s="1"/>
  <c r="D129" i="11"/>
  <c r="B130" i="31"/>
  <c r="C130" i="31"/>
  <c r="AM130" i="1"/>
  <c r="N131" i="13" s="1"/>
  <c r="E131" i="1" l="1"/>
  <c r="D131" i="1" s="1"/>
  <c r="Q131" i="1" s="1"/>
  <c r="S131" i="1" s="1"/>
  <c r="D130" i="31"/>
  <c r="H131" i="13"/>
  <c r="E129" i="11"/>
  <c r="I131" i="13" s="1"/>
  <c r="C132" i="13" l="1"/>
  <c r="C131" i="1"/>
  <c r="A130" i="11"/>
  <c r="L132" i="13" s="1"/>
  <c r="AE131" i="1"/>
  <c r="H132" i="1"/>
  <c r="AH131" i="1" s="1"/>
  <c r="B132" i="13"/>
  <c r="I132" i="1"/>
  <c r="L131" i="1"/>
  <c r="F130" i="31"/>
  <c r="P131" i="13" s="1"/>
  <c r="O131" i="13"/>
  <c r="H130" i="31"/>
  <c r="Q131" i="13" s="1"/>
  <c r="F131" i="11" l="1"/>
  <c r="D132" i="13"/>
  <c r="Y131" i="1"/>
  <c r="X131" i="1" s="1"/>
  <c r="W131" i="1" s="1"/>
  <c r="V131" i="1" s="1"/>
  <c r="U131" i="1" s="1"/>
  <c r="T131" i="1" s="1"/>
  <c r="E131" i="31" s="1"/>
  <c r="AK131" i="1"/>
  <c r="AF131" i="1"/>
  <c r="E132" i="13"/>
  <c r="AN131" i="1"/>
  <c r="G132" i="13" l="1"/>
  <c r="AI131" i="1"/>
  <c r="AJ131" i="1" s="1"/>
  <c r="M132" i="13" s="1"/>
  <c r="F132" i="13"/>
  <c r="F132" i="1"/>
  <c r="G132" i="1"/>
  <c r="C130" i="11"/>
  <c r="C131" i="31" l="1"/>
  <c r="B131" i="31"/>
  <c r="AM131" i="1"/>
  <c r="N132" i="13" s="1"/>
  <c r="E132" i="1"/>
  <c r="D132" i="1" s="1"/>
  <c r="Q132" i="1" s="1"/>
  <c r="S132" i="1" s="1"/>
  <c r="K132" i="13"/>
  <c r="G130" i="11"/>
  <c r="H130" i="11" s="1"/>
  <c r="J132" i="13" s="1"/>
  <c r="D130" i="11"/>
  <c r="AE132" i="1" l="1"/>
  <c r="D131" i="31"/>
  <c r="O132" i="13" s="1"/>
  <c r="C133" i="13"/>
  <c r="H133" i="1"/>
  <c r="A131" i="11"/>
  <c r="L133" i="13" s="1"/>
  <c r="C132" i="1"/>
  <c r="L132" i="1"/>
  <c r="B133" i="13"/>
  <c r="I133" i="1"/>
  <c r="E130" i="11"/>
  <c r="I132" i="13" s="1"/>
  <c r="H132" i="13"/>
  <c r="F132" i="11" l="1"/>
  <c r="D133" i="13"/>
  <c r="H131" i="31"/>
  <c r="Q132" i="13" s="1"/>
  <c r="F131" i="31"/>
  <c r="P132" i="13" s="1"/>
  <c r="AH132" i="1"/>
  <c r="Y132" i="1"/>
  <c r="X132" i="1" s="1"/>
  <c r="W132" i="1" s="1"/>
  <c r="V132" i="1" s="1"/>
  <c r="U132" i="1" s="1"/>
  <c r="T132" i="1" s="1"/>
  <c r="E133" i="13"/>
  <c r="AF132" i="1"/>
  <c r="AK132" i="1"/>
  <c r="F133" i="13" l="1"/>
  <c r="E132" i="31"/>
  <c r="G133" i="13"/>
  <c r="AN132" i="1"/>
  <c r="AI132" i="1"/>
  <c r="AJ132" i="1" s="1"/>
  <c r="M133" i="13" s="1"/>
  <c r="G133" i="1" l="1"/>
  <c r="F133" i="1"/>
  <c r="C132" i="31"/>
  <c r="B132" i="31"/>
  <c r="AM132" i="1"/>
  <c r="N133" i="13" s="1"/>
  <c r="C131" i="11"/>
  <c r="E133" i="1" l="1"/>
  <c r="D133" i="1" s="1"/>
  <c r="Q133" i="1" s="1"/>
  <c r="S133" i="1" s="1"/>
  <c r="D132" i="31"/>
  <c r="K133" i="13"/>
  <c r="G131" i="11"/>
  <c r="H131" i="11" s="1"/>
  <c r="J133" i="13" s="1"/>
  <c r="D131" i="11"/>
  <c r="C133" i="1" l="1"/>
  <c r="I134" i="1"/>
  <c r="A132" i="11"/>
  <c r="L134" i="13" s="1"/>
  <c r="L133" i="1"/>
  <c r="AE133" i="1"/>
  <c r="B134" i="13"/>
  <c r="C134" i="13"/>
  <c r="H134" i="1"/>
  <c r="AH133" i="1" s="1"/>
  <c r="H132" i="31"/>
  <c r="Q133" i="13" s="1"/>
  <c r="O133" i="13"/>
  <c r="F132" i="31"/>
  <c r="P133" i="13" s="1"/>
  <c r="H133" i="13"/>
  <c r="E131" i="11"/>
  <c r="I133" i="13" s="1"/>
  <c r="D134" i="13" l="1"/>
  <c r="AK133" i="1"/>
  <c r="Y133" i="1"/>
  <c r="X133" i="1" s="1"/>
  <c r="W133" i="1" s="1"/>
  <c r="V133" i="1" s="1"/>
  <c r="U133" i="1" s="1"/>
  <c r="F134" i="13" s="1"/>
  <c r="F133" i="11"/>
  <c r="AF133" i="1"/>
  <c r="E134" i="13"/>
  <c r="T133" i="1" l="1"/>
  <c r="AI133" i="1" s="1"/>
  <c r="AJ133" i="1" s="1"/>
  <c r="M134" i="13" s="1"/>
  <c r="AN133" i="1"/>
  <c r="G134" i="1" l="1"/>
  <c r="E133" i="31"/>
  <c r="G134" i="13"/>
  <c r="F134" i="1"/>
  <c r="E134" i="1" s="1"/>
  <c r="D134" i="1" s="1"/>
  <c r="Q134" i="1" s="1"/>
  <c r="S134" i="1" s="1"/>
  <c r="C132" i="11"/>
  <c r="B133" i="31"/>
  <c r="C133" i="31"/>
  <c r="AM133" i="1"/>
  <c r="N134" i="13" s="1"/>
  <c r="D133" i="31" l="1"/>
  <c r="G132" i="11"/>
  <c r="H132" i="11" s="1"/>
  <c r="J134" i="13" s="1"/>
  <c r="K134" i="13"/>
  <c r="D132" i="11"/>
  <c r="A133" i="11"/>
  <c r="C135" i="13"/>
  <c r="C134" i="1"/>
  <c r="AE134" i="1"/>
  <c r="B135" i="13"/>
  <c r="L134" i="1"/>
  <c r="I135" i="1"/>
  <c r="H135" i="1"/>
  <c r="D135" i="13" l="1"/>
  <c r="H133" i="31"/>
  <c r="Q134" i="13" s="1"/>
  <c r="O134" i="13"/>
  <c r="AH134" i="1"/>
  <c r="F133" i="31"/>
  <c r="P134" i="13" s="1"/>
  <c r="E135" i="13"/>
  <c r="AF134" i="1"/>
  <c r="F134" i="11"/>
  <c r="AK134" i="1"/>
  <c r="Y134" i="1"/>
  <c r="X134" i="1" s="1"/>
  <c r="W134" i="1" s="1"/>
  <c r="V134" i="1" s="1"/>
  <c r="U134" i="1" s="1"/>
  <c r="L135" i="13"/>
  <c r="E132" i="11"/>
  <c r="I134" i="13" s="1"/>
  <c r="H134" i="13"/>
  <c r="F135" i="13" l="1"/>
  <c r="T134" i="1"/>
  <c r="AI134" i="1" l="1"/>
  <c r="AJ134" i="1" s="1"/>
  <c r="M135" i="13" s="1"/>
  <c r="G135" i="13"/>
  <c r="E134" i="31"/>
  <c r="G135" i="1"/>
  <c r="F135" i="1" l="1"/>
  <c r="B134" i="31"/>
  <c r="C134" i="31"/>
  <c r="AM134" i="1"/>
  <c r="N135" i="13" s="1"/>
  <c r="AN134" i="1"/>
  <c r="D134" i="31" l="1"/>
  <c r="C133" i="11"/>
  <c r="E135" i="1"/>
  <c r="D135" i="1" s="1"/>
  <c r="Q135" i="1" s="1"/>
  <c r="S135" i="1" s="1"/>
  <c r="F134" i="31" l="1"/>
  <c r="P135" i="13" s="1"/>
  <c r="O135" i="13"/>
  <c r="H134" i="31"/>
  <c r="Q135" i="13" s="1"/>
  <c r="K135" i="13"/>
  <c r="G133" i="11"/>
  <c r="H133" i="11" s="1"/>
  <c r="J135" i="13" s="1"/>
  <c r="D133" i="11"/>
  <c r="C135" i="1"/>
  <c r="C136" i="13"/>
  <c r="AE135" i="1"/>
  <c r="B136" i="13"/>
  <c r="A134" i="11"/>
  <c r="H136" i="1"/>
  <c r="L135" i="1"/>
  <c r="I136" i="1"/>
  <c r="D136" i="13" l="1"/>
  <c r="L136" i="13"/>
  <c r="AF135" i="1"/>
  <c r="E136" i="13"/>
  <c r="AK135" i="1"/>
  <c r="F135" i="11"/>
  <c r="E133" i="11"/>
  <c r="I135" i="13" s="1"/>
  <c r="H135" i="13"/>
  <c r="Y135" i="1"/>
  <c r="X135" i="1" s="1"/>
  <c r="W135" i="1" s="1"/>
  <c r="V135" i="1" s="1"/>
  <c r="U135" i="1" s="1"/>
  <c r="AH135" i="1"/>
  <c r="T135" i="1" l="1"/>
  <c r="F136" i="13"/>
  <c r="AI135" i="1" l="1"/>
  <c r="AJ135" i="1" s="1"/>
  <c r="M136" i="13" s="1"/>
  <c r="E135" i="31"/>
  <c r="G136" i="13"/>
  <c r="AN135" i="1"/>
  <c r="G136" i="1" l="1"/>
  <c r="F136" i="1"/>
  <c r="C134" i="11"/>
  <c r="C135" i="31"/>
  <c r="B135" i="31"/>
  <c r="AM135" i="1"/>
  <c r="N136" i="13" s="1"/>
  <c r="E136" i="1" l="1"/>
  <c r="D136" i="1" s="1"/>
  <c r="Q136" i="1" s="1"/>
  <c r="S136" i="1" s="1"/>
  <c r="D135" i="31"/>
  <c r="O136" i="13" s="1"/>
  <c r="K136" i="13"/>
  <c r="G134" i="11"/>
  <c r="H134" i="11" s="1"/>
  <c r="J136" i="13" s="1"/>
  <c r="D134" i="11"/>
  <c r="B137" i="13" l="1"/>
  <c r="I137" i="1"/>
  <c r="L136" i="1"/>
  <c r="C136" i="1"/>
  <c r="C137" i="13"/>
  <c r="A135" i="11"/>
  <c r="L137" i="13" s="1"/>
  <c r="AE136" i="1"/>
  <c r="H137" i="1"/>
  <c r="AH136" i="1" s="1"/>
  <c r="H136" i="13"/>
  <c r="E134" i="11"/>
  <c r="I136" i="13" s="1"/>
  <c r="F135" i="31"/>
  <c r="P136" i="13" s="1"/>
  <c r="H135" i="31"/>
  <c r="Q136" i="13" s="1"/>
  <c r="F136" i="11" l="1"/>
  <c r="D137" i="13"/>
  <c r="Y136" i="1"/>
  <c r="X136" i="1" s="1"/>
  <c r="W136" i="1" s="1"/>
  <c r="V136" i="1" s="1"/>
  <c r="U136" i="1" s="1"/>
  <c r="F137" i="13" s="1"/>
  <c r="AF136" i="1"/>
  <c r="E137" i="13"/>
  <c r="AK136" i="1"/>
  <c r="T136" i="1" l="1"/>
  <c r="AI136" i="1" s="1"/>
  <c r="AJ136" i="1" s="1"/>
  <c r="M137" i="13" s="1"/>
  <c r="AN136" i="1"/>
  <c r="G137" i="13" l="1"/>
  <c r="E136" i="31"/>
  <c r="F137" i="1"/>
  <c r="G137" i="1"/>
  <c r="C135" i="11"/>
  <c r="B136" i="31"/>
  <c r="C136" i="31"/>
  <c r="AM136" i="1"/>
  <c r="N137" i="13" s="1"/>
  <c r="E137" i="1" l="1"/>
  <c r="D137" i="1" s="1"/>
  <c r="Q137" i="1" s="1"/>
  <c r="S137" i="1" s="1"/>
  <c r="D136" i="31"/>
  <c r="K137" i="13"/>
  <c r="G135" i="11"/>
  <c r="H135" i="11" s="1"/>
  <c r="J137" i="13" s="1"/>
  <c r="D135" i="11"/>
  <c r="AE137" i="1" l="1"/>
  <c r="L137" i="1"/>
  <c r="I138" i="1"/>
  <c r="C138" i="13"/>
  <c r="H138" i="1"/>
  <c r="B138" i="13"/>
  <c r="C137" i="1"/>
  <c r="A136" i="11"/>
  <c r="L138" i="13" s="1"/>
  <c r="F136" i="31"/>
  <c r="P137" i="13" s="1"/>
  <c r="O137" i="13"/>
  <c r="H136" i="31"/>
  <c r="Q137" i="13" s="1"/>
  <c r="H137" i="13"/>
  <c r="E135" i="11"/>
  <c r="I137" i="13" s="1"/>
  <c r="F137" i="11" l="1"/>
  <c r="D138" i="13"/>
  <c r="AK137" i="1"/>
  <c r="AF137" i="1"/>
  <c r="E138" i="13"/>
  <c r="Y137" i="1"/>
  <c r="X137" i="1" s="1"/>
  <c r="W137" i="1" s="1"/>
  <c r="V137" i="1" s="1"/>
  <c r="U137" i="1" s="1"/>
  <c r="F138" i="13" s="1"/>
  <c r="AH137" i="1"/>
  <c r="T137" i="1" l="1"/>
  <c r="E137" i="31" s="1"/>
  <c r="AN137" i="1"/>
  <c r="C136" i="11" s="1"/>
  <c r="G138" i="13" l="1"/>
  <c r="AI137" i="1"/>
  <c r="AJ137" i="1" s="1"/>
  <c r="M138" i="13" s="1"/>
  <c r="F138" i="1"/>
  <c r="G138" i="1"/>
  <c r="G136" i="11"/>
  <c r="H136" i="11" s="1"/>
  <c r="J138" i="13" s="1"/>
  <c r="K138" i="13"/>
  <c r="D136" i="11"/>
  <c r="C137" i="31" l="1"/>
  <c r="AM137" i="1"/>
  <c r="N138" i="13" s="1"/>
  <c r="B137" i="31"/>
  <c r="E138" i="1"/>
  <c r="D138" i="1" s="1"/>
  <c r="Q138" i="1" s="1"/>
  <c r="S138" i="1" s="1"/>
  <c r="H138" i="13"/>
  <c r="E136" i="11"/>
  <c r="I138" i="13" s="1"/>
  <c r="C139" i="13" l="1"/>
  <c r="D137" i="31"/>
  <c r="O138" i="13" s="1"/>
  <c r="L138" i="1"/>
  <c r="I139" i="1"/>
  <c r="B139" i="13"/>
  <c r="C138" i="1"/>
  <c r="A137" i="11"/>
  <c r="L139" i="13" s="1"/>
  <c r="H139" i="1"/>
  <c r="Y138" i="1" s="1"/>
  <c r="AE138" i="1"/>
  <c r="AF138" i="1" l="1"/>
  <c r="D139" i="13"/>
  <c r="AK138" i="1"/>
  <c r="F137" i="31"/>
  <c r="P138" i="13" s="1"/>
  <c r="H137" i="31"/>
  <c r="Q138" i="13" s="1"/>
  <c r="E139" i="13"/>
  <c r="F138" i="11"/>
  <c r="X138" i="1"/>
  <c r="W138" i="1" s="1"/>
  <c r="V138" i="1" s="1"/>
  <c r="U138" i="1" s="1"/>
  <c r="T138" i="1" s="1"/>
  <c r="AH138" i="1"/>
  <c r="AI138" i="1" l="1"/>
  <c r="AJ138" i="1" s="1"/>
  <c r="M139" i="13" s="1"/>
  <c r="F139" i="13"/>
  <c r="E138" i="31"/>
  <c r="G139" i="13"/>
  <c r="F139" i="1"/>
  <c r="G139" i="1"/>
  <c r="AN138" i="1"/>
  <c r="B138" i="31" l="1"/>
  <c r="C138" i="31"/>
  <c r="AM138" i="1"/>
  <c r="N139" i="13" s="1"/>
  <c r="C137" i="11"/>
  <c r="E139" i="1"/>
  <c r="D139" i="1" s="1"/>
  <c r="Q139" i="1" s="1"/>
  <c r="S139" i="1" s="1"/>
  <c r="D138" i="31" l="1"/>
  <c r="O139" i="13" s="1"/>
  <c r="A138" i="11"/>
  <c r="B140" i="13"/>
  <c r="AE139" i="1"/>
  <c r="C139" i="1"/>
  <c r="C140" i="13"/>
  <c r="I140" i="1"/>
  <c r="H140" i="1"/>
  <c r="L139" i="1"/>
  <c r="K139" i="13"/>
  <c r="G137" i="11"/>
  <c r="H137" i="11" s="1"/>
  <c r="J139" i="13" s="1"/>
  <c r="D137" i="11"/>
  <c r="F138" i="31" l="1"/>
  <c r="P139" i="13" s="1"/>
  <c r="H138" i="31"/>
  <c r="Q139" i="13" s="1"/>
  <c r="D140" i="13"/>
  <c r="AH139" i="1"/>
  <c r="AF139" i="1"/>
  <c r="E140" i="13"/>
  <c r="F139" i="11"/>
  <c r="AK139" i="1"/>
  <c r="L140" i="13"/>
  <c r="H139" i="13"/>
  <c r="E137" i="11"/>
  <c r="I139" i="13" s="1"/>
  <c r="Y139" i="1"/>
  <c r="X139" i="1" s="1"/>
  <c r="W139" i="1" s="1"/>
  <c r="V139" i="1" s="1"/>
  <c r="U139" i="1" s="1"/>
  <c r="T139" i="1" l="1"/>
  <c r="F140" i="13"/>
  <c r="AI139" i="1" l="1"/>
  <c r="AJ139" i="1" s="1"/>
  <c r="M140" i="13" s="1"/>
  <c r="G140" i="13"/>
  <c r="E139" i="31"/>
  <c r="AN139" i="1"/>
  <c r="F140" i="1" l="1"/>
  <c r="G140" i="1"/>
  <c r="C138" i="11"/>
  <c r="B139" i="31"/>
  <c r="C139" i="31"/>
  <c r="AM139" i="1"/>
  <c r="N140" i="13" s="1"/>
  <c r="E140" i="1" l="1"/>
  <c r="D140" i="1" s="1"/>
  <c r="Q140" i="1" s="1"/>
  <c r="S140" i="1" s="1"/>
  <c r="D139" i="31"/>
  <c r="G138" i="11"/>
  <c r="H138" i="11" s="1"/>
  <c r="J140" i="13" s="1"/>
  <c r="K140" i="13"/>
  <c r="D138" i="11"/>
  <c r="A139" i="11" l="1"/>
  <c r="L141" i="13" s="1"/>
  <c r="L140" i="1"/>
  <c r="H141" i="1"/>
  <c r="Y140" i="1" s="1"/>
  <c r="AE140" i="1"/>
  <c r="C141" i="13"/>
  <c r="C140" i="1"/>
  <c r="B141" i="13"/>
  <c r="I141" i="1"/>
  <c r="F139" i="31"/>
  <c r="P140" i="13" s="1"/>
  <c r="O140" i="13"/>
  <c r="H139" i="31"/>
  <c r="Q140" i="13" s="1"/>
  <c r="H140" i="13"/>
  <c r="E138" i="11"/>
  <c r="I140" i="13" s="1"/>
  <c r="AK140" i="1" l="1"/>
  <c r="D141" i="13"/>
  <c r="AH140" i="1"/>
  <c r="F140" i="11"/>
  <c r="E141" i="13"/>
  <c r="AF140" i="1"/>
  <c r="X140" i="1"/>
  <c r="W140" i="1" s="1"/>
  <c r="V140" i="1" s="1"/>
  <c r="U140" i="1" s="1"/>
  <c r="F141" i="13" s="1"/>
  <c r="T140" i="1" l="1"/>
  <c r="AI140" i="1" s="1"/>
  <c r="AJ140" i="1" s="1"/>
  <c r="M141" i="13" s="1"/>
  <c r="G141" i="13" l="1"/>
  <c r="E140" i="31"/>
  <c r="G141" i="1"/>
  <c r="F141" i="1"/>
  <c r="C140" i="31"/>
  <c r="B140" i="31"/>
  <c r="AM140" i="1"/>
  <c r="N141" i="13" s="1"/>
  <c r="AN140" i="1"/>
  <c r="D140" i="31" l="1"/>
  <c r="E141" i="1"/>
  <c r="D141" i="1" s="1"/>
  <c r="Q141" i="1" s="1"/>
  <c r="S141" i="1" s="1"/>
  <c r="C139" i="11"/>
  <c r="H140" i="31" l="1"/>
  <c r="Q141" i="13" s="1"/>
  <c r="O141" i="13"/>
  <c r="F140" i="31"/>
  <c r="P141" i="13" s="1"/>
  <c r="K141" i="13"/>
  <c r="G139" i="11"/>
  <c r="H139" i="11" s="1"/>
  <c r="J141" i="13" s="1"/>
  <c r="D139" i="11"/>
  <c r="B142" i="13"/>
  <c r="AE141" i="1"/>
  <c r="C141" i="1"/>
  <c r="A140" i="11"/>
  <c r="C142" i="13"/>
  <c r="I142" i="1"/>
  <c r="L141" i="1"/>
  <c r="H142" i="1"/>
  <c r="D142" i="13" l="1"/>
  <c r="AH141" i="1"/>
  <c r="AF141" i="1"/>
  <c r="E142" i="13"/>
  <c r="F141" i="11"/>
  <c r="AK141" i="1"/>
  <c r="L142" i="13"/>
  <c r="E139" i="11"/>
  <c r="I141" i="13" s="1"/>
  <c r="H141" i="13"/>
  <c r="Y141" i="1"/>
  <c r="X141" i="1" s="1"/>
  <c r="W141" i="1" s="1"/>
  <c r="V141" i="1" s="1"/>
  <c r="U141" i="1" s="1"/>
  <c r="T141" i="1" l="1"/>
  <c r="F142" i="13"/>
  <c r="AI141" i="1" l="1"/>
  <c r="AJ141" i="1" s="1"/>
  <c r="M142" i="13" s="1"/>
  <c r="G142" i="13"/>
  <c r="E141" i="31"/>
  <c r="F142" i="1"/>
  <c r="G142" i="1" l="1"/>
  <c r="B141" i="31"/>
  <c r="C141" i="31"/>
  <c r="AM141" i="1"/>
  <c r="N142" i="13" s="1"/>
  <c r="AN141" i="1"/>
  <c r="C140" i="11" l="1"/>
  <c r="E142" i="1"/>
  <c r="D142" i="1" s="1"/>
  <c r="Q142" i="1" s="1"/>
  <c r="S142" i="1" s="1"/>
  <c r="D141" i="31"/>
  <c r="O142" i="13" s="1"/>
  <c r="H141" i="31" l="1"/>
  <c r="Q142" i="13" s="1"/>
  <c r="F141" i="31"/>
  <c r="P142" i="13" s="1"/>
  <c r="K142" i="13"/>
  <c r="G140" i="11"/>
  <c r="H140" i="11" s="1"/>
  <c r="J142" i="13" s="1"/>
  <c r="D140" i="11"/>
  <c r="A141" i="11"/>
  <c r="AE142" i="1"/>
  <c r="C143" i="13"/>
  <c r="B143" i="13"/>
  <c r="C142" i="1"/>
  <c r="L142" i="1"/>
  <c r="I143" i="1"/>
  <c r="H143" i="1"/>
  <c r="D143" i="13" l="1"/>
  <c r="AH142" i="1"/>
  <c r="E140" i="11"/>
  <c r="I142" i="13" s="1"/>
  <c r="H142" i="13"/>
  <c r="E143" i="13"/>
  <c r="AF142" i="1"/>
  <c r="F142" i="11"/>
  <c r="AK142" i="1"/>
  <c r="Y142" i="1"/>
  <c r="X142" i="1" s="1"/>
  <c r="W142" i="1" s="1"/>
  <c r="V142" i="1" s="1"/>
  <c r="U142" i="1" s="1"/>
  <c r="L143" i="13"/>
  <c r="F143" i="13" l="1"/>
  <c r="T142" i="1"/>
  <c r="AI142" i="1" l="1"/>
  <c r="AJ142" i="1" s="1"/>
  <c r="M143" i="13" s="1"/>
  <c r="G143" i="13"/>
  <c r="E142" i="31"/>
  <c r="AN142" i="1"/>
  <c r="F143" i="1"/>
  <c r="G143" i="1" l="1"/>
  <c r="E143" i="1" s="1"/>
  <c r="D143" i="1" s="1"/>
  <c r="Q143" i="1" s="1"/>
  <c r="S143" i="1" s="1"/>
  <c r="C141" i="11"/>
  <c r="B142" i="31"/>
  <c r="C142" i="31"/>
  <c r="AM142" i="1"/>
  <c r="N143" i="13" s="1"/>
  <c r="D142" i="31" l="1"/>
  <c r="G141" i="11"/>
  <c r="H141" i="11" s="1"/>
  <c r="J143" i="13" s="1"/>
  <c r="K143" i="13"/>
  <c r="D141" i="11"/>
  <c r="C144" i="13"/>
  <c r="AE143" i="1"/>
  <c r="C143" i="1"/>
  <c r="A142" i="11"/>
  <c r="B144" i="13"/>
  <c r="I144" i="1"/>
  <c r="L143" i="1"/>
  <c r="H144" i="1"/>
  <c r="D144" i="13" l="1"/>
  <c r="H142" i="31"/>
  <c r="Q143" i="13" s="1"/>
  <c r="O143" i="13"/>
  <c r="AH143" i="1"/>
  <c r="F142" i="31"/>
  <c r="P143" i="13" s="1"/>
  <c r="L144" i="13"/>
  <c r="H143" i="13"/>
  <c r="E141" i="11"/>
  <c r="I143" i="13" s="1"/>
  <c r="AF143" i="1"/>
  <c r="E144" i="13"/>
  <c r="AK143" i="1"/>
  <c r="F143" i="11"/>
  <c r="Y143" i="1"/>
  <c r="X143" i="1" s="1"/>
  <c r="W143" i="1" s="1"/>
  <c r="V143" i="1" s="1"/>
  <c r="U143" i="1" s="1"/>
  <c r="F144" i="13" l="1"/>
  <c r="T143" i="1"/>
  <c r="AI143" i="1" l="1"/>
  <c r="AJ143" i="1" s="1"/>
  <c r="M144" i="13" s="1"/>
  <c r="E143" i="31"/>
  <c r="G144" i="13"/>
  <c r="F144" i="1"/>
  <c r="G144" i="1" l="1"/>
  <c r="AN143" i="1"/>
  <c r="B143" i="31"/>
  <c r="C143" i="31"/>
  <c r="AM143" i="1"/>
  <c r="N144" i="13" s="1"/>
  <c r="C142" i="11" l="1"/>
  <c r="E144" i="1"/>
  <c r="D144" i="1" s="1"/>
  <c r="Q144" i="1" s="1"/>
  <c r="S144" i="1" s="1"/>
  <c r="D143" i="31"/>
  <c r="O144" i="13" s="1"/>
  <c r="H143" i="31" l="1"/>
  <c r="Q144" i="13" s="1"/>
  <c r="F143" i="31"/>
  <c r="P144" i="13" s="1"/>
  <c r="K144" i="13"/>
  <c r="G142" i="11"/>
  <c r="H142" i="11" s="1"/>
  <c r="J144" i="13" s="1"/>
  <c r="D142" i="11"/>
  <c r="C145" i="13"/>
  <c r="B145" i="13"/>
  <c r="AE144" i="1"/>
  <c r="A143" i="11"/>
  <c r="C144" i="1"/>
  <c r="L144" i="1"/>
  <c r="I145" i="1"/>
  <c r="H145" i="1"/>
  <c r="D145" i="13" l="1"/>
  <c r="AH144" i="1"/>
  <c r="L145" i="13"/>
  <c r="H144" i="13"/>
  <c r="E142" i="11"/>
  <c r="I144" i="13" s="1"/>
  <c r="E145" i="13"/>
  <c r="AF144" i="1"/>
  <c r="AK144" i="1"/>
  <c r="F144" i="11"/>
  <c r="Y144" i="1"/>
  <c r="X144" i="1" s="1"/>
  <c r="W144" i="1" s="1"/>
  <c r="V144" i="1" s="1"/>
  <c r="U144" i="1" s="1"/>
  <c r="F145" i="13" l="1"/>
  <c r="T144" i="1"/>
  <c r="AI144" i="1" l="1"/>
  <c r="AJ144" i="1" s="1"/>
  <c r="M145" i="13" s="1"/>
  <c r="E144" i="31"/>
  <c r="G145" i="13"/>
  <c r="AN144" i="1"/>
  <c r="C143" i="11" s="1"/>
  <c r="F145" i="1" l="1"/>
  <c r="G145" i="1"/>
  <c r="K145" i="13"/>
  <c r="G143" i="11"/>
  <c r="H143" i="11" s="1"/>
  <c r="J145" i="13" s="1"/>
  <c r="D143" i="11"/>
  <c r="B144" i="31"/>
  <c r="C144" i="31"/>
  <c r="AM144" i="1"/>
  <c r="N145" i="13" s="1"/>
  <c r="E145" i="1" l="1"/>
  <c r="D145" i="1" s="1"/>
  <c r="Q145" i="1" s="1"/>
  <c r="S145" i="1" s="1"/>
  <c r="D144" i="31"/>
  <c r="H145" i="13"/>
  <c r="E143" i="11"/>
  <c r="I145" i="13" s="1"/>
  <c r="C145" i="1" l="1"/>
  <c r="D146" i="13" s="1"/>
  <c r="L145" i="1"/>
  <c r="C146" i="13"/>
  <c r="AE145" i="1"/>
  <c r="A144" i="11"/>
  <c r="L146" i="13" s="1"/>
  <c r="H146" i="1"/>
  <c r="B146" i="13"/>
  <c r="I146" i="1"/>
  <c r="F144" i="31"/>
  <c r="P145" i="13" s="1"/>
  <c r="O145" i="13"/>
  <c r="H144" i="31"/>
  <c r="Q145" i="13" s="1"/>
  <c r="AF145" i="1" l="1"/>
  <c r="AH145" i="1"/>
  <c r="AK145" i="1"/>
  <c r="E146" i="13"/>
  <c r="F145" i="11"/>
  <c r="Y145" i="1"/>
  <c r="X145" i="1" s="1"/>
  <c r="W145" i="1" s="1"/>
  <c r="V145" i="1" s="1"/>
  <c r="U145" i="1" s="1"/>
  <c r="F146" i="13" s="1"/>
  <c r="AN145" i="1"/>
  <c r="T145" i="1" l="1"/>
  <c r="E145" i="31" s="1"/>
  <c r="C144" i="11"/>
  <c r="G146" i="13" l="1"/>
  <c r="AI145" i="1"/>
  <c r="AJ145" i="1" s="1"/>
  <c r="B145" i="31" s="1"/>
  <c r="G146" i="1"/>
  <c r="M146" i="13"/>
  <c r="F146" i="1"/>
  <c r="K146" i="13"/>
  <c r="G144" i="11"/>
  <c r="H144" i="11" s="1"/>
  <c r="J146" i="13" s="1"/>
  <c r="D144" i="11"/>
  <c r="AM145" i="1" l="1"/>
  <c r="N146" i="13" s="1"/>
  <c r="C145" i="31"/>
  <c r="D145" i="31" s="1"/>
  <c r="F145" i="31" s="1"/>
  <c r="P146" i="13" s="1"/>
  <c r="E146" i="1"/>
  <c r="D146" i="1" s="1"/>
  <c r="Q146" i="1" s="1"/>
  <c r="S146" i="1" s="1"/>
  <c r="O146" i="13"/>
  <c r="E144" i="11"/>
  <c r="I146" i="13" s="1"/>
  <c r="H146" i="13"/>
  <c r="A145" i="11" l="1"/>
  <c r="L147" i="13" s="1"/>
  <c r="B147" i="13"/>
  <c r="C147" i="13"/>
  <c r="I147" i="1"/>
  <c r="L146" i="1"/>
  <c r="AE146" i="1"/>
  <c r="H147" i="1"/>
  <c r="C146" i="1"/>
  <c r="H145" i="31"/>
  <c r="Q146" i="13" s="1"/>
  <c r="F146" i="11" l="1"/>
  <c r="D147" i="13"/>
  <c r="Y146" i="1"/>
  <c r="X146" i="1" s="1"/>
  <c r="W146" i="1" s="1"/>
  <c r="V146" i="1" s="1"/>
  <c r="U146" i="1" s="1"/>
  <c r="T146" i="1" s="1"/>
  <c r="AH146" i="1"/>
  <c r="E147" i="13"/>
  <c r="AK146" i="1"/>
  <c r="AF146" i="1"/>
  <c r="AN146" i="1"/>
  <c r="AI146" i="1" l="1"/>
  <c r="AJ146" i="1" s="1"/>
  <c r="M147" i="13" s="1"/>
  <c r="F147" i="13"/>
  <c r="E146" i="31"/>
  <c r="G147" i="13"/>
  <c r="F147" i="1"/>
  <c r="G147" i="1"/>
  <c r="C145" i="11"/>
  <c r="C146" i="31" l="1"/>
  <c r="B146" i="31"/>
  <c r="AM146" i="1"/>
  <c r="N147" i="13" s="1"/>
  <c r="E147" i="1"/>
  <c r="D147" i="1" s="1"/>
  <c r="Q147" i="1" s="1"/>
  <c r="S147" i="1" s="1"/>
  <c r="K147" i="13"/>
  <c r="G145" i="11"/>
  <c r="H145" i="11" s="1"/>
  <c r="J147" i="13" s="1"/>
  <c r="D145" i="11"/>
  <c r="D146" i="31" l="1"/>
  <c r="O147" i="13" s="1"/>
  <c r="AE147" i="1"/>
  <c r="L147" i="1"/>
  <c r="C147" i="1"/>
  <c r="A146" i="11"/>
  <c r="L148" i="13" s="1"/>
  <c r="I148" i="1"/>
  <c r="H148" i="1"/>
  <c r="B148" i="13"/>
  <c r="C148" i="13"/>
  <c r="H147" i="13"/>
  <c r="E145" i="11"/>
  <c r="I147" i="13" s="1"/>
  <c r="H146" i="31" l="1"/>
  <c r="Q147" i="13" s="1"/>
  <c r="F146" i="31"/>
  <c r="P147" i="13" s="1"/>
  <c r="E148" i="13"/>
  <c r="D148" i="13"/>
  <c r="AH147" i="1"/>
  <c r="F147" i="11"/>
  <c r="AK147" i="1"/>
  <c r="Y147" i="1"/>
  <c r="X147" i="1" s="1"/>
  <c r="W147" i="1" s="1"/>
  <c r="V147" i="1" s="1"/>
  <c r="U147" i="1" s="1"/>
  <c r="F148" i="13" s="1"/>
  <c r="AF147" i="1"/>
  <c r="T147" i="1" l="1"/>
  <c r="AI147" i="1" s="1"/>
  <c r="AJ147" i="1" s="1"/>
  <c r="M148" i="13" s="1"/>
  <c r="AN147" i="1"/>
  <c r="G148" i="13" l="1"/>
  <c r="E147" i="31"/>
  <c r="G148" i="1"/>
  <c r="F148" i="1"/>
  <c r="C146" i="11"/>
  <c r="C147" i="31"/>
  <c r="B147" i="31"/>
  <c r="AM147" i="1"/>
  <c r="N148" i="13" s="1"/>
  <c r="E148" i="1" l="1"/>
  <c r="D148" i="1" s="1"/>
  <c r="Q148" i="1" s="1"/>
  <c r="S148" i="1" s="1"/>
  <c r="D147" i="31"/>
  <c r="O148" i="13" s="1"/>
  <c r="K148" i="13"/>
  <c r="G146" i="11"/>
  <c r="H146" i="11" s="1"/>
  <c r="J148" i="13" s="1"/>
  <c r="D146" i="11"/>
  <c r="C149" i="13" l="1"/>
  <c r="I149" i="1"/>
  <c r="C148" i="1"/>
  <c r="L148" i="1"/>
  <c r="AE148" i="1"/>
  <c r="A147" i="11"/>
  <c r="L149" i="13" s="1"/>
  <c r="B149" i="13"/>
  <c r="H149" i="1"/>
  <c r="Y148" i="1" s="1"/>
  <c r="E146" i="11"/>
  <c r="I148" i="13" s="1"/>
  <c r="H148" i="13"/>
  <c r="H147" i="31"/>
  <c r="Q148" i="13" s="1"/>
  <c r="F147" i="31"/>
  <c r="P148" i="13" s="1"/>
  <c r="E149" i="13" l="1"/>
  <c r="D149" i="13"/>
  <c r="AH148" i="1"/>
  <c r="AK148" i="1"/>
  <c r="F148" i="11"/>
  <c r="X148" i="1"/>
  <c r="W148" i="1" s="1"/>
  <c r="V148" i="1" s="1"/>
  <c r="U148" i="1" s="1"/>
  <c r="F149" i="13" s="1"/>
  <c r="AF148" i="1"/>
  <c r="T148" i="1" l="1"/>
  <c r="E148" i="31" s="1"/>
  <c r="AI148" i="1" l="1"/>
  <c r="AJ148" i="1" s="1"/>
  <c r="M149" i="13" s="1"/>
  <c r="G149" i="13"/>
  <c r="G149" i="1"/>
  <c r="F149" i="1"/>
  <c r="AN148" i="1"/>
  <c r="AM148" i="1" l="1"/>
  <c r="N149" i="13" s="1"/>
  <c r="B148" i="31"/>
  <c r="C148" i="31"/>
  <c r="C147" i="11"/>
  <c r="E149" i="1"/>
  <c r="D149" i="1" s="1"/>
  <c r="Q149" i="1" s="1"/>
  <c r="S149" i="1" s="1"/>
  <c r="D148" i="31" l="1"/>
  <c r="H148" i="31" s="1"/>
  <c r="Q149" i="13" s="1"/>
  <c r="O149" i="13"/>
  <c r="K149" i="13"/>
  <c r="G147" i="11"/>
  <c r="H147" i="11" s="1"/>
  <c r="J149" i="13" s="1"/>
  <c r="D147" i="11"/>
  <c r="B150" i="13"/>
  <c r="C149" i="1"/>
  <c r="AE149" i="1"/>
  <c r="C150" i="13"/>
  <c r="A148" i="11"/>
  <c r="L149" i="1"/>
  <c r="I150" i="1"/>
  <c r="H150" i="1"/>
  <c r="D150" i="13" l="1"/>
  <c r="F148" i="31"/>
  <c r="P149" i="13" s="1"/>
  <c r="Y149" i="1"/>
  <c r="X149" i="1" s="1"/>
  <c r="W149" i="1" s="1"/>
  <c r="V149" i="1" s="1"/>
  <c r="U149" i="1" s="1"/>
  <c r="H149" i="13"/>
  <c r="E147" i="11"/>
  <c r="I149" i="13" s="1"/>
  <c r="L150" i="13"/>
  <c r="E150" i="13"/>
  <c r="AF149" i="1"/>
  <c r="AK149" i="1"/>
  <c r="F149" i="11"/>
  <c r="AH149" i="1"/>
  <c r="T149" i="1" l="1"/>
  <c r="F150" i="13"/>
  <c r="AI149" i="1" l="1"/>
  <c r="AJ149" i="1" s="1"/>
  <c r="M150" i="13" s="1"/>
  <c r="G150" i="13"/>
  <c r="E149" i="31"/>
  <c r="AN149" i="1"/>
  <c r="G150" i="1" l="1"/>
  <c r="F150" i="1"/>
  <c r="C148" i="11"/>
  <c r="C149" i="31"/>
  <c r="B149" i="31"/>
  <c r="AM149" i="1"/>
  <c r="N150" i="13" s="1"/>
  <c r="E150" i="1" l="1"/>
  <c r="D150" i="1" s="1"/>
  <c r="Q150" i="1" s="1"/>
  <c r="S150" i="1" s="1"/>
  <c r="D149" i="31"/>
  <c r="O150" i="13" s="1"/>
  <c r="G148" i="11"/>
  <c r="H148" i="11" s="1"/>
  <c r="J150" i="13" s="1"/>
  <c r="K150" i="13"/>
  <c r="D148" i="11"/>
  <c r="B151" i="13" l="1"/>
  <c r="I151" i="1"/>
  <c r="A149" i="11"/>
  <c r="L151" i="13" s="1"/>
  <c r="L150" i="1"/>
  <c r="C150" i="1"/>
  <c r="C151" i="13"/>
  <c r="AE150" i="1"/>
  <c r="H151" i="1"/>
  <c r="E148" i="11"/>
  <c r="I150" i="13" s="1"/>
  <c r="H150" i="13"/>
  <c r="F149" i="31"/>
  <c r="P150" i="13" s="1"/>
  <c r="H149" i="31"/>
  <c r="Q150" i="13" s="1"/>
  <c r="E151" i="13" l="1"/>
  <c r="D151" i="13"/>
  <c r="Y150" i="1"/>
  <c r="X150" i="1" s="1"/>
  <c r="W150" i="1" s="1"/>
  <c r="V150" i="1" s="1"/>
  <c r="U150" i="1" s="1"/>
  <c r="T150" i="1" s="1"/>
  <c r="AH150" i="1"/>
  <c r="AK150" i="1"/>
  <c r="F150" i="11"/>
  <c r="AF150" i="1"/>
  <c r="F151" i="13" l="1"/>
  <c r="AI150" i="1"/>
  <c r="AJ150" i="1" s="1"/>
  <c r="M151" i="13" s="1"/>
  <c r="G151" i="13"/>
  <c r="E150" i="31"/>
  <c r="AN150" i="1"/>
  <c r="G151" i="1" l="1"/>
  <c r="F151" i="1"/>
  <c r="C149" i="11"/>
  <c r="B150" i="31"/>
  <c r="C150" i="31"/>
  <c r="AM150" i="1"/>
  <c r="N151" i="13" s="1"/>
  <c r="E151" i="1" l="1"/>
  <c r="D151" i="1" s="1"/>
  <c r="Q151" i="1" s="1"/>
  <c r="S151" i="1" s="1"/>
  <c r="D150" i="31"/>
  <c r="K151" i="13"/>
  <c r="G149" i="11"/>
  <c r="H149" i="11" s="1"/>
  <c r="J151" i="13" s="1"/>
  <c r="D149" i="11"/>
  <c r="A150" i="11" l="1"/>
  <c r="L152" i="13" s="1"/>
  <c r="I152" i="1"/>
  <c r="H152" i="1"/>
  <c r="B152" i="13"/>
  <c r="AE151" i="1"/>
  <c r="L151" i="1"/>
  <c r="C151" i="1"/>
  <c r="C152" i="13"/>
  <c r="H150" i="31"/>
  <c r="Q151" i="13" s="1"/>
  <c r="O151" i="13"/>
  <c r="F150" i="31"/>
  <c r="P151" i="13" s="1"/>
  <c r="H151" i="13"/>
  <c r="E149" i="11"/>
  <c r="I151" i="13" s="1"/>
  <c r="AF151" i="1" l="1"/>
  <c r="D152" i="13"/>
  <c r="AH151" i="1"/>
  <c r="AK151" i="1"/>
  <c r="F151" i="11"/>
  <c r="E152" i="13"/>
  <c r="Y151" i="1"/>
  <c r="X151" i="1" s="1"/>
  <c r="W151" i="1" s="1"/>
  <c r="V151" i="1" s="1"/>
  <c r="U151" i="1" s="1"/>
  <c r="F152" i="13" s="1"/>
  <c r="T151" i="1" l="1"/>
  <c r="AI151" i="1" s="1"/>
  <c r="AJ151" i="1" s="1"/>
  <c r="M152" i="13" s="1"/>
  <c r="AN151" i="1"/>
  <c r="G152" i="13" l="1"/>
  <c r="E151" i="31"/>
  <c r="F152" i="1"/>
  <c r="G152" i="1"/>
  <c r="C150" i="11"/>
  <c r="B151" i="31"/>
  <c r="C151" i="31"/>
  <c r="AM151" i="1"/>
  <c r="N152" i="13" s="1"/>
  <c r="E152" i="1" l="1"/>
  <c r="D152" i="1" s="1"/>
  <c r="Q152" i="1" s="1"/>
  <c r="S152" i="1" s="1"/>
  <c r="D151" i="31"/>
  <c r="G150" i="11"/>
  <c r="H150" i="11" s="1"/>
  <c r="J152" i="13" s="1"/>
  <c r="K152" i="13"/>
  <c r="D150" i="11"/>
  <c r="C152" i="1" l="1"/>
  <c r="H153" i="1"/>
  <c r="A151" i="11"/>
  <c r="L153" i="13" s="1"/>
  <c r="AE152" i="1"/>
  <c r="L152" i="1"/>
  <c r="I153" i="1"/>
  <c r="C153" i="13"/>
  <c r="B153" i="13"/>
  <c r="F151" i="31"/>
  <c r="P152" i="13" s="1"/>
  <c r="O152" i="13"/>
  <c r="H151" i="31"/>
  <c r="Q152" i="13" s="1"/>
  <c r="H152" i="13"/>
  <c r="E150" i="11"/>
  <c r="I152" i="13" s="1"/>
  <c r="D153" i="13" l="1"/>
  <c r="E153" i="13"/>
  <c r="F152" i="11"/>
  <c r="AK152" i="1"/>
  <c r="AH152" i="1"/>
  <c r="AF152" i="1"/>
  <c r="Y152" i="1"/>
  <c r="X152" i="1" s="1"/>
  <c r="W152" i="1" s="1"/>
  <c r="V152" i="1" s="1"/>
  <c r="U152" i="1" s="1"/>
  <c r="T152" i="1" s="1"/>
  <c r="F153" i="13" l="1"/>
  <c r="AI152" i="1"/>
  <c r="AJ152" i="1" s="1"/>
  <c r="M153" i="13" s="1"/>
  <c r="E152" i="31"/>
  <c r="G153" i="13"/>
  <c r="AN152" i="1"/>
  <c r="F153" i="1" l="1"/>
  <c r="G153" i="1"/>
  <c r="C151" i="11"/>
  <c r="B152" i="31"/>
  <c r="C152" i="31"/>
  <c r="AM152" i="1"/>
  <c r="N153" i="13" s="1"/>
  <c r="E153" i="1" l="1"/>
  <c r="D153" i="1" s="1"/>
  <c r="Q153" i="1" s="1"/>
  <c r="S153" i="1" s="1"/>
  <c r="D152" i="31"/>
  <c r="G151" i="11"/>
  <c r="H151" i="11" s="1"/>
  <c r="J153" i="13" s="1"/>
  <c r="K153" i="13"/>
  <c r="D151" i="11"/>
  <c r="B154" i="13" l="1"/>
  <c r="A152" i="11"/>
  <c r="L154" i="13" s="1"/>
  <c r="H154" i="1"/>
  <c r="I154" i="1"/>
  <c r="AH153" i="1" s="1"/>
  <c r="AE153" i="1"/>
  <c r="C154" i="13"/>
  <c r="C153" i="1"/>
  <c r="L153" i="1"/>
  <c r="F152" i="31"/>
  <c r="P153" i="13" s="1"/>
  <c r="O153" i="13"/>
  <c r="H152" i="31"/>
  <c r="Q153" i="13" s="1"/>
  <c r="H153" i="13"/>
  <c r="E151" i="11"/>
  <c r="I153" i="13" s="1"/>
  <c r="AF153" i="1" l="1"/>
  <c r="D154" i="13"/>
  <c r="Y153" i="1"/>
  <c r="X153" i="1" s="1"/>
  <c r="W153" i="1" s="1"/>
  <c r="V153" i="1" s="1"/>
  <c r="U153" i="1" s="1"/>
  <c r="F154" i="13" s="1"/>
  <c r="E154" i="13"/>
  <c r="F153" i="11"/>
  <c r="AK153" i="1"/>
  <c r="T153" i="1" l="1"/>
  <c r="AI153" i="1" s="1"/>
  <c r="AJ153" i="1" s="1"/>
  <c r="M154" i="13" s="1"/>
  <c r="AN153" i="1"/>
  <c r="F154" i="1" l="1"/>
  <c r="G154" i="13"/>
  <c r="E153" i="31"/>
  <c r="G154" i="1"/>
  <c r="C152" i="11"/>
  <c r="C153" i="31"/>
  <c r="B153" i="31"/>
  <c r="AM153" i="1"/>
  <c r="N154" i="13" s="1"/>
  <c r="E154" i="1" l="1"/>
  <c r="D154" i="1" s="1"/>
  <c r="Q154" i="1" s="1"/>
  <c r="S154" i="1" s="1"/>
  <c r="D153" i="31"/>
  <c r="O154" i="13" s="1"/>
  <c r="G152" i="11"/>
  <c r="H152" i="11" s="1"/>
  <c r="J154" i="13" s="1"/>
  <c r="K154" i="13"/>
  <c r="D152" i="11"/>
  <c r="AE154" i="1" l="1"/>
  <c r="L154" i="1"/>
  <c r="C154" i="1"/>
  <c r="H155" i="1"/>
  <c r="C155" i="13"/>
  <c r="I155" i="1"/>
  <c r="A153" i="11"/>
  <c r="L155" i="13" s="1"/>
  <c r="B155" i="13"/>
  <c r="E152" i="11"/>
  <c r="I154" i="13" s="1"/>
  <c r="H154" i="13"/>
  <c r="F153" i="31"/>
  <c r="P154" i="13" s="1"/>
  <c r="H153" i="31"/>
  <c r="Q154" i="13" s="1"/>
  <c r="F154" i="11" l="1"/>
  <c r="D155" i="13"/>
  <c r="AH154" i="1"/>
  <c r="Y154" i="1"/>
  <c r="X154" i="1" s="1"/>
  <c r="W154" i="1" s="1"/>
  <c r="V154" i="1" s="1"/>
  <c r="U154" i="1" s="1"/>
  <c r="F155" i="13" s="1"/>
  <c r="AF154" i="1"/>
  <c r="E155" i="13"/>
  <c r="AK154" i="1"/>
  <c r="T154" i="1" l="1"/>
  <c r="AI154" i="1" s="1"/>
  <c r="AJ154" i="1" s="1"/>
  <c r="M155" i="13" s="1"/>
  <c r="G155" i="13" l="1"/>
  <c r="E154" i="31"/>
  <c r="F155" i="1"/>
  <c r="G155" i="1"/>
  <c r="AN154" i="1"/>
  <c r="B154" i="31"/>
  <c r="C154" i="31"/>
  <c r="AM154" i="1"/>
  <c r="N155" i="13" s="1"/>
  <c r="D154" i="31" l="1"/>
  <c r="C153" i="11"/>
  <c r="E155" i="1"/>
  <c r="D155" i="1" s="1"/>
  <c r="Q155" i="1" s="1"/>
  <c r="S155" i="1" s="1"/>
  <c r="F154" i="31" l="1"/>
  <c r="P155" i="13" s="1"/>
  <c r="O155" i="13"/>
  <c r="H154" i="31"/>
  <c r="Q155" i="13" s="1"/>
  <c r="G153" i="11"/>
  <c r="H153" i="11" s="1"/>
  <c r="J155" i="13" s="1"/>
  <c r="K155" i="13"/>
  <c r="D153" i="11"/>
  <c r="C156" i="13"/>
  <c r="AE155" i="1"/>
  <c r="B156" i="13"/>
  <c r="A154" i="11"/>
  <c r="C155" i="1"/>
  <c r="L155" i="1"/>
  <c r="I156" i="1"/>
  <c r="H156" i="1"/>
  <c r="D156" i="13" l="1"/>
  <c r="AH155" i="1"/>
  <c r="L156" i="13"/>
  <c r="E153" i="11"/>
  <c r="I155" i="13" s="1"/>
  <c r="H155" i="13"/>
  <c r="Y155" i="1"/>
  <c r="X155" i="1" s="1"/>
  <c r="W155" i="1" s="1"/>
  <c r="V155" i="1" s="1"/>
  <c r="U155" i="1" s="1"/>
  <c r="AF155" i="1"/>
  <c r="E156" i="13"/>
  <c r="AK155" i="1"/>
  <c r="F155" i="11"/>
  <c r="T155" i="1" l="1"/>
  <c r="F156" i="13"/>
  <c r="AI155" i="1" l="1"/>
  <c r="AJ155" i="1" s="1"/>
  <c r="M156" i="13" s="1"/>
  <c r="E155" i="31"/>
  <c r="G156" i="13"/>
  <c r="G156" i="1" l="1"/>
  <c r="F156" i="1"/>
  <c r="B155" i="31"/>
  <c r="C155" i="31"/>
  <c r="AM155" i="1"/>
  <c r="N156" i="13" s="1"/>
  <c r="AN155" i="1"/>
  <c r="D155" i="31" l="1"/>
  <c r="E156" i="1"/>
  <c r="D156" i="1" s="1"/>
  <c r="Q156" i="1" s="1"/>
  <c r="S156" i="1" s="1"/>
  <c r="C154" i="11"/>
  <c r="F155" i="31" l="1"/>
  <c r="P156" i="13" s="1"/>
  <c r="O156" i="13"/>
  <c r="H155" i="31"/>
  <c r="Q156" i="13" s="1"/>
  <c r="K156" i="13"/>
  <c r="G154" i="11"/>
  <c r="H154" i="11" s="1"/>
  <c r="J156" i="13" s="1"/>
  <c r="D154" i="11"/>
  <c r="B157" i="13"/>
  <c r="AE156" i="1"/>
  <c r="C156" i="1"/>
  <c r="C157" i="13"/>
  <c r="A155" i="11"/>
  <c r="I157" i="1"/>
  <c r="H157" i="1"/>
  <c r="L156" i="1"/>
  <c r="D157" i="13" l="1"/>
  <c r="AH156" i="1"/>
  <c r="E157" i="13"/>
  <c r="AF156" i="1"/>
  <c r="F156" i="11"/>
  <c r="AK156" i="1"/>
  <c r="Y156" i="1"/>
  <c r="X156" i="1" s="1"/>
  <c r="W156" i="1" s="1"/>
  <c r="V156" i="1" s="1"/>
  <c r="U156" i="1" s="1"/>
  <c r="H156" i="13"/>
  <c r="E154" i="11"/>
  <c r="I156" i="13" s="1"/>
  <c r="L157" i="13"/>
  <c r="F157" i="13" l="1"/>
  <c r="T156" i="1"/>
  <c r="AI156" i="1" s="1"/>
  <c r="AJ156" i="1" s="1"/>
  <c r="M157" i="13" s="1"/>
  <c r="B156" i="31" l="1"/>
  <c r="C156" i="31"/>
  <c r="E156" i="31"/>
  <c r="G157" i="13"/>
  <c r="AN156" i="1"/>
  <c r="G157" i="1"/>
  <c r="F157" i="1"/>
  <c r="AM156" i="1"/>
  <c r="N157" i="13" s="1"/>
  <c r="C155" i="11" l="1"/>
  <c r="E157" i="1"/>
  <c r="D157" i="1" s="1"/>
  <c r="Q157" i="1" s="1"/>
  <c r="S157" i="1" s="1"/>
  <c r="D156" i="31"/>
  <c r="O157" i="13" s="1"/>
  <c r="G155" i="11" l="1"/>
  <c r="H155" i="11" s="1"/>
  <c r="J157" i="13" s="1"/>
  <c r="K157" i="13"/>
  <c r="D155" i="11"/>
  <c r="H156" i="31"/>
  <c r="Q157" i="13" s="1"/>
  <c r="F156" i="31"/>
  <c r="P157" i="13" s="1"/>
  <c r="A156" i="11"/>
  <c r="C158" i="13"/>
  <c r="AE157" i="1"/>
  <c r="C157" i="1"/>
  <c r="B158" i="13"/>
  <c r="H158" i="1"/>
  <c r="L157" i="1"/>
  <c r="I158" i="1"/>
  <c r="D158" i="13" l="1"/>
  <c r="AH157" i="1"/>
  <c r="AF157" i="1"/>
  <c r="E158" i="13"/>
  <c r="AK157" i="1"/>
  <c r="F157" i="11"/>
  <c r="H157" i="13"/>
  <c r="E155" i="11"/>
  <c r="I157" i="13" s="1"/>
  <c r="Y157" i="1"/>
  <c r="X157" i="1" s="1"/>
  <c r="W157" i="1" s="1"/>
  <c r="V157" i="1" s="1"/>
  <c r="U157" i="1" s="1"/>
  <c r="L158" i="13"/>
  <c r="F158" i="13" l="1"/>
  <c r="T157" i="1"/>
  <c r="AI157" i="1" l="1"/>
  <c r="AJ157" i="1" s="1"/>
  <c r="M158" i="13" s="1"/>
  <c r="E157" i="31"/>
  <c r="G158" i="13"/>
  <c r="G158" i="1" l="1"/>
  <c r="F158" i="1"/>
  <c r="B157" i="31"/>
  <c r="C157" i="31"/>
  <c r="AM157" i="1"/>
  <c r="N158" i="13" s="1"/>
  <c r="AN157" i="1"/>
  <c r="D157" i="31" l="1"/>
  <c r="C156" i="11"/>
  <c r="E158" i="1"/>
  <c r="D158" i="1" s="1"/>
  <c r="Q158" i="1" s="1"/>
  <c r="S158" i="1" s="1"/>
  <c r="F157" i="31" l="1"/>
  <c r="P158" i="13" s="1"/>
  <c r="O158" i="13"/>
  <c r="H157" i="31"/>
  <c r="Q158" i="13" s="1"/>
  <c r="K158" i="13"/>
  <c r="G156" i="11"/>
  <c r="H156" i="11" s="1"/>
  <c r="J158" i="13" s="1"/>
  <c r="D156" i="11"/>
  <c r="AE158" i="1"/>
  <c r="B159" i="13"/>
  <c r="C159" i="13"/>
  <c r="C158" i="1"/>
  <c r="A157" i="11"/>
  <c r="I159" i="1"/>
  <c r="L158" i="1"/>
  <c r="H159" i="1"/>
  <c r="D159" i="13" l="1"/>
  <c r="Y158" i="1"/>
  <c r="X158" i="1" s="1"/>
  <c r="W158" i="1" s="1"/>
  <c r="V158" i="1" s="1"/>
  <c r="U158" i="1" s="1"/>
  <c r="L159" i="13"/>
  <c r="AF158" i="1"/>
  <c r="E159" i="13"/>
  <c r="F158" i="11"/>
  <c r="AK158" i="1"/>
  <c r="H158" i="13"/>
  <c r="E156" i="11"/>
  <c r="I158" i="13" s="1"/>
  <c r="AH158" i="1"/>
  <c r="F159" i="13" l="1"/>
  <c r="T158" i="1"/>
  <c r="AI158" i="1" l="1"/>
  <c r="AJ158" i="1" s="1"/>
  <c r="M159" i="13" s="1"/>
  <c r="G159" i="13"/>
  <c r="E158" i="31"/>
  <c r="F159" i="1" l="1"/>
  <c r="G159" i="1"/>
  <c r="B158" i="31"/>
  <c r="C158" i="31"/>
  <c r="AM158" i="1"/>
  <c r="N159" i="13" s="1"/>
  <c r="AN158" i="1"/>
  <c r="C157" i="11" l="1"/>
  <c r="E159" i="1"/>
  <c r="D159" i="1" s="1"/>
  <c r="Q159" i="1" s="1"/>
  <c r="S159" i="1" s="1"/>
  <c r="D158" i="31"/>
  <c r="O159" i="13" s="1"/>
  <c r="F158" i="31" l="1"/>
  <c r="P159" i="13" s="1"/>
  <c r="H158" i="31"/>
  <c r="Q159" i="13" s="1"/>
  <c r="K159" i="13"/>
  <c r="G157" i="11"/>
  <c r="H157" i="11" s="1"/>
  <c r="J159" i="13" s="1"/>
  <c r="D157" i="11"/>
  <c r="AE159" i="1"/>
  <c r="C160" i="13"/>
  <c r="B160" i="13"/>
  <c r="A158" i="11"/>
  <c r="C159" i="1"/>
  <c r="L159" i="1"/>
  <c r="I160" i="1"/>
  <c r="H160" i="1"/>
  <c r="D160" i="13" l="1"/>
  <c r="AH159" i="1"/>
  <c r="AF159" i="1"/>
  <c r="E160" i="13"/>
  <c r="AK159" i="1"/>
  <c r="F159" i="11"/>
  <c r="Y159" i="1"/>
  <c r="X159" i="1" s="1"/>
  <c r="W159" i="1" s="1"/>
  <c r="V159" i="1" s="1"/>
  <c r="U159" i="1" s="1"/>
  <c r="L160" i="13"/>
  <c r="E157" i="11"/>
  <c r="I159" i="13" s="1"/>
  <c r="H159" i="13"/>
  <c r="F160" i="13" l="1"/>
  <c r="T159" i="1"/>
  <c r="AI159" i="1" l="1"/>
  <c r="AJ159" i="1" s="1"/>
  <c r="M160" i="13" s="1"/>
  <c r="E159" i="31"/>
  <c r="G160" i="13"/>
  <c r="AN159" i="1"/>
  <c r="G160" i="1" l="1"/>
  <c r="F160" i="1"/>
  <c r="C158" i="11"/>
  <c r="B159" i="31"/>
  <c r="C159" i="31"/>
  <c r="AM159" i="1"/>
  <c r="N160" i="13" s="1"/>
  <c r="E160" i="1" l="1"/>
  <c r="D160" i="1" s="1"/>
  <c r="Q160" i="1" s="1"/>
  <c r="S160" i="1" s="1"/>
  <c r="D159" i="31"/>
  <c r="K160" i="13"/>
  <c r="G158" i="11"/>
  <c r="H158" i="11" s="1"/>
  <c r="J160" i="13" s="1"/>
  <c r="D158" i="11"/>
  <c r="C160" i="1" l="1"/>
  <c r="H161" i="1"/>
  <c r="AE160" i="1"/>
  <c r="I161" i="1"/>
  <c r="B161" i="13"/>
  <c r="L160" i="1"/>
  <c r="C161" i="13"/>
  <c r="A159" i="11"/>
  <c r="L161" i="13" s="1"/>
  <c r="H159" i="31"/>
  <c r="Q160" i="13" s="1"/>
  <c r="O160" i="13"/>
  <c r="F159" i="31"/>
  <c r="P160" i="13" s="1"/>
  <c r="H160" i="13"/>
  <c r="E158" i="11"/>
  <c r="I160" i="13" s="1"/>
  <c r="D161" i="13" l="1"/>
  <c r="E161" i="13"/>
  <c r="AH160" i="1"/>
  <c r="AK160" i="1"/>
  <c r="Y160" i="1"/>
  <c r="X160" i="1" s="1"/>
  <c r="W160" i="1" s="1"/>
  <c r="V160" i="1" s="1"/>
  <c r="U160" i="1" s="1"/>
  <c r="F161" i="13" s="1"/>
  <c r="F160" i="11"/>
  <c r="AF160" i="1"/>
  <c r="T160" i="1" l="1"/>
  <c r="AI160" i="1" s="1"/>
  <c r="AJ160" i="1" s="1"/>
  <c r="M161" i="13" s="1"/>
  <c r="E160" i="31" l="1"/>
  <c r="G161" i="13"/>
  <c r="F161" i="1"/>
  <c r="G161" i="1"/>
  <c r="AN160" i="1"/>
  <c r="C160" i="31"/>
  <c r="B160" i="31"/>
  <c r="AM160" i="1"/>
  <c r="N161" i="13" s="1"/>
  <c r="D160" i="31" l="1"/>
  <c r="C159" i="11"/>
  <c r="E161" i="1"/>
  <c r="D161" i="1" s="1"/>
  <c r="Q161" i="1" s="1"/>
  <c r="S161" i="1" s="1"/>
  <c r="F160" i="31" l="1"/>
  <c r="P161" i="13" s="1"/>
  <c r="O161" i="13"/>
  <c r="H160" i="31"/>
  <c r="Q161" i="13" s="1"/>
  <c r="A160" i="11"/>
  <c r="C161" i="1"/>
  <c r="B162" i="13"/>
  <c r="C162" i="13"/>
  <c r="AE161" i="1"/>
  <c r="L161" i="1"/>
  <c r="I162" i="1"/>
  <c r="H162" i="1"/>
  <c r="G159" i="11"/>
  <c r="H159" i="11" s="1"/>
  <c r="J161" i="13" s="1"/>
  <c r="K161" i="13"/>
  <c r="D159" i="11"/>
  <c r="D162" i="13" l="1"/>
  <c r="Y161" i="1"/>
  <c r="X161" i="1" s="1"/>
  <c r="W161" i="1" s="1"/>
  <c r="V161" i="1" s="1"/>
  <c r="U161" i="1" s="1"/>
  <c r="E159" i="11"/>
  <c r="I161" i="13" s="1"/>
  <c r="H161" i="13"/>
  <c r="AF161" i="1"/>
  <c r="E162" i="13"/>
  <c r="AK161" i="1"/>
  <c r="F161" i="11"/>
  <c r="AH161" i="1"/>
  <c r="L162" i="13"/>
  <c r="F162" i="13" l="1"/>
  <c r="T161" i="1"/>
  <c r="AI161" i="1" l="1"/>
  <c r="AJ161" i="1" s="1"/>
  <c r="M162" i="13" s="1"/>
  <c r="E161" i="31"/>
  <c r="G162" i="13"/>
  <c r="G162" i="1"/>
  <c r="F162" i="1" l="1"/>
  <c r="AN161" i="1"/>
  <c r="C161" i="31"/>
  <c r="B161" i="31"/>
  <c r="AM161" i="1"/>
  <c r="N162" i="13" s="1"/>
  <c r="C160" i="11" l="1"/>
  <c r="E162" i="1"/>
  <c r="D162" i="1" s="1"/>
  <c r="Q162" i="1" s="1"/>
  <c r="S162" i="1" s="1"/>
  <c r="D161" i="31"/>
  <c r="O162" i="13" s="1"/>
  <c r="H161" i="31" l="1"/>
  <c r="Q162" i="13" s="1"/>
  <c r="F161" i="31"/>
  <c r="P162" i="13" s="1"/>
  <c r="C163" i="13"/>
  <c r="C162" i="1"/>
  <c r="A161" i="11"/>
  <c r="B163" i="13"/>
  <c r="AE162" i="1"/>
  <c r="I163" i="1"/>
  <c r="H163" i="1"/>
  <c r="L162" i="1"/>
  <c r="G160" i="11"/>
  <c r="H160" i="11" s="1"/>
  <c r="J162" i="13" s="1"/>
  <c r="K162" i="13"/>
  <c r="D160" i="11"/>
  <c r="D163" i="13" l="1"/>
  <c r="AH162" i="1"/>
  <c r="AF162" i="1"/>
  <c r="E163" i="13"/>
  <c r="AK162" i="1"/>
  <c r="F162" i="11"/>
  <c r="H162" i="13"/>
  <c r="E160" i="11"/>
  <c r="I162" i="13" s="1"/>
  <c r="Y162" i="1"/>
  <c r="X162" i="1" s="1"/>
  <c r="W162" i="1" s="1"/>
  <c r="V162" i="1" s="1"/>
  <c r="U162" i="1" s="1"/>
  <c r="L163" i="13"/>
  <c r="T162" i="1" l="1"/>
  <c r="F163" i="13"/>
  <c r="AI162" i="1" l="1"/>
  <c r="AJ162" i="1" s="1"/>
  <c r="M163" i="13" s="1"/>
  <c r="E162" i="31"/>
  <c r="G163" i="13"/>
  <c r="F163" i="1" l="1"/>
  <c r="G163" i="1"/>
  <c r="AN162" i="1"/>
  <c r="C162" i="31"/>
  <c r="B162" i="31"/>
  <c r="AM162" i="1"/>
  <c r="N163" i="13" s="1"/>
  <c r="D162" i="31" l="1"/>
  <c r="C161" i="11"/>
  <c r="E163" i="1"/>
  <c r="D163" i="1" s="1"/>
  <c r="Q163" i="1" s="1"/>
  <c r="S163" i="1" s="1"/>
  <c r="H162" i="31" l="1"/>
  <c r="Q163" i="13" s="1"/>
  <c r="O163" i="13"/>
  <c r="F162" i="31"/>
  <c r="P163" i="13" s="1"/>
  <c r="K163" i="13"/>
  <c r="G161" i="11"/>
  <c r="H161" i="11" s="1"/>
  <c r="J163" i="13" s="1"/>
  <c r="D161" i="11"/>
  <c r="AE163" i="1"/>
  <c r="B164" i="13"/>
  <c r="C164" i="13"/>
  <c r="A162" i="11"/>
  <c r="C163" i="1"/>
  <c r="L163" i="1"/>
  <c r="H164" i="1"/>
  <c r="I164" i="1"/>
  <c r="D164" i="13" l="1"/>
  <c r="AH163" i="1"/>
  <c r="Y163" i="1"/>
  <c r="X163" i="1" s="1"/>
  <c r="W163" i="1" s="1"/>
  <c r="V163" i="1" s="1"/>
  <c r="U163" i="1" s="1"/>
  <c r="L164" i="13"/>
  <c r="H163" i="13"/>
  <c r="E161" i="11"/>
  <c r="I163" i="13" s="1"/>
  <c r="E164" i="13"/>
  <c r="AF163" i="1"/>
  <c r="F163" i="11"/>
  <c r="AK163" i="1"/>
  <c r="F164" i="13" l="1"/>
  <c r="T163" i="1"/>
  <c r="AI163" i="1" l="1"/>
  <c r="AJ163" i="1" s="1"/>
  <c r="M164" i="13" s="1"/>
  <c r="G164" i="13"/>
  <c r="E163" i="31"/>
  <c r="F164" i="1" l="1"/>
  <c r="G164" i="1"/>
  <c r="B163" i="31"/>
  <c r="C163" i="31"/>
  <c r="AM163" i="1"/>
  <c r="N164" i="13" s="1"/>
  <c r="AN163" i="1"/>
  <c r="E164" i="1" l="1"/>
  <c r="D164" i="1" s="1"/>
  <c r="Q164" i="1" s="1"/>
  <c r="S164" i="1" s="1"/>
  <c r="C162" i="11"/>
  <c r="D163" i="31"/>
  <c r="O164" i="13" s="1"/>
  <c r="AE164" i="1" l="1"/>
  <c r="C164" i="1"/>
  <c r="B165" i="13"/>
  <c r="A163" i="11"/>
  <c r="C165" i="13"/>
  <c r="L164" i="1"/>
  <c r="I165" i="1"/>
  <c r="H165" i="1"/>
  <c r="H163" i="31"/>
  <c r="Q164" i="13" s="1"/>
  <c r="F163" i="31"/>
  <c r="P164" i="13" s="1"/>
  <c r="K164" i="13"/>
  <c r="G162" i="11"/>
  <c r="H162" i="11" s="1"/>
  <c r="J164" i="13" s="1"/>
  <c r="D162" i="11"/>
  <c r="D165" i="13" l="1"/>
  <c r="AH164" i="1"/>
  <c r="E165" i="13"/>
  <c r="AF164" i="1"/>
  <c r="AK164" i="1"/>
  <c r="F164" i="11"/>
  <c r="L165" i="13"/>
  <c r="H164" i="13"/>
  <c r="E162" i="11"/>
  <c r="I164" i="13" s="1"/>
  <c r="Y164" i="1"/>
  <c r="X164" i="1" s="1"/>
  <c r="W164" i="1" s="1"/>
  <c r="V164" i="1" s="1"/>
  <c r="U164" i="1" s="1"/>
  <c r="F165" i="13" l="1"/>
  <c r="T164" i="1"/>
  <c r="AI164" i="1" l="1"/>
  <c r="AJ164" i="1" s="1"/>
  <c r="M165" i="13" s="1"/>
  <c r="G165" i="13"/>
  <c r="E164" i="31"/>
  <c r="AN164" i="1"/>
  <c r="G165" i="1"/>
  <c r="F165" i="1" l="1"/>
  <c r="E165" i="1" s="1"/>
  <c r="D165" i="1" s="1"/>
  <c r="Q165" i="1" s="1"/>
  <c r="S165" i="1" s="1"/>
  <c r="C163" i="11"/>
  <c r="B164" i="31"/>
  <c r="C164" i="31"/>
  <c r="AM164" i="1"/>
  <c r="N165" i="13" s="1"/>
  <c r="D164" i="31" l="1"/>
  <c r="C166" i="13"/>
  <c r="A164" i="11"/>
  <c r="B166" i="13"/>
  <c r="C165" i="1"/>
  <c r="AE165" i="1"/>
  <c r="I166" i="1"/>
  <c r="L165" i="1"/>
  <c r="H166" i="1"/>
  <c r="K165" i="13"/>
  <c r="G163" i="11"/>
  <c r="H163" i="11" s="1"/>
  <c r="J165" i="13" s="1"/>
  <c r="D163" i="11"/>
  <c r="D166" i="13" l="1"/>
  <c r="AH165" i="1"/>
  <c r="H164" i="31"/>
  <c r="Q165" i="13" s="1"/>
  <c r="O165" i="13"/>
  <c r="F164" i="31"/>
  <c r="P165" i="13" s="1"/>
  <c r="L166" i="13"/>
  <c r="Y165" i="1"/>
  <c r="X165" i="1" s="1"/>
  <c r="W165" i="1" s="1"/>
  <c r="V165" i="1" s="1"/>
  <c r="U165" i="1" s="1"/>
  <c r="E163" i="11"/>
  <c r="I165" i="13" s="1"/>
  <c r="H165" i="13"/>
  <c r="AF165" i="1"/>
  <c r="E166" i="13"/>
  <c r="AK165" i="1"/>
  <c r="F165" i="11"/>
  <c r="T165" i="1" l="1"/>
  <c r="AI165" i="1" s="1"/>
  <c r="AJ165" i="1" s="1"/>
  <c r="F166" i="13"/>
  <c r="AM165" i="1" l="1"/>
  <c r="N166" i="13" s="1"/>
  <c r="M166" i="13"/>
  <c r="B165" i="31"/>
  <c r="C165" i="31"/>
  <c r="E165" i="31"/>
  <c r="G166" i="13"/>
  <c r="G166" i="1"/>
  <c r="AN165" i="1"/>
  <c r="F166" i="1"/>
  <c r="C164" i="11" l="1"/>
  <c r="E166" i="1"/>
  <c r="D166" i="1" s="1"/>
  <c r="Q166" i="1" s="1"/>
  <c r="S166" i="1" s="1"/>
  <c r="D165" i="31"/>
  <c r="O166" i="13" s="1"/>
  <c r="H165" i="31" l="1"/>
  <c r="Q166" i="13" s="1"/>
  <c r="F165" i="31"/>
  <c r="P166" i="13" s="1"/>
  <c r="K166" i="13"/>
  <c r="G164" i="11"/>
  <c r="H164" i="11" s="1"/>
  <c r="J166" i="13" s="1"/>
  <c r="D164" i="11"/>
  <c r="C167" i="13"/>
  <c r="B167" i="13"/>
  <c r="A165" i="11"/>
  <c r="AE166" i="1"/>
  <c r="C166" i="1"/>
  <c r="H167" i="1"/>
  <c r="L166" i="1"/>
  <c r="I167" i="1"/>
  <c r="D167" i="13" l="1"/>
  <c r="E167" i="13"/>
  <c r="AF166" i="1"/>
  <c r="AK166" i="1"/>
  <c r="F166" i="11"/>
  <c r="H166" i="13"/>
  <c r="E164" i="11"/>
  <c r="I166" i="13" s="1"/>
  <c r="Y166" i="1"/>
  <c r="X166" i="1" s="1"/>
  <c r="W166" i="1" s="1"/>
  <c r="V166" i="1" s="1"/>
  <c r="U166" i="1" s="1"/>
  <c r="L167" i="13"/>
  <c r="AH166" i="1"/>
  <c r="F167" i="13" l="1"/>
  <c r="T166" i="1"/>
  <c r="AI166" i="1" l="1"/>
  <c r="AJ166" i="1" s="1"/>
  <c r="M167" i="13" s="1"/>
  <c r="E166" i="31"/>
  <c r="G167" i="13"/>
  <c r="AN166" i="1"/>
  <c r="F167" i="1"/>
  <c r="G167" i="1" l="1"/>
  <c r="E167" i="1" s="1"/>
  <c r="D167" i="1" s="1"/>
  <c r="Q167" i="1" s="1"/>
  <c r="S167" i="1" s="1"/>
  <c r="C165" i="11"/>
  <c r="C166" i="31"/>
  <c r="B166" i="31"/>
  <c r="AM166" i="1"/>
  <c r="N167" i="13" s="1"/>
  <c r="G165" i="11" l="1"/>
  <c r="H165" i="11" s="1"/>
  <c r="J167" i="13" s="1"/>
  <c r="K167" i="13"/>
  <c r="D165" i="11"/>
  <c r="D166" i="31"/>
  <c r="O167" i="13" s="1"/>
  <c r="AE167" i="1"/>
  <c r="C168" i="13"/>
  <c r="A166" i="11"/>
  <c r="B168" i="13"/>
  <c r="C167" i="1"/>
  <c r="L167" i="1"/>
  <c r="H168" i="1"/>
  <c r="I168" i="1"/>
  <c r="D168" i="13" l="1"/>
  <c r="Y167" i="1"/>
  <c r="X167" i="1" s="1"/>
  <c r="W167" i="1" s="1"/>
  <c r="V167" i="1" s="1"/>
  <c r="U167" i="1" s="1"/>
  <c r="AF167" i="1"/>
  <c r="E168" i="13"/>
  <c r="AK167" i="1"/>
  <c r="F167" i="11"/>
  <c r="L168" i="13"/>
  <c r="H167" i="13"/>
  <c r="E165" i="11"/>
  <c r="I167" i="13" s="1"/>
  <c r="H166" i="31"/>
  <c r="Q167" i="13" s="1"/>
  <c r="F166" i="31"/>
  <c r="P167" i="13" s="1"/>
  <c r="AH167" i="1"/>
  <c r="T167" i="1" l="1"/>
  <c r="F168" i="13"/>
  <c r="AI167" i="1" l="1"/>
  <c r="AJ167" i="1" s="1"/>
  <c r="M168" i="13" s="1"/>
  <c r="E167" i="31"/>
  <c r="G168" i="13"/>
  <c r="G168" i="1" l="1"/>
  <c r="F168" i="1"/>
  <c r="AN167" i="1"/>
  <c r="B167" i="31"/>
  <c r="C167" i="31"/>
  <c r="AM167" i="1"/>
  <c r="N168" i="13" s="1"/>
  <c r="D167" i="31" l="1"/>
  <c r="C166" i="11"/>
  <c r="E168" i="1"/>
  <c r="D168" i="1" s="1"/>
  <c r="Q168" i="1" s="1"/>
  <c r="S168" i="1" s="1"/>
  <c r="H167" i="31" l="1"/>
  <c r="Q168" i="13" s="1"/>
  <c r="O168" i="13"/>
  <c r="F167" i="31"/>
  <c r="P168" i="13" s="1"/>
  <c r="AE168" i="1"/>
  <c r="C168" i="1"/>
  <c r="C169" i="13"/>
  <c r="A167" i="11"/>
  <c r="B169" i="13"/>
  <c r="I169" i="1"/>
  <c r="H169" i="1"/>
  <c r="L168" i="1"/>
  <c r="K168" i="13"/>
  <c r="G166" i="11"/>
  <c r="H166" i="11" s="1"/>
  <c r="J168" i="13" s="1"/>
  <c r="D166" i="11"/>
  <c r="D169" i="13" l="1"/>
  <c r="E166" i="11"/>
  <c r="I168" i="13" s="1"/>
  <c r="H168" i="13"/>
  <c r="Y168" i="1"/>
  <c r="X168" i="1" s="1"/>
  <c r="W168" i="1" s="1"/>
  <c r="V168" i="1" s="1"/>
  <c r="U168" i="1" s="1"/>
  <c r="L169" i="13"/>
  <c r="AH168" i="1"/>
  <c r="AF168" i="1"/>
  <c r="E169" i="13"/>
  <c r="F168" i="11"/>
  <c r="AK168" i="1"/>
  <c r="T168" i="1" l="1"/>
  <c r="F169" i="13"/>
  <c r="AI168" i="1" l="1"/>
  <c r="AJ168" i="1" s="1"/>
  <c r="M169" i="13" s="1"/>
  <c r="E168" i="31"/>
  <c r="G169" i="13"/>
  <c r="G169" i="1" l="1"/>
  <c r="F169" i="1"/>
  <c r="AN168" i="1"/>
  <c r="C168" i="31"/>
  <c r="B168" i="31"/>
  <c r="AM168" i="1"/>
  <c r="N169" i="13" s="1"/>
  <c r="D168" i="31" l="1"/>
  <c r="O169" i="13" s="1"/>
  <c r="C167" i="11"/>
  <c r="E169" i="1"/>
  <c r="D169" i="1" s="1"/>
  <c r="Q169" i="1" s="1"/>
  <c r="S169" i="1" s="1"/>
  <c r="B170" i="13" l="1"/>
  <c r="C169" i="1"/>
  <c r="AE169" i="1"/>
  <c r="C170" i="13"/>
  <c r="A168" i="11"/>
  <c r="L169" i="1"/>
  <c r="I170" i="1"/>
  <c r="H170" i="1"/>
  <c r="F168" i="31"/>
  <c r="P169" i="13" s="1"/>
  <c r="H168" i="31"/>
  <c r="Q169" i="13" s="1"/>
  <c r="G167" i="11"/>
  <c r="H167" i="11" s="1"/>
  <c r="J169" i="13" s="1"/>
  <c r="K169" i="13"/>
  <c r="D167" i="11"/>
  <c r="D170" i="13" l="1"/>
  <c r="Y169" i="1"/>
  <c r="X169" i="1" s="1"/>
  <c r="W169" i="1" s="1"/>
  <c r="V169" i="1" s="1"/>
  <c r="U169" i="1" s="1"/>
  <c r="E170" i="13"/>
  <c r="AF169" i="1"/>
  <c r="AK169" i="1"/>
  <c r="F169" i="11"/>
  <c r="L170" i="13"/>
  <c r="H169" i="13"/>
  <c r="E167" i="11"/>
  <c r="I169" i="13" s="1"/>
  <c r="AH169" i="1"/>
  <c r="F170" i="13" l="1"/>
  <c r="T169" i="1"/>
  <c r="E169" i="31" l="1"/>
  <c r="G170" i="13"/>
  <c r="AN169" i="1"/>
  <c r="AI169" i="1"/>
  <c r="AJ169" i="1" s="1"/>
  <c r="M170" i="13" s="1"/>
  <c r="G170" i="1" l="1"/>
  <c r="F170" i="1"/>
  <c r="C168" i="11"/>
  <c r="C169" i="31"/>
  <c r="B169" i="31"/>
  <c r="AM169" i="1"/>
  <c r="N170" i="13" s="1"/>
  <c r="E170" i="1" l="1"/>
  <c r="D170" i="1" s="1"/>
  <c r="Q170" i="1" s="1"/>
  <c r="S170" i="1" s="1"/>
  <c r="D169" i="31"/>
  <c r="O170" i="13" s="1"/>
  <c r="G168" i="11"/>
  <c r="H168" i="11" s="1"/>
  <c r="J170" i="13" s="1"/>
  <c r="K170" i="13"/>
  <c r="D168" i="11"/>
  <c r="A169" i="11" l="1"/>
  <c r="L171" i="13" s="1"/>
  <c r="L170" i="1"/>
  <c r="AE170" i="1"/>
  <c r="H171" i="1"/>
  <c r="C170" i="1"/>
  <c r="I171" i="1"/>
  <c r="B171" i="13"/>
  <c r="C171" i="13"/>
  <c r="H169" i="31"/>
  <c r="Q170" i="13" s="1"/>
  <c r="F169" i="31"/>
  <c r="P170" i="13" s="1"/>
  <c r="H170" i="13"/>
  <c r="E168" i="11"/>
  <c r="I170" i="13" s="1"/>
  <c r="AK170" i="1" l="1"/>
  <c r="D171" i="13"/>
  <c r="AH170" i="1"/>
  <c r="Y170" i="1"/>
  <c r="X170" i="1" s="1"/>
  <c r="W170" i="1" s="1"/>
  <c r="V170" i="1" s="1"/>
  <c r="U170" i="1" s="1"/>
  <c r="T170" i="1" s="1"/>
  <c r="E171" i="13"/>
  <c r="AF170" i="1"/>
  <c r="F170" i="11"/>
  <c r="F171" i="13" l="1"/>
  <c r="AI170" i="1"/>
  <c r="AJ170" i="1" s="1"/>
  <c r="M171" i="13" s="1"/>
  <c r="E170" i="31"/>
  <c r="G171" i="13"/>
  <c r="AN170" i="1"/>
  <c r="F171" i="1" l="1"/>
  <c r="G171" i="1"/>
  <c r="C169" i="11"/>
  <c r="C170" i="31"/>
  <c r="B170" i="31"/>
  <c r="AM170" i="1"/>
  <c r="N171" i="13" s="1"/>
  <c r="E171" i="1" l="1"/>
  <c r="D171" i="1" s="1"/>
  <c r="Q171" i="1" s="1"/>
  <c r="S171" i="1" s="1"/>
  <c r="D170" i="31"/>
  <c r="O171" i="13" s="1"/>
  <c r="K171" i="13"/>
  <c r="G169" i="11"/>
  <c r="H169" i="11" s="1"/>
  <c r="J171" i="13" s="1"/>
  <c r="D169" i="11"/>
  <c r="C172" i="13" l="1"/>
  <c r="H172" i="1"/>
  <c r="B172" i="13"/>
  <c r="I172" i="1"/>
  <c r="C171" i="1"/>
  <c r="AE171" i="1"/>
  <c r="A170" i="11"/>
  <c r="L172" i="13" s="1"/>
  <c r="L171" i="1"/>
  <c r="E169" i="11"/>
  <c r="I171" i="13" s="1"/>
  <c r="H171" i="13"/>
  <c r="H170" i="31"/>
  <c r="Q171" i="13" s="1"/>
  <c r="F170" i="31"/>
  <c r="P171" i="13" s="1"/>
  <c r="AF171" i="1" l="1"/>
  <c r="D172" i="13"/>
  <c r="Y171" i="1"/>
  <c r="X171" i="1" s="1"/>
  <c r="W171" i="1" s="1"/>
  <c r="V171" i="1" s="1"/>
  <c r="U171" i="1" s="1"/>
  <c r="F172" i="13" s="1"/>
  <c r="AH171" i="1"/>
  <c r="F171" i="11"/>
  <c r="AK171" i="1"/>
  <c r="E172" i="13"/>
  <c r="T171" i="1" l="1"/>
  <c r="AI171" i="1" s="1"/>
  <c r="AJ171" i="1" s="1"/>
  <c r="M172" i="13" s="1"/>
  <c r="AN171" i="1"/>
  <c r="G172" i="13" l="1"/>
  <c r="E171" i="31"/>
  <c r="F172" i="1"/>
  <c r="G172" i="1"/>
  <c r="C170" i="11"/>
  <c r="B171" i="31"/>
  <c r="C171" i="31"/>
  <c r="AM171" i="1"/>
  <c r="N172" i="13" s="1"/>
  <c r="E172" i="1" l="1"/>
  <c r="D172" i="1" s="1"/>
  <c r="Q172" i="1" s="1"/>
  <c r="S172" i="1" s="1"/>
  <c r="D171" i="31"/>
  <c r="G170" i="11"/>
  <c r="H170" i="11" s="1"/>
  <c r="J172" i="13" s="1"/>
  <c r="K172" i="13"/>
  <c r="D170" i="11"/>
  <c r="A171" i="11" l="1"/>
  <c r="L173" i="13" s="1"/>
  <c r="L172" i="1"/>
  <c r="AE172" i="1"/>
  <c r="B173" i="13"/>
  <c r="H173" i="1"/>
  <c r="AH172" i="1" s="1"/>
  <c r="C173" i="13"/>
  <c r="I173" i="1"/>
  <c r="C172" i="1"/>
  <c r="H171" i="31"/>
  <c r="Q172" i="13" s="1"/>
  <c r="O172" i="13"/>
  <c r="F171" i="31"/>
  <c r="P172" i="13" s="1"/>
  <c r="E170" i="11"/>
  <c r="I172" i="13" s="1"/>
  <c r="H172" i="13"/>
  <c r="AF172" i="1" l="1"/>
  <c r="D173" i="13"/>
  <c r="Y172" i="1"/>
  <c r="X172" i="1" s="1"/>
  <c r="W172" i="1" s="1"/>
  <c r="V172" i="1" s="1"/>
  <c r="U172" i="1" s="1"/>
  <c r="T172" i="1" s="1"/>
  <c r="AK172" i="1"/>
  <c r="E173" i="13"/>
  <c r="F172" i="11"/>
  <c r="F173" i="13" l="1"/>
  <c r="AI172" i="1"/>
  <c r="AJ172" i="1" s="1"/>
  <c r="M173" i="13" s="1"/>
  <c r="E172" i="31"/>
  <c r="G173" i="13"/>
  <c r="AN172" i="1"/>
  <c r="G173" i="1" l="1"/>
  <c r="F173" i="1"/>
  <c r="C171" i="11"/>
  <c r="B172" i="31"/>
  <c r="C172" i="31"/>
  <c r="AM172" i="1"/>
  <c r="N173" i="13" s="1"/>
  <c r="E173" i="1" l="1"/>
  <c r="D173" i="1" s="1"/>
  <c r="Q173" i="1" s="1"/>
  <c r="S173" i="1" s="1"/>
  <c r="D172" i="31"/>
  <c r="G171" i="11"/>
  <c r="H171" i="11" s="1"/>
  <c r="J173" i="13" s="1"/>
  <c r="K173" i="13"/>
  <c r="D171" i="11"/>
  <c r="C173" i="1" l="1"/>
  <c r="H174" i="1"/>
  <c r="AE173" i="1"/>
  <c r="I174" i="1"/>
  <c r="A172" i="11"/>
  <c r="L174" i="13" s="1"/>
  <c r="L173" i="1"/>
  <c r="C174" i="13"/>
  <c r="B174" i="13"/>
  <c r="H172" i="31"/>
  <c r="Q173" i="13" s="1"/>
  <c r="O173" i="13"/>
  <c r="F172" i="31"/>
  <c r="P173" i="13" s="1"/>
  <c r="H173" i="13"/>
  <c r="E171" i="11"/>
  <c r="I173" i="13" s="1"/>
  <c r="D174" i="13" l="1"/>
  <c r="AK173" i="1"/>
  <c r="AH173" i="1"/>
  <c r="Y173" i="1"/>
  <c r="X173" i="1" s="1"/>
  <c r="W173" i="1" s="1"/>
  <c r="V173" i="1" s="1"/>
  <c r="U173" i="1" s="1"/>
  <c r="T173" i="1" s="1"/>
  <c r="F173" i="11"/>
  <c r="E174" i="13"/>
  <c r="AF173" i="1"/>
  <c r="F174" i="13" l="1"/>
  <c r="AI173" i="1"/>
  <c r="AJ173" i="1" s="1"/>
  <c r="M174" i="13" s="1"/>
  <c r="E173" i="31"/>
  <c r="G174" i="13"/>
  <c r="AN173" i="1"/>
  <c r="C172" i="11" s="1"/>
  <c r="F174" i="1" l="1"/>
  <c r="G174" i="1"/>
  <c r="K174" i="13"/>
  <c r="G172" i="11"/>
  <c r="H172" i="11" s="1"/>
  <c r="J174" i="13" s="1"/>
  <c r="D172" i="11"/>
  <c r="C173" i="31"/>
  <c r="B173" i="31"/>
  <c r="AM173" i="1"/>
  <c r="N174" i="13" s="1"/>
  <c r="E174" i="1" l="1"/>
  <c r="D174" i="1" s="1"/>
  <c r="Q174" i="1" s="1"/>
  <c r="S174" i="1" s="1"/>
  <c r="E172" i="11"/>
  <c r="I174" i="13" s="1"/>
  <c r="H174" i="13"/>
  <c r="D173" i="31"/>
  <c r="O174" i="13" s="1"/>
  <c r="C174" i="1" l="1"/>
  <c r="I175" i="1"/>
  <c r="A173" i="11"/>
  <c r="L175" i="13" s="1"/>
  <c r="AE174" i="1"/>
  <c r="B175" i="13"/>
  <c r="H175" i="1"/>
  <c r="L174" i="1"/>
  <c r="C175" i="13"/>
  <c r="H173" i="31"/>
  <c r="Q174" i="13" s="1"/>
  <c r="F173" i="31"/>
  <c r="P174" i="13" s="1"/>
  <c r="D175" i="13" l="1"/>
  <c r="AF174" i="1"/>
  <c r="AH174" i="1"/>
  <c r="E175" i="13"/>
  <c r="F174" i="11"/>
  <c r="AK174" i="1"/>
  <c r="Y174" i="1"/>
  <c r="X174" i="1" s="1"/>
  <c r="W174" i="1" s="1"/>
  <c r="V174" i="1" s="1"/>
  <c r="U174" i="1" s="1"/>
  <c r="T174" i="1" s="1"/>
  <c r="F175" i="13" l="1"/>
  <c r="AI174" i="1"/>
  <c r="AJ174" i="1" s="1"/>
  <c r="M175" i="13" s="1"/>
  <c r="E174" i="31"/>
  <c r="G175" i="13"/>
  <c r="AN174" i="1"/>
  <c r="G175" i="1" l="1"/>
  <c r="F175" i="1"/>
  <c r="C173" i="11"/>
  <c r="B174" i="31"/>
  <c r="C174" i="31"/>
  <c r="AM174" i="1"/>
  <c r="N175" i="13" s="1"/>
  <c r="E175" i="1" l="1"/>
  <c r="D175" i="1" s="1"/>
  <c r="Q175" i="1" s="1"/>
  <c r="S175" i="1" s="1"/>
  <c r="D174" i="31"/>
  <c r="G173" i="11"/>
  <c r="H173" i="11" s="1"/>
  <c r="J175" i="13" s="1"/>
  <c r="K175" i="13"/>
  <c r="D173" i="11"/>
  <c r="B176" i="13" l="1"/>
  <c r="L175" i="1"/>
  <c r="H176" i="1"/>
  <c r="C176" i="13"/>
  <c r="AE175" i="1"/>
  <c r="A174" i="11"/>
  <c r="L176" i="13" s="1"/>
  <c r="C175" i="1"/>
  <c r="I176" i="1"/>
  <c r="H174" i="31"/>
  <c r="Q175" i="13" s="1"/>
  <c r="O175" i="13"/>
  <c r="F174" i="31"/>
  <c r="P175" i="13" s="1"/>
  <c r="H175" i="13"/>
  <c r="E173" i="11"/>
  <c r="I175" i="13" s="1"/>
  <c r="AF175" i="1" l="1"/>
  <c r="D176" i="13"/>
  <c r="AH175" i="1"/>
  <c r="Y175" i="1"/>
  <c r="X175" i="1" s="1"/>
  <c r="W175" i="1" s="1"/>
  <c r="V175" i="1" s="1"/>
  <c r="U175" i="1" s="1"/>
  <c r="T175" i="1" s="1"/>
  <c r="AK175" i="1"/>
  <c r="F175" i="11"/>
  <c r="E176" i="13"/>
  <c r="F176" i="13" l="1"/>
  <c r="AI175" i="1"/>
  <c r="AJ175" i="1" s="1"/>
  <c r="M176" i="13" s="1"/>
  <c r="E175" i="31"/>
  <c r="G176" i="13"/>
  <c r="AN175" i="1"/>
  <c r="F176" i="1"/>
  <c r="G176" i="1" l="1"/>
  <c r="E176" i="1" s="1"/>
  <c r="D176" i="1" s="1"/>
  <c r="Q176" i="1" s="1"/>
  <c r="S176" i="1" s="1"/>
  <c r="C174" i="11"/>
  <c r="C175" i="31"/>
  <c r="B175" i="31"/>
  <c r="AM175" i="1"/>
  <c r="N176" i="13" s="1"/>
  <c r="D175" i="31" l="1"/>
  <c r="O176" i="13" s="1"/>
  <c r="G174" i="11"/>
  <c r="H174" i="11" s="1"/>
  <c r="J176" i="13" s="1"/>
  <c r="K176" i="13"/>
  <c r="D174" i="11"/>
  <c r="C177" i="13"/>
  <c r="B177" i="13"/>
  <c r="AE176" i="1"/>
  <c r="A175" i="11"/>
  <c r="C176" i="1"/>
  <c r="I177" i="1"/>
  <c r="L176" i="1"/>
  <c r="H177" i="1"/>
  <c r="D177" i="13" l="1"/>
  <c r="AH176" i="1"/>
  <c r="E177" i="13"/>
  <c r="AF176" i="1"/>
  <c r="F176" i="11"/>
  <c r="AK176" i="1"/>
  <c r="E174" i="11"/>
  <c r="I176" i="13" s="1"/>
  <c r="H176" i="13"/>
  <c r="L177" i="13"/>
  <c r="Y176" i="1"/>
  <c r="X176" i="1" s="1"/>
  <c r="W176" i="1" s="1"/>
  <c r="V176" i="1" s="1"/>
  <c r="U176" i="1" s="1"/>
  <c r="H175" i="31"/>
  <c r="Q176" i="13" s="1"/>
  <c r="F175" i="31"/>
  <c r="P176" i="13" s="1"/>
  <c r="F177" i="13" l="1"/>
  <c r="T176" i="1"/>
  <c r="AI176" i="1" l="1"/>
  <c r="AJ176" i="1" s="1"/>
  <c r="M177" i="13" s="1"/>
  <c r="E176" i="31"/>
  <c r="G177" i="13"/>
  <c r="F177" i="1"/>
  <c r="G177" i="1" l="1"/>
  <c r="AN176" i="1"/>
  <c r="C176" i="31"/>
  <c r="B176" i="31"/>
  <c r="AM176" i="1"/>
  <c r="N177" i="13" s="1"/>
  <c r="D176" i="31" l="1"/>
  <c r="E177" i="1"/>
  <c r="D177" i="1" s="1"/>
  <c r="Q177" i="1" s="1"/>
  <c r="S177" i="1" s="1"/>
  <c r="C175" i="11"/>
  <c r="H176" i="31" l="1"/>
  <c r="Q177" i="13" s="1"/>
  <c r="O177" i="13"/>
  <c r="F176" i="31"/>
  <c r="P177" i="13" s="1"/>
  <c r="A176" i="11"/>
  <c r="C177" i="1"/>
  <c r="AE177" i="1"/>
  <c r="B178" i="13"/>
  <c r="C178" i="13"/>
  <c r="L177" i="1"/>
  <c r="I178" i="1"/>
  <c r="H178" i="1"/>
  <c r="K177" i="13"/>
  <c r="G175" i="11"/>
  <c r="H175" i="11" s="1"/>
  <c r="J177" i="13" s="1"/>
  <c r="D175" i="11"/>
  <c r="D178" i="13" l="1"/>
  <c r="AH177" i="1"/>
  <c r="AF177" i="1"/>
  <c r="E178" i="13"/>
  <c r="AK177" i="1"/>
  <c r="F177" i="11"/>
  <c r="E175" i="11"/>
  <c r="I177" i="13" s="1"/>
  <c r="H177" i="13"/>
  <c r="Y177" i="1"/>
  <c r="X177" i="1" s="1"/>
  <c r="W177" i="1" s="1"/>
  <c r="V177" i="1" s="1"/>
  <c r="U177" i="1" s="1"/>
  <c r="L178" i="13"/>
  <c r="F178" i="13" l="1"/>
  <c r="T177" i="1"/>
  <c r="AI177" i="1" l="1"/>
  <c r="AJ177" i="1" s="1"/>
  <c r="M178" i="13" s="1"/>
  <c r="E177" i="31"/>
  <c r="G178" i="13"/>
  <c r="F178" i="1"/>
  <c r="AN177" i="1"/>
  <c r="G178" i="1" l="1"/>
  <c r="E178" i="1" s="1"/>
  <c r="D178" i="1" s="1"/>
  <c r="Q178" i="1" s="1"/>
  <c r="S178" i="1" s="1"/>
  <c r="C176" i="11"/>
  <c r="B177" i="31"/>
  <c r="C177" i="31"/>
  <c r="AM177" i="1"/>
  <c r="N178" i="13" s="1"/>
  <c r="D177" i="31" l="1"/>
  <c r="K178" i="13"/>
  <c r="G176" i="11"/>
  <c r="H176" i="11" s="1"/>
  <c r="J178" i="13" s="1"/>
  <c r="D176" i="11"/>
  <c r="B179" i="13"/>
  <c r="A177" i="11"/>
  <c r="C179" i="13"/>
  <c r="AE178" i="1"/>
  <c r="C178" i="1"/>
  <c r="L178" i="1"/>
  <c r="H179" i="1"/>
  <c r="I179" i="1"/>
  <c r="D179" i="13" l="1"/>
  <c r="H177" i="31"/>
  <c r="Q178" i="13" s="1"/>
  <c r="O178" i="13"/>
  <c r="AH178" i="1"/>
  <c r="F177" i="31"/>
  <c r="P178" i="13" s="1"/>
  <c r="L179" i="13"/>
  <c r="E179" i="13"/>
  <c r="AF178" i="1"/>
  <c r="F178" i="11"/>
  <c r="AK178" i="1"/>
  <c r="Y178" i="1"/>
  <c r="X178" i="1" s="1"/>
  <c r="W178" i="1" s="1"/>
  <c r="V178" i="1" s="1"/>
  <c r="U178" i="1" s="1"/>
  <c r="E176" i="11"/>
  <c r="I178" i="13" s="1"/>
  <c r="H178" i="13"/>
  <c r="T178" i="1" l="1"/>
  <c r="F179" i="13"/>
  <c r="AI178" i="1" l="1"/>
  <c r="AJ178" i="1" s="1"/>
  <c r="M179" i="13" s="1"/>
  <c r="G179" i="13"/>
  <c r="E178" i="31"/>
  <c r="AN178" i="1"/>
  <c r="G179" i="1" l="1"/>
  <c r="F179" i="1"/>
  <c r="C177" i="11"/>
  <c r="B178" i="31"/>
  <c r="C178" i="31"/>
  <c r="AM178" i="1"/>
  <c r="N179" i="13" s="1"/>
  <c r="E179" i="1" l="1"/>
  <c r="D179" i="1" s="1"/>
  <c r="Q179" i="1" s="1"/>
  <c r="S179" i="1" s="1"/>
  <c r="D178" i="31"/>
  <c r="K179" i="13"/>
  <c r="G177" i="11"/>
  <c r="H177" i="11" s="1"/>
  <c r="J179" i="13" s="1"/>
  <c r="D177" i="11"/>
  <c r="C179" i="1" l="1"/>
  <c r="I180" i="1"/>
  <c r="A178" i="11"/>
  <c r="L180" i="13" s="1"/>
  <c r="B180" i="13"/>
  <c r="AE179" i="1"/>
  <c r="L179" i="1"/>
  <c r="C180" i="13"/>
  <c r="H180" i="1"/>
  <c r="F178" i="31"/>
  <c r="P179" i="13" s="1"/>
  <c r="O179" i="13"/>
  <c r="H178" i="31"/>
  <c r="Q179" i="13" s="1"/>
  <c r="H179" i="13"/>
  <c r="E177" i="11"/>
  <c r="I179" i="13" s="1"/>
  <c r="D180" i="13" l="1"/>
  <c r="AF179" i="1"/>
  <c r="AH179" i="1"/>
  <c r="E180" i="13"/>
  <c r="AK179" i="1"/>
  <c r="F179" i="11"/>
  <c r="Y179" i="1"/>
  <c r="X179" i="1" s="1"/>
  <c r="W179" i="1" s="1"/>
  <c r="V179" i="1" s="1"/>
  <c r="U179" i="1" s="1"/>
  <c r="T179" i="1" s="1"/>
  <c r="F180" i="13" l="1"/>
  <c r="AI179" i="1"/>
  <c r="AJ179" i="1" s="1"/>
  <c r="M180" i="13" s="1"/>
  <c r="E179" i="31"/>
  <c r="G180" i="13"/>
  <c r="AN179" i="1"/>
  <c r="G180" i="1"/>
  <c r="F180" i="1" l="1"/>
  <c r="E180" i="1" s="1"/>
  <c r="D180" i="1" s="1"/>
  <c r="Q180" i="1" s="1"/>
  <c r="S180" i="1" s="1"/>
  <c r="C178" i="11"/>
  <c r="C179" i="31"/>
  <c r="B179" i="31"/>
  <c r="AM179" i="1"/>
  <c r="N180" i="13" s="1"/>
  <c r="D179" i="31" l="1"/>
  <c r="O180" i="13" s="1"/>
  <c r="AE180" i="1"/>
  <c r="B181" i="13"/>
  <c r="C180" i="1"/>
  <c r="A179" i="11"/>
  <c r="C181" i="13"/>
  <c r="I181" i="1"/>
  <c r="H181" i="1"/>
  <c r="L180" i="1"/>
  <c r="K180" i="13"/>
  <c r="G178" i="11"/>
  <c r="H178" i="11" s="1"/>
  <c r="J180" i="13" s="1"/>
  <c r="D178" i="11"/>
  <c r="D181" i="13" l="1"/>
  <c r="AH180" i="1"/>
  <c r="AF180" i="1"/>
  <c r="E181" i="13"/>
  <c r="AK180" i="1"/>
  <c r="F180" i="11"/>
  <c r="H180" i="13"/>
  <c r="E178" i="11"/>
  <c r="I180" i="13" s="1"/>
  <c r="Y180" i="1"/>
  <c r="X180" i="1" s="1"/>
  <c r="W180" i="1" s="1"/>
  <c r="V180" i="1" s="1"/>
  <c r="U180" i="1" s="1"/>
  <c r="L181" i="13"/>
  <c r="H179" i="31"/>
  <c r="Q180" i="13" s="1"/>
  <c r="F179" i="31"/>
  <c r="P180" i="13" s="1"/>
  <c r="F181" i="13" l="1"/>
  <c r="T180" i="1"/>
  <c r="AI180" i="1" l="1"/>
  <c r="AJ180" i="1" s="1"/>
  <c r="M181" i="13" s="1"/>
  <c r="E180" i="31"/>
  <c r="G181" i="13"/>
  <c r="F181" i="1"/>
  <c r="AN180" i="1"/>
  <c r="G181" i="1" l="1"/>
  <c r="E181" i="1" s="1"/>
  <c r="D181" i="1" s="1"/>
  <c r="Q181" i="1" s="1"/>
  <c r="S181" i="1" s="1"/>
  <c r="C179" i="11"/>
  <c r="B180" i="31"/>
  <c r="C180" i="31"/>
  <c r="AM180" i="1"/>
  <c r="N181" i="13" s="1"/>
  <c r="D180" i="31" l="1"/>
  <c r="B182" i="13"/>
  <c r="AE181" i="1"/>
  <c r="A180" i="11"/>
  <c r="C181" i="1"/>
  <c r="C182" i="13"/>
  <c r="L181" i="1"/>
  <c r="H182" i="1"/>
  <c r="I182" i="1"/>
  <c r="K181" i="13"/>
  <c r="G179" i="11"/>
  <c r="H179" i="11" s="1"/>
  <c r="J181" i="13" s="1"/>
  <c r="D179" i="11"/>
  <c r="D182" i="13" l="1"/>
  <c r="H180" i="31"/>
  <c r="Q181" i="13" s="1"/>
  <c r="O181" i="13"/>
  <c r="AH181" i="1"/>
  <c r="F180" i="31"/>
  <c r="P181" i="13" s="1"/>
  <c r="E179" i="11"/>
  <c r="I181" i="13" s="1"/>
  <c r="H181" i="13"/>
  <c r="Y181" i="1"/>
  <c r="X181" i="1" s="1"/>
  <c r="W181" i="1" s="1"/>
  <c r="V181" i="1" s="1"/>
  <c r="U181" i="1" s="1"/>
  <c r="AF181" i="1"/>
  <c r="E182" i="13"/>
  <c r="F181" i="11"/>
  <c r="AK181" i="1"/>
  <c r="L182" i="13"/>
  <c r="F182" i="13" l="1"/>
  <c r="T181" i="1"/>
  <c r="AI181" i="1" l="1"/>
  <c r="AJ181" i="1" s="1"/>
  <c r="M182" i="13" s="1"/>
  <c r="G182" i="13"/>
  <c r="E181" i="31"/>
  <c r="AN181" i="1"/>
  <c r="F182" i="1" l="1"/>
  <c r="G182" i="1"/>
  <c r="C180" i="11"/>
  <c r="B181" i="31"/>
  <c r="C181" i="31"/>
  <c r="AM181" i="1"/>
  <c r="N182" i="13" s="1"/>
  <c r="E182" i="1" l="1"/>
  <c r="D182" i="1" s="1"/>
  <c r="Q182" i="1" s="1"/>
  <c r="S182" i="1" s="1"/>
  <c r="D181" i="31"/>
  <c r="K182" i="13"/>
  <c r="G180" i="11"/>
  <c r="H180" i="11" s="1"/>
  <c r="J182" i="13" s="1"/>
  <c r="D180" i="11"/>
  <c r="C182" i="1" l="1"/>
  <c r="L182" i="1"/>
  <c r="C183" i="13"/>
  <c r="H183" i="1"/>
  <c r="A181" i="11"/>
  <c r="L183" i="13" s="1"/>
  <c r="AE182" i="1"/>
  <c r="I183" i="1"/>
  <c r="B183" i="13"/>
  <c r="F181" i="31"/>
  <c r="P182" i="13" s="1"/>
  <c r="O182" i="13"/>
  <c r="H181" i="31"/>
  <c r="Q182" i="13" s="1"/>
  <c r="E180" i="11"/>
  <c r="I182" i="13" s="1"/>
  <c r="H182" i="13"/>
  <c r="D183" i="13" l="1"/>
  <c r="E183" i="13"/>
  <c r="Y182" i="1"/>
  <c r="X182" i="1" s="1"/>
  <c r="W182" i="1" s="1"/>
  <c r="V182" i="1" s="1"/>
  <c r="U182" i="1" s="1"/>
  <c r="T182" i="1" s="1"/>
  <c r="AK182" i="1"/>
  <c r="AF182" i="1"/>
  <c r="F182" i="11"/>
  <c r="AH182" i="1"/>
  <c r="F183" i="13" l="1"/>
  <c r="AI182" i="1"/>
  <c r="AJ182" i="1" s="1"/>
  <c r="M183" i="13" s="1"/>
  <c r="G183" i="13"/>
  <c r="E182" i="31"/>
  <c r="AN182" i="1"/>
  <c r="G183" i="1" l="1"/>
  <c r="F183" i="1"/>
  <c r="C181" i="11"/>
  <c r="B182" i="31"/>
  <c r="C182" i="31"/>
  <c r="AM182" i="1"/>
  <c r="N183" i="13" s="1"/>
  <c r="E183" i="1" l="1"/>
  <c r="D183" i="1" s="1"/>
  <c r="Q183" i="1" s="1"/>
  <c r="S183" i="1" s="1"/>
  <c r="D182" i="31"/>
  <c r="K183" i="13"/>
  <c r="G181" i="11"/>
  <c r="H181" i="11" s="1"/>
  <c r="J183" i="13" s="1"/>
  <c r="D181" i="11"/>
  <c r="AE183" i="1" l="1"/>
  <c r="I184" i="1"/>
  <c r="A182" i="11"/>
  <c r="L184" i="13" s="1"/>
  <c r="H184" i="1"/>
  <c r="L183" i="1"/>
  <c r="C184" i="13"/>
  <c r="B184" i="13"/>
  <c r="C183" i="1"/>
  <c r="H182" i="31"/>
  <c r="Q183" i="13" s="1"/>
  <c r="O183" i="13"/>
  <c r="F182" i="31"/>
  <c r="P183" i="13" s="1"/>
  <c r="E181" i="11"/>
  <c r="I183" i="13" s="1"/>
  <c r="H183" i="13"/>
  <c r="E184" i="13" l="1"/>
  <c r="D184" i="13"/>
  <c r="AH183" i="1"/>
  <c r="Y183" i="1"/>
  <c r="X183" i="1" s="1"/>
  <c r="W183" i="1" s="1"/>
  <c r="V183" i="1" s="1"/>
  <c r="U183" i="1" s="1"/>
  <c r="F184" i="13" s="1"/>
  <c r="F183" i="11"/>
  <c r="AF183" i="1"/>
  <c r="AK183" i="1"/>
  <c r="T183" i="1" l="1"/>
  <c r="AI183" i="1" s="1"/>
  <c r="AJ183" i="1" s="1"/>
  <c r="M184" i="13" s="1"/>
  <c r="E183" i="31" l="1"/>
  <c r="G184" i="13"/>
  <c r="G184" i="1"/>
  <c r="F184" i="1"/>
  <c r="B183" i="31"/>
  <c r="C183" i="31"/>
  <c r="AM183" i="1"/>
  <c r="N184" i="13" s="1"/>
  <c r="AN183" i="1"/>
  <c r="D183" i="31" l="1"/>
  <c r="E184" i="1"/>
  <c r="D184" i="1" s="1"/>
  <c r="Q184" i="1" s="1"/>
  <c r="S184" i="1" s="1"/>
  <c r="C182" i="11"/>
  <c r="H183" i="31" l="1"/>
  <c r="Q184" i="13" s="1"/>
  <c r="O184" i="13"/>
  <c r="F183" i="31"/>
  <c r="P184" i="13" s="1"/>
  <c r="G182" i="11"/>
  <c r="H182" i="11" s="1"/>
  <c r="J184" i="13" s="1"/>
  <c r="K184" i="13"/>
  <c r="D182" i="11"/>
  <c r="C184" i="1"/>
  <c r="A183" i="11"/>
  <c r="AE184" i="1"/>
  <c r="C185" i="13"/>
  <c r="B185" i="13"/>
  <c r="I185" i="1"/>
  <c r="H185" i="1"/>
  <c r="L184" i="1"/>
  <c r="D185" i="13" l="1"/>
  <c r="AH184" i="1"/>
  <c r="L185" i="13"/>
  <c r="AF184" i="1"/>
  <c r="E185" i="13"/>
  <c r="F184" i="11"/>
  <c r="AK184" i="1"/>
  <c r="Y184" i="1"/>
  <c r="X184" i="1" s="1"/>
  <c r="W184" i="1" s="1"/>
  <c r="V184" i="1" s="1"/>
  <c r="U184" i="1" s="1"/>
  <c r="E182" i="11"/>
  <c r="I184" i="13" s="1"/>
  <c r="H184" i="13"/>
  <c r="T184" i="1" l="1"/>
  <c r="F185" i="13"/>
  <c r="AI184" i="1" l="1"/>
  <c r="AJ184" i="1" s="1"/>
  <c r="M185" i="13" s="1"/>
  <c r="E184" i="31"/>
  <c r="G185" i="13"/>
  <c r="G185" i="1" l="1"/>
  <c r="F185" i="1"/>
  <c r="C184" i="31"/>
  <c r="B184" i="31"/>
  <c r="AM184" i="1"/>
  <c r="N185" i="13" s="1"/>
  <c r="AN184" i="1"/>
  <c r="D184" i="31" l="1"/>
  <c r="C183" i="11"/>
  <c r="E185" i="1"/>
  <c r="D185" i="1" s="1"/>
  <c r="Q185" i="1" s="1"/>
  <c r="S185" i="1" s="1"/>
  <c r="H184" i="31" l="1"/>
  <c r="Q185" i="13" s="1"/>
  <c r="O185" i="13"/>
  <c r="F184" i="31"/>
  <c r="P185" i="13" s="1"/>
  <c r="K185" i="13"/>
  <c r="G183" i="11"/>
  <c r="H183" i="11" s="1"/>
  <c r="J185" i="13" s="1"/>
  <c r="D183" i="11"/>
  <c r="B186" i="13"/>
  <c r="C185" i="1"/>
  <c r="AE185" i="1"/>
  <c r="C186" i="13"/>
  <c r="A184" i="11"/>
  <c r="L185" i="1"/>
  <c r="H186" i="1"/>
  <c r="I186" i="1"/>
  <c r="D186" i="13" l="1"/>
  <c r="Y185" i="1"/>
  <c r="X185" i="1" s="1"/>
  <c r="W185" i="1" s="1"/>
  <c r="V185" i="1" s="1"/>
  <c r="U185" i="1" s="1"/>
  <c r="AH185" i="1"/>
  <c r="H185" i="13"/>
  <c r="E183" i="11"/>
  <c r="I185" i="13" s="1"/>
  <c r="AF185" i="1"/>
  <c r="E186" i="13"/>
  <c r="AK185" i="1"/>
  <c r="F185" i="11"/>
  <c r="L186" i="13"/>
  <c r="T185" i="1" l="1"/>
  <c r="F186" i="13"/>
  <c r="AI185" i="1" l="1"/>
  <c r="AJ185" i="1" s="1"/>
  <c r="M186" i="13" s="1"/>
  <c r="G186" i="13"/>
  <c r="E185" i="31"/>
  <c r="AN185" i="1"/>
  <c r="G186" i="1" l="1"/>
  <c r="F186" i="1"/>
  <c r="C184" i="11"/>
  <c r="B185" i="31"/>
  <c r="C185" i="31"/>
  <c r="AM185" i="1"/>
  <c r="N186" i="13" s="1"/>
  <c r="E186" i="1" l="1"/>
  <c r="D186" i="1" s="1"/>
  <c r="Q186" i="1" s="1"/>
  <c r="S186" i="1" s="1"/>
  <c r="D185" i="31"/>
  <c r="K186" i="13"/>
  <c r="G184" i="11"/>
  <c r="H184" i="11" s="1"/>
  <c r="J186" i="13" s="1"/>
  <c r="D184" i="11"/>
  <c r="C187" i="13" l="1"/>
  <c r="I187" i="1"/>
  <c r="A185" i="11"/>
  <c r="L187" i="13" s="1"/>
  <c r="H187" i="1"/>
  <c r="AE186" i="1"/>
  <c r="B187" i="13"/>
  <c r="C186" i="1"/>
  <c r="L186" i="1"/>
  <c r="F185" i="31"/>
  <c r="P186" i="13" s="1"/>
  <c r="O186" i="13"/>
  <c r="H185" i="31"/>
  <c r="Q186" i="13" s="1"/>
  <c r="H186" i="13"/>
  <c r="E184" i="11"/>
  <c r="I186" i="13" s="1"/>
  <c r="AF186" i="1" l="1"/>
  <c r="D187" i="13"/>
  <c r="AH186" i="1"/>
  <c r="Y186" i="1"/>
  <c r="X186" i="1" s="1"/>
  <c r="W186" i="1" s="1"/>
  <c r="V186" i="1" s="1"/>
  <c r="U186" i="1" s="1"/>
  <c r="T186" i="1" s="1"/>
  <c r="E187" i="13"/>
  <c r="F186" i="11"/>
  <c r="AK186" i="1"/>
  <c r="F187" i="13" l="1"/>
  <c r="AI186" i="1"/>
  <c r="AJ186" i="1" s="1"/>
  <c r="M187" i="13" s="1"/>
  <c r="E186" i="31"/>
  <c r="G187" i="13"/>
  <c r="AN186" i="1"/>
  <c r="F187" i="1" l="1"/>
  <c r="G187" i="1"/>
  <c r="C185" i="11"/>
  <c r="B186" i="31"/>
  <c r="C186" i="31"/>
  <c r="AM186" i="1"/>
  <c r="N187" i="13" s="1"/>
  <c r="E187" i="1" l="1"/>
  <c r="D187" i="1" s="1"/>
  <c r="Q187" i="1" s="1"/>
  <c r="S187" i="1" s="1"/>
  <c r="D186" i="31"/>
  <c r="K187" i="13"/>
  <c r="G185" i="11"/>
  <c r="H185" i="11" s="1"/>
  <c r="J187" i="13" s="1"/>
  <c r="D185" i="11"/>
  <c r="B188" i="13" l="1"/>
  <c r="L187" i="1"/>
  <c r="AE187" i="1"/>
  <c r="A186" i="11"/>
  <c r="L188" i="13" s="1"/>
  <c r="I188" i="1"/>
  <c r="C187" i="1"/>
  <c r="H188" i="1"/>
  <c r="C188" i="13"/>
  <c r="F186" i="31"/>
  <c r="P187" i="13" s="1"/>
  <c r="O187" i="13"/>
  <c r="H186" i="31"/>
  <c r="Q187" i="13" s="1"/>
  <c r="H187" i="13"/>
  <c r="E185" i="11"/>
  <c r="I187" i="13" s="1"/>
  <c r="E188" i="13" l="1"/>
  <c r="D188" i="13"/>
  <c r="AK187" i="1"/>
  <c r="AH187" i="1"/>
  <c r="Y187" i="1"/>
  <c r="X187" i="1" s="1"/>
  <c r="W187" i="1" s="1"/>
  <c r="V187" i="1" s="1"/>
  <c r="U187" i="1" s="1"/>
  <c r="T187" i="1" s="1"/>
  <c r="F187" i="11"/>
  <c r="AF187" i="1"/>
  <c r="F188" i="13" l="1"/>
  <c r="AI187" i="1"/>
  <c r="AJ187" i="1" s="1"/>
  <c r="M188" i="13" s="1"/>
  <c r="G188" i="13"/>
  <c r="E187" i="31"/>
  <c r="AN187" i="1"/>
  <c r="F188" i="1" l="1"/>
  <c r="G188" i="1"/>
  <c r="C186" i="11"/>
  <c r="B187" i="31"/>
  <c r="C187" i="31"/>
  <c r="AM187" i="1"/>
  <c r="N188" i="13" s="1"/>
  <c r="E188" i="1" l="1"/>
  <c r="D188" i="1" s="1"/>
  <c r="Q188" i="1" s="1"/>
  <c r="S188" i="1" s="1"/>
  <c r="D187" i="31"/>
  <c r="K188" i="13"/>
  <c r="G186" i="11"/>
  <c r="H186" i="11" s="1"/>
  <c r="J188" i="13" s="1"/>
  <c r="D186" i="11"/>
  <c r="A187" i="11" l="1"/>
  <c r="L189" i="13" s="1"/>
  <c r="I189" i="1"/>
  <c r="B189" i="13"/>
  <c r="AE188" i="1"/>
  <c r="L188" i="1"/>
  <c r="C189" i="13"/>
  <c r="H189" i="1"/>
  <c r="C188" i="1"/>
  <c r="F187" i="31"/>
  <c r="P188" i="13" s="1"/>
  <c r="O188" i="13"/>
  <c r="H187" i="31"/>
  <c r="Q188" i="13" s="1"/>
  <c r="H188" i="13"/>
  <c r="E186" i="11"/>
  <c r="I188" i="13" s="1"/>
  <c r="AF188" i="1" l="1"/>
  <c r="D189" i="13"/>
  <c r="AH188" i="1"/>
  <c r="Y188" i="1"/>
  <c r="X188" i="1" s="1"/>
  <c r="W188" i="1" s="1"/>
  <c r="V188" i="1" s="1"/>
  <c r="U188" i="1" s="1"/>
  <c r="F189" i="13" s="1"/>
  <c r="E189" i="13"/>
  <c r="F188" i="11"/>
  <c r="AK188" i="1"/>
  <c r="T188" i="1" l="1"/>
  <c r="AI188" i="1" s="1"/>
  <c r="AJ188" i="1" s="1"/>
  <c r="M189" i="13" s="1"/>
  <c r="AN188" i="1"/>
  <c r="G189" i="13" l="1"/>
  <c r="E188" i="31"/>
  <c r="F189" i="1"/>
  <c r="G189" i="1"/>
  <c r="C187" i="11"/>
  <c r="B188" i="31"/>
  <c r="C188" i="31"/>
  <c r="AM188" i="1"/>
  <c r="N189" i="13" s="1"/>
  <c r="E189" i="1" l="1"/>
  <c r="D189" i="1" s="1"/>
  <c r="Q189" i="1" s="1"/>
  <c r="S189" i="1" s="1"/>
  <c r="D188" i="31"/>
  <c r="K189" i="13"/>
  <c r="G187" i="11"/>
  <c r="H187" i="11" s="1"/>
  <c r="J189" i="13" s="1"/>
  <c r="D187" i="11"/>
  <c r="C190" i="13" l="1"/>
  <c r="I190" i="1"/>
  <c r="C189" i="1"/>
  <c r="H190" i="1"/>
  <c r="AH189" i="1" s="1"/>
  <c r="B190" i="13"/>
  <c r="A188" i="11"/>
  <c r="L190" i="13" s="1"/>
  <c r="AE189" i="1"/>
  <c r="L189" i="1"/>
  <c r="H188" i="31"/>
  <c r="Q189" i="13" s="1"/>
  <c r="O189" i="13"/>
  <c r="F188" i="31"/>
  <c r="P189" i="13" s="1"/>
  <c r="H189" i="13"/>
  <c r="E187" i="11"/>
  <c r="I189" i="13" s="1"/>
  <c r="AF189" i="1" l="1"/>
  <c r="D190" i="13"/>
  <c r="Y189" i="1"/>
  <c r="X189" i="1" s="1"/>
  <c r="W189" i="1" s="1"/>
  <c r="V189" i="1" s="1"/>
  <c r="U189" i="1" s="1"/>
  <c r="T189" i="1" s="1"/>
  <c r="E190" i="13"/>
  <c r="F189" i="11"/>
  <c r="AK189" i="1"/>
  <c r="F190" i="13" l="1"/>
  <c r="AI189" i="1"/>
  <c r="AJ189" i="1" s="1"/>
  <c r="M190" i="13" s="1"/>
  <c r="G190" i="13"/>
  <c r="E189" i="31"/>
  <c r="AN189" i="1"/>
  <c r="G190" i="1" l="1"/>
  <c r="F190" i="1"/>
  <c r="C188" i="11"/>
  <c r="C189" i="31"/>
  <c r="B189" i="31"/>
  <c r="AM189" i="1"/>
  <c r="N190" i="13" s="1"/>
  <c r="E190" i="1" l="1"/>
  <c r="D190" i="1" s="1"/>
  <c r="Q190" i="1" s="1"/>
  <c r="S190" i="1" s="1"/>
  <c r="D189" i="31"/>
  <c r="O190" i="13" s="1"/>
  <c r="K190" i="13"/>
  <c r="G188" i="11"/>
  <c r="H188" i="11" s="1"/>
  <c r="J190" i="13" s="1"/>
  <c r="D188" i="11"/>
  <c r="B191" i="13" l="1"/>
  <c r="L190" i="1"/>
  <c r="I191" i="1"/>
  <c r="C191" i="13"/>
  <c r="C190" i="1"/>
  <c r="A189" i="11"/>
  <c r="L191" i="13" s="1"/>
  <c r="AE190" i="1"/>
  <c r="H191" i="1"/>
  <c r="H190" i="13"/>
  <c r="E188" i="11"/>
  <c r="I190" i="13" s="1"/>
  <c r="H189" i="31"/>
  <c r="Q190" i="13" s="1"/>
  <c r="F189" i="31"/>
  <c r="P190" i="13" s="1"/>
  <c r="AK190" i="1" l="1"/>
  <c r="D191" i="13"/>
  <c r="Y190" i="1"/>
  <c r="X190" i="1" s="1"/>
  <c r="W190" i="1" s="1"/>
  <c r="V190" i="1" s="1"/>
  <c r="U190" i="1" s="1"/>
  <c r="F191" i="13" s="1"/>
  <c r="AF190" i="1"/>
  <c r="AH190" i="1"/>
  <c r="E191" i="13"/>
  <c r="F190" i="11"/>
  <c r="T190" i="1" l="1"/>
  <c r="G191" i="13" s="1"/>
  <c r="AN190" i="1"/>
  <c r="AI190" i="1" l="1"/>
  <c r="AJ190" i="1" s="1"/>
  <c r="M191" i="13" s="1"/>
  <c r="E190" i="31"/>
  <c r="F191" i="1"/>
  <c r="G191" i="1"/>
  <c r="C189" i="11"/>
  <c r="AM190" i="1" l="1"/>
  <c r="N191" i="13" s="1"/>
  <c r="C190" i="31"/>
  <c r="B190" i="31"/>
  <c r="E191" i="1"/>
  <c r="D191" i="1" s="1"/>
  <c r="Q191" i="1" s="1"/>
  <c r="S191" i="1" s="1"/>
  <c r="K191" i="13"/>
  <c r="G189" i="11"/>
  <c r="H189" i="11" s="1"/>
  <c r="J191" i="13" s="1"/>
  <c r="D189" i="11"/>
  <c r="A190" i="11" l="1"/>
  <c r="L192" i="13" s="1"/>
  <c r="D190" i="31"/>
  <c r="H190" i="31" s="1"/>
  <c r="Q191" i="13" s="1"/>
  <c r="H192" i="1"/>
  <c r="C191" i="1"/>
  <c r="L191" i="1"/>
  <c r="C192" i="13"/>
  <c r="I192" i="1"/>
  <c r="B192" i="13"/>
  <c r="AE191" i="1"/>
  <c r="O191" i="13"/>
  <c r="E189" i="11"/>
  <c r="I191" i="13" s="1"/>
  <c r="H191" i="13"/>
  <c r="E192" i="13" l="1"/>
  <c r="D192" i="13"/>
  <c r="F190" i="31"/>
  <c r="P191" i="13" s="1"/>
  <c r="AH191" i="1"/>
  <c r="AF191" i="1"/>
  <c r="F191" i="11"/>
  <c r="AK191" i="1"/>
  <c r="Y191" i="1"/>
  <c r="X191" i="1" s="1"/>
  <c r="W191" i="1" s="1"/>
  <c r="V191" i="1" s="1"/>
  <c r="U191" i="1" s="1"/>
  <c r="F192" i="13" s="1"/>
  <c r="T191" i="1" l="1"/>
  <c r="G192" i="13" s="1"/>
  <c r="AN191" i="1"/>
  <c r="E191" i="31" l="1"/>
  <c r="AI191" i="1"/>
  <c r="AJ191" i="1" s="1"/>
  <c r="M192" i="13" s="1"/>
  <c r="F192" i="1"/>
  <c r="G192" i="1"/>
  <c r="C190" i="11"/>
  <c r="AM191" i="1" l="1"/>
  <c r="N192" i="13" s="1"/>
  <c r="B191" i="31"/>
  <c r="C191" i="31"/>
  <c r="E192" i="1"/>
  <c r="D192" i="1" s="1"/>
  <c r="Q192" i="1" s="1"/>
  <c r="S192" i="1" s="1"/>
  <c r="G190" i="11"/>
  <c r="H190" i="11" s="1"/>
  <c r="J192" i="13" s="1"/>
  <c r="K192" i="13"/>
  <c r="D190" i="11"/>
  <c r="C193" i="13" l="1"/>
  <c r="D191" i="31"/>
  <c r="H191" i="31" s="1"/>
  <c r="Q192" i="13" s="1"/>
  <c r="AE192" i="1"/>
  <c r="L192" i="1"/>
  <c r="A191" i="11"/>
  <c r="L193" i="13" s="1"/>
  <c r="H193" i="1"/>
  <c r="B193" i="13"/>
  <c r="C192" i="1"/>
  <c r="I193" i="1"/>
  <c r="O192" i="13"/>
  <c r="H192" i="13"/>
  <c r="E190" i="11"/>
  <c r="I192" i="13" s="1"/>
  <c r="F192" i="11" l="1"/>
  <c r="D193" i="13"/>
  <c r="Y192" i="1"/>
  <c r="X192" i="1" s="1"/>
  <c r="W192" i="1" s="1"/>
  <c r="V192" i="1" s="1"/>
  <c r="U192" i="1" s="1"/>
  <c r="T192" i="1" s="1"/>
  <c r="F191" i="31"/>
  <c r="P192" i="13" s="1"/>
  <c r="AH192" i="1"/>
  <c r="AF192" i="1"/>
  <c r="E193" i="13"/>
  <c r="AK192" i="1"/>
  <c r="F193" i="13" l="1"/>
  <c r="AI192" i="1"/>
  <c r="AJ192" i="1" s="1"/>
  <c r="M193" i="13" s="1"/>
  <c r="E192" i="31"/>
  <c r="G193" i="13"/>
  <c r="AN192" i="1"/>
  <c r="G193" i="1" l="1"/>
  <c r="F193" i="1"/>
  <c r="C191" i="11"/>
  <c r="C192" i="31"/>
  <c r="B192" i="31"/>
  <c r="AM192" i="1"/>
  <c r="N193" i="13" s="1"/>
  <c r="E193" i="1" l="1"/>
  <c r="D193" i="1" s="1"/>
  <c r="Q193" i="1" s="1"/>
  <c r="S193" i="1" s="1"/>
  <c r="D192" i="31"/>
  <c r="G191" i="11"/>
  <c r="H191" i="11" s="1"/>
  <c r="J193" i="13" s="1"/>
  <c r="K193" i="13"/>
  <c r="D191" i="11"/>
  <c r="C194" i="13" l="1"/>
  <c r="H194" i="1"/>
  <c r="AE193" i="1"/>
  <c r="I194" i="1"/>
  <c r="C193" i="1"/>
  <c r="B194" i="13"/>
  <c r="L193" i="1"/>
  <c r="A192" i="11"/>
  <c r="L194" i="13" s="1"/>
  <c r="H192" i="31"/>
  <c r="Q193" i="13" s="1"/>
  <c r="O193" i="13"/>
  <c r="F192" i="31"/>
  <c r="P193" i="13" s="1"/>
  <c r="E191" i="11"/>
  <c r="I193" i="13" s="1"/>
  <c r="H193" i="13"/>
  <c r="AF193" i="1" l="1"/>
  <c r="D194" i="13"/>
  <c r="Y193" i="1"/>
  <c r="X193" i="1" s="1"/>
  <c r="W193" i="1" s="1"/>
  <c r="V193" i="1" s="1"/>
  <c r="U193" i="1" s="1"/>
  <c r="F194" i="13" s="1"/>
  <c r="AH193" i="1"/>
  <c r="E194" i="13"/>
  <c r="AK193" i="1"/>
  <c r="F193" i="11"/>
  <c r="T193" i="1" l="1"/>
  <c r="E193" i="31" s="1"/>
  <c r="AN193" i="1"/>
  <c r="AI193" i="1" l="1"/>
  <c r="AJ193" i="1" s="1"/>
  <c r="M194" i="13" s="1"/>
  <c r="G194" i="13"/>
  <c r="G194" i="1"/>
  <c r="F194" i="1"/>
  <c r="C192" i="11"/>
  <c r="AM193" i="1" l="1"/>
  <c r="N194" i="13" s="1"/>
  <c r="C193" i="31"/>
  <c r="B193" i="31"/>
  <c r="E194" i="1"/>
  <c r="D194" i="1" s="1"/>
  <c r="Q194" i="1" s="1"/>
  <c r="S194" i="1" s="1"/>
  <c r="G192" i="11"/>
  <c r="H192" i="11" s="1"/>
  <c r="J194" i="13" s="1"/>
  <c r="K194" i="13"/>
  <c r="D192" i="11"/>
  <c r="C195" i="13" l="1"/>
  <c r="AE194" i="1"/>
  <c r="L194" i="1"/>
  <c r="I195" i="1"/>
  <c r="B195" i="13"/>
  <c r="A193" i="11"/>
  <c r="L195" i="13" s="1"/>
  <c r="D193" i="31"/>
  <c r="F193" i="31" s="1"/>
  <c r="P194" i="13" s="1"/>
  <c r="H195" i="1"/>
  <c r="Y194" i="1" s="1"/>
  <c r="C194" i="1"/>
  <c r="O194" i="13"/>
  <c r="H194" i="13"/>
  <c r="E192" i="11"/>
  <c r="I194" i="13" s="1"/>
  <c r="E195" i="13" l="1"/>
  <c r="D195" i="13"/>
  <c r="AF194" i="1"/>
  <c r="F194" i="11"/>
  <c r="AK194" i="1"/>
  <c r="X194" i="1"/>
  <c r="W194" i="1" s="1"/>
  <c r="V194" i="1" s="1"/>
  <c r="U194" i="1" s="1"/>
  <c r="F195" i="13" s="1"/>
  <c r="H193" i="31"/>
  <c r="Q194" i="13" s="1"/>
  <c r="AH194" i="1"/>
  <c r="T194" i="1" l="1"/>
  <c r="AI194" i="1" s="1"/>
  <c r="AJ194" i="1" s="1"/>
  <c r="M195" i="13" s="1"/>
  <c r="AN194" i="1"/>
  <c r="G195" i="13" l="1"/>
  <c r="E194" i="31"/>
  <c r="F195" i="1"/>
  <c r="G195" i="1"/>
  <c r="C193" i="11"/>
  <c r="B194" i="31"/>
  <c r="C194" i="31"/>
  <c r="AM194" i="1"/>
  <c r="N195" i="13" s="1"/>
  <c r="E195" i="1" l="1"/>
  <c r="D195" i="1" s="1"/>
  <c r="Q195" i="1" s="1"/>
  <c r="S195" i="1" s="1"/>
  <c r="D194" i="31"/>
  <c r="G193" i="11"/>
  <c r="H193" i="11" s="1"/>
  <c r="J195" i="13" s="1"/>
  <c r="K195" i="13"/>
  <c r="D193" i="11"/>
  <c r="A194" i="11" l="1"/>
  <c r="H196" i="1"/>
  <c r="AE195" i="1"/>
  <c r="L195" i="1"/>
  <c r="B196" i="13"/>
  <c r="C196" i="13"/>
  <c r="C195" i="1"/>
  <c r="I196" i="1"/>
  <c r="F194" i="31"/>
  <c r="P195" i="13" s="1"/>
  <c r="O195" i="13"/>
  <c r="H194" i="31"/>
  <c r="Q195" i="13" s="1"/>
  <c r="E193" i="11"/>
  <c r="I195" i="13" s="1"/>
  <c r="H195" i="13"/>
  <c r="L196" i="13"/>
  <c r="AF195" i="1" l="1"/>
  <c r="D196" i="13"/>
  <c r="AH195" i="1"/>
  <c r="AK195" i="1"/>
  <c r="Y195" i="1"/>
  <c r="X195" i="1" s="1"/>
  <c r="W195" i="1" s="1"/>
  <c r="V195" i="1" s="1"/>
  <c r="U195" i="1" s="1"/>
  <c r="F196" i="13" s="1"/>
  <c r="E196" i="13"/>
  <c r="F195" i="11"/>
  <c r="T195" i="1" l="1"/>
  <c r="AI195" i="1" s="1"/>
  <c r="AJ195" i="1" s="1"/>
  <c r="M196" i="13" s="1"/>
  <c r="AN195" i="1"/>
  <c r="E195" i="31" l="1"/>
  <c r="G196" i="13"/>
  <c r="G196" i="1"/>
  <c r="F196" i="1"/>
  <c r="C194" i="11"/>
  <c r="C195" i="31"/>
  <c r="B195" i="31"/>
  <c r="AM195" i="1"/>
  <c r="N196" i="13" s="1"/>
  <c r="E196" i="1" l="1"/>
  <c r="D196" i="1" s="1"/>
  <c r="Q196" i="1" s="1"/>
  <c r="S196" i="1" s="1"/>
  <c r="D195" i="31"/>
  <c r="O196" i="13" s="1"/>
  <c r="G194" i="11"/>
  <c r="H194" i="11" s="1"/>
  <c r="J196" i="13" s="1"/>
  <c r="K196" i="13"/>
  <c r="D194" i="11"/>
  <c r="C196" i="1" l="1"/>
  <c r="A195" i="11"/>
  <c r="L197" i="13" s="1"/>
  <c r="AE196" i="1"/>
  <c r="I197" i="1"/>
  <c r="B197" i="13"/>
  <c r="L196" i="1"/>
  <c r="C197" i="13"/>
  <c r="H197" i="1"/>
  <c r="Y196" i="1" s="1"/>
  <c r="H196" i="13"/>
  <c r="E194" i="11"/>
  <c r="I196" i="13" s="1"/>
  <c r="F195" i="31"/>
  <c r="P196" i="13" s="1"/>
  <c r="H195" i="31"/>
  <c r="Q196" i="13" s="1"/>
  <c r="D197" i="13" l="1"/>
  <c r="AK196" i="1"/>
  <c r="AH196" i="1"/>
  <c r="X196" i="1"/>
  <c r="W196" i="1" s="1"/>
  <c r="V196" i="1" s="1"/>
  <c r="U196" i="1" s="1"/>
  <c r="F197" i="13" s="1"/>
  <c r="E197" i="13"/>
  <c r="F196" i="11"/>
  <c r="AF196" i="1"/>
  <c r="T196" i="1" l="1"/>
  <c r="AI196" i="1" s="1"/>
  <c r="AJ196" i="1" s="1"/>
  <c r="M197" i="13" s="1"/>
  <c r="AN196" i="1"/>
  <c r="G197" i="1" l="1"/>
  <c r="F197" i="1"/>
  <c r="G197" i="13"/>
  <c r="E196" i="31"/>
  <c r="C196" i="31"/>
  <c r="AM196" i="1"/>
  <c r="N197" i="13" s="1"/>
  <c r="B196" i="31"/>
  <c r="C195" i="11"/>
  <c r="E197" i="1" l="1"/>
  <c r="D197" i="1" s="1"/>
  <c r="Q197" i="1" s="1"/>
  <c r="S197" i="1" s="1"/>
  <c r="D196" i="31"/>
  <c r="H196" i="31" s="1"/>
  <c r="Q197" i="13" s="1"/>
  <c r="O197" i="13"/>
  <c r="K197" i="13"/>
  <c r="G195" i="11"/>
  <c r="H195" i="11" s="1"/>
  <c r="J197" i="13" s="1"/>
  <c r="D195" i="11"/>
  <c r="C197" i="1" l="1"/>
  <c r="I198" i="1"/>
  <c r="H198" i="1"/>
  <c r="Y197" i="1" s="1"/>
  <c r="AE197" i="1"/>
  <c r="L197" i="1"/>
  <c r="B198" i="13"/>
  <c r="C198" i="13"/>
  <c r="A196" i="11"/>
  <c r="L198" i="13" s="1"/>
  <c r="F196" i="31"/>
  <c r="P197" i="13" s="1"/>
  <c r="H197" i="13"/>
  <c r="E195" i="11"/>
  <c r="I197" i="13" s="1"/>
  <c r="D198" i="13" l="1"/>
  <c r="AF197" i="1"/>
  <c r="AH197" i="1"/>
  <c r="F197" i="11"/>
  <c r="AK197" i="1"/>
  <c r="E198" i="13"/>
  <c r="X197" i="1"/>
  <c r="W197" i="1" s="1"/>
  <c r="V197" i="1" s="1"/>
  <c r="U197" i="1" s="1"/>
  <c r="T197" i="1" s="1"/>
  <c r="F198" i="13" l="1"/>
  <c r="AI197" i="1"/>
  <c r="AJ197" i="1" s="1"/>
  <c r="M198" i="13" s="1"/>
  <c r="G198" i="13"/>
  <c r="E197" i="31"/>
  <c r="F198" i="1"/>
  <c r="AN197" i="1"/>
  <c r="G198" i="1" l="1"/>
  <c r="E198" i="1" s="1"/>
  <c r="D198" i="1" s="1"/>
  <c r="Q198" i="1" s="1"/>
  <c r="S198" i="1" s="1"/>
  <c r="C196" i="11"/>
  <c r="C197" i="31"/>
  <c r="B197" i="31"/>
  <c r="AM197" i="1"/>
  <c r="N198" i="13" s="1"/>
  <c r="D197" i="31" l="1"/>
  <c r="G196" i="11"/>
  <c r="H196" i="11" s="1"/>
  <c r="J198" i="13" s="1"/>
  <c r="K198" i="13"/>
  <c r="D196" i="11"/>
  <c r="A197" i="11"/>
  <c r="C199" i="13"/>
  <c r="AE198" i="1"/>
  <c r="C198" i="1"/>
  <c r="B199" i="13"/>
  <c r="L198" i="1"/>
  <c r="I199" i="1"/>
  <c r="H199" i="1"/>
  <c r="D199" i="13" l="1"/>
  <c r="H197" i="31"/>
  <c r="Q198" i="13" s="1"/>
  <c r="O198" i="13"/>
  <c r="AH198" i="1"/>
  <c r="F197" i="31"/>
  <c r="P198" i="13" s="1"/>
  <c r="Y198" i="1"/>
  <c r="X198" i="1" s="1"/>
  <c r="W198" i="1" s="1"/>
  <c r="V198" i="1" s="1"/>
  <c r="U198" i="1" s="1"/>
  <c r="L199" i="13"/>
  <c r="E199" i="13"/>
  <c r="AF198" i="1"/>
  <c r="F198" i="11"/>
  <c r="AK198" i="1"/>
  <c r="E196" i="11"/>
  <c r="I198" i="13" s="1"/>
  <c r="H198" i="13"/>
  <c r="T198" i="1" l="1"/>
  <c r="F199" i="13"/>
  <c r="AI198" i="1" l="1"/>
  <c r="AJ198" i="1" s="1"/>
  <c r="M199" i="13" s="1"/>
  <c r="G199" i="13"/>
  <c r="E198" i="31"/>
  <c r="AN198" i="1"/>
  <c r="G199" i="1" l="1"/>
  <c r="F199" i="1"/>
  <c r="C197" i="11"/>
  <c r="C198" i="31"/>
  <c r="B198" i="31"/>
  <c r="AM198" i="1"/>
  <c r="N199" i="13" s="1"/>
  <c r="E199" i="1" l="1"/>
  <c r="D199" i="1" s="1"/>
  <c r="Q199" i="1" s="1"/>
  <c r="S199" i="1" s="1"/>
  <c r="D198" i="31"/>
  <c r="O199" i="13" s="1"/>
  <c r="G197" i="11"/>
  <c r="H197" i="11" s="1"/>
  <c r="J199" i="13" s="1"/>
  <c r="K199" i="13"/>
  <c r="D197" i="11"/>
  <c r="A198" i="11" l="1"/>
  <c r="L200" i="13" s="1"/>
  <c r="H200" i="1"/>
  <c r="L199" i="1"/>
  <c r="C199" i="1"/>
  <c r="AE199" i="1"/>
  <c r="I200" i="1"/>
  <c r="C200" i="13"/>
  <c r="B200" i="13"/>
  <c r="H199" i="13"/>
  <c r="E197" i="11"/>
  <c r="I199" i="13" s="1"/>
  <c r="H198" i="31"/>
  <c r="Q199" i="13" s="1"/>
  <c r="F198" i="31"/>
  <c r="P199" i="13" s="1"/>
  <c r="E200" i="13" l="1"/>
  <c r="D200" i="13"/>
  <c r="Y199" i="1"/>
  <c r="X199" i="1" s="1"/>
  <c r="W199" i="1" s="1"/>
  <c r="V199" i="1" s="1"/>
  <c r="U199" i="1" s="1"/>
  <c r="T199" i="1" s="1"/>
  <c r="AH199" i="1"/>
  <c r="F199" i="11"/>
  <c r="AK199" i="1"/>
  <c r="AF199" i="1"/>
  <c r="F200" i="13" l="1"/>
  <c r="AI199" i="1"/>
  <c r="AJ199" i="1" s="1"/>
  <c r="M200" i="13" s="1"/>
  <c r="E199" i="31"/>
  <c r="G200" i="13"/>
  <c r="AN199" i="1"/>
  <c r="F200" i="1" l="1"/>
  <c r="G200" i="1"/>
  <c r="C198" i="11"/>
  <c r="C199" i="31"/>
  <c r="B199" i="31"/>
  <c r="AM199" i="1"/>
  <c r="N200" i="13" s="1"/>
  <c r="E200" i="1" l="1"/>
  <c r="D200" i="1" s="1"/>
  <c r="Q200" i="1" s="1"/>
  <c r="S200" i="1" s="1"/>
  <c r="D199" i="31"/>
  <c r="O200" i="13" s="1"/>
  <c r="G198" i="11"/>
  <c r="H198" i="11" s="1"/>
  <c r="J200" i="13" s="1"/>
  <c r="K200" i="13"/>
  <c r="D198" i="11"/>
  <c r="A199" i="11" l="1"/>
  <c r="L201" i="13" s="1"/>
  <c r="L200" i="1"/>
  <c r="C201" i="13"/>
  <c r="B201" i="13"/>
  <c r="AE200" i="1"/>
  <c r="I201" i="1"/>
  <c r="C200" i="1"/>
  <c r="H201" i="1"/>
  <c r="H200" i="13"/>
  <c r="E198" i="11"/>
  <c r="I200" i="13" s="1"/>
  <c r="H199" i="31"/>
  <c r="Q200" i="13" s="1"/>
  <c r="F199" i="31"/>
  <c r="P200" i="13" s="1"/>
  <c r="AF200" i="1" l="1"/>
  <c r="D201" i="13"/>
  <c r="Y200" i="1"/>
  <c r="X200" i="1" s="1"/>
  <c r="W200" i="1" s="1"/>
  <c r="V200" i="1" s="1"/>
  <c r="U200" i="1" s="1"/>
  <c r="T200" i="1" s="1"/>
  <c r="AH200" i="1"/>
  <c r="E201" i="13"/>
  <c r="F200" i="11"/>
  <c r="AK200" i="1"/>
  <c r="F201" i="13" l="1"/>
  <c r="AI200" i="1"/>
  <c r="AJ200" i="1" s="1"/>
  <c r="M201" i="13" s="1"/>
  <c r="E200" i="31"/>
  <c r="G201" i="13"/>
  <c r="F201" i="1"/>
  <c r="AN200" i="1"/>
  <c r="G201" i="1" l="1"/>
  <c r="E201" i="1" s="1"/>
  <c r="D201" i="1" s="1"/>
  <c r="Q201" i="1" s="1"/>
  <c r="S201" i="1" s="1"/>
  <c r="C199" i="11"/>
  <c r="C200" i="31"/>
  <c r="B200" i="31"/>
  <c r="AM200" i="1"/>
  <c r="N201" i="13" s="1"/>
  <c r="D200" i="31" l="1"/>
  <c r="O201" i="13" s="1"/>
  <c r="A200" i="11"/>
  <c r="AE201" i="1"/>
  <c r="B202" i="13"/>
  <c r="C201" i="1"/>
  <c r="C202" i="13"/>
  <c r="H202" i="1"/>
  <c r="I202" i="1"/>
  <c r="L201" i="1"/>
  <c r="K201" i="13"/>
  <c r="G199" i="11"/>
  <c r="H199" i="11" s="1"/>
  <c r="J201" i="13" s="1"/>
  <c r="D199" i="11"/>
  <c r="D202" i="13" l="1"/>
  <c r="AH201" i="1"/>
  <c r="Y201" i="1"/>
  <c r="X201" i="1" s="1"/>
  <c r="W201" i="1" s="1"/>
  <c r="V201" i="1" s="1"/>
  <c r="U201" i="1" s="1"/>
  <c r="E202" i="13"/>
  <c r="AF201" i="1"/>
  <c r="F201" i="11"/>
  <c r="AK201" i="1"/>
  <c r="L202" i="13"/>
  <c r="H201" i="13"/>
  <c r="E199" i="11"/>
  <c r="I201" i="13" s="1"/>
  <c r="H200" i="31"/>
  <c r="Q201" i="13" s="1"/>
  <c r="F200" i="31"/>
  <c r="P201" i="13" s="1"/>
  <c r="F202" i="13" l="1"/>
  <c r="T201" i="1"/>
  <c r="AI201" i="1" l="1"/>
  <c r="AJ201" i="1" s="1"/>
  <c r="M202" i="13" s="1"/>
  <c r="E201" i="31"/>
  <c r="G202" i="13"/>
  <c r="G202" i="1"/>
  <c r="AN201" i="1"/>
  <c r="F202" i="1" l="1"/>
  <c r="E202" i="1" s="1"/>
  <c r="D202" i="1" s="1"/>
  <c r="Q202" i="1" s="1"/>
  <c r="S202" i="1" s="1"/>
  <c r="C200" i="11"/>
  <c r="B201" i="31"/>
  <c r="C201" i="31"/>
  <c r="AM201" i="1"/>
  <c r="N202" i="13" s="1"/>
  <c r="D201" i="31" l="1"/>
  <c r="A201" i="11"/>
  <c r="C202" i="1"/>
  <c r="C203" i="13"/>
  <c r="B203" i="13"/>
  <c r="AE202" i="1"/>
  <c r="H203" i="1"/>
  <c r="L202" i="1"/>
  <c r="I203" i="1"/>
  <c r="K202" i="13"/>
  <c r="G200" i="11"/>
  <c r="H200" i="11" s="1"/>
  <c r="J202" i="13" s="1"/>
  <c r="D200" i="11"/>
  <c r="D203" i="13" l="1"/>
  <c r="F201" i="31"/>
  <c r="P202" i="13" s="1"/>
  <c r="O202" i="13"/>
  <c r="H201" i="31"/>
  <c r="Q202" i="13" s="1"/>
  <c r="Y202" i="1"/>
  <c r="X202" i="1" s="1"/>
  <c r="W202" i="1" s="1"/>
  <c r="V202" i="1" s="1"/>
  <c r="U202" i="1" s="1"/>
  <c r="AF202" i="1"/>
  <c r="E203" i="13"/>
  <c r="F202" i="11"/>
  <c r="AK202" i="1"/>
  <c r="H202" i="13"/>
  <c r="E200" i="11"/>
  <c r="I202" i="13" s="1"/>
  <c r="AH202" i="1"/>
  <c r="L203" i="13"/>
  <c r="F203" i="13" l="1"/>
  <c r="T202" i="1"/>
  <c r="AI202" i="1" l="1"/>
  <c r="AJ202" i="1" s="1"/>
  <c r="M203" i="13" s="1"/>
  <c r="G203" i="13"/>
  <c r="E202" i="31"/>
  <c r="AN202" i="1"/>
  <c r="G203" i="1" l="1"/>
  <c r="F203" i="1"/>
  <c r="C201" i="11"/>
  <c r="C202" i="31"/>
  <c r="B202" i="31"/>
  <c r="AM202" i="1"/>
  <c r="N203" i="13" s="1"/>
  <c r="E203" i="1" l="1"/>
  <c r="D203" i="1" s="1"/>
  <c r="Q203" i="1" s="1"/>
  <c r="S203" i="1" s="1"/>
  <c r="D202" i="31"/>
  <c r="O203" i="13" s="1"/>
  <c r="K203" i="13"/>
  <c r="G201" i="11"/>
  <c r="H201" i="11" s="1"/>
  <c r="J203" i="13" s="1"/>
  <c r="D201" i="11"/>
  <c r="AE203" i="1" l="1"/>
  <c r="L203" i="1"/>
  <c r="B204" i="13"/>
  <c r="H204" i="1"/>
  <c r="C204" i="13"/>
  <c r="I204" i="1"/>
  <c r="A202" i="11"/>
  <c r="L204" i="13" s="1"/>
  <c r="C203" i="1"/>
  <c r="H203" i="13"/>
  <c r="E201" i="11"/>
  <c r="I203" i="13" s="1"/>
  <c r="F202" i="31"/>
  <c r="P203" i="13" s="1"/>
  <c r="H202" i="31"/>
  <c r="Q203" i="13" s="1"/>
  <c r="E204" i="13" l="1"/>
  <c r="D204" i="13"/>
  <c r="Y203" i="1"/>
  <c r="X203" i="1" s="1"/>
  <c r="W203" i="1" s="1"/>
  <c r="V203" i="1" s="1"/>
  <c r="U203" i="1" s="1"/>
  <c r="F204" i="13" s="1"/>
  <c r="AH203" i="1"/>
  <c r="AF203" i="1"/>
  <c r="AK203" i="1"/>
  <c r="F203" i="11"/>
  <c r="T203" i="1" l="1"/>
  <c r="AI203" i="1" s="1"/>
  <c r="AJ203" i="1" s="1"/>
  <c r="M204" i="13" s="1"/>
  <c r="AN203" i="1"/>
  <c r="E203" i="31" l="1"/>
  <c r="G204" i="13"/>
  <c r="G204" i="1"/>
  <c r="F204" i="1"/>
  <c r="C202" i="11"/>
  <c r="C203" i="31"/>
  <c r="B203" i="31"/>
  <c r="AM203" i="1"/>
  <c r="N204" i="13" s="1"/>
  <c r="E204" i="1" l="1"/>
  <c r="D204" i="1" s="1"/>
  <c r="Q204" i="1" s="1"/>
  <c r="S204" i="1" s="1"/>
  <c r="D203" i="31"/>
  <c r="O204" i="13" s="1"/>
  <c r="G202" i="11"/>
  <c r="H202" i="11" s="1"/>
  <c r="J204" i="13" s="1"/>
  <c r="K204" i="13"/>
  <c r="D202" i="11"/>
  <c r="B205" i="13" l="1"/>
  <c r="H205" i="1"/>
  <c r="A203" i="11"/>
  <c r="L205" i="13" s="1"/>
  <c r="L204" i="1"/>
  <c r="C204" i="1"/>
  <c r="I205" i="1"/>
  <c r="C205" i="13"/>
  <c r="AE204" i="1"/>
  <c r="H204" i="13"/>
  <c r="E202" i="11"/>
  <c r="I204" i="13" s="1"/>
  <c r="F203" i="31"/>
  <c r="P204" i="13" s="1"/>
  <c r="H203" i="31"/>
  <c r="Q204" i="13" s="1"/>
  <c r="AK204" i="1" l="1"/>
  <c r="D205" i="13"/>
  <c r="AH204" i="1"/>
  <c r="Y204" i="1"/>
  <c r="X204" i="1" s="1"/>
  <c r="W204" i="1" s="1"/>
  <c r="V204" i="1" s="1"/>
  <c r="U204" i="1" s="1"/>
  <c r="F205" i="13" s="1"/>
  <c r="F204" i="11"/>
  <c r="E205" i="13"/>
  <c r="AF204" i="1"/>
  <c r="T204" i="1" l="1"/>
  <c r="AI204" i="1" s="1"/>
  <c r="AJ204" i="1" s="1"/>
  <c r="M205" i="13" s="1"/>
  <c r="AN204" i="1"/>
  <c r="G205" i="13" l="1"/>
  <c r="E204" i="31"/>
  <c r="G205" i="1"/>
  <c r="F205" i="1"/>
  <c r="C203" i="11"/>
  <c r="B204" i="31"/>
  <c r="C204" i="31"/>
  <c r="AM204" i="1"/>
  <c r="N205" i="13" s="1"/>
  <c r="E205" i="1" l="1"/>
  <c r="D205" i="1" s="1"/>
  <c r="Q205" i="1" s="1"/>
  <c r="S205" i="1" s="1"/>
  <c r="D204" i="31"/>
  <c r="G203" i="11"/>
  <c r="H203" i="11" s="1"/>
  <c r="J205" i="13" s="1"/>
  <c r="K205" i="13"/>
  <c r="D203" i="11"/>
  <c r="C206" i="13" l="1"/>
  <c r="B206" i="13"/>
  <c r="I206" i="1"/>
  <c r="AE205" i="1"/>
  <c r="L205" i="1"/>
  <c r="C205" i="1"/>
  <c r="H206" i="1"/>
  <c r="AH205" i="1" s="1"/>
  <c r="A204" i="11"/>
  <c r="L206" i="13" s="1"/>
  <c r="F204" i="31"/>
  <c r="P205" i="13" s="1"/>
  <c r="O205" i="13"/>
  <c r="H204" i="31"/>
  <c r="Q205" i="13" s="1"/>
  <c r="H205" i="13"/>
  <c r="E203" i="11"/>
  <c r="I205" i="13" s="1"/>
  <c r="AF205" i="1" l="1"/>
  <c r="D206" i="13"/>
  <c r="Y205" i="1"/>
  <c r="X205" i="1" s="1"/>
  <c r="W205" i="1" s="1"/>
  <c r="V205" i="1" s="1"/>
  <c r="U205" i="1" s="1"/>
  <c r="F206" i="13" s="1"/>
  <c r="F205" i="11"/>
  <c r="E206" i="13"/>
  <c r="AK205" i="1"/>
  <c r="T205" i="1" l="1"/>
  <c r="AI205" i="1" s="1"/>
  <c r="AJ205" i="1" s="1"/>
  <c r="M206" i="13" s="1"/>
  <c r="AN205" i="1"/>
  <c r="F206" i="1" l="1"/>
  <c r="G206" i="13"/>
  <c r="E205" i="31"/>
  <c r="G206" i="1"/>
  <c r="C204" i="11"/>
  <c r="B205" i="31"/>
  <c r="C205" i="31"/>
  <c r="AM205" i="1"/>
  <c r="N206" i="13" s="1"/>
  <c r="E206" i="1" l="1"/>
  <c r="D206" i="1" s="1"/>
  <c r="Q206" i="1" s="1"/>
  <c r="S206" i="1" s="1"/>
  <c r="D205" i="31"/>
  <c r="K206" i="13"/>
  <c r="G204" i="11"/>
  <c r="H204" i="11" s="1"/>
  <c r="J206" i="13" s="1"/>
  <c r="D204" i="11"/>
  <c r="H207" i="1" l="1"/>
  <c r="Y206" i="1" s="1"/>
  <c r="AE206" i="1"/>
  <c r="L206" i="1"/>
  <c r="C207" i="13"/>
  <c r="A205" i="11"/>
  <c r="L207" i="13" s="1"/>
  <c r="B207" i="13"/>
  <c r="I207" i="1"/>
  <c r="C206" i="1"/>
  <c r="F205" i="31"/>
  <c r="P206" i="13" s="1"/>
  <c r="O206" i="13"/>
  <c r="H205" i="31"/>
  <c r="Q206" i="13" s="1"/>
  <c r="E204" i="11"/>
  <c r="I206" i="13" s="1"/>
  <c r="H206" i="13"/>
  <c r="AH206" i="1" l="1"/>
  <c r="X206" i="1"/>
  <c r="W206" i="1" s="1"/>
  <c r="V206" i="1" s="1"/>
  <c r="U206" i="1" s="1"/>
  <c r="T206" i="1" s="1"/>
  <c r="AF206" i="1"/>
  <c r="AK206" i="1"/>
  <c r="F206" i="11"/>
  <c r="D207" i="13"/>
  <c r="E207" i="13"/>
  <c r="F207" i="13" l="1"/>
  <c r="AI206" i="1"/>
  <c r="AJ206" i="1" s="1"/>
  <c r="M207" i="13" s="1"/>
  <c r="E206" i="31"/>
  <c r="G207" i="13"/>
  <c r="F207" i="1" l="1"/>
  <c r="G207" i="1"/>
  <c r="B206" i="31"/>
  <c r="C206" i="31"/>
  <c r="AM206" i="1"/>
  <c r="N207" i="13" s="1"/>
  <c r="AN206" i="1"/>
  <c r="E207" i="1" l="1"/>
  <c r="D207" i="1" s="1"/>
  <c r="Q207" i="1" s="1"/>
  <c r="S207" i="1" s="1"/>
  <c r="C205" i="11"/>
  <c r="D206" i="31"/>
  <c r="O207" i="13" s="1"/>
  <c r="F206" i="31" l="1"/>
  <c r="P207" i="13" s="1"/>
  <c r="H206" i="31"/>
  <c r="Q207" i="13" s="1"/>
  <c r="A206" i="11"/>
  <c r="AE207" i="1"/>
  <c r="B208" i="13"/>
  <c r="C207" i="1"/>
  <c r="C208" i="13"/>
  <c r="L207" i="1"/>
  <c r="H208" i="1"/>
  <c r="I208" i="1"/>
  <c r="G205" i="11"/>
  <c r="H205" i="11" s="1"/>
  <c r="J207" i="13" s="1"/>
  <c r="K207" i="13"/>
  <c r="D205" i="11"/>
  <c r="D208" i="13" l="1"/>
  <c r="AH207" i="1"/>
  <c r="L208" i="13"/>
  <c r="E208" i="13"/>
  <c r="AF207" i="1"/>
  <c r="AK207" i="1"/>
  <c r="F207" i="11"/>
  <c r="H207" i="13"/>
  <c r="E205" i="11"/>
  <c r="I207" i="13" s="1"/>
  <c r="Y207" i="1"/>
  <c r="X207" i="1" s="1"/>
  <c r="W207" i="1" s="1"/>
  <c r="V207" i="1" s="1"/>
  <c r="U207" i="1" s="1"/>
  <c r="T207" i="1" l="1"/>
  <c r="F208" i="13"/>
  <c r="AI207" i="1" l="1"/>
  <c r="AJ207" i="1" s="1"/>
  <c r="M208" i="13" s="1"/>
  <c r="G208" i="13"/>
  <c r="E207" i="31"/>
  <c r="AN207" i="1"/>
  <c r="G208" i="1" l="1"/>
  <c r="F208" i="1"/>
  <c r="C206" i="11"/>
  <c r="B207" i="31"/>
  <c r="C207" i="31"/>
  <c r="AM207" i="1"/>
  <c r="N208" i="13" s="1"/>
  <c r="E208" i="1" l="1"/>
  <c r="D208" i="1" s="1"/>
  <c r="Q208" i="1" s="1"/>
  <c r="S208" i="1" s="1"/>
  <c r="D207" i="31"/>
  <c r="G206" i="11"/>
  <c r="H206" i="11" s="1"/>
  <c r="J208" i="13" s="1"/>
  <c r="K208" i="13"/>
  <c r="D206" i="11"/>
  <c r="C208" i="1" l="1"/>
  <c r="L208" i="1"/>
  <c r="H209" i="1"/>
  <c r="A207" i="11"/>
  <c r="L209" i="13" s="1"/>
  <c r="B209" i="13"/>
  <c r="I209" i="1"/>
  <c r="AE208" i="1"/>
  <c r="C209" i="13"/>
  <c r="H207" i="31"/>
  <c r="Q208" i="13" s="1"/>
  <c r="O208" i="13"/>
  <c r="F207" i="31"/>
  <c r="P208" i="13" s="1"/>
  <c r="H208" i="13"/>
  <c r="E206" i="11"/>
  <c r="I208" i="13" s="1"/>
  <c r="D209" i="13" l="1"/>
  <c r="AF208" i="1"/>
  <c r="AH208" i="1"/>
  <c r="AK208" i="1"/>
  <c r="Y208" i="1"/>
  <c r="X208" i="1" s="1"/>
  <c r="W208" i="1" s="1"/>
  <c r="V208" i="1" s="1"/>
  <c r="U208" i="1" s="1"/>
  <c r="T208" i="1" s="1"/>
  <c r="F208" i="11"/>
  <c r="E209" i="13"/>
  <c r="F209" i="13" l="1"/>
  <c r="AI208" i="1"/>
  <c r="AJ208" i="1" s="1"/>
  <c r="M209" i="13" s="1"/>
  <c r="G209" i="13"/>
  <c r="E208" i="31"/>
  <c r="AN208" i="1"/>
  <c r="F209" i="1" l="1"/>
  <c r="G209" i="1"/>
  <c r="C207" i="11"/>
  <c r="C208" i="31"/>
  <c r="B208" i="31"/>
  <c r="AM208" i="1"/>
  <c r="N209" i="13" s="1"/>
  <c r="E209" i="1" l="1"/>
  <c r="D209" i="1" s="1"/>
  <c r="Q209" i="1" s="1"/>
  <c r="S209" i="1" s="1"/>
  <c r="D208" i="31"/>
  <c r="O209" i="13" s="1"/>
  <c r="K209" i="13"/>
  <c r="G207" i="11"/>
  <c r="H207" i="11" s="1"/>
  <c r="J209" i="13" s="1"/>
  <c r="D207" i="11"/>
  <c r="C209" i="1" l="1"/>
  <c r="I210" i="1"/>
  <c r="AE209" i="1"/>
  <c r="H210" i="1"/>
  <c r="B210" i="13"/>
  <c r="A208" i="11"/>
  <c r="L210" i="13" s="1"/>
  <c r="L209" i="1"/>
  <c r="C210" i="13"/>
  <c r="E207" i="11"/>
  <c r="I209" i="13" s="1"/>
  <c r="H209" i="13"/>
  <c r="F208" i="31"/>
  <c r="P209" i="13" s="1"/>
  <c r="H208" i="31"/>
  <c r="Q209" i="13" s="1"/>
  <c r="D210" i="13" l="1"/>
  <c r="AF209" i="1"/>
  <c r="AH209" i="1"/>
  <c r="Y209" i="1"/>
  <c r="X209" i="1" s="1"/>
  <c r="W209" i="1" s="1"/>
  <c r="V209" i="1" s="1"/>
  <c r="U209" i="1" s="1"/>
  <c r="F210" i="13" s="1"/>
  <c r="E210" i="13"/>
  <c r="AK209" i="1"/>
  <c r="F209" i="11"/>
  <c r="T209" i="1" l="1"/>
  <c r="AI209" i="1" s="1"/>
  <c r="AJ209" i="1" s="1"/>
  <c r="M210" i="13" s="1"/>
  <c r="AN209" i="1"/>
  <c r="G210" i="1" l="1"/>
  <c r="G210" i="13"/>
  <c r="E209" i="31"/>
  <c r="F210" i="1"/>
  <c r="C208" i="11"/>
  <c r="C209" i="31"/>
  <c r="B209" i="31"/>
  <c r="AM209" i="1"/>
  <c r="N210" i="13" s="1"/>
  <c r="E210" i="1" l="1"/>
  <c r="D210" i="1" s="1"/>
  <c r="Q210" i="1" s="1"/>
  <c r="S210" i="1" s="1"/>
  <c r="D209" i="31"/>
  <c r="O210" i="13" s="1"/>
  <c r="K210" i="13"/>
  <c r="G208" i="11"/>
  <c r="H208" i="11" s="1"/>
  <c r="J210" i="13" s="1"/>
  <c r="D208" i="11"/>
  <c r="AE210" i="1" l="1"/>
  <c r="I211" i="1"/>
  <c r="B211" i="13"/>
  <c r="L210" i="1"/>
  <c r="C210" i="1"/>
  <c r="A209" i="11"/>
  <c r="L211" i="13" s="1"/>
  <c r="C211" i="13"/>
  <c r="H211" i="1"/>
  <c r="Y210" i="1" s="1"/>
  <c r="E208" i="11"/>
  <c r="I210" i="13" s="1"/>
  <c r="H210" i="13"/>
  <c r="F209" i="31"/>
  <c r="P210" i="13" s="1"/>
  <c r="H209" i="31"/>
  <c r="Q210" i="13" s="1"/>
  <c r="E211" i="13" l="1"/>
  <c r="D211" i="13"/>
  <c r="AH210" i="1"/>
  <c r="X210" i="1"/>
  <c r="W210" i="1" s="1"/>
  <c r="V210" i="1" s="1"/>
  <c r="U210" i="1" s="1"/>
  <c r="F211" i="13" s="1"/>
  <c r="F210" i="11"/>
  <c r="AK210" i="1"/>
  <c r="AF210" i="1"/>
  <c r="T210" i="1" l="1"/>
  <c r="AI210" i="1" s="1"/>
  <c r="AJ210" i="1" s="1"/>
  <c r="M211" i="13" s="1"/>
  <c r="AN210" i="1"/>
  <c r="G211" i="13" l="1"/>
  <c r="E210" i="31"/>
  <c r="G211" i="1"/>
  <c r="F211" i="1"/>
  <c r="C209" i="11"/>
  <c r="B210" i="31"/>
  <c r="C210" i="31"/>
  <c r="AM210" i="1"/>
  <c r="N211" i="13" s="1"/>
  <c r="E211" i="1" l="1"/>
  <c r="D211" i="1" s="1"/>
  <c r="Q211" i="1" s="1"/>
  <c r="S211" i="1" s="1"/>
  <c r="D210" i="31"/>
  <c r="K211" i="13"/>
  <c r="G209" i="11"/>
  <c r="H209" i="11" s="1"/>
  <c r="J211" i="13" s="1"/>
  <c r="D209" i="11"/>
  <c r="AE211" i="1" l="1"/>
  <c r="I212" i="1"/>
  <c r="C212" i="13"/>
  <c r="L211" i="1"/>
  <c r="B212" i="13"/>
  <c r="C211" i="1"/>
  <c r="A210" i="11"/>
  <c r="L212" i="13" s="1"/>
  <c r="H212" i="1"/>
  <c r="F210" i="31"/>
  <c r="P211" i="13" s="1"/>
  <c r="O211" i="13"/>
  <c r="H210" i="31"/>
  <c r="Q211" i="13" s="1"/>
  <c r="E209" i="11"/>
  <c r="I211" i="13" s="1"/>
  <c r="H211" i="13"/>
  <c r="F211" i="11" l="1"/>
  <c r="D212" i="13"/>
  <c r="Y211" i="1"/>
  <c r="X211" i="1" s="1"/>
  <c r="W211" i="1" s="1"/>
  <c r="V211" i="1" s="1"/>
  <c r="U211" i="1" s="1"/>
  <c r="F212" i="13" s="1"/>
  <c r="AH211" i="1"/>
  <c r="AK211" i="1"/>
  <c r="E212" i="13"/>
  <c r="AF211" i="1"/>
  <c r="T211" i="1" l="1"/>
  <c r="AI211" i="1" s="1"/>
  <c r="AJ211" i="1" s="1"/>
  <c r="M212" i="13" s="1"/>
  <c r="AN211" i="1"/>
  <c r="E211" i="31" l="1"/>
  <c r="G212" i="13"/>
  <c r="G212" i="1"/>
  <c r="F212" i="1"/>
  <c r="C210" i="11"/>
  <c r="C211" i="31"/>
  <c r="B211" i="31"/>
  <c r="AM211" i="1"/>
  <c r="N212" i="13" s="1"/>
  <c r="E212" i="1" l="1"/>
  <c r="D212" i="1" s="1"/>
  <c r="Q212" i="1" s="1"/>
  <c r="S212" i="1" s="1"/>
  <c r="D211" i="31"/>
  <c r="O212" i="13" s="1"/>
  <c r="G210" i="11"/>
  <c r="H210" i="11" s="1"/>
  <c r="J212" i="13" s="1"/>
  <c r="K212" i="13"/>
  <c r="D210" i="11"/>
  <c r="B213" i="13" l="1"/>
  <c r="H213" i="1"/>
  <c r="I213" i="1"/>
  <c r="C213" i="13"/>
  <c r="L212" i="1"/>
  <c r="AE212" i="1"/>
  <c r="C212" i="1"/>
  <c r="A211" i="11"/>
  <c r="L213" i="13" s="1"/>
  <c r="H212" i="13"/>
  <c r="E210" i="11"/>
  <c r="I212" i="13" s="1"/>
  <c r="H211" i="31"/>
  <c r="Q212" i="13" s="1"/>
  <c r="F211" i="31"/>
  <c r="P212" i="13" s="1"/>
  <c r="AK212" i="1" l="1"/>
  <c r="D213" i="13"/>
  <c r="AH212" i="1"/>
  <c r="Y212" i="1"/>
  <c r="X212" i="1" s="1"/>
  <c r="W212" i="1" s="1"/>
  <c r="V212" i="1" s="1"/>
  <c r="U212" i="1" s="1"/>
  <c r="F213" i="13" s="1"/>
  <c r="F212" i="11"/>
  <c r="AF212" i="1"/>
  <c r="E213" i="13"/>
  <c r="T212" i="1" l="1"/>
  <c r="AI212" i="1" s="1"/>
  <c r="AJ212" i="1" s="1"/>
  <c r="M213" i="13" s="1"/>
  <c r="G213" i="1" l="1"/>
  <c r="G213" i="13"/>
  <c r="E212" i="31"/>
  <c r="F213" i="1"/>
  <c r="B212" i="31"/>
  <c r="C212" i="31"/>
  <c r="AM212" i="1"/>
  <c r="N213" i="13" s="1"/>
  <c r="AN212" i="1"/>
  <c r="E213" i="1" l="1"/>
  <c r="D213" i="1" s="1"/>
  <c r="Q213" i="1" s="1"/>
  <c r="S213" i="1" s="1"/>
  <c r="C211" i="11"/>
  <c r="D212" i="31"/>
  <c r="O213" i="13" s="1"/>
  <c r="B214" i="13" l="1"/>
  <c r="A212" i="11"/>
  <c r="C214" i="13"/>
  <c r="C213" i="1"/>
  <c r="AE213" i="1"/>
  <c r="H214" i="1"/>
  <c r="I214" i="1"/>
  <c r="L213" i="1"/>
  <c r="F212" i="31"/>
  <c r="P213" i="13" s="1"/>
  <c r="H212" i="31"/>
  <c r="Q213" i="13" s="1"/>
  <c r="K213" i="13"/>
  <c r="G211" i="11"/>
  <c r="H211" i="11" s="1"/>
  <c r="J213" i="13" s="1"/>
  <c r="D211" i="11"/>
  <c r="D214" i="13" l="1"/>
  <c r="E214" i="13"/>
  <c r="AF213" i="1"/>
  <c r="F213" i="11"/>
  <c r="AK213" i="1"/>
  <c r="Y213" i="1"/>
  <c r="X213" i="1" s="1"/>
  <c r="W213" i="1" s="1"/>
  <c r="V213" i="1" s="1"/>
  <c r="U213" i="1" s="1"/>
  <c r="H213" i="13"/>
  <c r="E211" i="11"/>
  <c r="I213" i="13" s="1"/>
  <c r="AH213" i="1"/>
  <c r="L214" i="13"/>
  <c r="F214" i="13" l="1"/>
  <c r="T213" i="1"/>
  <c r="G214" i="13" l="1"/>
  <c r="E213" i="31"/>
  <c r="AN213" i="1"/>
  <c r="AI213" i="1"/>
  <c r="AJ213" i="1" s="1"/>
  <c r="M214" i="13" s="1"/>
  <c r="G214" i="1" l="1"/>
  <c r="F214" i="1"/>
  <c r="C212" i="11"/>
  <c r="C213" i="31"/>
  <c r="B213" i="31"/>
  <c r="AM213" i="1"/>
  <c r="N214" i="13" s="1"/>
  <c r="E214" i="1" l="1"/>
  <c r="D214" i="1" s="1"/>
  <c r="Q214" i="1" s="1"/>
  <c r="S214" i="1" s="1"/>
  <c r="D213" i="31"/>
  <c r="O214" i="13" s="1"/>
  <c r="G212" i="11"/>
  <c r="H212" i="11" s="1"/>
  <c r="J214" i="13" s="1"/>
  <c r="K214" i="13"/>
  <c r="D212" i="11"/>
  <c r="C214" i="1" l="1"/>
  <c r="L214" i="1"/>
  <c r="H215" i="1"/>
  <c r="B215" i="13"/>
  <c r="AE214" i="1"/>
  <c r="A213" i="11"/>
  <c r="L215" i="13" s="1"/>
  <c r="C215" i="13"/>
  <c r="I215" i="1"/>
  <c r="H214" i="13"/>
  <c r="E212" i="11"/>
  <c r="I214" i="13" s="1"/>
  <c r="F213" i="31"/>
  <c r="P214" i="13" s="1"/>
  <c r="H213" i="31"/>
  <c r="Q214" i="13" s="1"/>
  <c r="D215" i="13" l="1"/>
  <c r="E215" i="13"/>
  <c r="AK214" i="1"/>
  <c r="AH214" i="1"/>
  <c r="F214" i="11"/>
  <c r="AF214" i="1"/>
  <c r="Y214" i="1"/>
  <c r="X214" i="1" s="1"/>
  <c r="W214" i="1" s="1"/>
  <c r="V214" i="1" s="1"/>
  <c r="U214" i="1" s="1"/>
  <c r="F215" i="13" s="1"/>
  <c r="T214" i="1" l="1"/>
  <c r="AI214" i="1" s="1"/>
  <c r="AJ214" i="1" s="1"/>
  <c r="M215" i="13" s="1"/>
  <c r="AN214" i="1"/>
  <c r="G215" i="13" l="1"/>
  <c r="F215" i="1"/>
  <c r="E214" i="31"/>
  <c r="G215" i="1"/>
  <c r="C213" i="11"/>
  <c r="B214" i="31"/>
  <c r="C214" i="31"/>
  <c r="AM214" i="1"/>
  <c r="N215" i="13" s="1"/>
  <c r="E215" i="1" l="1"/>
  <c r="D215" i="1" s="1"/>
  <c r="Q215" i="1" s="1"/>
  <c r="S215" i="1" s="1"/>
  <c r="D214" i="31"/>
  <c r="G213" i="11"/>
  <c r="H213" i="11" s="1"/>
  <c r="J215" i="13" s="1"/>
  <c r="K215" i="13"/>
  <c r="D213" i="11"/>
  <c r="AE215" i="1" l="1"/>
  <c r="H216" i="1"/>
  <c r="AH215" i="1" s="1"/>
  <c r="A214" i="11"/>
  <c r="L216" i="13" s="1"/>
  <c r="B216" i="13"/>
  <c r="I216" i="1"/>
  <c r="C215" i="1"/>
  <c r="L215" i="1"/>
  <c r="C216" i="13"/>
  <c r="H214" i="31"/>
  <c r="Q215" i="13" s="1"/>
  <c r="O215" i="13"/>
  <c r="F214" i="31"/>
  <c r="P215" i="13" s="1"/>
  <c r="E213" i="11"/>
  <c r="I215" i="13" s="1"/>
  <c r="H215" i="13"/>
  <c r="E216" i="13" l="1"/>
  <c r="D216" i="13"/>
  <c r="F215" i="11"/>
  <c r="AK215" i="1"/>
  <c r="AF215" i="1"/>
  <c r="Y215" i="1"/>
  <c r="X215" i="1" s="1"/>
  <c r="W215" i="1" s="1"/>
  <c r="V215" i="1" s="1"/>
  <c r="U215" i="1" s="1"/>
  <c r="F216" i="13" s="1"/>
  <c r="T215" i="1" l="1"/>
  <c r="AI215" i="1" s="1"/>
  <c r="AJ215" i="1" s="1"/>
  <c r="M216" i="13" s="1"/>
  <c r="AN215" i="1"/>
  <c r="E215" i="31" l="1"/>
  <c r="G216" i="13"/>
  <c r="F216" i="1"/>
  <c r="G216" i="1"/>
  <c r="C214" i="11"/>
  <c r="B215" i="31"/>
  <c r="C215" i="31"/>
  <c r="AM215" i="1"/>
  <c r="N216" i="13" s="1"/>
  <c r="E216" i="1" l="1"/>
  <c r="D216" i="1" s="1"/>
  <c r="Q216" i="1" s="1"/>
  <c r="S216" i="1" s="1"/>
  <c r="D215" i="31"/>
  <c r="G214" i="11"/>
  <c r="H214" i="11" s="1"/>
  <c r="J216" i="13" s="1"/>
  <c r="K216" i="13"/>
  <c r="D214" i="11"/>
  <c r="AE216" i="1" l="1"/>
  <c r="H217" i="1"/>
  <c r="B217" i="13"/>
  <c r="I217" i="1"/>
  <c r="A215" i="11"/>
  <c r="L217" i="13" s="1"/>
  <c r="L216" i="1"/>
  <c r="C216" i="1"/>
  <c r="C217" i="13"/>
  <c r="F215" i="31"/>
  <c r="P216" i="13" s="1"/>
  <c r="O216" i="13"/>
  <c r="H215" i="31"/>
  <c r="Q216" i="13" s="1"/>
  <c r="E214" i="11"/>
  <c r="I216" i="13" s="1"/>
  <c r="H216" i="13"/>
  <c r="AF216" i="1" l="1"/>
  <c r="D217" i="13"/>
  <c r="AH216" i="1"/>
  <c r="Y216" i="1"/>
  <c r="X216" i="1" s="1"/>
  <c r="W216" i="1" s="1"/>
  <c r="V216" i="1" s="1"/>
  <c r="U216" i="1" s="1"/>
  <c r="T216" i="1" s="1"/>
  <c r="AK216" i="1"/>
  <c r="F216" i="11"/>
  <c r="E217" i="13"/>
  <c r="F217" i="13" l="1"/>
  <c r="AI216" i="1"/>
  <c r="AJ216" i="1" s="1"/>
  <c r="M217" i="13" s="1"/>
  <c r="E216" i="31"/>
  <c r="G217" i="13"/>
  <c r="G217" i="1"/>
  <c r="AN216" i="1"/>
  <c r="F217" i="1" l="1"/>
  <c r="E217" i="1" s="1"/>
  <c r="D217" i="1" s="1"/>
  <c r="Q217" i="1" s="1"/>
  <c r="S217" i="1" s="1"/>
  <c r="C215" i="11"/>
  <c r="B216" i="31"/>
  <c r="C216" i="31"/>
  <c r="AM216" i="1"/>
  <c r="N217" i="13" s="1"/>
  <c r="D216" i="31" l="1"/>
  <c r="B218" i="13"/>
  <c r="C218" i="13"/>
  <c r="A216" i="11"/>
  <c r="AE217" i="1"/>
  <c r="C217" i="1"/>
  <c r="I218" i="1"/>
  <c r="L217" i="1"/>
  <c r="H218" i="1"/>
  <c r="G215" i="11"/>
  <c r="H215" i="11" s="1"/>
  <c r="J217" i="13" s="1"/>
  <c r="K217" i="13"/>
  <c r="D215" i="11"/>
  <c r="D218" i="13" l="1"/>
  <c r="H216" i="31"/>
  <c r="Q217" i="13" s="1"/>
  <c r="O217" i="13"/>
  <c r="F216" i="31"/>
  <c r="P217" i="13" s="1"/>
  <c r="AH217" i="1"/>
  <c r="Y217" i="1"/>
  <c r="X217" i="1" s="1"/>
  <c r="W217" i="1" s="1"/>
  <c r="V217" i="1" s="1"/>
  <c r="U217" i="1" s="1"/>
  <c r="E215" i="11"/>
  <c r="I217" i="13" s="1"/>
  <c r="H217" i="13"/>
  <c r="AF217" i="1"/>
  <c r="E218" i="13"/>
  <c r="F217" i="11"/>
  <c r="AK217" i="1"/>
  <c r="L218" i="13"/>
  <c r="T217" i="1" l="1"/>
  <c r="F218" i="13"/>
  <c r="AI217" i="1" l="1"/>
  <c r="AJ217" i="1" s="1"/>
  <c r="M218" i="13" s="1"/>
  <c r="G218" i="13"/>
  <c r="E217" i="31"/>
  <c r="AN217" i="1"/>
  <c r="G218" i="1" l="1"/>
  <c r="F218" i="1"/>
  <c r="C216" i="11"/>
  <c r="B217" i="31"/>
  <c r="C217" i="31"/>
  <c r="AM217" i="1"/>
  <c r="N218" i="13" s="1"/>
  <c r="E218" i="1" l="1"/>
  <c r="D218" i="1" s="1"/>
  <c r="Q218" i="1" s="1"/>
  <c r="S218" i="1" s="1"/>
  <c r="D217" i="31"/>
  <c r="K218" i="13"/>
  <c r="G216" i="11"/>
  <c r="H216" i="11" s="1"/>
  <c r="J218" i="13" s="1"/>
  <c r="D216" i="11"/>
  <c r="A217" i="11" l="1"/>
  <c r="L219" i="13" s="1"/>
  <c r="L218" i="1"/>
  <c r="C219" i="13"/>
  <c r="H219" i="1"/>
  <c r="AH218" i="1" s="1"/>
  <c r="I219" i="1"/>
  <c r="B219" i="13"/>
  <c r="AE218" i="1"/>
  <c r="C218" i="1"/>
  <c r="F217" i="31"/>
  <c r="P218" i="13" s="1"/>
  <c r="O218" i="13"/>
  <c r="H217" i="31"/>
  <c r="Q218" i="13" s="1"/>
  <c r="H218" i="13"/>
  <c r="E216" i="11"/>
  <c r="I218" i="13" s="1"/>
  <c r="AF218" i="1" l="1"/>
  <c r="D219" i="13"/>
  <c r="Y218" i="1"/>
  <c r="X218" i="1" s="1"/>
  <c r="W218" i="1" s="1"/>
  <c r="V218" i="1" s="1"/>
  <c r="U218" i="1" s="1"/>
  <c r="F219" i="13" s="1"/>
  <c r="AK218" i="1"/>
  <c r="F218" i="11"/>
  <c r="E219" i="13"/>
  <c r="T218" i="1" l="1"/>
  <c r="G219" i="13" s="1"/>
  <c r="AN218" i="1"/>
  <c r="E218" i="31" l="1"/>
  <c r="AI218" i="1"/>
  <c r="AJ218" i="1" s="1"/>
  <c r="M219" i="13" s="1"/>
  <c r="F219" i="1"/>
  <c r="G219" i="1"/>
  <c r="C217" i="11"/>
  <c r="C218" i="31" l="1"/>
  <c r="AM218" i="1"/>
  <c r="N219" i="13" s="1"/>
  <c r="B218" i="31"/>
  <c r="E219" i="1"/>
  <c r="D219" i="1" s="1"/>
  <c r="Q219" i="1" s="1"/>
  <c r="S219" i="1" s="1"/>
  <c r="G217" i="11"/>
  <c r="H217" i="11" s="1"/>
  <c r="J219" i="13" s="1"/>
  <c r="K219" i="13"/>
  <c r="D217" i="11"/>
  <c r="C219" i="1" l="1"/>
  <c r="D218" i="31"/>
  <c r="F218" i="31" s="1"/>
  <c r="P219" i="13" s="1"/>
  <c r="H220" i="1"/>
  <c r="B220" i="13"/>
  <c r="I220" i="1"/>
  <c r="A218" i="11"/>
  <c r="L220" i="13" s="1"/>
  <c r="C220" i="13"/>
  <c r="AE219" i="1"/>
  <c r="L219" i="1"/>
  <c r="O219" i="13"/>
  <c r="H219" i="13"/>
  <c r="E217" i="11"/>
  <c r="I219" i="13" s="1"/>
  <c r="D220" i="13" l="1"/>
  <c r="F219" i="11"/>
  <c r="H218" i="31"/>
  <c r="Q219" i="13" s="1"/>
  <c r="AH219" i="1"/>
  <c r="Y219" i="1"/>
  <c r="X219" i="1" s="1"/>
  <c r="W219" i="1" s="1"/>
  <c r="V219" i="1" s="1"/>
  <c r="U219" i="1" s="1"/>
  <c r="T219" i="1" s="1"/>
  <c r="AF219" i="1"/>
  <c r="E220" i="13"/>
  <c r="AK219" i="1"/>
  <c r="F220" i="13" l="1"/>
  <c r="AI219" i="1"/>
  <c r="AJ219" i="1" s="1"/>
  <c r="M220" i="13" s="1"/>
  <c r="E219" i="31"/>
  <c r="G220" i="13"/>
  <c r="G220" i="1" l="1"/>
  <c r="F220" i="1"/>
  <c r="AN219" i="1"/>
  <c r="B219" i="31"/>
  <c r="C219" i="31"/>
  <c r="AM219" i="1"/>
  <c r="N220" i="13" s="1"/>
  <c r="D219" i="31" l="1"/>
  <c r="C218" i="11"/>
  <c r="E220" i="1"/>
  <c r="D220" i="1" s="1"/>
  <c r="Q220" i="1" s="1"/>
  <c r="S220" i="1" s="1"/>
  <c r="F219" i="31" l="1"/>
  <c r="P220" i="13" s="1"/>
  <c r="O220" i="13"/>
  <c r="H219" i="31"/>
  <c r="Q220" i="13" s="1"/>
  <c r="A219" i="11"/>
  <c r="AE220" i="1"/>
  <c r="B221" i="13"/>
  <c r="C220" i="1"/>
  <c r="C221" i="13"/>
  <c r="H221" i="1"/>
  <c r="L220" i="1"/>
  <c r="I221" i="1"/>
  <c r="G218" i="11"/>
  <c r="H218" i="11" s="1"/>
  <c r="J220" i="13" s="1"/>
  <c r="K220" i="13"/>
  <c r="D218" i="11"/>
  <c r="D221" i="13" l="1"/>
  <c r="AH220" i="1"/>
  <c r="L221" i="13"/>
  <c r="H220" i="13"/>
  <c r="E218" i="11"/>
  <c r="I220" i="13" s="1"/>
  <c r="E221" i="13"/>
  <c r="AF220" i="1"/>
  <c r="F220" i="11"/>
  <c r="AK220" i="1"/>
  <c r="Y220" i="1"/>
  <c r="X220" i="1" s="1"/>
  <c r="W220" i="1" s="1"/>
  <c r="V220" i="1" s="1"/>
  <c r="U220" i="1" s="1"/>
  <c r="T220" i="1" l="1"/>
  <c r="F221" i="13"/>
  <c r="AI220" i="1" l="1"/>
  <c r="AJ220" i="1" s="1"/>
  <c r="M221" i="13" s="1"/>
  <c r="E220" i="31"/>
  <c r="G221" i="13"/>
  <c r="AN220" i="1"/>
  <c r="F221" i="1" l="1"/>
  <c r="G221" i="1"/>
  <c r="C219" i="11"/>
  <c r="C220" i="31"/>
  <c r="B220" i="31"/>
  <c r="AM220" i="1"/>
  <c r="N221" i="13" s="1"/>
  <c r="E221" i="1" l="1"/>
  <c r="D221" i="1" s="1"/>
  <c r="Q221" i="1" s="1"/>
  <c r="S221" i="1" s="1"/>
  <c r="D220" i="31"/>
  <c r="O221" i="13" s="1"/>
  <c r="K221" i="13"/>
  <c r="G219" i="11"/>
  <c r="H219" i="11" s="1"/>
  <c r="J221" i="13" s="1"/>
  <c r="D219" i="11"/>
  <c r="AE221" i="1" l="1"/>
  <c r="H222" i="1"/>
  <c r="I222" i="1"/>
  <c r="C221" i="1"/>
  <c r="L221" i="1"/>
  <c r="B222" i="13"/>
  <c r="A220" i="11"/>
  <c r="L222" i="13" s="1"/>
  <c r="C222" i="13"/>
  <c r="H221" i="13"/>
  <c r="E219" i="11"/>
  <c r="I221" i="13" s="1"/>
  <c r="F220" i="31"/>
  <c r="P221" i="13" s="1"/>
  <c r="H220" i="31"/>
  <c r="Q221" i="13" s="1"/>
  <c r="AF221" i="1" l="1"/>
  <c r="D222" i="13"/>
  <c r="AH221" i="1"/>
  <c r="Y221" i="1"/>
  <c r="X221" i="1" s="1"/>
  <c r="W221" i="1" s="1"/>
  <c r="V221" i="1" s="1"/>
  <c r="U221" i="1" s="1"/>
  <c r="F222" i="13" s="1"/>
  <c r="F221" i="11"/>
  <c r="E222" i="13"/>
  <c r="AK221" i="1"/>
  <c r="T221" i="1" l="1"/>
  <c r="AI221" i="1" s="1"/>
  <c r="AJ221" i="1" s="1"/>
  <c r="M222" i="13" s="1"/>
  <c r="AN221" i="1"/>
  <c r="G222" i="13" l="1"/>
  <c r="E221" i="31"/>
  <c r="F222" i="1"/>
  <c r="G222" i="1"/>
  <c r="C220" i="11"/>
  <c r="B221" i="31"/>
  <c r="C221" i="31"/>
  <c r="AM221" i="1"/>
  <c r="N222" i="13" s="1"/>
  <c r="E222" i="1" l="1"/>
  <c r="D222" i="1" s="1"/>
  <c r="Q222" i="1" s="1"/>
  <c r="S222" i="1" s="1"/>
  <c r="D221" i="31"/>
  <c r="K222" i="13"/>
  <c r="G220" i="11"/>
  <c r="H220" i="11" s="1"/>
  <c r="J222" i="13" s="1"/>
  <c r="D220" i="11"/>
  <c r="C222" i="1" l="1"/>
  <c r="I223" i="1"/>
  <c r="C223" i="13"/>
  <c r="L222" i="1"/>
  <c r="AE222" i="1"/>
  <c r="A221" i="11"/>
  <c r="L223" i="13" s="1"/>
  <c r="B223" i="13"/>
  <c r="H223" i="1"/>
  <c r="H221" i="31"/>
  <c r="Q222" i="13" s="1"/>
  <c r="O222" i="13"/>
  <c r="F221" i="31"/>
  <c r="P222" i="13" s="1"/>
  <c r="H222" i="13"/>
  <c r="E220" i="11"/>
  <c r="I222" i="13" s="1"/>
  <c r="D223" i="13" l="1"/>
  <c r="AK222" i="1"/>
  <c r="AH222" i="1"/>
  <c r="F222" i="11"/>
  <c r="Y222" i="1"/>
  <c r="X222" i="1" s="1"/>
  <c r="W222" i="1" s="1"/>
  <c r="V222" i="1" s="1"/>
  <c r="U222" i="1" s="1"/>
  <c r="T222" i="1" s="1"/>
  <c r="AF222" i="1"/>
  <c r="E223" i="13"/>
  <c r="F223" i="13" l="1"/>
  <c r="G223" i="13"/>
  <c r="E222" i="31"/>
  <c r="AN222" i="1"/>
  <c r="AI222" i="1"/>
  <c r="AJ222" i="1" s="1"/>
  <c r="M223" i="13" s="1"/>
  <c r="F223" i="1" l="1"/>
  <c r="G223" i="1"/>
  <c r="C221" i="11"/>
  <c r="B222" i="31"/>
  <c r="C222" i="31"/>
  <c r="AM222" i="1"/>
  <c r="N223" i="13" s="1"/>
  <c r="E223" i="1" l="1"/>
  <c r="D223" i="1" s="1"/>
  <c r="Q223" i="1" s="1"/>
  <c r="S223" i="1" s="1"/>
  <c r="D222" i="31"/>
  <c r="G221" i="11"/>
  <c r="H221" i="11" s="1"/>
  <c r="J223" i="13" s="1"/>
  <c r="K223" i="13"/>
  <c r="D221" i="11"/>
  <c r="C223" i="1" l="1"/>
  <c r="L223" i="1"/>
  <c r="I224" i="1"/>
  <c r="C224" i="13"/>
  <c r="A222" i="11"/>
  <c r="L224" i="13" s="1"/>
  <c r="AE223" i="1"/>
  <c r="B224" i="13"/>
  <c r="H224" i="1"/>
  <c r="H222" i="31"/>
  <c r="Q223" i="13" s="1"/>
  <c r="O223" i="13"/>
  <c r="F222" i="31"/>
  <c r="P223" i="13" s="1"/>
  <c r="E221" i="11"/>
  <c r="I223" i="13" s="1"/>
  <c r="H223" i="13"/>
  <c r="D224" i="13" l="1"/>
  <c r="AK223" i="1"/>
  <c r="AH223" i="1"/>
  <c r="F223" i="11"/>
  <c r="Y223" i="1"/>
  <c r="X223" i="1" s="1"/>
  <c r="W223" i="1" s="1"/>
  <c r="V223" i="1" s="1"/>
  <c r="U223" i="1" s="1"/>
  <c r="T223" i="1" s="1"/>
  <c r="E224" i="13"/>
  <c r="AF223" i="1"/>
  <c r="F224" i="13" l="1"/>
  <c r="AI223" i="1"/>
  <c r="AJ223" i="1" s="1"/>
  <c r="M224" i="13" s="1"/>
  <c r="E223" i="31"/>
  <c r="G224" i="13"/>
  <c r="F224" i="1" l="1"/>
  <c r="G224" i="1"/>
  <c r="AN223" i="1"/>
  <c r="B223" i="31"/>
  <c r="C223" i="31"/>
  <c r="AM223" i="1"/>
  <c r="N224" i="13" s="1"/>
  <c r="D223" i="31" l="1"/>
  <c r="C222" i="11"/>
  <c r="E224" i="1"/>
  <c r="D224" i="1" s="1"/>
  <c r="Q224" i="1" s="1"/>
  <c r="S224" i="1" s="1"/>
  <c r="F223" i="31" l="1"/>
  <c r="P224" i="13" s="1"/>
  <c r="O224" i="13"/>
  <c r="H223" i="31"/>
  <c r="Q224" i="13" s="1"/>
  <c r="G222" i="11"/>
  <c r="H222" i="11" s="1"/>
  <c r="J224" i="13" s="1"/>
  <c r="K224" i="13"/>
  <c r="D222" i="11"/>
  <c r="C224" i="1"/>
  <c r="A223" i="11"/>
  <c r="AE224" i="1"/>
  <c r="B225" i="13"/>
  <c r="C225" i="13"/>
  <c r="L224" i="1"/>
  <c r="I225" i="1"/>
  <c r="H225" i="1"/>
  <c r="D225" i="13" l="1"/>
  <c r="AH224" i="1"/>
  <c r="Y224" i="1"/>
  <c r="X224" i="1" s="1"/>
  <c r="W224" i="1" s="1"/>
  <c r="V224" i="1" s="1"/>
  <c r="U224" i="1" s="1"/>
  <c r="H224" i="13"/>
  <c r="E222" i="11"/>
  <c r="I224" i="13" s="1"/>
  <c r="L225" i="13"/>
  <c r="E225" i="13"/>
  <c r="AF224" i="1"/>
  <c r="F224" i="11"/>
  <c r="AK224" i="1"/>
  <c r="F225" i="13" l="1"/>
  <c r="T224" i="1"/>
  <c r="AI224" i="1" l="1"/>
  <c r="AJ224" i="1" s="1"/>
  <c r="M225" i="13" s="1"/>
  <c r="G225" i="13"/>
  <c r="E224" i="31"/>
  <c r="AN224" i="1"/>
  <c r="G225" i="1" l="1"/>
  <c r="F225" i="1"/>
  <c r="C223" i="11"/>
  <c r="B224" i="31"/>
  <c r="C224" i="31"/>
  <c r="AM224" i="1"/>
  <c r="N225" i="13" s="1"/>
  <c r="E225" i="1" l="1"/>
  <c r="D225" i="1" s="1"/>
  <c r="Q225" i="1" s="1"/>
  <c r="S225" i="1" s="1"/>
  <c r="D224" i="31"/>
  <c r="K225" i="13"/>
  <c r="G223" i="11"/>
  <c r="H223" i="11" s="1"/>
  <c r="J225" i="13" s="1"/>
  <c r="D223" i="11"/>
  <c r="A224" i="11" l="1"/>
  <c r="L226" i="13" s="1"/>
  <c r="L225" i="1"/>
  <c r="C226" i="13"/>
  <c r="I226" i="1"/>
  <c r="C225" i="1"/>
  <c r="AE225" i="1"/>
  <c r="B226" i="13"/>
  <c r="H226" i="1"/>
  <c r="Y225" i="1" s="1"/>
  <c r="H224" i="31"/>
  <c r="Q225" i="13" s="1"/>
  <c r="O225" i="13"/>
  <c r="F224" i="31"/>
  <c r="P225" i="13" s="1"/>
  <c r="H225" i="13"/>
  <c r="E223" i="11"/>
  <c r="I225" i="13" s="1"/>
  <c r="AK225" i="1" l="1"/>
  <c r="D226" i="13"/>
  <c r="AH225" i="1"/>
  <c r="AF225" i="1"/>
  <c r="E226" i="13"/>
  <c r="X225" i="1"/>
  <c r="W225" i="1" s="1"/>
  <c r="V225" i="1" s="1"/>
  <c r="U225" i="1" s="1"/>
  <c r="T225" i="1" s="1"/>
  <c r="F225" i="11"/>
  <c r="F226" i="13" l="1"/>
  <c r="AI225" i="1"/>
  <c r="AJ225" i="1" s="1"/>
  <c r="M226" i="13" s="1"/>
  <c r="E225" i="31"/>
  <c r="G226" i="13"/>
  <c r="AN225" i="1"/>
  <c r="F226" i="1" l="1"/>
  <c r="G226" i="1"/>
  <c r="C224" i="11"/>
  <c r="B225" i="31"/>
  <c r="C225" i="31"/>
  <c r="AM225" i="1"/>
  <c r="N226" i="13" s="1"/>
  <c r="E226" i="1" l="1"/>
  <c r="D226" i="1" s="1"/>
  <c r="Q226" i="1" s="1"/>
  <c r="S226" i="1" s="1"/>
  <c r="D225" i="31"/>
  <c r="K226" i="13"/>
  <c r="G224" i="11"/>
  <c r="H224" i="11" s="1"/>
  <c r="J226" i="13" s="1"/>
  <c r="D224" i="11"/>
  <c r="AE226" i="1" l="1"/>
  <c r="L226" i="1"/>
  <c r="B227" i="13"/>
  <c r="C227" i="13"/>
  <c r="A225" i="11"/>
  <c r="L227" i="13" s="1"/>
  <c r="H227" i="1"/>
  <c r="I227" i="1"/>
  <c r="C226" i="1"/>
  <c r="F225" i="31"/>
  <c r="P226" i="13" s="1"/>
  <c r="O226" i="13"/>
  <c r="H225" i="31"/>
  <c r="Q226" i="13" s="1"/>
  <c r="E224" i="11"/>
  <c r="I226" i="13" s="1"/>
  <c r="H226" i="13"/>
  <c r="AK226" i="1" l="1"/>
  <c r="D227" i="13"/>
  <c r="Y226" i="1"/>
  <c r="X226" i="1" s="1"/>
  <c r="W226" i="1" s="1"/>
  <c r="V226" i="1" s="1"/>
  <c r="U226" i="1" s="1"/>
  <c r="F227" i="13" s="1"/>
  <c r="AH226" i="1"/>
  <c r="F226" i="11"/>
  <c r="E227" i="13"/>
  <c r="AF226" i="1"/>
  <c r="T226" i="1" l="1"/>
  <c r="AI226" i="1" s="1"/>
  <c r="AJ226" i="1" s="1"/>
  <c r="M227" i="13" s="1"/>
  <c r="G227" i="13" l="1"/>
  <c r="E226" i="31"/>
  <c r="F227" i="1"/>
  <c r="G227" i="1"/>
  <c r="B226" i="31"/>
  <c r="C226" i="31"/>
  <c r="AM226" i="1"/>
  <c r="N227" i="13" s="1"/>
  <c r="AN226" i="1"/>
  <c r="C225" i="11" l="1"/>
  <c r="E227" i="1"/>
  <c r="D227" i="1" s="1"/>
  <c r="Q227" i="1" s="1"/>
  <c r="S227" i="1" s="1"/>
  <c r="D226" i="31"/>
  <c r="O227" i="13" s="1"/>
  <c r="F226" i="31" l="1"/>
  <c r="P227" i="13" s="1"/>
  <c r="H226" i="31"/>
  <c r="Q227" i="13" s="1"/>
  <c r="AE227" i="1"/>
  <c r="B228" i="13"/>
  <c r="C227" i="1"/>
  <c r="A226" i="11"/>
  <c r="C228" i="13"/>
  <c r="I228" i="1"/>
  <c r="L227" i="1"/>
  <c r="H228" i="1"/>
  <c r="K227" i="13"/>
  <c r="G225" i="11"/>
  <c r="H225" i="11" s="1"/>
  <c r="J227" i="13" s="1"/>
  <c r="D225" i="11"/>
  <c r="D228" i="13" l="1"/>
  <c r="AH227" i="1"/>
  <c r="Y227" i="1"/>
  <c r="X227" i="1" s="1"/>
  <c r="W227" i="1" s="1"/>
  <c r="V227" i="1" s="1"/>
  <c r="U227" i="1" s="1"/>
  <c r="H227" i="13"/>
  <c r="E225" i="11"/>
  <c r="I227" i="13" s="1"/>
  <c r="E228" i="13"/>
  <c r="AF227" i="1"/>
  <c r="AK227" i="1"/>
  <c r="F227" i="11"/>
  <c r="L228" i="13"/>
  <c r="F228" i="13" l="1"/>
  <c r="T227" i="1"/>
  <c r="AI227" i="1" l="1"/>
  <c r="AJ227" i="1" s="1"/>
  <c r="M228" i="13" s="1"/>
  <c r="G228" i="13"/>
  <c r="E227" i="31"/>
  <c r="G228" i="1" l="1"/>
  <c r="F228" i="1"/>
  <c r="B227" i="31"/>
  <c r="C227" i="31"/>
  <c r="AM227" i="1"/>
  <c r="N228" i="13" s="1"/>
  <c r="AN227" i="1"/>
  <c r="E228" i="1" l="1"/>
  <c r="D228" i="1" s="1"/>
  <c r="Q228" i="1" s="1"/>
  <c r="S228" i="1" s="1"/>
  <c r="C226" i="11"/>
  <c r="D227" i="31"/>
  <c r="O228" i="13" s="1"/>
  <c r="A227" i="11" l="1"/>
  <c r="AE228" i="1"/>
  <c r="B229" i="13"/>
  <c r="C228" i="1"/>
  <c r="C229" i="13"/>
  <c r="I229" i="1"/>
  <c r="L228" i="1"/>
  <c r="H229" i="1"/>
  <c r="F227" i="31"/>
  <c r="P228" i="13" s="1"/>
  <c r="H227" i="31"/>
  <c r="Q228" i="13" s="1"/>
  <c r="G226" i="11"/>
  <c r="H226" i="11" s="1"/>
  <c r="J228" i="13" s="1"/>
  <c r="K228" i="13"/>
  <c r="D226" i="11"/>
  <c r="D229" i="13" l="1"/>
  <c r="AH228" i="1"/>
  <c r="AF228" i="1"/>
  <c r="E229" i="13"/>
  <c r="AK228" i="1"/>
  <c r="F228" i="11"/>
  <c r="E226" i="11"/>
  <c r="I228" i="13" s="1"/>
  <c r="H228" i="13"/>
  <c r="Y228" i="1"/>
  <c r="X228" i="1" s="1"/>
  <c r="W228" i="1" s="1"/>
  <c r="V228" i="1" s="1"/>
  <c r="U228" i="1" s="1"/>
  <c r="L229" i="13"/>
  <c r="T228" i="1" l="1"/>
  <c r="F229" i="13"/>
  <c r="AI228" i="1" l="1"/>
  <c r="AJ228" i="1" s="1"/>
  <c r="M229" i="13" s="1"/>
  <c r="E228" i="31"/>
  <c r="G229" i="13"/>
  <c r="F229" i="1" l="1"/>
  <c r="G229" i="1"/>
  <c r="C228" i="31"/>
  <c r="B228" i="31"/>
  <c r="AM228" i="1"/>
  <c r="N229" i="13" s="1"/>
  <c r="AN228" i="1"/>
  <c r="D228" i="31" l="1"/>
  <c r="C227" i="11"/>
  <c r="E229" i="1"/>
  <c r="D229" i="1" s="1"/>
  <c r="Q229" i="1" s="1"/>
  <c r="S229" i="1" s="1"/>
  <c r="F228" i="31" l="1"/>
  <c r="P229" i="13" s="1"/>
  <c r="O229" i="13"/>
  <c r="H228" i="31"/>
  <c r="Q229" i="13" s="1"/>
  <c r="G227" i="11"/>
  <c r="H227" i="11" s="1"/>
  <c r="J229" i="13" s="1"/>
  <c r="K229" i="13"/>
  <c r="D227" i="11"/>
  <c r="B230" i="13"/>
  <c r="C229" i="1"/>
  <c r="A228" i="11"/>
  <c r="AE229" i="1"/>
  <c r="C230" i="13"/>
  <c r="H230" i="1"/>
  <c r="L229" i="1"/>
  <c r="I230" i="1"/>
  <c r="D230" i="13" l="1"/>
  <c r="AH229" i="1"/>
  <c r="H229" i="13"/>
  <c r="E227" i="11"/>
  <c r="I229" i="13" s="1"/>
  <c r="AF229" i="1"/>
  <c r="E230" i="13"/>
  <c r="F229" i="11"/>
  <c r="AK229" i="1"/>
  <c r="Y229" i="1"/>
  <c r="X229" i="1" s="1"/>
  <c r="W229" i="1" s="1"/>
  <c r="V229" i="1" s="1"/>
  <c r="U229" i="1" s="1"/>
  <c r="L230" i="13"/>
  <c r="F230" i="13" l="1"/>
  <c r="T229" i="1"/>
  <c r="AI229" i="1" l="1"/>
  <c r="AJ229" i="1" s="1"/>
  <c r="M230" i="13" s="1"/>
  <c r="G230" i="13"/>
  <c r="E229" i="31"/>
  <c r="F230" i="1" l="1"/>
  <c r="G230" i="1"/>
  <c r="AN229" i="1"/>
  <c r="C229" i="31"/>
  <c r="B229" i="31"/>
  <c r="AM229" i="1"/>
  <c r="N230" i="13" s="1"/>
  <c r="D229" i="31" l="1"/>
  <c r="O230" i="13" s="1"/>
  <c r="C228" i="11"/>
  <c r="E230" i="1"/>
  <c r="D230" i="1" s="1"/>
  <c r="Q230" i="1" s="1"/>
  <c r="S230" i="1" s="1"/>
  <c r="F229" i="31" l="1"/>
  <c r="P230" i="13" s="1"/>
  <c r="H229" i="31"/>
  <c r="Q230" i="13" s="1"/>
  <c r="AE230" i="1"/>
  <c r="C231" i="13"/>
  <c r="A229" i="11"/>
  <c r="B231" i="13"/>
  <c r="C230" i="1"/>
  <c r="H231" i="1"/>
  <c r="L230" i="1"/>
  <c r="I231" i="1"/>
  <c r="K230" i="13"/>
  <c r="G228" i="11"/>
  <c r="H228" i="11" s="1"/>
  <c r="J230" i="13" s="1"/>
  <c r="D228" i="11"/>
  <c r="D231" i="13" l="1"/>
  <c r="AH230" i="1"/>
  <c r="L231" i="13"/>
  <c r="Y230" i="1"/>
  <c r="X230" i="1" s="1"/>
  <c r="W230" i="1" s="1"/>
  <c r="V230" i="1" s="1"/>
  <c r="U230" i="1" s="1"/>
  <c r="E228" i="11"/>
  <c r="I230" i="13" s="1"/>
  <c r="H230" i="13"/>
  <c r="E231" i="13"/>
  <c r="AF230" i="1"/>
  <c r="F230" i="11"/>
  <c r="AK230" i="1"/>
  <c r="T230" i="1" l="1"/>
  <c r="F231" i="13"/>
  <c r="AI230" i="1" l="1"/>
  <c r="AJ230" i="1" s="1"/>
  <c r="M231" i="13" s="1"/>
  <c r="G231" i="13"/>
  <c r="E230" i="31"/>
  <c r="AN230" i="1"/>
  <c r="G231" i="1"/>
  <c r="F231" i="1" l="1"/>
  <c r="E231" i="1" s="1"/>
  <c r="D231" i="1" s="1"/>
  <c r="Q231" i="1" s="1"/>
  <c r="S231" i="1" s="1"/>
  <c r="C229" i="11"/>
  <c r="C230" i="31"/>
  <c r="B230" i="31"/>
  <c r="AM230" i="1"/>
  <c r="N231" i="13" s="1"/>
  <c r="D230" i="31" l="1"/>
  <c r="O231" i="13" s="1"/>
  <c r="G229" i="11"/>
  <c r="H229" i="11" s="1"/>
  <c r="J231" i="13" s="1"/>
  <c r="K231" i="13"/>
  <c r="D229" i="11"/>
  <c r="AE231" i="1"/>
  <c r="C232" i="13"/>
  <c r="A230" i="11"/>
  <c r="B232" i="13"/>
  <c r="C231" i="1"/>
  <c r="I232" i="1"/>
  <c r="H232" i="1"/>
  <c r="L231" i="1"/>
  <c r="D232" i="13" l="1"/>
  <c r="AF231" i="1"/>
  <c r="E232" i="13"/>
  <c r="AK231" i="1"/>
  <c r="F231" i="11"/>
  <c r="Y231" i="1"/>
  <c r="X231" i="1" s="1"/>
  <c r="W231" i="1" s="1"/>
  <c r="V231" i="1" s="1"/>
  <c r="U231" i="1" s="1"/>
  <c r="H231" i="13"/>
  <c r="E229" i="11"/>
  <c r="I231" i="13" s="1"/>
  <c r="L232" i="13"/>
  <c r="AH231" i="1"/>
  <c r="F230" i="31"/>
  <c r="P231" i="13" s="1"/>
  <c r="H230" i="31"/>
  <c r="Q231" i="13" s="1"/>
  <c r="T231" i="1" l="1"/>
  <c r="F232" i="13"/>
  <c r="AI231" i="1" l="1"/>
  <c r="AJ231" i="1" s="1"/>
  <c r="M232" i="13" s="1"/>
  <c r="G232" i="13"/>
  <c r="E231" i="31"/>
  <c r="AN231" i="1"/>
  <c r="G232" i="1" l="1"/>
  <c r="F232" i="1"/>
  <c r="C230" i="11"/>
  <c r="C231" i="31"/>
  <c r="B231" i="31"/>
  <c r="AM231" i="1"/>
  <c r="N232" i="13" s="1"/>
  <c r="E232" i="1" l="1"/>
  <c r="D232" i="1" s="1"/>
  <c r="Q232" i="1" s="1"/>
  <c r="S232" i="1" s="1"/>
  <c r="G230" i="11"/>
  <c r="H230" i="11" s="1"/>
  <c r="J232" i="13" s="1"/>
  <c r="K232" i="13"/>
  <c r="D230" i="11"/>
  <c r="D231" i="31"/>
  <c r="O232" i="13" s="1"/>
  <c r="AE232" i="1" l="1"/>
  <c r="L232" i="1"/>
  <c r="C233" i="13"/>
  <c r="I233" i="1"/>
  <c r="A231" i="11"/>
  <c r="L233" i="13" s="1"/>
  <c r="H233" i="1"/>
  <c r="Y232" i="1" s="1"/>
  <c r="B233" i="13"/>
  <c r="C232" i="1"/>
  <c r="F231" i="31"/>
  <c r="P232" i="13" s="1"/>
  <c r="H231" i="31"/>
  <c r="Q232" i="13" s="1"/>
  <c r="H232" i="13"/>
  <c r="E230" i="11"/>
  <c r="I232" i="13" s="1"/>
  <c r="X232" i="1" l="1"/>
  <c r="W232" i="1" s="1"/>
  <c r="V232" i="1" s="1"/>
  <c r="U232" i="1" s="1"/>
  <c r="F233" i="13" s="1"/>
  <c r="F232" i="11"/>
  <c r="D233" i="13"/>
  <c r="E233" i="13"/>
  <c r="AH232" i="1"/>
  <c r="AF232" i="1"/>
  <c r="AK232" i="1"/>
  <c r="T232" i="1"/>
  <c r="AI232" i="1" l="1"/>
  <c r="AJ232" i="1" s="1"/>
  <c r="M233" i="13" s="1"/>
  <c r="G233" i="13"/>
  <c r="E232" i="31"/>
  <c r="AN232" i="1"/>
  <c r="F233" i="1" l="1"/>
  <c r="G233" i="1"/>
  <c r="C231" i="11"/>
  <c r="C232" i="31"/>
  <c r="B232" i="31"/>
  <c r="AM232" i="1"/>
  <c r="N233" i="13" s="1"/>
  <c r="E233" i="1" l="1"/>
  <c r="D233" i="1" s="1"/>
  <c r="Q233" i="1" s="1"/>
  <c r="S233" i="1" s="1"/>
  <c r="D232" i="31"/>
  <c r="O233" i="13" s="1"/>
  <c r="G231" i="11"/>
  <c r="H231" i="11" s="1"/>
  <c r="J233" i="13" s="1"/>
  <c r="K233" i="13"/>
  <c r="D231" i="11"/>
  <c r="A232" i="11" l="1"/>
  <c r="L234" i="13" s="1"/>
  <c r="L233" i="1"/>
  <c r="C233" i="1"/>
  <c r="H234" i="1"/>
  <c r="C234" i="13"/>
  <c r="AE233" i="1"/>
  <c r="B234" i="13"/>
  <c r="I234" i="1"/>
  <c r="E231" i="11"/>
  <c r="I233" i="13" s="1"/>
  <c r="H233" i="13"/>
  <c r="H232" i="31"/>
  <c r="Q233" i="13" s="1"/>
  <c r="F232" i="31"/>
  <c r="P233" i="13" s="1"/>
  <c r="F233" i="11" l="1"/>
  <c r="D234" i="13"/>
  <c r="AH233" i="1"/>
  <c r="Y233" i="1"/>
  <c r="X233" i="1" s="1"/>
  <c r="W233" i="1" s="1"/>
  <c r="V233" i="1" s="1"/>
  <c r="U233" i="1" s="1"/>
  <c r="F234" i="13" s="1"/>
  <c r="E234" i="13"/>
  <c r="AF233" i="1"/>
  <c r="AK233" i="1"/>
  <c r="T233" i="1" l="1"/>
  <c r="AI233" i="1" s="1"/>
  <c r="AJ233" i="1" s="1"/>
  <c r="M234" i="13" s="1"/>
  <c r="E233" i="31" l="1"/>
  <c r="G234" i="13"/>
  <c r="G234" i="1"/>
  <c r="F234" i="1"/>
  <c r="B233" i="31"/>
  <c r="C233" i="31"/>
  <c r="AM233" i="1"/>
  <c r="N234" i="13" s="1"/>
  <c r="AN233" i="1"/>
  <c r="D233" i="31" l="1"/>
  <c r="C232" i="11"/>
  <c r="E234" i="1"/>
  <c r="D234" i="1" s="1"/>
  <c r="Q234" i="1" s="1"/>
  <c r="S234" i="1" s="1"/>
  <c r="F233" i="31" l="1"/>
  <c r="P234" i="13" s="1"/>
  <c r="O234" i="13"/>
  <c r="H233" i="31"/>
  <c r="Q234" i="13" s="1"/>
  <c r="C234" i="1"/>
  <c r="AE234" i="1"/>
  <c r="B235" i="13"/>
  <c r="A233" i="11"/>
  <c r="C235" i="13"/>
  <c r="I235" i="1"/>
  <c r="H235" i="1"/>
  <c r="L234" i="1"/>
  <c r="K234" i="13"/>
  <c r="G232" i="11"/>
  <c r="H232" i="11" s="1"/>
  <c r="J234" i="13" s="1"/>
  <c r="D232" i="11"/>
  <c r="D235" i="13" l="1"/>
  <c r="Y234" i="1"/>
  <c r="X234" i="1" s="1"/>
  <c r="W234" i="1" s="1"/>
  <c r="V234" i="1" s="1"/>
  <c r="U234" i="1" s="1"/>
  <c r="L235" i="13"/>
  <c r="AH234" i="1"/>
  <c r="H234" i="13"/>
  <c r="E232" i="11"/>
  <c r="I234" i="13" s="1"/>
  <c r="AF234" i="1"/>
  <c r="E235" i="13"/>
  <c r="AK234" i="1"/>
  <c r="F234" i="11"/>
  <c r="T234" i="1" l="1"/>
  <c r="F235" i="13"/>
  <c r="AI234" i="1" l="1"/>
  <c r="AJ234" i="1" s="1"/>
  <c r="M235" i="13" s="1"/>
  <c r="E234" i="31"/>
  <c r="G235" i="13"/>
  <c r="AN234" i="1"/>
  <c r="F235" i="1" l="1"/>
  <c r="G235" i="1"/>
  <c r="C233" i="11"/>
  <c r="C234" i="31"/>
  <c r="B234" i="31"/>
  <c r="AM234" i="1"/>
  <c r="N235" i="13" s="1"/>
  <c r="E235" i="1" l="1"/>
  <c r="D235" i="1" s="1"/>
  <c r="Q235" i="1" s="1"/>
  <c r="S235" i="1" s="1"/>
  <c r="D234" i="31"/>
  <c r="O235" i="13" s="1"/>
  <c r="K235" i="13"/>
  <c r="G233" i="11"/>
  <c r="H233" i="11" s="1"/>
  <c r="J235" i="13" s="1"/>
  <c r="D233" i="11"/>
  <c r="C236" i="13" l="1"/>
  <c r="L235" i="1"/>
  <c r="I236" i="1"/>
  <c r="A234" i="11"/>
  <c r="L236" i="13" s="1"/>
  <c r="B236" i="13"/>
  <c r="AE235" i="1"/>
  <c r="C235" i="1"/>
  <c r="H236" i="1"/>
  <c r="Y235" i="1" s="1"/>
  <c r="E233" i="11"/>
  <c r="I235" i="13" s="1"/>
  <c r="H235" i="13"/>
  <c r="H234" i="31"/>
  <c r="Q235" i="13" s="1"/>
  <c r="F234" i="31"/>
  <c r="P235" i="13" s="1"/>
  <c r="AF235" i="1" l="1"/>
  <c r="D236" i="13"/>
  <c r="AH235" i="1"/>
  <c r="AK235" i="1"/>
  <c r="X235" i="1"/>
  <c r="W235" i="1" s="1"/>
  <c r="V235" i="1" s="1"/>
  <c r="U235" i="1" s="1"/>
  <c r="T235" i="1" s="1"/>
  <c r="F235" i="11"/>
  <c r="E236" i="13"/>
  <c r="F236" i="13" l="1"/>
  <c r="AI235" i="1"/>
  <c r="AJ235" i="1" s="1"/>
  <c r="M236" i="13" s="1"/>
  <c r="G236" i="13"/>
  <c r="E235" i="31"/>
  <c r="F236" i="1"/>
  <c r="G236" i="1" l="1"/>
  <c r="C235" i="31"/>
  <c r="B235" i="31"/>
  <c r="AM235" i="1"/>
  <c r="N236" i="13" s="1"/>
  <c r="AN235" i="1"/>
  <c r="D235" i="31" l="1"/>
  <c r="C234" i="11"/>
  <c r="E236" i="1"/>
  <c r="D236" i="1" s="1"/>
  <c r="Q236" i="1" s="1"/>
  <c r="S236" i="1" s="1"/>
  <c r="H235" i="31" l="1"/>
  <c r="Q236" i="13" s="1"/>
  <c r="O236" i="13"/>
  <c r="F235" i="31"/>
  <c r="P236" i="13" s="1"/>
  <c r="G234" i="11"/>
  <c r="H234" i="11" s="1"/>
  <c r="J236" i="13" s="1"/>
  <c r="K236" i="13"/>
  <c r="D234" i="11"/>
  <c r="C237" i="13"/>
  <c r="A235" i="11"/>
  <c r="C236" i="1"/>
  <c r="AE236" i="1"/>
  <c r="B237" i="13"/>
  <c r="H237" i="1"/>
  <c r="I237" i="1"/>
  <c r="L236" i="1"/>
  <c r="D237" i="13" l="1"/>
  <c r="AH236" i="1"/>
  <c r="H236" i="13"/>
  <c r="E234" i="11"/>
  <c r="I236" i="13" s="1"/>
  <c r="Y236" i="1"/>
  <c r="X236" i="1" s="1"/>
  <c r="W236" i="1" s="1"/>
  <c r="V236" i="1" s="1"/>
  <c r="U236" i="1" s="1"/>
  <c r="E237" i="13"/>
  <c r="AF236" i="1"/>
  <c r="AK236" i="1"/>
  <c r="F236" i="11"/>
  <c r="L237" i="13"/>
  <c r="T236" i="1" l="1"/>
  <c r="F237" i="13"/>
  <c r="AI236" i="1" l="1"/>
  <c r="AJ236" i="1" s="1"/>
  <c r="M237" i="13" s="1"/>
  <c r="G237" i="13"/>
  <c r="E236" i="31"/>
  <c r="G237" i="1" l="1"/>
  <c r="F237" i="1"/>
  <c r="C236" i="31"/>
  <c r="B236" i="31"/>
  <c r="AM236" i="1"/>
  <c r="N237" i="13" s="1"/>
  <c r="AN236" i="1"/>
  <c r="D236" i="31" l="1"/>
  <c r="E237" i="1"/>
  <c r="D237" i="1" s="1"/>
  <c r="Q237" i="1" s="1"/>
  <c r="S237" i="1" s="1"/>
  <c r="C235" i="11"/>
  <c r="F236" i="31" l="1"/>
  <c r="P237" i="13" s="1"/>
  <c r="O237" i="13"/>
  <c r="H236" i="31"/>
  <c r="Q237" i="13" s="1"/>
  <c r="K237" i="13"/>
  <c r="G235" i="11"/>
  <c r="H235" i="11" s="1"/>
  <c r="J237" i="13" s="1"/>
  <c r="D235" i="11"/>
  <c r="C237" i="1"/>
  <c r="C238" i="13"/>
  <c r="AE237" i="1"/>
  <c r="A236" i="11"/>
  <c r="B238" i="13"/>
  <c r="I238" i="1"/>
  <c r="L237" i="1"/>
  <c r="H238" i="1"/>
  <c r="D238" i="13" l="1"/>
  <c r="Y237" i="1"/>
  <c r="X237" i="1" s="1"/>
  <c r="W237" i="1" s="1"/>
  <c r="V237" i="1" s="1"/>
  <c r="U237" i="1" s="1"/>
  <c r="E238" i="13"/>
  <c r="AF237" i="1"/>
  <c r="AK237" i="1"/>
  <c r="F237" i="11"/>
  <c r="L238" i="13"/>
  <c r="H237" i="13"/>
  <c r="E235" i="11"/>
  <c r="I237" i="13" s="1"/>
  <c r="AH237" i="1"/>
  <c r="F238" i="13" l="1"/>
  <c r="T237" i="1"/>
  <c r="AI237" i="1" l="1"/>
  <c r="AJ237" i="1" s="1"/>
  <c r="M238" i="13" s="1"/>
  <c r="E237" i="31"/>
  <c r="G238" i="13"/>
  <c r="AN237" i="1"/>
  <c r="G238" i="1"/>
  <c r="F238" i="1" l="1"/>
  <c r="E238" i="1" s="1"/>
  <c r="D238" i="1" s="1"/>
  <c r="Q238" i="1" s="1"/>
  <c r="S238" i="1" s="1"/>
  <c r="C236" i="11"/>
  <c r="B237" i="31"/>
  <c r="C237" i="31"/>
  <c r="AM237" i="1"/>
  <c r="N238" i="13" s="1"/>
  <c r="D237" i="31" l="1"/>
  <c r="A237" i="11"/>
  <c r="C238" i="1"/>
  <c r="AE238" i="1"/>
  <c r="C239" i="13"/>
  <c r="B239" i="13"/>
  <c r="L238" i="1"/>
  <c r="I239" i="1"/>
  <c r="H239" i="1"/>
  <c r="G236" i="11"/>
  <c r="H236" i="11" s="1"/>
  <c r="J238" i="13" s="1"/>
  <c r="K238" i="13"/>
  <c r="D236" i="11"/>
  <c r="D239" i="13" l="1"/>
  <c r="F237" i="31"/>
  <c r="P238" i="13" s="1"/>
  <c r="O238" i="13"/>
  <c r="AH238" i="1"/>
  <c r="H237" i="31"/>
  <c r="Q238" i="13" s="1"/>
  <c r="E236" i="11"/>
  <c r="I238" i="13" s="1"/>
  <c r="H238" i="13"/>
  <c r="E239" i="13"/>
  <c r="AF238" i="1"/>
  <c r="AK238" i="1"/>
  <c r="F238" i="11"/>
  <c r="Y238" i="1"/>
  <c r="X238" i="1" s="1"/>
  <c r="W238" i="1" s="1"/>
  <c r="V238" i="1" s="1"/>
  <c r="U238" i="1" s="1"/>
  <c r="L239" i="13"/>
  <c r="T238" i="1" l="1"/>
  <c r="F239" i="13"/>
  <c r="AI238" i="1" l="1"/>
  <c r="AJ238" i="1" s="1"/>
  <c r="M239" i="13" s="1"/>
  <c r="E238" i="31"/>
  <c r="G239" i="13"/>
  <c r="F239" i="1" l="1"/>
  <c r="G239" i="1"/>
  <c r="C238" i="31"/>
  <c r="B238" i="31"/>
  <c r="AM238" i="1"/>
  <c r="N239" i="13" s="1"/>
  <c r="AN238" i="1"/>
  <c r="D238" i="31" l="1"/>
  <c r="E239" i="1"/>
  <c r="D239" i="1" s="1"/>
  <c r="Q239" i="1" s="1"/>
  <c r="S239" i="1" s="1"/>
  <c r="C237" i="11"/>
  <c r="H238" i="31" l="1"/>
  <c r="Q239" i="13" s="1"/>
  <c r="O239" i="13"/>
  <c r="F238" i="31"/>
  <c r="P239" i="13" s="1"/>
  <c r="C239" i="1"/>
  <c r="B240" i="13"/>
  <c r="C240" i="13"/>
  <c r="AE239" i="1"/>
  <c r="A238" i="11"/>
  <c r="H240" i="1"/>
  <c r="L239" i="1"/>
  <c r="I240" i="1"/>
  <c r="G237" i="11"/>
  <c r="H237" i="11" s="1"/>
  <c r="J239" i="13" s="1"/>
  <c r="K239" i="13"/>
  <c r="D237" i="11"/>
  <c r="D240" i="13" l="1"/>
  <c r="AH239" i="1"/>
  <c r="E240" i="13"/>
  <c r="AF239" i="1"/>
  <c r="F239" i="11"/>
  <c r="AK239" i="1"/>
  <c r="Y239" i="1"/>
  <c r="X239" i="1" s="1"/>
  <c r="W239" i="1" s="1"/>
  <c r="V239" i="1" s="1"/>
  <c r="U239" i="1" s="1"/>
  <c r="E237" i="11"/>
  <c r="I239" i="13" s="1"/>
  <c r="H239" i="13"/>
  <c r="L240" i="13"/>
  <c r="F240" i="13" l="1"/>
  <c r="T239" i="1"/>
  <c r="AI239" i="1" l="1"/>
  <c r="AJ239" i="1" s="1"/>
  <c r="M240" i="13" s="1"/>
  <c r="G240" i="13"/>
  <c r="E239" i="31"/>
  <c r="AN239" i="1"/>
  <c r="F240" i="1" l="1"/>
  <c r="G240" i="1"/>
  <c r="C238" i="11"/>
  <c r="B239" i="31"/>
  <c r="C239" i="31"/>
  <c r="AM239" i="1"/>
  <c r="N240" i="13" s="1"/>
  <c r="E240" i="1" l="1"/>
  <c r="D240" i="1" s="1"/>
  <c r="Q240" i="1" s="1"/>
  <c r="S240" i="1" s="1"/>
  <c r="D239" i="31"/>
  <c r="G238" i="11"/>
  <c r="H238" i="11" s="1"/>
  <c r="J240" i="13" s="1"/>
  <c r="K240" i="13"/>
  <c r="D238" i="11"/>
  <c r="C241" i="13" l="1"/>
  <c r="AE240" i="1"/>
  <c r="L240" i="1"/>
  <c r="A239" i="11"/>
  <c r="L241" i="13" s="1"/>
  <c r="H241" i="1"/>
  <c r="B241" i="13"/>
  <c r="C240" i="1"/>
  <c r="I241" i="1"/>
  <c r="H239" i="31"/>
  <c r="Q240" i="13" s="1"/>
  <c r="O240" i="13"/>
  <c r="F239" i="31"/>
  <c r="P240" i="13" s="1"/>
  <c r="E238" i="11"/>
  <c r="I240" i="13" s="1"/>
  <c r="H240" i="13"/>
  <c r="F240" i="11" l="1"/>
  <c r="D241" i="13"/>
  <c r="AH240" i="1"/>
  <c r="AK240" i="1"/>
  <c r="E241" i="13"/>
  <c r="AF240" i="1"/>
  <c r="Y240" i="1"/>
  <c r="X240" i="1" s="1"/>
  <c r="W240" i="1" s="1"/>
  <c r="V240" i="1" s="1"/>
  <c r="U240" i="1" s="1"/>
  <c r="F241" i="13" s="1"/>
  <c r="T240" i="1" l="1"/>
  <c r="E240" i="31" s="1"/>
  <c r="F241" i="1" l="1"/>
  <c r="AI240" i="1"/>
  <c r="AJ240" i="1" s="1"/>
  <c r="M241" i="13" s="1"/>
  <c r="G241" i="13"/>
  <c r="G241" i="1"/>
  <c r="AN240" i="1"/>
  <c r="C240" i="31" l="1"/>
  <c r="AM240" i="1"/>
  <c r="N241" i="13" s="1"/>
  <c r="B240" i="31"/>
  <c r="C239" i="11"/>
  <c r="E241" i="1"/>
  <c r="D241" i="1" s="1"/>
  <c r="Q241" i="1" s="1"/>
  <c r="S241" i="1" s="1"/>
  <c r="D240" i="31" l="1"/>
  <c r="O241" i="13" s="1"/>
  <c r="G239" i="11"/>
  <c r="H239" i="11" s="1"/>
  <c r="J241" i="13" s="1"/>
  <c r="K241" i="13"/>
  <c r="D239" i="11"/>
  <c r="AE241" i="1"/>
  <c r="C242" i="13"/>
  <c r="B242" i="13"/>
  <c r="C241" i="1"/>
  <c r="A240" i="11"/>
  <c r="L241" i="1"/>
  <c r="H242" i="1"/>
  <c r="I242" i="1"/>
  <c r="D242" i="13" l="1"/>
  <c r="H240" i="31"/>
  <c r="Q241" i="13" s="1"/>
  <c r="F240" i="31"/>
  <c r="P241" i="13" s="1"/>
  <c r="AH241" i="1"/>
  <c r="E239" i="11"/>
  <c r="I241" i="13" s="1"/>
  <c r="H241" i="13"/>
  <c r="AF241" i="1"/>
  <c r="E242" i="13"/>
  <c r="AK241" i="1"/>
  <c r="F241" i="11"/>
  <c r="L242" i="13"/>
  <c r="Y241" i="1"/>
  <c r="X241" i="1" s="1"/>
  <c r="W241" i="1" s="1"/>
  <c r="V241" i="1" s="1"/>
  <c r="U241" i="1" s="1"/>
  <c r="F242" i="13" l="1"/>
  <c r="T241" i="1"/>
  <c r="AI241" i="1" l="1"/>
  <c r="AJ241" i="1" s="1"/>
  <c r="M242" i="13" s="1"/>
  <c r="G242" i="13"/>
  <c r="E241" i="31"/>
  <c r="G242" i="1"/>
  <c r="F242" i="1"/>
  <c r="C241" i="31" l="1"/>
  <c r="B241" i="31"/>
  <c r="AM241" i="1"/>
  <c r="N242" i="13" s="1"/>
  <c r="AN241" i="1"/>
  <c r="D241" i="31" l="1"/>
  <c r="C240" i="11"/>
  <c r="E242" i="1"/>
  <c r="D242" i="1" s="1"/>
  <c r="Q242" i="1" s="1"/>
  <c r="S242" i="1" s="1"/>
  <c r="F241" i="31" l="1"/>
  <c r="P242" i="13" s="1"/>
  <c r="O242" i="13"/>
  <c r="H241" i="31"/>
  <c r="Q242" i="13" s="1"/>
  <c r="K242" i="13"/>
  <c r="G240" i="11"/>
  <c r="H240" i="11" s="1"/>
  <c r="J242" i="13" s="1"/>
  <c r="D240" i="11"/>
  <c r="B243" i="13"/>
  <c r="C242" i="1"/>
  <c r="A241" i="11"/>
  <c r="C243" i="13"/>
  <c r="AE242" i="1"/>
  <c r="H243" i="1"/>
  <c r="L242" i="1"/>
  <c r="I243" i="1"/>
  <c r="D243" i="13" l="1"/>
  <c r="AH242" i="1"/>
  <c r="E243" i="13"/>
  <c r="AF242" i="1"/>
  <c r="F242" i="11"/>
  <c r="AK242" i="1"/>
  <c r="E240" i="11"/>
  <c r="I242" i="13" s="1"/>
  <c r="H242" i="13"/>
  <c r="Y242" i="1"/>
  <c r="X242" i="1" s="1"/>
  <c r="W242" i="1" s="1"/>
  <c r="V242" i="1" s="1"/>
  <c r="U242" i="1" s="1"/>
  <c r="L243" i="13"/>
  <c r="F243" i="13" l="1"/>
  <c r="T242" i="1"/>
  <c r="AI242" i="1" l="1"/>
  <c r="AJ242" i="1" s="1"/>
  <c r="M243" i="13" s="1"/>
  <c r="E242" i="31"/>
  <c r="G243" i="13"/>
  <c r="F243" i="1"/>
  <c r="G243" i="1" l="1"/>
  <c r="C242" i="31"/>
  <c r="B242" i="31"/>
  <c r="AM242" i="1"/>
  <c r="N243" i="13" s="1"/>
  <c r="AN242" i="1"/>
  <c r="D242" i="31" l="1"/>
  <c r="O243" i="13" s="1"/>
  <c r="E243" i="1"/>
  <c r="D243" i="1" s="1"/>
  <c r="Q243" i="1" s="1"/>
  <c r="S243" i="1" s="1"/>
  <c r="C241" i="11"/>
  <c r="AE243" i="1" l="1"/>
  <c r="A242" i="11"/>
  <c r="C243" i="1"/>
  <c r="C244" i="13"/>
  <c r="B244" i="13"/>
  <c r="I244" i="1"/>
  <c r="H244" i="1"/>
  <c r="L243" i="1"/>
  <c r="H242" i="31"/>
  <c r="Q243" i="13" s="1"/>
  <c r="F242" i="31"/>
  <c r="P243" i="13" s="1"/>
  <c r="G241" i="11"/>
  <c r="H241" i="11" s="1"/>
  <c r="J243" i="13" s="1"/>
  <c r="K243" i="13"/>
  <c r="D241" i="11"/>
  <c r="D244" i="13" l="1"/>
  <c r="AH243" i="1"/>
  <c r="E241" i="11"/>
  <c r="I243" i="13" s="1"/>
  <c r="H243" i="13"/>
  <c r="L244" i="13"/>
  <c r="AF243" i="1"/>
  <c r="E244" i="13"/>
  <c r="F243" i="11"/>
  <c r="AK243" i="1"/>
  <c r="Y243" i="1"/>
  <c r="X243" i="1" s="1"/>
  <c r="W243" i="1" s="1"/>
  <c r="V243" i="1" s="1"/>
  <c r="U243" i="1" s="1"/>
  <c r="T243" i="1" l="1"/>
  <c r="F244" i="13"/>
  <c r="AI243" i="1" l="1"/>
  <c r="AJ243" i="1" s="1"/>
  <c r="M244" i="13" s="1"/>
  <c r="E243" i="31"/>
  <c r="G244" i="13"/>
  <c r="AN243" i="1"/>
  <c r="F244" i="1" l="1"/>
  <c r="G244" i="1"/>
  <c r="C242" i="11"/>
  <c r="C243" i="31"/>
  <c r="B243" i="31"/>
  <c r="AM243" i="1"/>
  <c r="N244" i="13" s="1"/>
  <c r="E244" i="1" l="1"/>
  <c r="D244" i="1" s="1"/>
  <c r="Q244" i="1" s="1"/>
  <c r="S244" i="1" s="1"/>
  <c r="G242" i="11"/>
  <c r="H242" i="11" s="1"/>
  <c r="J244" i="13" s="1"/>
  <c r="K244" i="13"/>
  <c r="D242" i="11"/>
  <c r="D243" i="31"/>
  <c r="O244" i="13" s="1"/>
  <c r="B245" i="13" l="1"/>
  <c r="H245" i="1"/>
  <c r="I245" i="1"/>
  <c r="AE244" i="1"/>
  <c r="L244" i="1"/>
  <c r="C244" i="1"/>
  <c r="C245" i="13"/>
  <c r="A243" i="11"/>
  <c r="L245" i="13" s="1"/>
  <c r="F243" i="31"/>
  <c r="P244" i="13" s="1"/>
  <c r="H243" i="31"/>
  <c r="Q244" i="13" s="1"/>
  <c r="H244" i="13"/>
  <c r="E242" i="11"/>
  <c r="I244" i="13" s="1"/>
  <c r="F244" i="11" l="1"/>
  <c r="D245" i="13"/>
  <c r="AK244" i="1"/>
  <c r="AH244" i="1"/>
  <c r="E245" i="13"/>
  <c r="Y244" i="1"/>
  <c r="X244" i="1" s="1"/>
  <c r="W244" i="1" s="1"/>
  <c r="V244" i="1" s="1"/>
  <c r="U244" i="1" s="1"/>
  <c r="F245" i="13" s="1"/>
  <c r="AF244" i="1"/>
  <c r="T244" i="1" l="1"/>
  <c r="AI244" i="1" s="1"/>
  <c r="AJ244" i="1" s="1"/>
  <c r="M245" i="13" s="1"/>
  <c r="AN244" i="1"/>
  <c r="G245" i="13" l="1"/>
  <c r="E244" i="31"/>
  <c r="F245" i="1"/>
  <c r="G245" i="1"/>
  <c r="C243" i="11"/>
  <c r="B244" i="31"/>
  <c r="C244" i="31"/>
  <c r="AM244" i="1"/>
  <c r="N245" i="13" s="1"/>
  <c r="E245" i="1" l="1"/>
  <c r="D245" i="1" s="1"/>
  <c r="Q245" i="1" s="1"/>
  <c r="S245" i="1" s="1"/>
  <c r="D244" i="31"/>
  <c r="F244" i="31" s="1"/>
  <c r="P245" i="13" s="1"/>
  <c r="G243" i="11"/>
  <c r="H243" i="11" s="1"/>
  <c r="J245" i="13" s="1"/>
  <c r="K245" i="13"/>
  <c r="D243" i="11"/>
  <c r="AE245" i="1" l="1"/>
  <c r="L245" i="1"/>
  <c r="H246" i="1"/>
  <c r="AH245" i="1" s="1"/>
  <c r="C246" i="13"/>
  <c r="I246" i="1"/>
  <c r="B246" i="13"/>
  <c r="A244" i="11"/>
  <c r="L246" i="13" s="1"/>
  <c r="C245" i="1"/>
  <c r="H244" i="31"/>
  <c r="Q245" i="13" s="1"/>
  <c r="O245" i="13"/>
  <c r="H245" i="13"/>
  <c r="E243" i="11"/>
  <c r="I245" i="13" s="1"/>
  <c r="E246" i="13" l="1"/>
  <c r="D246" i="13"/>
  <c r="Y245" i="1"/>
  <c r="X245" i="1" s="1"/>
  <c r="W245" i="1" s="1"/>
  <c r="V245" i="1" s="1"/>
  <c r="U245" i="1" s="1"/>
  <c r="F246" i="13" s="1"/>
  <c r="AK245" i="1"/>
  <c r="F245" i="11"/>
  <c r="AF245" i="1"/>
  <c r="T245" i="1" l="1"/>
  <c r="AI245" i="1" s="1"/>
  <c r="AJ245" i="1" s="1"/>
  <c r="M246" i="13" s="1"/>
  <c r="AN245" i="1"/>
  <c r="G246" i="13" l="1"/>
  <c r="F246" i="1"/>
  <c r="E245" i="31"/>
  <c r="G246" i="1"/>
  <c r="C244" i="11"/>
  <c r="C245" i="31"/>
  <c r="B245" i="31"/>
  <c r="AM245" i="1"/>
  <c r="N246" i="13" s="1"/>
  <c r="E246" i="1" l="1"/>
  <c r="D246" i="1" s="1"/>
  <c r="Q246" i="1" s="1"/>
  <c r="S246" i="1" s="1"/>
  <c r="G244" i="11"/>
  <c r="H244" i="11" s="1"/>
  <c r="J246" i="13" s="1"/>
  <c r="K246" i="13"/>
  <c r="D244" i="11"/>
  <c r="D245" i="31"/>
  <c r="O246" i="13" s="1"/>
  <c r="C247" i="13" l="1"/>
  <c r="H247" i="1"/>
  <c r="Y246" i="1" s="1"/>
  <c r="B247" i="13"/>
  <c r="L246" i="1"/>
  <c r="A245" i="11"/>
  <c r="L247" i="13" s="1"/>
  <c r="I247" i="1"/>
  <c r="C246" i="1"/>
  <c r="AE246" i="1"/>
  <c r="H245" i="31"/>
  <c r="Q246" i="13" s="1"/>
  <c r="F245" i="31"/>
  <c r="P246" i="13" s="1"/>
  <c r="E244" i="11"/>
  <c r="I246" i="13" s="1"/>
  <c r="H246" i="13"/>
  <c r="AF246" i="1" l="1"/>
  <c r="D247" i="13"/>
  <c r="AH246" i="1"/>
  <c r="X246" i="1"/>
  <c r="W246" i="1" s="1"/>
  <c r="V246" i="1" s="1"/>
  <c r="U246" i="1" s="1"/>
  <c r="F247" i="13" s="1"/>
  <c r="AK246" i="1"/>
  <c r="E247" i="13"/>
  <c r="F246" i="11"/>
  <c r="T246" i="1" l="1"/>
  <c r="G247" i="13" s="1"/>
  <c r="AN246" i="1"/>
  <c r="E246" i="31" l="1"/>
  <c r="AI246" i="1"/>
  <c r="AJ246" i="1" s="1"/>
  <c r="M247" i="13" s="1"/>
  <c r="G247" i="1"/>
  <c r="F247" i="1"/>
  <c r="C245" i="11"/>
  <c r="AM246" i="1" l="1"/>
  <c r="N247" i="13" s="1"/>
  <c r="C246" i="31"/>
  <c r="B246" i="31"/>
  <c r="E247" i="1"/>
  <c r="D247" i="1" s="1"/>
  <c r="Q247" i="1" s="1"/>
  <c r="S247" i="1" s="1"/>
  <c r="G245" i="11"/>
  <c r="H245" i="11" s="1"/>
  <c r="J247" i="13" s="1"/>
  <c r="K247" i="13"/>
  <c r="D245" i="11"/>
  <c r="B248" i="13" l="1"/>
  <c r="D246" i="31"/>
  <c r="O247" i="13" s="1"/>
  <c r="A246" i="11"/>
  <c r="L248" i="13" s="1"/>
  <c r="H248" i="1"/>
  <c r="I248" i="1"/>
  <c r="C247" i="1"/>
  <c r="AE247" i="1"/>
  <c r="L247" i="1"/>
  <c r="C248" i="13"/>
  <c r="E245" i="11"/>
  <c r="I247" i="13" s="1"/>
  <c r="H247" i="13"/>
  <c r="AK247" i="1" l="1"/>
  <c r="D248" i="13"/>
  <c r="H246" i="31"/>
  <c r="Q247" i="13" s="1"/>
  <c r="F246" i="31"/>
  <c r="P247" i="13" s="1"/>
  <c r="Y247" i="1"/>
  <c r="X247" i="1" s="1"/>
  <c r="W247" i="1" s="1"/>
  <c r="V247" i="1" s="1"/>
  <c r="U247" i="1" s="1"/>
  <c r="F248" i="13" s="1"/>
  <c r="E248" i="13"/>
  <c r="AF247" i="1"/>
  <c r="F247" i="11"/>
  <c r="AH247" i="1"/>
  <c r="T247" i="1" l="1"/>
  <c r="AI247" i="1" s="1"/>
  <c r="AJ247" i="1" s="1"/>
  <c r="M248" i="13" s="1"/>
  <c r="AN247" i="1"/>
  <c r="G248" i="13" l="1"/>
  <c r="E247" i="31"/>
  <c r="G248" i="1"/>
  <c r="F248" i="1"/>
  <c r="C246" i="11"/>
  <c r="C247" i="31"/>
  <c r="B247" i="31"/>
  <c r="AM247" i="1"/>
  <c r="N248" i="13" s="1"/>
  <c r="E248" i="1" l="1"/>
  <c r="D248" i="1" s="1"/>
  <c r="Q248" i="1" s="1"/>
  <c r="S248" i="1" s="1"/>
  <c r="D247" i="31"/>
  <c r="O248" i="13" s="1"/>
  <c r="G246" i="11"/>
  <c r="H246" i="11" s="1"/>
  <c r="J248" i="13" s="1"/>
  <c r="K248" i="13"/>
  <c r="D246" i="11"/>
  <c r="C249" i="13" l="1"/>
  <c r="L248" i="1"/>
  <c r="A247" i="11"/>
  <c r="L249" i="13" s="1"/>
  <c r="H249" i="1"/>
  <c r="AE248" i="1"/>
  <c r="I249" i="1"/>
  <c r="B249" i="13"/>
  <c r="C248" i="1"/>
  <c r="H248" i="13"/>
  <c r="E246" i="11"/>
  <c r="I248" i="13" s="1"/>
  <c r="F247" i="31"/>
  <c r="P248" i="13" s="1"/>
  <c r="H247" i="31"/>
  <c r="Q248" i="13" s="1"/>
  <c r="F248" i="11" l="1"/>
  <c r="D249" i="13"/>
  <c r="Y248" i="1"/>
  <c r="X248" i="1" s="1"/>
  <c r="W248" i="1" s="1"/>
  <c r="V248" i="1" s="1"/>
  <c r="U248" i="1" s="1"/>
  <c r="F249" i="13" s="1"/>
  <c r="AH248" i="1"/>
  <c r="AF248" i="1"/>
  <c r="E249" i="13"/>
  <c r="AK248" i="1"/>
  <c r="T248" i="1" l="1"/>
  <c r="AI248" i="1" s="1"/>
  <c r="AJ248" i="1" s="1"/>
  <c r="M249" i="13" s="1"/>
  <c r="AN248" i="1"/>
  <c r="E248" i="31" l="1"/>
  <c r="G249" i="13"/>
  <c r="G249" i="1"/>
  <c r="F249" i="1"/>
  <c r="C247" i="11"/>
  <c r="C248" i="31"/>
  <c r="B248" i="31"/>
  <c r="AM248" i="1"/>
  <c r="N249" i="13" s="1"/>
  <c r="E249" i="1" l="1"/>
  <c r="D249" i="1" s="1"/>
  <c r="Q249" i="1" s="1"/>
  <c r="S249" i="1" s="1"/>
  <c r="D248" i="31"/>
  <c r="O249" i="13" s="1"/>
  <c r="K249" i="13"/>
  <c r="G247" i="11"/>
  <c r="H247" i="11" s="1"/>
  <c r="J249" i="13" s="1"/>
  <c r="D247" i="11"/>
  <c r="AE249" i="1" l="1"/>
  <c r="H250" i="1"/>
  <c r="C250" i="13"/>
  <c r="C249" i="1"/>
  <c r="B250" i="13"/>
  <c r="I250" i="1"/>
  <c r="L249" i="1"/>
  <c r="A248" i="11"/>
  <c r="L250" i="13" s="1"/>
  <c r="H249" i="13"/>
  <c r="E247" i="11"/>
  <c r="I249" i="13" s="1"/>
  <c r="F248" i="31"/>
  <c r="P249" i="13" s="1"/>
  <c r="H248" i="31"/>
  <c r="Q249" i="13" s="1"/>
  <c r="AF249" i="1" l="1"/>
  <c r="D250" i="13"/>
  <c r="AH249" i="1"/>
  <c r="AK249" i="1"/>
  <c r="F249" i="11"/>
  <c r="E250" i="13"/>
  <c r="Y249" i="1"/>
  <c r="X249" i="1" s="1"/>
  <c r="W249" i="1" s="1"/>
  <c r="V249" i="1" s="1"/>
  <c r="U249" i="1" s="1"/>
  <c r="T249" i="1" s="1"/>
  <c r="F250" i="13" l="1"/>
  <c r="AI249" i="1"/>
  <c r="AJ249" i="1" s="1"/>
  <c r="M250" i="13" s="1"/>
  <c r="E249" i="31"/>
  <c r="G250" i="13"/>
  <c r="AN249" i="1"/>
  <c r="G250" i="1" l="1"/>
  <c r="F250" i="1"/>
  <c r="C248" i="11"/>
  <c r="B249" i="31"/>
  <c r="C249" i="31"/>
  <c r="AM249" i="1"/>
  <c r="N250" i="13" s="1"/>
  <c r="E250" i="1" l="1"/>
  <c r="D250" i="1" s="1"/>
  <c r="Q250" i="1" s="1"/>
  <c r="S250" i="1" s="1"/>
  <c r="D249" i="31"/>
  <c r="G248" i="11"/>
  <c r="H248" i="11" s="1"/>
  <c r="J250" i="13" s="1"/>
  <c r="K250" i="13"/>
  <c r="D248" i="11"/>
  <c r="C251" i="13" l="1"/>
  <c r="L250" i="1"/>
  <c r="C250" i="1"/>
  <c r="I251" i="1"/>
  <c r="A249" i="11"/>
  <c r="L251" i="13" s="1"/>
  <c r="H251" i="1"/>
  <c r="B251" i="13"/>
  <c r="AE250" i="1"/>
  <c r="H249" i="31"/>
  <c r="Q250" i="13" s="1"/>
  <c r="O250" i="13"/>
  <c r="F249" i="31"/>
  <c r="P250" i="13" s="1"/>
  <c r="E248" i="11"/>
  <c r="I250" i="13" s="1"/>
  <c r="H250" i="13"/>
  <c r="F250" i="11" l="1"/>
  <c r="D251" i="13"/>
  <c r="Y250" i="1"/>
  <c r="X250" i="1" s="1"/>
  <c r="W250" i="1" s="1"/>
  <c r="V250" i="1" s="1"/>
  <c r="U250" i="1" s="1"/>
  <c r="F251" i="13" s="1"/>
  <c r="AK250" i="1"/>
  <c r="AF250" i="1"/>
  <c r="E251" i="13"/>
  <c r="AH250" i="1"/>
  <c r="T250" i="1" l="1"/>
  <c r="E250" i="31" s="1"/>
  <c r="AI250" i="1" l="1"/>
  <c r="AJ250" i="1" s="1"/>
  <c r="M251" i="13" s="1"/>
  <c r="G251" i="13"/>
  <c r="G251" i="1"/>
  <c r="F251" i="1"/>
  <c r="AN250" i="1"/>
  <c r="B250" i="31" l="1"/>
  <c r="AM250" i="1"/>
  <c r="N251" i="13" s="1"/>
  <c r="C250" i="31"/>
  <c r="E251" i="1"/>
  <c r="D251" i="1" s="1"/>
  <c r="Q251" i="1" s="1"/>
  <c r="S251" i="1" s="1"/>
  <c r="C249" i="11"/>
  <c r="D250" i="31" l="1"/>
  <c r="H250" i="31" s="1"/>
  <c r="Q251" i="13" s="1"/>
  <c r="O251" i="13"/>
  <c r="K251" i="13"/>
  <c r="G249" i="11"/>
  <c r="H249" i="11" s="1"/>
  <c r="J251" i="13" s="1"/>
  <c r="D249" i="11"/>
  <c r="A250" i="11"/>
  <c r="AE251" i="1"/>
  <c r="B252" i="13"/>
  <c r="C251" i="1"/>
  <c r="C252" i="13"/>
  <c r="L251" i="1"/>
  <c r="H252" i="1"/>
  <c r="I252" i="1"/>
  <c r="D252" i="13" l="1"/>
  <c r="F250" i="31"/>
  <c r="P251" i="13" s="1"/>
  <c r="E249" i="11"/>
  <c r="I251" i="13" s="1"/>
  <c r="H251" i="13"/>
  <c r="L252" i="13"/>
  <c r="E252" i="13"/>
  <c r="AF251" i="1"/>
  <c r="AK251" i="1"/>
  <c r="F251" i="11"/>
  <c r="Y251" i="1"/>
  <c r="X251" i="1" s="1"/>
  <c r="W251" i="1" s="1"/>
  <c r="V251" i="1" s="1"/>
  <c r="U251" i="1" s="1"/>
  <c r="AH251" i="1"/>
  <c r="T251" i="1" l="1"/>
  <c r="F252" i="13"/>
  <c r="AI251" i="1" l="1"/>
  <c r="AJ251" i="1" s="1"/>
  <c r="M252" i="13" s="1"/>
  <c r="G252" i="13"/>
  <c r="E251" i="31"/>
  <c r="AN251" i="1"/>
  <c r="F252" i="1" l="1"/>
  <c r="G252" i="1"/>
  <c r="C251" i="31"/>
  <c r="B251" i="31"/>
  <c r="AM251" i="1"/>
  <c r="N252" i="13" s="1"/>
  <c r="C250" i="11"/>
  <c r="E252" i="1" l="1"/>
  <c r="D252" i="1" s="1"/>
  <c r="Q252" i="1" s="1"/>
  <c r="S252" i="1" s="1"/>
  <c r="D251" i="31"/>
  <c r="F251" i="31" s="1"/>
  <c r="P252" i="13" s="1"/>
  <c r="K252" i="13"/>
  <c r="G250" i="11"/>
  <c r="H250" i="11" s="1"/>
  <c r="J252" i="13" s="1"/>
  <c r="D250" i="11"/>
  <c r="AE252" i="1" l="1"/>
  <c r="L252" i="1"/>
  <c r="B253" i="13"/>
  <c r="C252" i="1"/>
  <c r="A251" i="11"/>
  <c r="L253" i="13" s="1"/>
  <c r="H253" i="1"/>
  <c r="C253" i="13"/>
  <c r="I253" i="1"/>
  <c r="H251" i="31"/>
  <c r="Q252" i="13" s="1"/>
  <c r="O252" i="13"/>
  <c r="E250" i="11"/>
  <c r="I252" i="13" s="1"/>
  <c r="H252" i="13"/>
  <c r="F252" i="11" l="1"/>
  <c r="D253" i="13"/>
  <c r="AH252" i="1"/>
  <c r="Y252" i="1"/>
  <c r="X252" i="1" s="1"/>
  <c r="W252" i="1" s="1"/>
  <c r="V252" i="1" s="1"/>
  <c r="U252" i="1" s="1"/>
  <c r="F253" i="13" s="1"/>
  <c r="AK252" i="1"/>
  <c r="AF252" i="1"/>
  <c r="E253" i="13"/>
  <c r="T252" i="1" l="1"/>
  <c r="AI252" i="1" s="1"/>
  <c r="AJ252" i="1" s="1"/>
  <c r="M253" i="13" s="1"/>
  <c r="E252" i="31" l="1"/>
  <c r="G253" i="13"/>
  <c r="G253" i="1"/>
  <c r="F253" i="1"/>
  <c r="B252" i="31"/>
  <c r="C252" i="31"/>
  <c r="AM252" i="1"/>
  <c r="N253" i="13" s="1"/>
  <c r="AN252" i="1"/>
  <c r="E253" i="1" l="1"/>
  <c r="D253" i="1" s="1"/>
  <c r="Q253" i="1" s="1"/>
  <c r="S253" i="1" s="1"/>
  <c r="C251" i="11"/>
  <c r="D252" i="31"/>
  <c r="O253" i="13" s="1"/>
  <c r="H252" i="31" l="1"/>
  <c r="Q253" i="13" s="1"/>
  <c r="F252" i="31"/>
  <c r="P253" i="13" s="1"/>
  <c r="C254" i="13"/>
  <c r="AE253" i="1"/>
  <c r="A252" i="11"/>
  <c r="C253" i="1"/>
  <c r="B254" i="13"/>
  <c r="H254" i="1"/>
  <c r="L253" i="1"/>
  <c r="I254" i="1"/>
  <c r="K253" i="13"/>
  <c r="G251" i="11"/>
  <c r="H251" i="11" s="1"/>
  <c r="J253" i="13" s="1"/>
  <c r="D251" i="11"/>
  <c r="D254" i="13" l="1"/>
  <c r="AH253" i="1"/>
  <c r="E251" i="11"/>
  <c r="I253" i="13" s="1"/>
  <c r="H253" i="13"/>
  <c r="AF253" i="1"/>
  <c r="E254" i="13"/>
  <c r="AK253" i="1"/>
  <c r="F253" i="11"/>
  <c r="Y253" i="1"/>
  <c r="X253" i="1" s="1"/>
  <c r="W253" i="1" s="1"/>
  <c r="V253" i="1" s="1"/>
  <c r="U253" i="1" s="1"/>
  <c r="L254" i="13"/>
  <c r="F254" i="13" l="1"/>
  <c r="T253" i="1"/>
  <c r="AI253" i="1" l="1"/>
  <c r="AJ253" i="1" s="1"/>
  <c r="M254" i="13" s="1"/>
  <c r="G254" i="13"/>
  <c r="E253" i="31"/>
  <c r="AN253" i="1"/>
  <c r="F254" i="1" l="1"/>
  <c r="G254" i="1"/>
  <c r="C252" i="11"/>
  <c r="B253" i="31"/>
  <c r="C253" i="31"/>
  <c r="AM253" i="1"/>
  <c r="N254" i="13" s="1"/>
  <c r="E254" i="1" l="1"/>
  <c r="D254" i="1" s="1"/>
  <c r="Q254" i="1" s="1"/>
  <c r="S254" i="1" s="1"/>
  <c r="D253" i="31"/>
  <c r="G252" i="11"/>
  <c r="H252" i="11" s="1"/>
  <c r="J254" i="13" s="1"/>
  <c r="K254" i="13"/>
  <c r="D252" i="11"/>
  <c r="C254" i="1" l="1"/>
  <c r="H255" i="1"/>
  <c r="AE254" i="1"/>
  <c r="C255" i="13"/>
  <c r="L254" i="1"/>
  <c r="I255" i="1"/>
  <c r="B255" i="13"/>
  <c r="A253" i="11"/>
  <c r="L255" i="13" s="1"/>
  <c r="F253" i="31"/>
  <c r="P254" i="13" s="1"/>
  <c r="O254" i="13"/>
  <c r="H253" i="31"/>
  <c r="Q254" i="13" s="1"/>
  <c r="E252" i="11"/>
  <c r="I254" i="13" s="1"/>
  <c r="H254" i="13"/>
  <c r="D255" i="13" l="1"/>
  <c r="F254" i="11"/>
  <c r="AH254" i="1"/>
  <c r="E255" i="13"/>
  <c r="Y254" i="1"/>
  <c r="X254" i="1" s="1"/>
  <c r="W254" i="1" s="1"/>
  <c r="V254" i="1" s="1"/>
  <c r="U254" i="1" s="1"/>
  <c r="T254" i="1" s="1"/>
  <c r="AK254" i="1"/>
  <c r="AF254" i="1"/>
  <c r="F255" i="13" l="1"/>
  <c r="AI254" i="1"/>
  <c r="AJ254" i="1" s="1"/>
  <c r="M255" i="13" s="1"/>
  <c r="E254" i="31"/>
  <c r="G255" i="13"/>
  <c r="F255" i="1" l="1"/>
  <c r="G255" i="1"/>
  <c r="B254" i="31"/>
  <c r="C254" i="31"/>
  <c r="AM254" i="1"/>
  <c r="N255" i="13" s="1"/>
  <c r="AN254" i="1"/>
  <c r="C253" i="11" l="1"/>
  <c r="E255" i="1"/>
  <c r="D255" i="1" s="1"/>
  <c r="Q255" i="1" s="1"/>
  <c r="S255" i="1" s="1"/>
  <c r="D254" i="31"/>
  <c r="O255" i="13" s="1"/>
  <c r="H254" i="31" l="1"/>
  <c r="Q255" i="13" s="1"/>
  <c r="F254" i="31"/>
  <c r="P255" i="13" s="1"/>
  <c r="G253" i="11"/>
  <c r="H253" i="11" s="1"/>
  <c r="J255" i="13" s="1"/>
  <c r="K255" i="13"/>
  <c r="D253" i="11"/>
  <c r="C256" i="13"/>
  <c r="C255" i="1"/>
  <c r="A254" i="11"/>
  <c r="B256" i="13"/>
  <c r="AE255" i="1"/>
  <c r="H256" i="1"/>
  <c r="I256" i="1"/>
  <c r="L255" i="1"/>
  <c r="D256" i="13" l="1"/>
  <c r="H255" i="13"/>
  <c r="E253" i="11"/>
  <c r="I255" i="13" s="1"/>
  <c r="L256" i="13"/>
  <c r="Y255" i="1"/>
  <c r="X255" i="1" s="1"/>
  <c r="W255" i="1" s="1"/>
  <c r="V255" i="1" s="1"/>
  <c r="U255" i="1" s="1"/>
  <c r="AH255" i="1"/>
  <c r="E256" i="13"/>
  <c r="AF255" i="1"/>
  <c r="AK255" i="1"/>
  <c r="F255" i="11"/>
  <c r="T255" i="1" l="1"/>
  <c r="F256" i="13"/>
  <c r="AI255" i="1" l="1"/>
  <c r="AJ255" i="1" s="1"/>
  <c r="M256" i="13" s="1"/>
  <c r="E255" i="31"/>
  <c r="G256" i="13"/>
  <c r="F256" i="1" l="1"/>
  <c r="G256" i="1"/>
  <c r="AN255" i="1"/>
  <c r="C255" i="31"/>
  <c r="B255" i="31"/>
  <c r="AM255" i="1"/>
  <c r="N256" i="13" s="1"/>
  <c r="E256" i="1" l="1"/>
  <c r="D256" i="1" s="1"/>
  <c r="Q256" i="1" s="1"/>
  <c r="S256" i="1" s="1"/>
  <c r="C254" i="11"/>
  <c r="D255" i="31"/>
  <c r="O256" i="13" s="1"/>
  <c r="H255" i="31" l="1"/>
  <c r="Q256" i="13" s="1"/>
  <c r="F255" i="31"/>
  <c r="P256" i="13" s="1"/>
  <c r="K256" i="13"/>
  <c r="G254" i="11"/>
  <c r="H254" i="11" s="1"/>
  <c r="J256" i="13" s="1"/>
  <c r="D254" i="11"/>
  <c r="C257" i="13"/>
  <c r="B257" i="13"/>
  <c r="A255" i="11"/>
  <c r="C256" i="1"/>
  <c r="AE256" i="1"/>
  <c r="I257" i="1"/>
  <c r="H257" i="1"/>
  <c r="L256" i="1"/>
  <c r="D257" i="13" l="1"/>
  <c r="Y256" i="1"/>
  <c r="X256" i="1" s="1"/>
  <c r="W256" i="1" s="1"/>
  <c r="V256" i="1" s="1"/>
  <c r="U256" i="1" s="1"/>
  <c r="H256" i="13"/>
  <c r="E254" i="11"/>
  <c r="I256" i="13" s="1"/>
  <c r="L257" i="13"/>
  <c r="AH256" i="1"/>
  <c r="E257" i="13"/>
  <c r="AF256" i="1"/>
  <c r="F256" i="11"/>
  <c r="AK256" i="1"/>
  <c r="T256" i="1" l="1"/>
  <c r="F257" i="13"/>
  <c r="AI256" i="1" l="1"/>
  <c r="AJ256" i="1" s="1"/>
  <c r="M257" i="13" s="1"/>
  <c r="G257" i="13"/>
  <c r="E256" i="31"/>
  <c r="G257" i="1" l="1"/>
  <c r="F257" i="1"/>
  <c r="AN256" i="1"/>
  <c r="C256" i="31"/>
  <c r="B256" i="31"/>
  <c r="AM256" i="1"/>
  <c r="N257" i="13" s="1"/>
  <c r="C255" i="11" l="1"/>
  <c r="E257" i="1"/>
  <c r="D257" i="1" s="1"/>
  <c r="Q257" i="1" s="1"/>
  <c r="S257" i="1" s="1"/>
  <c r="D256" i="31"/>
  <c r="O257" i="13" s="1"/>
  <c r="K257" i="13" l="1"/>
  <c r="G255" i="11"/>
  <c r="H255" i="11" s="1"/>
  <c r="J257" i="13" s="1"/>
  <c r="D255" i="11"/>
  <c r="F256" i="31"/>
  <c r="P257" i="13" s="1"/>
  <c r="H256" i="31"/>
  <c r="Q257" i="13" s="1"/>
  <c r="AE257" i="1"/>
  <c r="C258" i="13"/>
  <c r="A256" i="11"/>
  <c r="B258" i="13"/>
  <c r="C257" i="1"/>
  <c r="L257" i="1"/>
  <c r="I258" i="1"/>
  <c r="H258" i="1"/>
  <c r="D258" i="13" l="1"/>
  <c r="L258" i="13"/>
  <c r="E258" i="13"/>
  <c r="AF257" i="1"/>
  <c r="F257" i="11"/>
  <c r="AK257" i="1"/>
  <c r="H257" i="13"/>
  <c r="E255" i="11"/>
  <c r="I257" i="13" s="1"/>
  <c r="AH257" i="1"/>
  <c r="Y257" i="1"/>
  <c r="X257" i="1" s="1"/>
  <c r="W257" i="1" s="1"/>
  <c r="V257" i="1" s="1"/>
  <c r="U257" i="1" s="1"/>
  <c r="T257" i="1" l="1"/>
  <c r="F258" i="13"/>
  <c r="AI257" i="1" l="1"/>
  <c r="AJ257" i="1" s="1"/>
  <c r="M258" i="13" s="1"/>
  <c r="G258" i="13"/>
  <c r="E257" i="31"/>
  <c r="F258" i="1" l="1"/>
  <c r="G258" i="1"/>
  <c r="C257" i="31"/>
  <c r="B257" i="31"/>
  <c r="AM257" i="1"/>
  <c r="N258" i="13" s="1"/>
  <c r="AN257" i="1"/>
  <c r="D257" i="31" l="1"/>
  <c r="E258" i="1"/>
  <c r="D258" i="1" s="1"/>
  <c r="Q258" i="1" s="1"/>
  <c r="S258" i="1" s="1"/>
  <c r="C256" i="11"/>
  <c r="F257" i="31" l="1"/>
  <c r="P258" i="13" s="1"/>
  <c r="O258" i="13"/>
  <c r="H257" i="31"/>
  <c r="Q258" i="13" s="1"/>
  <c r="K258" i="13"/>
  <c r="G256" i="11"/>
  <c r="H256" i="11" s="1"/>
  <c r="J258" i="13" s="1"/>
  <c r="D256" i="11"/>
  <c r="C259" i="13"/>
  <c r="A257" i="11"/>
  <c r="B259" i="13"/>
  <c r="AE258" i="1"/>
  <c r="C258" i="1"/>
  <c r="L258" i="1"/>
  <c r="H259" i="1"/>
  <c r="I259" i="1"/>
  <c r="D259" i="13" l="1"/>
  <c r="AH258" i="1"/>
  <c r="Y258" i="1"/>
  <c r="X258" i="1" s="1"/>
  <c r="W258" i="1" s="1"/>
  <c r="V258" i="1" s="1"/>
  <c r="U258" i="1" s="1"/>
  <c r="H258" i="13"/>
  <c r="E256" i="11"/>
  <c r="I258" i="13" s="1"/>
  <c r="L259" i="13"/>
  <c r="AF258" i="1"/>
  <c r="E259" i="13"/>
  <c r="AK258" i="1"/>
  <c r="F258" i="11"/>
  <c r="F259" i="13" l="1"/>
  <c r="T258" i="1"/>
  <c r="AI258" i="1" l="1"/>
  <c r="AJ258" i="1" s="1"/>
  <c r="M259" i="13" s="1"/>
  <c r="E258" i="31"/>
  <c r="G259" i="13"/>
  <c r="AN258" i="1"/>
  <c r="F259" i="1" l="1"/>
  <c r="G259" i="1"/>
  <c r="C257" i="11"/>
  <c r="B258" i="31"/>
  <c r="C258" i="31"/>
  <c r="AM258" i="1"/>
  <c r="N259" i="13" s="1"/>
  <c r="E259" i="1" l="1"/>
  <c r="D259" i="1" s="1"/>
  <c r="Q259" i="1" s="1"/>
  <c r="S259" i="1" s="1"/>
  <c r="D258" i="31"/>
  <c r="K259" i="13"/>
  <c r="G257" i="11"/>
  <c r="H257" i="11" s="1"/>
  <c r="J259" i="13" s="1"/>
  <c r="D257" i="11"/>
  <c r="B260" i="13" l="1"/>
  <c r="L259" i="1"/>
  <c r="A258" i="11"/>
  <c r="L260" i="13" s="1"/>
  <c r="I260" i="1"/>
  <c r="C260" i="13"/>
  <c r="C259" i="1"/>
  <c r="AE259" i="1"/>
  <c r="H260" i="1"/>
  <c r="AH259" i="1" s="1"/>
  <c r="H258" i="31"/>
  <c r="Q259" i="13" s="1"/>
  <c r="O259" i="13"/>
  <c r="F258" i="31"/>
  <c r="P259" i="13" s="1"/>
  <c r="H259" i="13"/>
  <c r="E257" i="11"/>
  <c r="I259" i="13" s="1"/>
  <c r="AK259" i="1" l="1"/>
  <c r="D260" i="13"/>
  <c r="Y259" i="1"/>
  <c r="X259" i="1" s="1"/>
  <c r="W259" i="1" s="1"/>
  <c r="V259" i="1" s="1"/>
  <c r="U259" i="1" s="1"/>
  <c r="F260" i="13" s="1"/>
  <c r="F259" i="11"/>
  <c r="E260" i="13"/>
  <c r="AF259" i="1"/>
  <c r="T259" i="1" l="1"/>
  <c r="AI259" i="1" s="1"/>
  <c r="AJ259" i="1" s="1"/>
  <c r="M260" i="13" s="1"/>
  <c r="AN259" i="1"/>
  <c r="G260" i="13" l="1"/>
  <c r="E259" i="31"/>
  <c r="F260" i="1"/>
  <c r="G260" i="1"/>
  <c r="C258" i="11"/>
  <c r="C259" i="31"/>
  <c r="B259" i="31"/>
  <c r="AM259" i="1"/>
  <c r="N260" i="13" s="1"/>
  <c r="E260" i="1" l="1"/>
  <c r="D260" i="1" s="1"/>
  <c r="Q260" i="1" s="1"/>
  <c r="S260" i="1" s="1"/>
  <c r="K260" i="13"/>
  <c r="G258" i="11"/>
  <c r="H258" i="11" s="1"/>
  <c r="J260" i="13" s="1"/>
  <c r="D258" i="11"/>
  <c r="D259" i="31"/>
  <c r="O260" i="13" s="1"/>
  <c r="A259" i="11" l="1"/>
  <c r="L261" i="13" s="1"/>
  <c r="AE260" i="1"/>
  <c r="B261" i="13"/>
  <c r="C261" i="13"/>
  <c r="L260" i="1"/>
  <c r="H261" i="1"/>
  <c r="C260" i="1"/>
  <c r="I261" i="1"/>
  <c r="E258" i="11"/>
  <c r="I260" i="13" s="1"/>
  <c r="H260" i="13"/>
  <c r="F259" i="31"/>
  <c r="P260" i="13" s="1"/>
  <c r="H259" i="31"/>
  <c r="Q260" i="13" s="1"/>
  <c r="AF260" i="1" l="1"/>
  <c r="D261" i="13"/>
  <c r="AH260" i="1"/>
  <c r="Y260" i="1"/>
  <c r="X260" i="1" s="1"/>
  <c r="W260" i="1" s="1"/>
  <c r="V260" i="1" s="1"/>
  <c r="U260" i="1" s="1"/>
  <c r="F261" i="13" s="1"/>
  <c r="F260" i="11"/>
  <c r="AK260" i="1"/>
  <c r="E261" i="13"/>
  <c r="T260" i="1" l="1"/>
  <c r="G261" i="13" s="1"/>
  <c r="AN260" i="1"/>
  <c r="AI260" i="1" l="1"/>
  <c r="AJ260" i="1" s="1"/>
  <c r="M261" i="13" s="1"/>
  <c r="E260" i="31"/>
  <c r="G261" i="1"/>
  <c r="F261" i="1"/>
  <c r="C259" i="11"/>
  <c r="AM260" i="1" l="1"/>
  <c r="N261" i="13" s="1"/>
  <c r="C260" i="31"/>
  <c r="B260" i="31"/>
  <c r="E261" i="1"/>
  <c r="D261" i="1" s="1"/>
  <c r="Q261" i="1" s="1"/>
  <c r="S261" i="1" s="1"/>
  <c r="K261" i="13"/>
  <c r="G259" i="11"/>
  <c r="H259" i="11" s="1"/>
  <c r="J261" i="13" s="1"/>
  <c r="D259" i="11"/>
  <c r="AE261" i="1" l="1"/>
  <c r="D260" i="31"/>
  <c r="F260" i="31" s="1"/>
  <c r="P261" i="13" s="1"/>
  <c r="L261" i="1"/>
  <c r="A260" i="11"/>
  <c r="L262" i="13" s="1"/>
  <c r="H262" i="1"/>
  <c r="Y261" i="1" s="1"/>
  <c r="B262" i="13"/>
  <c r="C262" i="13"/>
  <c r="C261" i="1"/>
  <c r="I262" i="1"/>
  <c r="O261" i="13"/>
  <c r="E259" i="11"/>
  <c r="I261" i="13" s="1"/>
  <c r="H261" i="13"/>
  <c r="AK261" i="1" l="1"/>
  <c r="D262" i="13"/>
  <c r="H260" i="31"/>
  <c r="Q261" i="13" s="1"/>
  <c r="AH261" i="1"/>
  <c r="E262" i="13"/>
  <c r="X261" i="1"/>
  <c r="W261" i="1" s="1"/>
  <c r="V261" i="1" s="1"/>
  <c r="U261" i="1" s="1"/>
  <c r="T261" i="1" s="1"/>
  <c r="F261" i="11"/>
  <c r="AF261" i="1"/>
  <c r="F262" i="13" l="1"/>
  <c r="AI261" i="1"/>
  <c r="AJ261" i="1" s="1"/>
  <c r="M262" i="13" s="1"/>
  <c r="E261" i="31"/>
  <c r="G262" i="13"/>
  <c r="AN261" i="1"/>
  <c r="G262" i="1" l="1"/>
  <c r="F262" i="1"/>
  <c r="C260" i="11"/>
  <c r="C261" i="31"/>
  <c r="B261" i="31"/>
  <c r="AM261" i="1"/>
  <c r="N262" i="13" s="1"/>
  <c r="E262" i="1" l="1"/>
  <c r="D262" i="1" s="1"/>
  <c r="Q262" i="1" s="1"/>
  <c r="S262" i="1" s="1"/>
  <c r="D261" i="31"/>
  <c r="H261" i="31" s="1"/>
  <c r="Q262" i="13" s="1"/>
  <c r="G260" i="11"/>
  <c r="H260" i="11" s="1"/>
  <c r="J262" i="13" s="1"/>
  <c r="K262" i="13"/>
  <c r="D260" i="11"/>
  <c r="C262" i="1" l="1"/>
  <c r="I263" i="1"/>
  <c r="A261" i="11"/>
  <c r="L263" i="13" s="1"/>
  <c r="L262" i="1"/>
  <c r="AE262" i="1"/>
  <c r="B263" i="13"/>
  <c r="C263" i="13"/>
  <c r="H263" i="1"/>
  <c r="AH262" i="1" s="1"/>
  <c r="F261" i="31"/>
  <c r="P262" i="13" s="1"/>
  <c r="O262" i="13"/>
  <c r="E260" i="11"/>
  <c r="I262" i="13" s="1"/>
  <c r="H262" i="13"/>
  <c r="D263" i="13" l="1"/>
  <c r="AK262" i="1"/>
  <c r="F262" i="11"/>
  <c r="AF262" i="1"/>
  <c r="E263" i="13"/>
  <c r="Y262" i="1"/>
  <c r="X262" i="1" s="1"/>
  <c r="W262" i="1" s="1"/>
  <c r="V262" i="1" s="1"/>
  <c r="U262" i="1" s="1"/>
  <c r="F263" i="13" s="1"/>
  <c r="T262" i="1" l="1"/>
  <c r="AI262" i="1" s="1"/>
  <c r="AJ262" i="1" s="1"/>
  <c r="M263" i="13" s="1"/>
  <c r="E262" i="31" l="1"/>
  <c r="G263" i="13"/>
  <c r="F263" i="1"/>
  <c r="G263" i="1"/>
  <c r="AN262" i="1"/>
  <c r="C261" i="11" s="1"/>
  <c r="C262" i="31"/>
  <c r="B262" i="31"/>
  <c r="AM262" i="1"/>
  <c r="N263" i="13" s="1"/>
  <c r="E263" i="1" l="1"/>
  <c r="D263" i="1" s="1"/>
  <c r="Q263" i="1" s="1"/>
  <c r="S263" i="1" s="1"/>
  <c r="K263" i="13"/>
  <c r="G261" i="11"/>
  <c r="H261" i="11" s="1"/>
  <c r="J263" i="13" s="1"/>
  <c r="D261" i="11"/>
  <c r="D262" i="31"/>
  <c r="O263" i="13" s="1"/>
  <c r="C263" i="1" l="1"/>
  <c r="AE263" i="1"/>
  <c r="H264" i="1"/>
  <c r="C264" i="13"/>
  <c r="I264" i="1"/>
  <c r="B264" i="13"/>
  <c r="L263" i="1"/>
  <c r="A262" i="11"/>
  <c r="L264" i="13" s="1"/>
  <c r="H262" i="31"/>
  <c r="Q263" i="13" s="1"/>
  <c r="F262" i="31"/>
  <c r="P263" i="13" s="1"/>
  <c r="H263" i="13"/>
  <c r="E261" i="11"/>
  <c r="I263" i="13" s="1"/>
  <c r="D264" i="13" l="1"/>
  <c r="E264" i="13"/>
  <c r="AH263" i="1"/>
  <c r="AF263" i="1"/>
  <c r="Y263" i="1"/>
  <c r="X263" i="1" s="1"/>
  <c r="W263" i="1" s="1"/>
  <c r="V263" i="1" s="1"/>
  <c r="U263" i="1" s="1"/>
  <c r="F264" i="13" s="1"/>
  <c r="AK263" i="1"/>
  <c r="F263" i="11"/>
  <c r="T263" i="1" l="1"/>
  <c r="G264" i="13" s="1"/>
  <c r="AI263" i="1" l="1"/>
  <c r="AJ263" i="1" s="1"/>
  <c r="E263" i="31"/>
  <c r="AN263" i="1"/>
  <c r="F264" i="1" l="1"/>
  <c r="C263" i="31"/>
  <c r="M264" i="13"/>
  <c r="G264" i="1"/>
  <c r="AM263" i="1"/>
  <c r="N264" i="13" s="1"/>
  <c r="B263" i="31"/>
  <c r="C262" i="11"/>
  <c r="E264" i="1" l="1"/>
  <c r="D264" i="1" s="1"/>
  <c r="Q264" i="1" s="1"/>
  <c r="S264" i="1" s="1"/>
  <c r="D263" i="31"/>
  <c r="O264" i="13" s="1"/>
  <c r="K264" i="13"/>
  <c r="G262" i="11"/>
  <c r="H262" i="11" s="1"/>
  <c r="J264" i="13" s="1"/>
  <c r="D262" i="11"/>
  <c r="C264" i="1" l="1"/>
  <c r="D265" i="13" s="1"/>
  <c r="I265" i="1"/>
  <c r="H265" i="1"/>
  <c r="A263" i="11"/>
  <c r="L265" i="13" s="1"/>
  <c r="L264" i="1"/>
  <c r="C265" i="13"/>
  <c r="B265" i="13"/>
  <c r="AE264" i="1"/>
  <c r="H263" i="31"/>
  <c r="Q264" i="13" s="1"/>
  <c r="F263" i="31"/>
  <c r="P264" i="13" s="1"/>
  <c r="H264" i="13"/>
  <c r="E262" i="11"/>
  <c r="I264" i="13" s="1"/>
  <c r="E265" i="13" l="1"/>
  <c r="AH264" i="1"/>
  <c r="Y264" i="1"/>
  <c r="X264" i="1" s="1"/>
  <c r="W264" i="1" s="1"/>
  <c r="V264" i="1" s="1"/>
  <c r="U264" i="1" s="1"/>
  <c r="F265" i="13" s="1"/>
  <c r="F264" i="11"/>
  <c r="AK264" i="1"/>
  <c r="AF264" i="1"/>
  <c r="T264" i="1" l="1"/>
  <c r="E264" i="31" s="1"/>
  <c r="G265" i="13" l="1"/>
  <c r="AI264" i="1"/>
  <c r="AJ264" i="1" s="1"/>
  <c r="M265" i="13" s="1"/>
  <c r="G265" i="1"/>
  <c r="F265" i="1"/>
  <c r="AN264" i="1"/>
  <c r="AM264" i="1" l="1"/>
  <c r="N265" i="13" s="1"/>
  <c r="C264" i="31"/>
  <c r="B264" i="31"/>
  <c r="C263" i="11"/>
  <c r="E265" i="1"/>
  <c r="D265" i="1" s="1"/>
  <c r="Q265" i="1" s="1"/>
  <c r="S265" i="1" s="1"/>
  <c r="D264" i="31" l="1"/>
  <c r="O265" i="13" s="1"/>
  <c r="B266" i="13"/>
  <c r="AE265" i="1"/>
  <c r="C265" i="1"/>
  <c r="C266" i="13"/>
  <c r="A264" i="11"/>
  <c r="L265" i="1"/>
  <c r="I266" i="1"/>
  <c r="H266" i="1"/>
  <c r="K265" i="13"/>
  <c r="G263" i="11"/>
  <c r="H263" i="11" s="1"/>
  <c r="J265" i="13" s="1"/>
  <c r="D263" i="11"/>
  <c r="D266" i="13" l="1"/>
  <c r="H264" i="31"/>
  <c r="Q265" i="13" s="1"/>
  <c r="F264" i="31"/>
  <c r="P265" i="13" s="1"/>
  <c r="AH265" i="1"/>
  <c r="Y265" i="1"/>
  <c r="X265" i="1" s="1"/>
  <c r="W265" i="1" s="1"/>
  <c r="V265" i="1" s="1"/>
  <c r="U265" i="1" s="1"/>
  <c r="H265" i="13"/>
  <c r="E263" i="11"/>
  <c r="I265" i="13" s="1"/>
  <c r="AF265" i="1"/>
  <c r="E266" i="13"/>
  <c r="F265" i="11"/>
  <c r="AK265" i="1"/>
  <c r="L266" i="13"/>
  <c r="T265" i="1" l="1"/>
  <c r="F266" i="13"/>
  <c r="AI265" i="1" l="1"/>
  <c r="AJ265" i="1" s="1"/>
  <c r="M266" i="13" s="1"/>
  <c r="E265" i="31"/>
  <c r="G266" i="13"/>
  <c r="F266" i="1"/>
  <c r="G266" i="1" l="1"/>
  <c r="AN265" i="1"/>
  <c r="C265" i="31"/>
  <c r="B265" i="31"/>
  <c r="AM265" i="1"/>
  <c r="N266" i="13" s="1"/>
  <c r="C264" i="11" l="1"/>
  <c r="E266" i="1"/>
  <c r="D266" i="1" s="1"/>
  <c r="Q266" i="1" s="1"/>
  <c r="S266" i="1" s="1"/>
  <c r="D265" i="31"/>
  <c r="O266" i="13" s="1"/>
  <c r="F265" i="31" l="1"/>
  <c r="P266" i="13" s="1"/>
  <c r="H265" i="31"/>
  <c r="Q266" i="13" s="1"/>
  <c r="K266" i="13"/>
  <c r="G264" i="11"/>
  <c r="H264" i="11" s="1"/>
  <c r="J266" i="13" s="1"/>
  <c r="D264" i="11"/>
  <c r="AE266" i="1"/>
  <c r="C266" i="1"/>
  <c r="C267" i="13"/>
  <c r="A265" i="11"/>
  <c r="B267" i="13"/>
  <c r="L266" i="1"/>
  <c r="H267" i="1"/>
  <c r="I267" i="1"/>
  <c r="D267" i="13" l="1"/>
  <c r="AH266" i="1"/>
  <c r="AF266" i="1"/>
  <c r="E267" i="13"/>
  <c r="F266" i="11"/>
  <c r="AK266" i="1"/>
  <c r="Y266" i="1"/>
  <c r="X266" i="1" s="1"/>
  <c r="W266" i="1" s="1"/>
  <c r="V266" i="1" s="1"/>
  <c r="U266" i="1" s="1"/>
  <c r="L267" i="13"/>
  <c r="H266" i="13"/>
  <c r="E264" i="11"/>
  <c r="I266" i="13" s="1"/>
  <c r="F267" i="13" l="1"/>
  <c r="T266" i="1"/>
  <c r="AI266" i="1" l="1"/>
  <c r="AJ266" i="1" s="1"/>
  <c r="M267" i="13" s="1"/>
  <c r="G267" i="13"/>
  <c r="E266" i="31"/>
  <c r="F267" i="1" l="1"/>
  <c r="G267" i="1"/>
  <c r="C266" i="31"/>
  <c r="B266" i="31"/>
  <c r="AM266" i="1"/>
  <c r="N267" i="13" s="1"/>
  <c r="AN266" i="1"/>
  <c r="D266" i="31" l="1"/>
  <c r="E267" i="1"/>
  <c r="D267" i="1" s="1"/>
  <c r="Q267" i="1" s="1"/>
  <c r="S267" i="1" s="1"/>
  <c r="C265" i="11"/>
  <c r="H266" i="31" l="1"/>
  <c r="Q267" i="13" s="1"/>
  <c r="O267" i="13"/>
  <c r="F266" i="31"/>
  <c r="P267" i="13" s="1"/>
  <c r="K267" i="13"/>
  <c r="G265" i="11"/>
  <c r="H265" i="11" s="1"/>
  <c r="J267" i="13" s="1"/>
  <c r="D265" i="11"/>
  <c r="C267" i="1"/>
  <c r="C268" i="13"/>
  <c r="B268" i="13"/>
  <c r="A266" i="11"/>
  <c r="AE267" i="1"/>
  <c r="L267" i="1"/>
  <c r="I268" i="1"/>
  <c r="H268" i="1"/>
  <c r="D268" i="13" l="1"/>
  <c r="AH267" i="1"/>
  <c r="Y267" i="1"/>
  <c r="X267" i="1" s="1"/>
  <c r="W267" i="1" s="1"/>
  <c r="V267" i="1" s="1"/>
  <c r="U267" i="1" s="1"/>
  <c r="E268" i="13"/>
  <c r="AF267" i="1"/>
  <c r="AK267" i="1"/>
  <c r="F267" i="11"/>
  <c r="L268" i="13"/>
  <c r="H267" i="13"/>
  <c r="E265" i="11"/>
  <c r="I267" i="13" s="1"/>
  <c r="F268" i="13" l="1"/>
  <c r="T267" i="1"/>
  <c r="AI267" i="1" l="1"/>
  <c r="AJ267" i="1" s="1"/>
  <c r="M268" i="13" s="1"/>
  <c r="G268" i="13"/>
  <c r="E267" i="31"/>
  <c r="AN267" i="1"/>
  <c r="F268" i="1" l="1"/>
  <c r="G268" i="1"/>
  <c r="C266" i="11"/>
  <c r="C267" i="31"/>
  <c r="B267" i="31"/>
  <c r="AM267" i="1"/>
  <c r="N268" i="13" s="1"/>
  <c r="E268" i="1" l="1"/>
  <c r="D268" i="1" s="1"/>
  <c r="Q268" i="1" s="1"/>
  <c r="S268" i="1" s="1"/>
  <c r="D267" i="31"/>
  <c r="K268" i="13"/>
  <c r="G266" i="11"/>
  <c r="H266" i="11" s="1"/>
  <c r="J268" i="13" s="1"/>
  <c r="D266" i="11"/>
  <c r="A267" i="11" l="1"/>
  <c r="L269" i="13" s="1"/>
  <c r="B269" i="13"/>
  <c r="H269" i="1"/>
  <c r="AH268" i="1" s="1"/>
  <c r="AE268" i="1"/>
  <c r="I269" i="1"/>
  <c r="L268" i="1"/>
  <c r="C268" i="1"/>
  <c r="C269" i="13"/>
  <c r="F267" i="31"/>
  <c r="P268" i="13" s="1"/>
  <c r="O268" i="13"/>
  <c r="H267" i="31"/>
  <c r="Q268" i="13" s="1"/>
  <c r="H268" i="13"/>
  <c r="E266" i="11"/>
  <c r="I268" i="13" s="1"/>
  <c r="F268" i="11" l="1"/>
  <c r="D269" i="13"/>
  <c r="Y268" i="1"/>
  <c r="X268" i="1" s="1"/>
  <c r="W268" i="1" s="1"/>
  <c r="V268" i="1" s="1"/>
  <c r="U268" i="1" s="1"/>
  <c r="F269" i="13" s="1"/>
  <c r="AK268" i="1"/>
  <c r="AF268" i="1"/>
  <c r="E269" i="13"/>
  <c r="T268" i="1" l="1"/>
  <c r="AI268" i="1" s="1"/>
  <c r="AJ268" i="1" s="1"/>
  <c r="M269" i="13" s="1"/>
  <c r="AN268" i="1"/>
  <c r="G269" i="13" l="1"/>
  <c r="E268" i="31"/>
  <c r="F269" i="1"/>
  <c r="G269" i="1"/>
  <c r="C267" i="11"/>
  <c r="C268" i="31"/>
  <c r="B268" i="31"/>
  <c r="AM268" i="1"/>
  <c r="N269" i="13" s="1"/>
  <c r="E269" i="1" l="1"/>
  <c r="D269" i="1" s="1"/>
  <c r="Q269" i="1" s="1"/>
  <c r="S269" i="1" s="1"/>
  <c r="D268" i="31"/>
  <c r="G267" i="11"/>
  <c r="H267" i="11" s="1"/>
  <c r="J269" i="13" s="1"/>
  <c r="K269" i="13"/>
  <c r="D267" i="11"/>
  <c r="B270" i="13" l="1"/>
  <c r="L269" i="1"/>
  <c r="AE269" i="1"/>
  <c r="I270" i="1"/>
  <c r="C269" i="1"/>
  <c r="H270" i="1"/>
  <c r="C270" i="13"/>
  <c r="A268" i="11"/>
  <c r="L270" i="13" s="1"/>
  <c r="H268" i="31"/>
  <c r="Q269" i="13" s="1"/>
  <c r="O269" i="13"/>
  <c r="F268" i="31"/>
  <c r="P269" i="13" s="1"/>
  <c r="H269" i="13"/>
  <c r="E267" i="11"/>
  <c r="I269" i="13" s="1"/>
  <c r="F269" i="11" l="1"/>
  <c r="D270" i="13"/>
  <c r="Y269" i="1"/>
  <c r="X269" i="1" s="1"/>
  <c r="W269" i="1" s="1"/>
  <c r="V269" i="1" s="1"/>
  <c r="U269" i="1" s="1"/>
  <c r="F270" i="13" s="1"/>
  <c r="AH269" i="1"/>
  <c r="AF269" i="1"/>
  <c r="E270" i="13"/>
  <c r="AK269" i="1"/>
  <c r="T269" i="1" l="1"/>
  <c r="AI269" i="1" s="1"/>
  <c r="AJ269" i="1" s="1"/>
  <c r="M270" i="13" s="1"/>
  <c r="AN269" i="1"/>
  <c r="E269" i="31" l="1"/>
  <c r="G270" i="13"/>
  <c r="G270" i="1"/>
  <c r="F270" i="1"/>
  <c r="C268" i="11"/>
  <c r="C269" i="31"/>
  <c r="B269" i="31"/>
  <c r="AM269" i="1"/>
  <c r="N270" i="13" s="1"/>
  <c r="E270" i="1" l="1"/>
  <c r="D270" i="1" s="1"/>
  <c r="Q270" i="1" s="1"/>
  <c r="S270" i="1" s="1"/>
  <c r="D269" i="31"/>
  <c r="G268" i="11"/>
  <c r="H268" i="11" s="1"/>
  <c r="J270" i="13" s="1"/>
  <c r="K270" i="13"/>
  <c r="D268" i="11"/>
  <c r="AE270" i="1" l="1"/>
  <c r="L270" i="1"/>
  <c r="C270" i="1"/>
  <c r="H271" i="1"/>
  <c r="AH270" i="1" s="1"/>
  <c r="A269" i="11"/>
  <c r="L271" i="13" s="1"/>
  <c r="I271" i="1"/>
  <c r="C271" i="13"/>
  <c r="B271" i="13"/>
  <c r="F269" i="31"/>
  <c r="P270" i="13" s="1"/>
  <c r="O270" i="13"/>
  <c r="H269" i="31"/>
  <c r="Q270" i="13" s="1"/>
  <c r="E268" i="11"/>
  <c r="I270" i="13" s="1"/>
  <c r="H270" i="13"/>
  <c r="AF270" i="1" l="1"/>
  <c r="D271" i="13"/>
  <c r="Y270" i="1"/>
  <c r="X270" i="1" s="1"/>
  <c r="W270" i="1" s="1"/>
  <c r="V270" i="1" s="1"/>
  <c r="U270" i="1" s="1"/>
  <c r="F271" i="13" s="1"/>
  <c r="AK270" i="1"/>
  <c r="F270" i="11"/>
  <c r="E271" i="13"/>
  <c r="T270" i="1" l="1"/>
  <c r="G271" i="13" s="1"/>
  <c r="AN270" i="1"/>
  <c r="AI270" i="1" l="1"/>
  <c r="AJ270" i="1" s="1"/>
  <c r="M271" i="13" s="1"/>
  <c r="E270" i="31"/>
  <c r="G271" i="1"/>
  <c r="F271" i="1"/>
  <c r="C269" i="11"/>
  <c r="AM270" i="1" l="1"/>
  <c r="N271" i="13" s="1"/>
  <c r="C270" i="31"/>
  <c r="B270" i="31"/>
  <c r="E271" i="1"/>
  <c r="D271" i="1" s="1"/>
  <c r="Q271" i="1" s="1"/>
  <c r="S271" i="1" s="1"/>
  <c r="G269" i="11"/>
  <c r="H269" i="11" s="1"/>
  <c r="J271" i="13" s="1"/>
  <c r="K271" i="13"/>
  <c r="D269" i="11"/>
  <c r="AE271" i="1" l="1"/>
  <c r="D270" i="31"/>
  <c r="O271" i="13" s="1"/>
  <c r="I272" i="1"/>
  <c r="L271" i="1"/>
  <c r="C272" i="13"/>
  <c r="B272" i="13"/>
  <c r="H272" i="1"/>
  <c r="Y271" i="1" s="1"/>
  <c r="C271" i="1"/>
  <c r="A270" i="11"/>
  <c r="L272" i="13" s="1"/>
  <c r="H271" i="13"/>
  <c r="E269" i="11"/>
  <c r="I271" i="13" s="1"/>
  <c r="F270" i="31" l="1"/>
  <c r="P271" i="13" s="1"/>
  <c r="AF271" i="1"/>
  <c r="D272" i="13"/>
  <c r="H270" i="31"/>
  <c r="Q271" i="13" s="1"/>
  <c r="AH271" i="1"/>
  <c r="E272" i="13"/>
  <c r="AK271" i="1"/>
  <c r="F271" i="11"/>
  <c r="X271" i="1"/>
  <c r="W271" i="1" s="1"/>
  <c r="V271" i="1" s="1"/>
  <c r="U271" i="1" s="1"/>
  <c r="T271" i="1" s="1"/>
  <c r="F272" i="13" l="1"/>
  <c r="AI271" i="1"/>
  <c r="AJ271" i="1" s="1"/>
  <c r="M272" i="13" s="1"/>
  <c r="E271" i="31"/>
  <c r="G272" i="13"/>
  <c r="AN271" i="1"/>
  <c r="G272" i="1" l="1"/>
  <c r="F272" i="1"/>
  <c r="C270" i="11"/>
  <c r="B271" i="31"/>
  <c r="C271" i="31"/>
  <c r="AM271" i="1"/>
  <c r="N272" i="13" s="1"/>
  <c r="E272" i="1" l="1"/>
  <c r="D272" i="1" s="1"/>
  <c r="Q272" i="1" s="1"/>
  <c r="S272" i="1" s="1"/>
  <c r="K272" i="13"/>
  <c r="G270" i="11"/>
  <c r="H270" i="11" s="1"/>
  <c r="J272" i="13" s="1"/>
  <c r="D270" i="11"/>
  <c r="D271" i="31"/>
  <c r="O272" i="13" s="1"/>
  <c r="AE272" i="1" l="1"/>
  <c r="H273" i="1"/>
  <c r="B273" i="13"/>
  <c r="I273" i="1"/>
  <c r="A271" i="11"/>
  <c r="L273" i="13" s="1"/>
  <c r="L272" i="1"/>
  <c r="C272" i="1"/>
  <c r="C273" i="13"/>
  <c r="F271" i="31"/>
  <c r="P272" i="13" s="1"/>
  <c r="H271" i="31"/>
  <c r="Q272" i="13" s="1"/>
  <c r="H272" i="13"/>
  <c r="E270" i="11"/>
  <c r="I272" i="13" s="1"/>
  <c r="E273" i="13" l="1"/>
  <c r="D273" i="13"/>
  <c r="Y272" i="1"/>
  <c r="X272" i="1" s="1"/>
  <c r="W272" i="1" s="1"/>
  <c r="V272" i="1" s="1"/>
  <c r="U272" i="1" s="1"/>
  <c r="F273" i="13" s="1"/>
  <c r="AH272" i="1"/>
  <c r="F272" i="11"/>
  <c r="AK272" i="1"/>
  <c r="AF272" i="1"/>
  <c r="T272" i="1" l="1"/>
  <c r="G273" i="13" s="1"/>
  <c r="AN272" i="1"/>
  <c r="E272" i="31" l="1"/>
  <c r="AI272" i="1"/>
  <c r="AJ272" i="1" s="1"/>
  <c r="M273" i="13" s="1"/>
  <c r="G273" i="1"/>
  <c r="F273" i="1"/>
  <c r="C271" i="11"/>
  <c r="C272" i="31" l="1"/>
  <c r="AM272" i="1"/>
  <c r="N273" i="13" s="1"/>
  <c r="B272" i="31"/>
  <c r="E273" i="1"/>
  <c r="D273" i="1" s="1"/>
  <c r="Q273" i="1" s="1"/>
  <c r="S273" i="1" s="1"/>
  <c r="G271" i="11"/>
  <c r="H271" i="11" s="1"/>
  <c r="J273" i="13" s="1"/>
  <c r="K273" i="13"/>
  <c r="D271" i="11"/>
  <c r="A272" i="11" l="1"/>
  <c r="L274" i="13" s="1"/>
  <c r="D272" i="31"/>
  <c r="F272" i="31" s="1"/>
  <c r="P273" i="13" s="1"/>
  <c r="I274" i="1"/>
  <c r="C274" i="13"/>
  <c r="H274" i="1"/>
  <c r="AH273" i="1" s="1"/>
  <c r="B274" i="13"/>
  <c r="AE273" i="1"/>
  <c r="C273" i="1"/>
  <c r="L273" i="1"/>
  <c r="O273" i="13"/>
  <c r="E271" i="11"/>
  <c r="I273" i="13" s="1"/>
  <c r="H273" i="13"/>
  <c r="AF273" i="1" l="1"/>
  <c r="D274" i="13"/>
  <c r="H272" i="31"/>
  <c r="Q273" i="13" s="1"/>
  <c r="Y273" i="1"/>
  <c r="X273" i="1" s="1"/>
  <c r="W273" i="1" s="1"/>
  <c r="V273" i="1" s="1"/>
  <c r="U273" i="1" s="1"/>
  <c r="F274" i="13" s="1"/>
  <c r="E274" i="13"/>
  <c r="F273" i="11"/>
  <c r="AK273" i="1"/>
  <c r="T273" i="1" l="1"/>
  <c r="E273" i="31" s="1"/>
  <c r="AN273" i="1"/>
  <c r="G274" i="13" l="1"/>
  <c r="AI273" i="1"/>
  <c r="AJ273" i="1" s="1"/>
  <c r="M274" i="13" s="1"/>
  <c r="F274" i="1"/>
  <c r="G274" i="1"/>
  <c r="C272" i="11"/>
  <c r="B273" i="31" l="1"/>
  <c r="AM273" i="1"/>
  <c r="N274" i="13" s="1"/>
  <c r="C273" i="31"/>
  <c r="E274" i="1"/>
  <c r="D274" i="1" s="1"/>
  <c r="Q274" i="1" s="1"/>
  <c r="S274" i="1" s="1"/>
  <c r="G272" i="11"/>
  <c r="H272" i="11" s="1"/>
  <c r="J274" i="13" s="1"/>
  <c r="K274" i="13"/>
  <c r="D272" i="11"/>
  <c r="C275" i="13" l="1"/>
  <c r="D273" i="31"/>
  <c r="O274" i="13" s="1"/>
  <c r="L274" i="1"/>
  <c r="B275" i="13"/>
  <c r="I275" i="1"/>
  <c r="AE274" i="1"/>
  <c r="H275" i="1"/>
  <c r="A273" i="11"/>
  <c r="L275" i="13" s="1"/>
  <c r="C274" i="1"/>
  <c r="E272" i="11"/>
  <c r="I274" i="13" s="1"/>
  <c r="H274" i="13"/>
  <c r="AF274" i="1" l="1"/>
  <c r="D275" i="13"/>
  <c r="F273" i="31"/>
  <c r="P274" i="13" s="1"/>
  <c r="H273" i="31"/>
  <c r="Q274" i="13" s="1"/>
  <c r="Y274" i="1"/>
  <c r="X274" i="1" s="1"/>
  <c r="W274" i="1" s="1"/>
  <c r="V274" i="1" s="1"/>
  <c r="U274" i="1" s="1"/>
  <c r="F275" i="13" s="1"/>
  <c r="AK274" i="1"/>
  <c r="AH274" i="1"/>
  <c r="F274" i="11"/>
  <c r="E275" i="13"/>
  <c r="T274" i="1" l="1"/>
  <c r="E274" i="31" s="1"/>
  <c r="AN274" i="1"/>
  <c r="G275" i="13" l="1"/>
  <c r="AI274" i="1"/>
  <c r="AJ274" i="1" s="1"/>
  <c r="M275" i="13" s="1"/>
  <c r="G275" i="1"/>
  <c r="F275" i="1"/>
  <c r="C273" i="11"/>
  <c r="AM274" i="1" l="1"/>
  <c r="N275" i="13" s="1"/>
  <c r="B274" i="31"/>
  <c r="C274" i="31"/>
  <c r="E275" i="1"/>
  <c r="D275" i="1" s="1"/>
  <c r="Q275" i="1" s="1"/>
  <c r="S275" i="1" s="1"/>
  <c r="G273" i="11"/>
  <c r="H273" i="11" s="1"/>
  <c r="J275" i="13" s="1"/>
  <c r="K275" i="13"/>
  <c r="D273" i="11"/>
  <c r="C275" i="1" l="1"/>
  <c r="D274" i="31"/>
  <c r="O275" i="13" s="1"/>
  <c r="L275" i="1"/>
  <c r="H276" i="1"/>
  <c r="C276" i="13"/>
  <c r="I276" i="1"/>
  <c r="B276" i="13"/>
  <c r="AE275" i="1"/>
  <c r="A274" i="11"/>
  <c r="L276" i="13" s="1"/>
  <c r="E273" i="11"/>
  <c r="I275" i="13" s="1"/>
  <c r="H275" i="13"/>
  <c r="D276" i="13" l="1"/>
  <c r="AK275" i="1"/>
  <c r="F274" i="31"/>
  <c r="P275" i="13" s="1"/>
  <c r="H274" i="31"/>
  <c r="Q275" i="13" s="1"/>
  <c r="Y275" i="1"/>
  <c r="X275" i="1" s="1"/>
  <c r="W275" i="1" s="1"/>
  <c r="V275" i="1" s="1"/>
  <c r="U275" i="1" s="1"/>
  <c r="T275" i="1" s="1"/>
  <c r="AF275" i="1"/>
  <c r="F275" i="11"/>
  <c r="E276" i="13"/>
  <c r="AH275" i="1"/>
  <c r="F276" i="13" l="1"/>
  <c r="AI275" i="1"/>
  <c r="AJ275" i="1" s="1"/>
  <c r="M276" i="13" s="1"/>
  <c r="G276" i="13"/>
  <c r="E275" i="31"/>
  <c r="AN275" i="1"/>
  <c r="G276" i="1" l="1"/>
  <c r="F276" i="1"/>
  <c r="C274" i="11"/>
  <c r="B275" i="31"/>
  <c r="C275" i="31"/>
  <c r="AM275" i="1"/>
  <c r="N276" i="13" s="1"/>
  <c r="E276" i="1" l="1"/>
  <c r="D276" i="1" s="1"/>
  <c r="Q276" i="1" s="1"/>
  <c r="S276" i="1" s="1"/>
  <c r="G274" i="11"/>
  <c r="H274" i="11" s="1"/>
  <c r="J276" i="13" s="1"/>
  <c r="K276" i="13"/>
  <c r="D274" i="11"/>
  <c r="D275" i="31"/>
  <c r="O276" i="13" s="1"/>
  <c r="A275" i="11" l="1"/>
  <c r="I277" i="1"/>
  <c r="C277" i="13"/>
  <c r="C276" i="1"/>
  <c r="L276" i="1"/>
  <c r="AE276" i="1"/>
  <c r="B277" i="13"/>
  <c r="H277" i="1"/>
  <c r="E274" i="11"/>
  <c r="I276" i="13" s="1"/>
  <c r="H276" i="13"/>
  <c r="H275" i="31"/>
  <c r="Q276" i="13" s="1"/>
  <c r="F275" i="31"/>
  <c r="P276" i="13" s="1"/>
  <c r="L277" i="13"/>
  <c r="F276" i="11" l="1"/>
  <c r="D277" i="13"/>
  <c r="E277" i="13"/>
  <c r="Y276" i="1"/>
  <c r="X276" i="1" s="1"/>
  <c r="W276" i="1" s="1"/>
  <c r="V276" i="1" s="1"/>
  <c r="U276" i="1" s="1"/>
  <c r="T276" i="1" s="1"/>
  <c r="AH276" i="1"/>
  <c r="AK276" i="1"/>
  <c r="AF276" i="1"/>
  <c r="F277" i="13" l="1"/>
  <c r="AI276" i="1"/>
  <c r="AJ276" i="1" s="1"/>
  <c r="M277" i="13" s="1"/>
  <c r="E276" i="31"/>
  <c r="G277" i="13"/>
  <c r="F277" i="1" l="1"/>
  <c r="G277" i="1"/>
  <c r="B276" i="31"/>
  <c r="C276" i="31"/>
  <c r="AM276" i="1"/>
  <c r="N277" i="13" s="1"/>
  <c r="AN276" i="1"/>
  <c r="D276" i="31" l="1"/>
  <c r="C275" i="11"/>
  <c r="E277" i="1"/>
  <c r="D277" i="1" s="1"/>
  <c r="Q277" i="1" s="1"/>
  <c r="S277" i="1" s="1"/>
  <c r="F276" i="31" l="1"/>
  <c r="P277" i="13" s="1"/>
  <c r="O277" i="13"/>
  <c r="H276" i="31"/>
  <c r="Q277" i="13" s="1"/>
  <c r="A276" i="11"/>
  <c r="C278" i="13"/>
  <c r="AE277" i="1"/>
  <c r="C277" i="1"/>
  <c r="B278" i="13"/>
  <c r="I278" i="1"/>
  <c r="L277" i="1"/>
  <c r="H278" i="1"/>
  <c r="G275" i="11"/>
  <c r="H275" i="11" s="1"/>
  <c r="J277" i="13" s="1"/>
  <c r="K277" i="13"/>
  <c r="D275" i="11"/>
  <c r="D278" i="13" l="1"/>
  <c r="AH277" i="1"/>
  <c r="Y277" i="1"/>
  <c r="X277" i="1" s="1"/>
  <c r="W277" i="1" s="1"/>
  <c r="V277" i="1" s="1"/>
  <c r="U277" i="1" s="1"/>
  <c r="L278" i="13"/>
  <c r="H277" i="13"/>
  <c r="E275" i="11"/>
  <c r="I277" i="13" s="1"/>
  <c r="E278" i="13"/>
  <c r="AF277" i="1"/>
  <c r="F277" i="11"/>
  <c r="AK277" i="1"/>
  <c r="T277" i="1" l="1"/>
  <c r="F278" i="13"/>
  <c r="AI277" i="1" l="1"/>
  <c r="AJ277" i="1" s="1"/>
  <c r="M278" i="13" s="1"/>
  <c r="E277" i="31"/>
  <c r="G278" i="13"/>
  <c r="AN277" i="1"/>
  <c r="F278" i="1" l="1"/>
  <c r="G278" i="1"/>
  <c r="C276" i="11"/>
  <c r="B277" i="31"/>
  <c r="C277" i="31"/>
  <c r="AM277" i="1"/>
  <c r="N278" i="13" s="1"/>
  <c r="E278" i="1" l="1"/>
  <c r="D278" i="1" s="1"/>
  <c r="Q278" i="1" s="1"/>
  <c r="S278" i="1" s="1"/>
  <c r="D277" i="31"/>
  <c r="G276" i="11"/>
  <c r="H276" i="11" s="1"/>
  <c r="J278" i="13" s="1"/>
  <c r="K278" i="13"/>
  <c r="D276" i="11"/>
  <c r="C278" i="1" l="1"/>
  <c r="I279" i="1"/>
  <c r="B279" i="13"/>
  <c r="L278" i="1"/>
  <c r="A277" i="11"/>
  <c r="L279" i="13" s="1"/>
  <c r="AE278" i="1"/>
  <c r="C279" i="13"/>
  <c r="H279" i="1"/>
  <c r="H277" i="31"/>
  <c r="Q278" i="13" s="1"/>
  <c r="O278" i="13"/>
  <c r="F277" i="31"/>
  <c r="P278" i="13" s="1"/>
  <c r="H278" i="13"/>
  <c r="E276" i="11"/>
  <c r="I278" i="13" s="1"/>
  <c r="D279" i="13" l="1"/>
  <c r="F278" i="11"/>
  <c r="AH278" i="1"/>
  <c r="E279" i="13"/>
  <c r="AF278" i="1"/>
  <c r="Y278" i="1"/>
  <c r="X278" i="1" s="1"/>
  <c r="W278" i="1" s="1"/>
  <c r="V278" i="1" s="1"/>
  <c r="U278" i="1" s="1"/>
  <c r="F279" i="13" s="1"/>
  <c r="AK278" i="1"/>
  <c r="T278" i="1" l="1"/>
  <c r="G279" i="13" s="1"/>
  <c r="AN278" i="1"/>
  <c r="E278" i="31" l="1"/>
  <c r="AI278" i="1"/>
  <c r="AJ278" i="1" s="1"/>
  <c r="M279" i="13" s="1"/>
  <c r="G279" i="1"/>
  <c r="F279" i="1"/>
  <c r="C277" i="11"/>
  <c r="C278" i="31" l="1"/>
  <c r="AM278" i="1"/>
  <c r="N279" i="13" s="1"/>
  <c r="B278" i="31"/>
  <c r="E279" i="1"/>
  <c r="D279" i="1" s="1"/>
  <c r="Q279" i="1" s="1"/>
  <c r="S279" i="1" s="1"/>
  <c r="K279" i="13"/>
  <c r="G277" i="11"/>
  <c r="H277" i="11" s="1"/>
  <c r="J279" i="13" s="1"/>
  <c r="D277" i="11"/>
  <c r="AE279" i="1" l="1"/>
  <c r="D278" i="31"/>
  <c r="H278" i="31" s="1"/>
  <c r="Q279" i="13" s="1"/>
  <c r="H280" i="1"/>
  <c r="B280" i="13"/>
  <c r="A278" i="11"/>
  <c r="L280" i="13" s="1"/>
  <c r="C280" i="13"/>
  <c r="C279" i="1"/>
  <c r="L279" i="1"/>
  <c r="I280" i="1"/>
  <c r="O279" i="13"/>
  <c r="H279" i="13"/>
  <c r="E277" i="11"/>
  <c r="I279" i="13" s="1"/>
  <c r="AK279" i="1" l="1"/>
  <c r="D280" i="13"/>
  <c r="F278" i="31"/>
  <c r="P279" i="13" s="1"/>
  <c r="AH279" i="1"/>
  <c r="F279" i="11"/>
  <c r="Y279" i="1"/>
  <c r="X279" i="1" s="1"/>
  <c r="W279" i="1" s="1"/>
  <c r="V279" i="1" s="1"/>
  <c r="U279" i="1" s="1"/>
  <c r="F280" i="13" s="1"/>
  <c r="AF279" i="1"/>
  <c r="E280" i="13"/>
  <c r="T279" i="1" l="1"/>
  <c r="AI279" i="1" s="1"/>
  <c r="AJ279" i="1" s="1"/>
  <c r="M280" i="13" s="1"/>
  <c r="AN279" i="1"/>
  <c r="E279" i="31" l="1"/>
  <c r="G280" i="13"/>
  <c r="G280" i="1"/>
  <c r="F280" i="1"/>
  <c r="B279" i="31"/>
  <c r="C279" i="31"/>
  <c r="AM279" i="1"/>
  <c r="N280" i="13" s="1"/>
  <c r="C278" i="11"/>
  <c r="E280" i="1" l="1"/>
  <c r="D280" i="1" s="1"/>
  <c r="Q280" i="1" s="1"/>
  <c r="S280" i="1" s="1"/>
  <c r="D279" i="31"/>
  <c r="G278" i="11"/>
  <c r="H278" i="11" s="1"/>
  <c r="J280" i="13" s="1"/>
  <c r="K280" i="13"/>
  <c r="D278" i="11"/>
  <c r="C281" i="13" l="1"/>
  <c r="I281" i="1"/>
  <c r="A279" i="11"/>
  <c r="L281" i="13" s="1"/>
  <c r="H281" i="1"/>
  <c r="B281" i="13"/>
  <c r="L280" i="1"/>
  <c r="C280" i="1"/>
  <c r="AE280" i="1"/>
  <c r="F279" i="31"/>
  <c r="P280" i="13" s="1"/>
  <c r="O280" i="13"/>
  <c r="H279" i="31"/>
  <c r="Q280" i="13" s="1"/>
  <c r="H280" i="13"/>
  <c r="E278" i="11"/>
  <c r="I280" i="13" s="1"/>
  <c r="AK280" i="1" l="1"/>
  <c r="D281" i="13"/>
  <c r="Y280" i="1"/>
  <c r="X280" i="1" s="1"/>
  <c r="W280" i="1" s="1"/>
  <c r="V280" i="1" s="1"/>
  <c r="U280" i="1" s="1"/>
  <c r="F281" i="13" s="1"/>
  <c r="AH280" i="1"/>
  <c r="AF280" i="1"/>
  <c r="E281" i="13"/>
  <c r="F280" i="11"/>
  <c r="T280" i="1" l="1"/>
  <c r="AI280" i="1" s="1"/>
  <c r="AJ280" i="1" s="1"/>
  <c r="M281" i="13" s="1"/>
  <c r="G281" i="13" l="1"/>
  <c r="E280" i="31"/>
  <c r="G281" i="1"/>
  <c r="F281" i="1"/>
  <c r="AN280" i="1"/>
  <c r="B280" i="31"/>
  <c r="C280" i="31"/>
  <c r="AM280" i="1"/>
  <c r="N281" i="13" s="1"/>
  <c r="D280" i="31" l="1"/>
  <c r="C279" i="11"/>
  <c r="E281" i="1"/>
  <c r="D281" i="1" s="1"/>
  <c r="Q281" i="1" s="1"/>
  <c r="S281" i="1" s="1"/>
  <c r="H280" i="31" l="1"/>
  <c r="Q281" i="13" s="1"/>
  <c r="O281" i="13"/>
  <c r="F280" i="31"/>
  <c r="P281" i="13" s="1"/>
  <c r="A280" i="11"/>
  <c r="AE281" i="1"/>
  <c r="B282" i="13"/>
  <c r="C282" i="13"/>
  <c r="C281" i="1"/>
  <c r="I282" i="1"/>
  <c r="L281" i="1"/>
  <c r="H282" i="1"/>
  <c r="K281" i="13"/>
  <c r="G279" i="11"/>
  <c r="H279" i="11" s="1"/>
  <c r="J281" i="13" s="1"/>
  <c r="D279" i="11"/>
  <c r="D282" i="13" l="1"/>
  <c r="AH281" i="1"/>
  <c r="Y281" i="1"/>
  <c r="X281" i="1" s="1"/>
  <c r="W281" i="1" s="1"/>
  <c r="V281" i="1" s="1"/>
  <c r="U281" i="1" s="1"/>
  <c r="E282" i="13"/>
  <c r="AF281" i="1"/>
  <c r="F281" i="11"/>
  <c r="AK281" i="1"/>
  <c r="H281" i="13"/>
  <c r="E279" i="11"/>
  <c r="I281" i="13" s="1"/>
  <c r="L282" i="13"/>
  <c r="T281" i="1" l="1"/>
  <c r="F282" i="13"/>
  <c r="AI281" i="1" l="1"/>
  <c r="AJ281" i="1" s="1"/>
  <c r="M282" i="13" s="1"/>
  <c r="G282" i="13"/>
  <c r="E281" i="31"/>
  <c r="AN281" i="1"/>
  <c r="G282" i="1" l="1"/>
  <c r="F282" i="1"/>
  <c r="C280" i="11"/>
  <c r="B281" i="31"/>
  <c r="C281" i="31"/>
  <c r="AM281" i="1"/>
  <c r="N282" i="13" s="1"/>
  <c r="E282" i="1" l="1"/>
  <c r="D282" i="1" s="1"/>
  <c r="Q282" i="1" s="1"/>
  <c r="S282" i="1" s="1"/>
  <c r="D281" i="31"/>
  <c r="G280" i="11"/>
  <c r="H280" i="11" s="1"/>
  <c r="J282" i="13" s="1"/>
  <c r="K282" i="13"/>
  <c r="D280" i="11"/>
  <c r="B283" i="13" l="1"/>
  <c r="I283" i="1"/>
  <c r="C283" i="13"/>
  <c r="L282" i="1"/>
  <c r="C282" i="1"/>
  <c r="H283" i="1"/>
  <c r="AH282" i="1" s="1"/>
  <c r="AE282" i="1"/>
  <c r="A281" i="11"/>
  <c r="L283" i="13" s="1"/>
  <c r="H281" i="31"/>
  <c r="Q282" i="13" s="1"/>
  <c r="O282" i="13"/>
  <c r="F281" i="31"/>
  <c r="P282" i="13" s="1"/>
  <c r="H282" i="13"/>
  <c r="E280" i="11"/>
  <c r="I282" i="13" s="1"/>
  <c r="F282" i="11" l="1"/>
  <c r="D283" i="13"/>
  <c r="AF282" i="1"/>
  <c r="E283" i="13"/>
  <c r="AK282" i="1"/>
  <c r="Y282" i="1"/>
  <c r="X282" i="1" s="1"/>
  <c r="W282" i="1" s="1"/>
  <c r="V282" i="1" s="1"/>
  <c r="U282" i="1" s="1"/>
  <c r="F283" i="13" s="1"/>
  <c r="T282" i="1" l="1"/>
  <c r="AI282" i="1" s="1"/>
  <c r="AJ282" i="1" s="1"/>
  <c r="M283" i="13" s="1"/>
  <c r="AN282" i="1"/>
  <c r="E282" i="31" l="1"/>
  <c r="G283" i="13"/>
  <c r="G283" i="1"/>
  <c r="F283" i="1"/>
  <c r="B282" i="31"/>
  <c r="C282" i="31"/>
  <c r="AM282" i="1"/>
  <c r="N283" i="13" s="1"/>
  <c r="C281" i="11"/>
  <c r="E283" i="1" l="1"/>
  <c r="D283" i="1" s="1"/>
  <c r="Q283" i="1" s="1"/>
  <c r="S283" i="1" s="1"/>
  <c r="G281" i="11"/>
  <c r="H281" i="11" s="1"/>
  <c r="J283" i="13" s="1"/>
  <c r="K283" i="13"/>
  <c r="D281" i="11"/>
  <c r="D282" i="31"/>
  <c r="O283" i="13" s="1"/>
  <c r="B284" i="13" l="1"/>
  <c r="H284" i="1"/>
  <c r="C283" i="1"/>
  <c r="I284" i="1"/>
  <c r="C284" i="13"/>
  <c r="L283" i="1"/>
  <c r="AE283" i="1"/>
  <c r="A282" i="11"/>
  <c r="L284" i="13" s="1"/>
  <c r="F282" i="31"/>
  <c r="P283" i="13" s="1"/>
  <c r="H282" i="31"/>
  <c r="Q283" i="13" s="1"/>
  <c r="H283" i="13"/>
  <c r="E281" i="11"/>
  <c r="I283" i="13" s="1"/>
  <c r="AK283" i="1" l="1"/>
  <c r="D284" i="13"/>
  <c r="Y283" i="1"/>
  <c r="X283" i="1" s="1"/>
  <c r="W283" i="1" s="1"/>
  <c r="V283" i="1" s="1"/>
  <c r="U283" i="1" s="1"/>
  <c r="F284" i="13" s="1"/>
  <c r="E284" i="13"/>
  <c r="AH283" i="1"/>
  <c r="F283" i="11"/>
  <c r="AF283" i="1"/>
  <c r="T283" i="1" l="1"/>
  <c r="AI283" i="1" s="1"/>
  <c r="AJ283" i="1" s="1"/>
  <c r="M284" i="13" s="1"/>
  <c r="AN283" i="1"/>
  <c r="G284" i="13" l="1"/>
  <c r="E283" i="31"/>
  <c r="F284" i="1"/>
  <c r="G284" i="1"/>
  <c r="B283" i="31"/>
  <c r="C283" i="31"/>
  <c r="AM283" i="1"/>
  <c r="N284" i="13" s="1"/>
  <c r="C282" i="11"/>
  <c r="E284" i="1" l="1"/>
  <c r="D284" i="1" s="1"/>
  <c r="Q284" i="1" s="1"/>
  <c r="S284" i="1" s="1"/>
  <c r="D283" i="31"/>
  <c r="G282" i="11"/>
  <c r="H282" i="11" s="1"/>
  <c r="J284" i="13" s="1"/>
  <c r="K284" i="13"/>
  <c r="D282" i="11"/>
  <c r="A283" i="11" l="1"/>
  <c r="L285" i="13" s="1"/>
  <c r="I285" i="1"/>
  <c r="B285" i="13"/>
  <c r="L284" i="1"/>
  <c r="C284" i="1"/>
  <c r="C285" i="13"/>
  <c r="H285" i="1"/>
  <c r="AE284" i="1"/>
  <c r="F283" i="31"/>
  <c r="P284" i="13" s="1"/>
  <c r="O284" i="13"/>
  <c r="H283" i="31"/>
  <c r="Q284" i="13" s="1"/>
  <c r="H284" i="13"/>
  <c r="E282" i="11"/>
  <c r="I284" i="13" s="1"/>
  <c r="E285" i="13" l="1"/>
  <c r="D285" i="13"/>
  <c r="AH284" i="1"/>
  <c r="Y284" i="1"/>
  <c r="X284" i="1" s="1"/>
  <c r="W284" i="1" s="1"/>
  <c r="V284" i="1" s="1"/>
  <c r="U284" i="1" s="1"/>
  <c r="F285" i="13" s="1"/>
  <c r="AF284" i="1"/>
  <c r="AK284" i="1"/>
  <c r="F284" i="11"/>
  <c r="T284" i="1" l="1"/>
  <c r="G285" i="13" s="1"/>
  <c r="AI284" i="1" l="1"/>
  <c r="AJ284" i="1" s="1"/>
  <c r="M285" i="13" s="1"/>
  <c r="E284" i="31"/>
  <c r="G285" i="1"/>
  <c r="F285" i="1"/>
  <c r="AN284" i="1"/>
  <c r="AM284" i="1" l="1"/>
  <c r="N285" i="13" s="1"/>
  <c r="C284" i="31"/>
  <c r="B284" i="31"/>
  <c r="E285" i="1"/>
  <c r="D285" i="1" s="1"/>
  <c r="Q285" i="1" s="1"/>
  <c r="S285" i="1" s="1"/>
  <c r="C283" i="11"/>
  <c r="D284" i="31" l="1"/>
  <c r="O285" i="13" s="1"/>
  <c r="AE285" i="1"/>
  <c r="C285" i="1"/>
  <c r="A284" i="11"/>
  <c r="B286" i="13"/>
  <c r="C286" i="13"/>
  <c r="L285" i="1"/>
  <c r="H286" i="1"/>
  <c r="I286" i="1"/>
  <c r="K285" i="13"/>
  <c r="G283" i="11"/>
  <c r="H283" i="11" s="1"/>
  <c r="J285" i="13" s="1"/>
  <c r="D283" i="11"/>
  <c r="D286" i="13" l="1"/>
  <c r="F284" i="31"/>
  <c r="P285" i="13" s="1"/>
  <c r="H284" i="31"/>
  <c r="Q285" i="13" s="1"/>
  <c r="AH285" i="1"/>
  <c r="Y285" i="1"/>
  <c r="X285" i="1" s="1"/>
  <c r="W285" i="1" s="1"/>
  <c r="V285" i="1" s="1"/>
  <c r="U285" i="1" s="1"/>
  <c r="L286" i="13"/>
  <c r="E286" i="13"/>
  <c r="AF285" i="1"/>
  <c r="F285" i="11"/>
  <c r="AK285" i="1"/>
  <c r="H285" i="13"/>
  <c r="E283" i="11"/>
  <c r="I285" i="13" s="1"/>
  <c r="T285" i="1" l="1"/>
  <c r="F286" i="13"/>
  <c r="AI285" i="1" l="1"/>
  <c r="AJ285" i="1" s="1"/>
  <c r="M286" i="13" s="1"/>
  <c r="G286" i="13"/>
  <c r="E285" i="31"/>
  <c r="AN285" i="1"/>
  <c r="G286" i="1" l="1"/>
  <c r="F286" i="1"/>
  <c r="C284" i="11"/>
  <c r="C285" i="31"/>
  <c r="B285" i="31"/>
  <c r="AM285" i="1"/>
  <c r="N286" i="13" s="1"/>
  <c r="E286" i="1" l="1"/>
  <c r="D286" i="1" s="1"/>
  <c r="Q286" i="1" s="1"/>
  <c r="S286" i="1" s="1"/>
  <c r="D285" i="31"/>
  <c r="O286" i="13" s="1"/>
  <c r="K286" i="13"/>
  <c r="G284" i="11"/>
  <c r="H284" i="11" s="1"/>
  <c r="J286" i="13" s="1"/>
  <c r="D284" i="11"/>
  <c r="C287" i="13" l="1"/>
  <c r="H287" i="1"/>
  <c r="L286" i="1"/>
  <c r="B287" i="13"/>
  <c r="AE286" i="1"/>
  <c r="A285" i="11"/>
  <c r="L287" i="13" s="1"/>
  <c r="C286" i="1"/>
  <c r="I287" i="1"/>
  <c r="E284" i="11"/>
  <c r="I286" i="13" s="1"/>
  <c r="H286" i="13"/>
  <c r="F285" i="31"/>
  <c r="P286" i="13" s="1"/>
  <c r="H285" i="31"/>
  <c r="Q286" i="13" s="1"/>
  <c r="AK286" i="1" l="1"/>
  <c r="D287" i="13"/>
  <c r="AH286" i="1"/>
  <c r="E287" i="13"/>
  <c r="Y286" i="1"/>
  <c r="X286" i="1" s="1"/>
  <c r="W286" i="1" s="1"/>
  <c r="V286" i="1" s="1"/>
  <c r="U286" i="1" s="1"/>
  <c r="T286" i="1" s="1"/>
  <c r="AF286" i="1"/>
  <c r="F286" i="11"/>
  <c r="F287" i="13" l="1"/>
  <c r="AI286" i="1"/>
  <c r="AJ286" i="1" s="1"/>
  <c r="M287" i="13" s="1"/>
  <c r="G287" i="13"/>
  <c r="E286" i="31"/>
  <c r="AN286" i="1"/>
  <c r="F287" i="1" l="1"/>
  <c r="G287" i="1"/>
  <c r="C285" i="11"/>
  <c r="B286" i="31"/>
  <c r="C286" i="31"/>
  <c r="AM286" i="1"/>
  <c r="N287" i="13" s="1"/>
  <c r="E287" i="1" l="1"/>
  <c r="D287" i="1" s="1"/>
  <c r="Q287" i="1" s="1"/>
  <c r="S287" i="1" s="1"/>
  <c r="D286" i="31"/>
  <c r="K287" i="13"/>
  <c r="G285" i="11"/>
  <c r="H285" i="11" s="1"/>
  <c r="J287" i="13" s="1"/>
  <c r="D285" i="11"/>
  <c r="C288" i="13" l="1"/>
  <c r="H288" i="1"/>
  <c r="B288" i="13"/>
  <c r="L287" i="1"/>
  <c r="I288" i="1"/>
  <c r="C287" i="1"/>
  <c r="AE287" i="1"/>
  <c r="A286" i="11"/>
  <c r="L288" i="13" s="1"/>
  <c r="F286" i="31"/>
  <c r="P287" i="13" s="1"/>
  <c r="O287" i="13"/>
  <c r="H286" i="31"/>
  <c r="Q287" i="13" s="1"/>
  <c r="H287" i="13"/>
  <c r="E285" i="11"/>
  <c r="I287" i="13" s="1"/>
  <c r="E288" i="13" l="1"/>
  <c r="D288" i="13"/>
  <c r="F287" i="11"/>
  <c r="Y287" i="1"/>
  <c r="X287" i="1" s="1"/>
  <c r="W287" i="1" s="1"/>
  <c r="V287" i="1" s="1"/>
  <c r="U287" i="1" s="1"/>
  <c r="T287" i="1" s="1"/>
  <c r="AK287" i="1"/>
  <c r="AH287" i="1"/>
  <c r="AF287" i="1"/>
  <c r="F288" i="13" l="1"/>
  <c r="AI287" i="1"/>
  <c r="AJ287" i="1" s="1"/>
  <c r="M288" i="13" s="1"/>
  <c r="E287" i="31"/>
  <c r="G288" i="13"/>
  <c r="AN287" i="1"/>
  <c r="F288" i="1" l="1"/>
  <c r="G288" i="1"/>
  <c r="C286" i="11"/>
  <c r="C287" i="31"/>
  <c r="B287" i="31"/>
  <c r="AM287" i="1"/>
  <c r="N288" i="13" s="1"/>
  <c r="E288" i="1" l="1"/>
  <c r="D288" i="1" s="1"/>
  <c r="Q288" i="1" s="1"/>
  <c r="S288" i="1" s="1"/>
  <c r="D287" i="31"/>
  <c r="K288" i="13"/>
  <c r="G286" i="11"/>
  <c r="H286" i="11" s="1"/>
  <c r="J288" i="13" s="1"/>
  <c r="D286" i="11"/>
  <c r="B289" i="13" l="1"/>
  <c r="L288" i="1"/>
  <c r="I289" i="1"/>
  <c r="C288" i="1"/>
  <c r="A287" i="11"/>
  <c r="L289" i="13" s="1"/>
  <c r="C289" i="13"/>
  <c r="AE288" i="1"/>
  <c r="H289" i="1"/>
  <c r="AH288" i="1" s="1"/>
  <c r="H287" i="31"/>
  <c r="Q288" i="13" s="1"/>
  <c r="O288" i="13"/>
  <c r="F287" i="31"/>
  <c r="P288" i="13" s="1"/>
  <c r="E286" i="11"/>
  <c r="I288" i="13" s="1"/>
  <c r="H288" i="13"/>
  <c r="AK288" i="1" l="1"/>
  <c r="D289" i="13"/>
  <c r="Y288" i="1"/>
  <c r="X288" i="1" s="1"/>
  <c r="W288" i="1" s="1"/>
  <c r="V288" i="1" s="1"/>
  <c r="U288" i="1" s="1"/>
  <c r="F289" i="13" s="1"/>
  <c r="AF288" i="1"/>
  <c r="F288" i="11"/>
  <c r="E289" i="13"/>
  <c r="T288" i="1" l="1"/>
  <c r="AI288" i="1" s="1"/>
  <c r="AJ288" i="1" s="1"/>
  <c r="M289" i="13" s="1"/>
  <c r="AN288" i="1"/>
  <c r="E288" i="31" l="1"/>
  <c r="G289" i="13"/>
  <c r="G289" i="1"/>
  <c r="F289" i="1"/>
  <c r="C287" i="11"/>
  <c r="B288" i="31"/>
  <c r="C288" i="31"/>
  <c r="AM288" i="1"/>
  <c r="N289" i="13" s="1"/>
  <c r="E289" i="1" l="1"/>
  <c r="D289" i="1" s="1"/>
  <c r="Q289" i="1" s="1"/>
  <c r="S289" i="1" s="1"/>
  <c r="D288" i="31"/>
  <c r="G287" i="11"/>
  <c r="H287" i="11" s="1"/>
  <c r="J289" i="13" s="1"/>
  <c r="K289" i="13"/>
  <c r="D287" i="11"/>
  <c r="AE289" i="1" l="1"/>
  <c r="I290" i="1"/>
  <c r="A288" i="11"/>
  <c r="L290" i="13" s="1"/>
  <c r="H290" i="1"/>
  <c r="C290" i="13"/>
  <c r="L289" i="1"/>
  <c r="B290" i="13"/>
  <c r="C289" i="1"/>
  <c r="H288" i="31"/>
  <c r="Q289" i="13" s="1"/>
  <c r="O289" i="13"/>
  <c r="F288" i="31"/>
  <c r="P289" i="13" s="1"/>
  <c r="H289" i="13"/>
  <c r="E287" i="11"/>
  <c r="I289" i="13" s="1"/>
  <c r="F289" i="11" l="1"/>
  <c r="D290" i="13"/>
  <c r="AH289" i="1"/>
  <c r="Y289" i="1"/>
  <c r="X289" i="1" s="1"/>
  <c r="W289" i="1" s="1"/>
  <c r="V289" i="1" s="1"/>
  <c r="U289" i="1" s="1"/>
  <c r="T289" i="1" s="1"/>
  <c r="AF289" i="1"/>
  <c r="E290" i="13"/>
  <c r="AK289" i="1"/>
  <c r="F290" i="13" l="1"/>
  <c r="AI289" i="1"/>
  <c r="AJ289" i="1" s="1"/>
  <c r="M290" i="13" s="1"/>
  <c r="G290" i="13"/>
  <c r="E289" i="31"/>
  <c r="F290" i="1" l="1"/>
  <c r="G290" i="1"/>
  <c r="B289" i="31"/>
  <c r="C289" i="31"/>
  <c r="AM289" i="1"/>
  <c r="N290" i="13" s="1"/>
  <c r="AN289" i="1"/>
  <c r="D289" i="31" l="1"/>
  <c r="E290" i="1"/>
  <c r="D290" i="1" s="1"/>
  <c r="Q290" i="1" s="1"/>
  <c r="S290" i="1" s="1"/>
  <c r="C288" i="11"/>
  <c r="F289" i="31" l="1"/>
  <c r="P290" i="13" s="1"/>
  <c r="O290" i="13"/>
  <c r="H289" i="31"/>
  <c r="Q290" i="13" s="1"/>
  <c r="K290" i="13"/>
  <c r="G288" i="11"/>
  <c r="H288" i="11" s="1"/>
  <c r="J290" i="13" s="1"/>
  <c r="D288" i="11"/>
  <c r="C291" i="13"/>
  <c r="A289" i="11"/>
  <c r="B291" i="13"/>
  <c r="C290" i="1"/>
  <c r="AE290" i="1"/>
  <c r="L290" i="1"/>
  <c r="I291" i="1"/>
  <c r="H291" i="1"/>
  <c r="D291" i="13" l="1"/>
  <c r="AH290" i="1"/>
  <c r="AF290" i="1"/>
  <c r="E291" i="13"/>
  <c r="F290" i="11"/>
  <c r="AK290" i="1"/>
  <c r="Y290" i="1"/>
  <c r="X290" i="1" s="1"/>
  <c r="W290" i="1" s="1"/>
  <c r="V290" i="1" s="1"/>
  <c r="U290" i="1" s="1"/>
  <c r="L291" i="13"/>
  <c r="E288" i="11"/>
  <c r="I290" i="13" s="1"/>
  <c r="H290" i="13"/>
  <c r="T290" i="1" l="1"/>
  <c r="F291" i="13"/>
  <c r="AI290" i="1" l="1"/>
  <c r="AJ290" i="1" s="1"/>
  <c r="M291" i="13" s="1"/>
  <c r="E290" i="31"/>
  <c r="G291" i="13"/>
  <c r="G291" i="1" l="1"/>
  <c r="F291" i="1"/>
  <c r="AN290" i="1"/>
  <c r="B290" i="31"/>
  <c r="C290" i="31"/>
  <c r="AM290" i="1"/>
  <c r="N291" i="13" s="1"/>
  <c r="E291" i="1" l="1"/>
  <c r="D291" i="1" s="1"/>
  <c r="Q291" i="1" s="1"/>
  <c r="S291" i="1" s="1"/>
  <c r="C289" i="11"/>
  <c r="D290" i="31"/>
  <c r="O291" i="13" s="1"/>
  <c r="G289" i="11" l="1"/>
  <c r="H289" i="11" s="1"/>
  <c r="J291" i="13" s="1"/>
  <c r="K291" i="13"/>
  <c r="D289" i="11"/>
  <c r="A290" i="11"/>
  <c r="AE291" i="1"/>
  <c r="C291" i="1"/>
  <c r="B292" i="13"/>
  <c r="C292" i="13"/>
  <c r="L291" i="1"/>
  <c r="H292" i="1"/>
  <c r="I292" i="1"/>
  <c r="F290" i="31"/>
  <c r="P291" i="13" s="1"/>
  <c r="H290" i="31"/>
  <c r="Q291" i="13" s="1"/>
  <c r="D292" i="13" l="1"/>
  <c r="AH291" i="1"/>
  <c r="Y291" i="1"/>
  <c r="X291" i="1" s="1"/>
  <c r="W291" i="1" s="1"/>
  <c r="V291" i="1" s="1"/>
  <c r="U291" i="1" s="1"/>
  <c r="L292" i="13"/>
  <c r="E292" i="13"/>
  <c r="AF291" i="1"/>
  <c r="F291" i="11"/>
  <c r="AK291" i="1"/>
  <c r="H291" i="13"/>
  <c r="E289" i="11"/>
  <c r="I291" i="13" s="1"/>
  <c r="F292" i="13" l="1"/>
  <c r="T291" i="1"/>
  <c r="AI291" i="1" l="1"/>
  <c r="AJ291" i="1" s="1"/>
  <c r="M292" i="13" s="1"/>
  <c r="G292" i="13"/>
  <c r="E291" i="31"/>
  <c r="AN291" i="1"/>
  <c r="F292" i="1" l="1"/>
  <c r="G292" i="1"/>
  <c r="C290" i="11"/>
  <c r="B291" i="31"/>
  <c r="C291" i="31"/>
  <c r="AM291" i="1"/>
  <c r="N292" i="13" s="1"/>
  <c r="E292" i="1" l="1"/>
  <c r="D292" i="1" s="1"/>
  <c r="Q292" i="1" s="1"/>
  <c r="S292" i="1" s="1"/>
  <c r="D291" i="31"/>
  <c r="G290" i="11"/>
  <c r="H290" i="11" s="1"/>
  <c r="J292" i="13" s="1"/>
  <c r="K292" i="13"/>
  <c r="D290" i="11"/>
  <c r="A291" i="11" l="1"/>
  <c r="L293" i="13" s="1"/>
  <c r="L292" i="1"/>
  <c r="C293" i="13"/>
  <c r="C292" i="1"/>
  <c r="B293" i="13"/>
  <c r="AE292" i="1"/>
  <c r="H293" i="1"/>
  <c r="I293" i="1"/>
  <c r="F291" i="31"/>
  <c r="P292" i="13" s="1"/>
  <c r="O292" i="13"/>
  <c r="H291" i="31"/>
  <c r="Q292" i="13" s="1"/>
  <c r="E290" i="11"/>
  <c r="I292" i="13" s="1"/>
  <c r="H292" i="13"/>
  <c r="F292" i="11" l="1"/>
  <c r="D293" i="13"/>
  <c r="Y292" i="1"/>
  <c r="X292" i="1" s="1"/>
  <c r="W292" i="1" s="1"/>
  <c r="V292" i="1" s="1"/>
  <c r="U292" i="1" s="1"/>
  <c r="F293" i="13" s="1"/>
  <c r="AH292" i="1"/>
  <c r="AK292" i="1"/>
  <c r="AF292" i="1"/>
  <c r="E293" i="13"/>
  <c r="T292" i="1" l="1"/>
  <c r="E292" i="31" s="1"/>
  <c r="AI292" i="1" l="1"/>
  <c r="AJ292" i="1" s="1"/>
  <c r="M293" i="13" s="1"/>
  <c r="G293" i="13"/>
  <c r="F293" i="1"/>
  <c r="G293" i="1"/>
  <c r="AN292" i="1"/>
  <c r="B292" i="31" l="1"/>
  <c r="AM292" i="1"/>
  <c r="N293" i="13" s="1"/>
  <c r="C292" i="31"/>
  <c r="C291" i="11"/>
  <c r="E293" i="1"/>
  <c r="D293" i="1" s="1"/>
  <c r="Q293" i="1" s="1"/>
  <c r="S293" i="1" s="1"/>
  <c r="D292" i="31" l="1"/>
  <c r="H292" i="31" s="1"/>
  <c r="Q293" i="13" s="1"/>
  <c r="O293" i="13"/>
  <c r="AE293" i="1"/>
  <c r="B294" i="13"/>
  <c r="C294" i="13"/>
  <c r="A292" i="11"/>
  <c r="C293" i="1"/>
  <c r="L293" i="1"/>
  <c r="I294" i="1"/>
  <c r="H294" i="1"/>
  <c r="K293" i="13"/>
  <c r="G291" i="11"/>
  <c r="H291" i="11" s="1"/>
  <c r="J293" i="13" s="1"/>
  <c r="D291" i="11"/>
  <c r="D294" i="13" l="1"/>
  <c r="F292" i="31"/>
  <c r="P293" i="13" s="1"/>
  <c r="AH293" i="1"/>
  <c r="E291" i="11"/>
  <c r="I293" i="13" s="1"/>
  <c r="H293" i="13"/>
  <c r="L294" i="13"/>
  <c r="Y293" i="1"/>
  <c r="X293" i="1" s="1"/>
  <c r="W293" i="1" s="1"/>
  <c r="V293" i="1" s="1"/>
  <c r="U293" i="1" s="1"/>
  <c r="E294" i="13"/>
  <c r="AF293" i="1"/>
  <c r="AK293" i="1"/>
  <c r="F293" i="11"/>
  <c r="F294" i="13" l="1"/>
  <c r="T293" i="1"/>
  <c r="AI293" i="1" l="1"/>
  <c r="AJ293" i="1" s="1"/>
  <c r="M294" i="13" s="1"/>
  <c r="G294" i="13"/>
  <c r="E293" i="31"/>
  <c r="AN293" i="1"/>
  <c r="G294" i="1" l="1"/>
  <c r="F294" i="1"/>
  <c r="C292" i="11"/>
  <c r="B293" i="31"/>
  <c r="C293" i="31"/>
  <c r="AM293" i="1"/>
  <c r="N294" i="13" s="1"/>
  <c r="E294" i="1" l="1"/>
  <c r="D294" i="1" s="1"/>
  <c r="Q294" i="1" s="1"/>
  <c r="S294" i="1" s="1"/>
  <c r="D293" i="31"/>
  <c r="K294" i="13"/>
  <c r="G292" i="11"/>
  <c r="H292" i="11" s="1"/>
  <c r="J294" i="13" s="1"/>
  <c r="D292" i="11"/>
  <c r="B295" i="13" l="1"/>
  <c r="L294" i="1"/>
  <c r="C295" i="13"/>
  <c r="I295" i="1"/>
  <c r="AE294" i="1"/>
  <c r="A293" i="11"/>
  <c r="L295" i="13" s="1"/>
  <c r="C294" i="1"/>
  <c r="H295" i="1"/>
  <c r="AH294" i="1" s="1"/>
  <c r="F293" i="31"/>
  <c r="P294" i="13" s="1"/>
  <c r="O294" i="13"/>
  <c r="H293" i="31"/>
  <c r="Q294" i="13" s="1"/>
  <c r="H294" i="13"/>
  <c r="E292" i="11"/>
  <c r="I294" i="13" s="1"/>
  <c r="AK294" i="1" l="1"/>
  <c r="D295" i="13"/>
  <c r="Y294" i="1"/>
  <c r="X294" i="1" s="1"/>
  <c r="W294" i="1" s="1"/>
  <c r="V294" i="1" s="1"/>
  <c r="U294" i="1" s="1"/>
  <c r="F295" i="13" s="1"/>
  <c r="F294" i="11"/>
  <c r="E295" i="13"/>
  <c r="AF294" i="1"/>
  <c r="T294" i="1" l="1"/>
  <c r="AI294" i="1" s="1"/>
  <c r="AJ294" i="1" s="1"/>
  <c r="M295" i="13" s="1"/>
  <c r="E294" i="31" l="1"/>
  <c r="G295" i="13"/>
  <c r="G295" i="1"/>
  <c r="F295" i="1"/>
  <c r="B294" i="31"/>
  <c r="C294" i="31"/>
  <c r="AM294" i="1"/>
  <c r="N295" i="13" s="1"/>
  <c r="AN294" i="1"/>
  <c r="C293" i="11" l="1"/>
  <c r="E295" i="1"/>
  <c r="D295" i="1" s="1"/>
  <c r="Q295" i="1" s="1"/>
  <c r="S295" i="1" s="1"/>
  <c r="D294" i="31"/>
  <c r="O295" i="13" s="1"/>
  <c r="K295" i="13" l="1"/>
  <c r="G293" i="11"/>
  <c r="H293" i="11" s="1"/>
  <c r="J295" i="13" s="1"/>
  <c r="D293" i="11"/>
  <c r="H294" i="31"/>
  <c r="Q295" i="13" s="1"/>
  <c r="F294" i="31"/>
  <c r="P295" i="13" s="1"/>
  <c r="AE295" i="1"/>
  <c r="C295" i="1"/>
  <c r="A294" i="11"/>
  <c r="B296" i="13"/>
  <c r="C296" i="13"/>
  <c r="L295" i="1"/>
  <c r="H296" i="1"/>
  <c r="I296" i="1"/>
  <c r="D296" i="13" l="1"/>
  <c r="AH295" i="1"/>
  <c r="Y295" i="1"/>
  <c r="X295" i="1" s="1"/>
  <c r="W295" i="1" s="1"/>
  <c r="V295" i="1" s="1"/>
  <c r="U295" i="1" s="1"/>
  <c r="AF295" i="1"/>
  <c r="E296" i="13"/>
  <c r="AK295" i="1"/>
  <c r="F295" i="11"/>
  <c r="L296" i="13"/>
  <c r="E293" i="11"/>
  <c r="I295" i="13" s="1"/>
  <c r="H295" i="13"/>
  <c r="T295" i="1" l="1"/>
  <c r="F296" i="13"/>
  <c r="AI295" i="1" l="1"/>
  <c r="AJ295" i="1" s="1"/>
  <c r="M296" i="13" s="1"/>
  <c r="G296" i="13"/>
  <c r="E295" i="31"/>
  <c r="AN295" i="1"/>
  <c r="C294" i="11" s="1"/>
  <c r="G296" i="1" l="1"/>
  <c r="F296" i="1"/>
  <c r="G294" i="11"/>
  <c r="H294" i="11" s="1"/>
  <c r="J296" i="13" s="1"/>
  <c r="K296" i="13"/>
  <c r="D294" i="11"/>
  <c r="B295" i="31"/>
  <c r="C295" i="31"/>
  <c r="AM295" i="1"/>
  <c r="N296" i="13" s="1"/>
  <c r="E296" i="1" l="1"/>
  <c r="D296" i="1" s="1"/>
  <c r="Q296" i="1" s="1"/>
  <c r="S296" i="1" s="1"/>
  <c r="D295" i="31"/>
  <c r="H296" i="13"/>
  <c r="E294" i="11"/>
  <c r="I296" i="13" s="1"/>
  <c r="B297" i="13" l="1"/>
  <c r="C297" i="13"/>
  <c r="AE296" i="1"/>
  <c r="H297" i="1"/>
  <c r="I297" i="1"/>
  <c r="C296" i="1"/>
  <c r="A295" i="11"/>
  <c r="L297" i="13" s="1"/>
  <c r="L296" i="1"/>
  <c r="F295" i="31"/>
  <c r="P296" i="13" s="1"/>
  <c r="O296" i="13"/>
  <c r="H295" i="31"/>
  <c r="Q296" i="13" s="1"/>
  <c r="AK296" i="1" l="1"/>
  <c r="D297" i="13"/>
  <c r="Y296" i="1"/>
  <c r="X296" i="1" s="1"/>
  <c r="W296" i="1" s="1"/>
  <c r="V296" i="1" s="1"/>
  <c r="U296" i="1" s="1"/>
  <c r="T296" i="1" s="1"/>
  <c r="AF296" i="1"/>
  <c r="F296" i="11"/>
  <c r="AH296" i="1"/>
  <c r="E297" i="13"/>
  <c r="F297" i="13" l="1"/>
  <c r="AI296" i="1"/>
  <c r="AJ296" i="1" s="1"/>
  <c r="M297" i="13" s="1"/>
  <c r="E296" i="31"/>
  <c r="G297" i="13"/>
  <c r="AN296" i="1"/>
  <c r="G297" i="1" l="1"/>
  <c r="F297" i="1"/>
  <c r="C296" i="31"/>
  <c r="B296" i="31"/>
  <c r="AM296" i="1"/>
  <c r="N297" i="13" s="1"/>
  <c r="C295" i="11"/>
  <c r="E297" i="1" l="1"/>
  <c r="D297" i="1" s="1"/>
  <c r="Q297" i="1" s="1"/>
  <c r="S297" i="1" s="1"/>
  <c r="K297" i="13"/>
  <c r="G295" i="11"/>
  <c r="H295" i="11" s="1"/>
  <c r="J297" i="13" s="1"/>
  <c r="D295" i="11"/>
  <c r="D296" i="31"/>
  <c r="O297" i="13" s="1"/>
  <c r="A296" i="11" l="1"/>
  <c r="L298" i="13" s="1"/>
  <c r="I298" i="1"/>
  <c r="C298" i="13"/>
  <c r="AE297" i="1"/>
  <c r="H298" i="1"/>
  <c r="C297" i="1"/>
  <c r="L297" i="1"/>
  <c r="B298" i="13"/>
  <c r="H296" i="31"/>
  <c r="Q297" i="13" s="1"/>
  <c r="F296" i="31"/>
  <c r="P297" i="13" s="1"/>
  <c r="H297" i="13"/>
  <c r="E295" i="11"/>
  <c r="I297" i="13" s="1"/>
  <c r="E298" i="13" l="1"/>
  <c r="D298" i="13"/>
  <c r="Y297" i="1"/>
  <c r="X297" i="1" s="1"/>
  <c r="W297" i="1" s="1"/>
  <c r="V297" i="1" s="1"/>
  <c r="U297" i="1" s="1"/>
  <c r="F298" i="13" s="1"/>
  <c r="AH297" i="1"/>
  <c r="AF297" i="1"/>
  <c r="AK297" i="1"/>
  <c r="F297" i="11"/>
  <c r="T297" i="1" l="1"/>
  <c r="AI297" i="1" s="1"/>
  <c r="AJ297" i="1" s="1"/>
  <c r="M298" i="13" s="1"/>
  <c r="AN297" i="1"/>
  <c r="E297" i="31" l="1"/>
  <c r="G298" i="13"/>
  <c r="G298" i="1"/>
  <c r="F298" i="1"/>
  <c r="C297" i="31"/>
  <c r="B297" i="31"/>
  <c r="AM297" i="1"/>
  <c r="N298" i="13" s="1"/>
  <c r="C296" i="11"/>
  <c r="E298" i="1" l="1"/>
  <c r="D298" i="1" s="1"/>
  <c r="Q298" i="1" s="1"/>
  <c r="S298" i="1" s="1"/>
  <c r="D297" i="31"/>
  <c r="O298" i="13" s="1"/>
  <c r="K298" i="13"/>
  <c r="G296" i="11"/>
  <c r="H296" i="11" s="1"/>
  <c r="J298" i="13" s="1"/>
  <c r="D296" i="11"/>
  <c r="C299" i="13" l="1"/>
  <c r="H299" i="1"/>
  <c r="C298" i="1"/>
  <c r="AE298" i="1"/>
  <c r="A297" i="11"/>
  <c r="L299" i="13" s="1"/>
  <c r="I299" i="1"/>
  <c r="L298" i="1"/>
  <c r="B299" i="13"/>
  <c r="H297" i="31"/>
  <c r="Q298" i="13" s="1"/>
  <c r="F297" i="31"/>
  <c r="P298" i="13" s="1"/>
  <c r="E296" i="11"/>
  <c r="I298" i="13" s="1"/>
  <c r="H298" i="13"/>
  <c r="AF298" i="1" l="1"/>
  <c r="D299" i="13"/>
  <c r="AH298" i="1"/>
  <c r="Y298" i="1"/>
  <c r="X298" i="1" s="1"/>
  <c r="W298" i="1" s="1"/>
  <c r="V298" i="1" s="1"/>
  <c r="U298" i="1" s="1"/>
  <c r="T298" i="1" s="1"/>
  <c r="F298" i="11"/>
  <c r="AK298" i="1"/>
  <c r="E299" i="13"/>
  <c r="F299" i="13" l="1"/>
  <c r="AI298" i="1"/>
  <c r="AJ298" i="1" s="1"/>
  <c r="M299" i="13" s="1"/>
  <c r="E298" i="31"/>
  <c r="G299" i="13"/>
  <c r="AN298" i="1"/>
  <c r="G299" i="1" l="1"/>
  <c r="F299" i="1"/>
  <c r="C297" i="11"/>
  <c r="C298" i="31"/>
  <c r="B298" i="31"/>
  <c r="AM298" i="1"/>
  <c r="N299" i="13" s="1"/>
  <c r="E299" i="1" l="1"/>
  <c r="D299" i="1" s="1"/>
  <c r="Q299" i="1" s="1"/>
  <c r="S299" i="1" s="1"/>
  <c r="G297" i="11"/>
  <c r="H297" i="11" s="1"/>
  <c r="J299" i="13" s="1"/>
  <c r="K299" i="13"/>
  <c r="D297" i="11"/>
  <c r="D298" i="31"/>
  <c r="O299" i="13" s="1"/>
  <c r="C299" i="1" l="1"/>
  <c r="D300" i="13" s="1"/>
  <c r="I300" i="1"/>
  <c r="A298" i="11"/>
  <c r="L300" i="13" s="1"/>
  <c r="H300" i="1"/>
  <c r="AE299" i="1"/>
  <c r="L299" i="1"/>
  <c r="B300" i="13"/>
  <c r="C300" i="13"/>
  <c r="E297" i="11"/>
  <c r="I299" i="13" s="1"/>
  <c r="H299" i="13"/>
  <c r="H298" i="31"/>
  <c r="Q299" i="13" s="1"/>
  <c r="F298" i="31"/>
  <c r="P299" i="13" s="1"/>
  <c r="F299" i="11" l="1"/>
  <c r="AH299" i="1"/>
  <c r="Y299" i="1"/>
  <c r="X299" i="1" s="1"/>
  <c r="W299" i="1" s="1"/>
  <c r="V299" i="1" s="1"/>
  <c r="U299" i="1" s="1"/>
  <c r="F300" i="13" s="1"/>
  <c r="AK299" i="1"/>
  <c r="E300" i="13"/>
  <c r="AF299" i="1"/>
  <c r="T299" i="1" l="1"/>
  <c r="AI299" i="1" s="1"/>
  <c r="AJ299" i="1" s="1"/>
  <c r="M300" i="13" s="1"/>
  <c r="AN299" i="1"/>
  <c r="E299" i="31" l="1"/>
  <c r="G300" i="13"/>
  <c r="F300" i="1"/>
  <c r="G300" i="1"/>
  <c r="C299" i="31"/>
  <c r="B299" i="31"/>
  <c r="AM299" i="1"/>
  <c r="N300" i="13" s="1"/>
  <c r="C298" i="11"/>
  <c r="E300" i="1" l="1"/>
  <c r="D300" i="1" s="1"/>
  <c r="Q300" i="1" s="1"/>
  <c r="S300" i="1" s="1"/>
  <c r="D299" i="31"/>
  <c r="O300" i="13" s="1"/>
  <c r="G298" i="11"/>
  <c r="H298" i="11" s="1"/>
  <c r="J300" i="13" s="1"/>
  <c r="K300" i="13"/>
  <c r="D298" i="11"/>
  <c r="A299" i="11" l="1"/>
  <c r="L301" i="13" s="1"/>
  <c r="H301" i="1"/>
  <c r="I301" i="1"/>
  <c r="C301" i="13"/>
  <c r="B301" i="13"/>
  <c r="L300" i="1"/>
  <c r="AE300" i="1"/>
  <c r="C300" i="1"/>
  <c r="E298" i="11"/>
  <c r="I300" i="13" s="1"/>
  <c r="H300" i="13"/>
  <c r="H299" i="31"/>
  <c r="Q300" i="13" s="1"/>
  <c r="F299" i="31"/>
  <c r="P300" i="13" s="1"/>
  <c r="F300" i="11" l="1"/>
  <c r="D301" i="13"/>
  <c r="Y300" i="1"/>
  <c r="X300" i="1" s="1"/>
  <c r="W300" i="1" s="1"/>
  <c r="V300" i="1" s="1"/>
  <c r="U300" i="1" s="1"/>
  <c r="F301" i="13" s="1"/>
  <c r="AH300" i="1"/>
  <c r="E301" i="13"/>
  <c r="AF300" i="1"/>
  <c r="AK300" i="1"/>
  <c r="T300" i="1" l="1"/>
  <c r="AI300" i="1" s="1"/>
  <c r="AJ300" i="1" s="1"/>
  <c r="M301" i="13" s="1"/>
  <c r="AN300" i="1"/>
  <c r="E300" i="31" l="1"/>
  <c r="G301" i="13"/>
  <c r="G301" i="1"/>
  <c r="F301" i="1"/>
  <c r="C299" i="11"/>
  <c r="B300" i="31"/>
  <c r="C300" i="31"/>
  <c r="AM300" i="1"/>
  <c r="N301" i="13" s="1"/>
  <c r="E301" i="1" l="1"/>
  <c r="D301" i="1" s="1"/>
  <c r="Q301" i="1" s="1"/>
  <c r="S301" i="1" s="1"/>
  <c r="D300" i="31"/>
  <c r="G299" i="11"/>
  <c r="H299" i="11" s="1"/>
  <c r="J301" i="13" s="1"/>
  <c r="K301" i="13"/>
  <c r="D299" i="11"/>
  <c r="C301" i="1" l="1"/>
  <c r="L301" i="1"/>
  <c r="AE301" i="1"/>
  <c r="A300" i="11"/>
  <c r="L302" i="13" s="1"/>
  <c r="H302" i="1"/>
  <c r="B302" i="13"/>
  <c r="C302" i="13"/>
  <c r="I302" i="1"/>
  <c r="H300" i="31"/>
  <c r="Q301" i="13" s="1"/>
  <c r="O301" i="13"/>
  <c r="F300" i="31"/>
  <c r="P301" i="13" s="1"/>
  <c r="E299" i="11"/>
  <c r="I301" i="13" s="1"/>
  <c r="H301" i="13"/>
  <c r="D302" i="13" l="1"/>
  <c r="AK301" i="1"/>
  <c r="Y301" i="1"/>
  <c r="X301" i="1" s="1"/>
  <c r="W301" i="1" s="1"/>
  <c r="V301" i="1" s="1"/>
  <c r="U301" i="1" s="1"/>
  <c r="F302" i="13" s="1"/>
  <c r="AH301" i="1"/>
  <c r="E302" i="13"/>
  <c r="AF301" i="1"/>
  <c r="F301" i="11"/>
  <c r="T301" i="1" l="1"/>
  <c r="AI301" i="1" s="1"/>
  <c r="AJ301" i="1" s="1"/>
  <c r="M302" i="13" s="1"/>
  <c r="AN301" i="1"/>
  <c r="E301" i="31" l="1"/>
  <c r="G302" i="13"/>
  <c r="G302" i="1"/>
  <c r="F302" i="1"/>
  <c r="C301" i="31"/>
  <c r="B301" i="31"/>
  <c r="AM301" i="1"/>
  <c r="N302" i="13" s="1"/>
  <c r="C300" i="11"/>
  <c r="E302" i="1" l="1"/>
  <c r="D302" i="1" s="1"/>
  <c r="Q302" i="1" s="1"/>
  <c r="S302" i="1" s="1"/>
  <c r="G300" i="11"/>
  <c r="H300" i="11" s="1"/>
  <c r="J302" i="13" s="1"/>
  <c r="K302" i="13"/>
  <c r="D300" i="11"/>
  <c r="D301" i="31"/>
  <c r="O302" i="13" s="1"/>
  <c r="B303" i="13" l="1"/>
  <c r="H303" i="1"/>
  <c r="A301" i="11"/>
  <c r="L303" i="13" s="1"/>
  <c r="I303" i="1"/>
  <c r="L302" i="1"/>
  <c r="AE302" i="1"/>
  <c r="C302" i="1"/>
  <c r="C303" i="13"/>
  <c r="F301" i="31"/>
  <c r="P302" i="13" s="1"/>
  <c r="H301" i="31"/>
  <c r="Q302" i="13" s="1"/>
  <c r="H302" i="13"/>
  <c r="E300" i="11"/>
  <c r="I302" i="13" s="1"/>
  <c r="E303" i="13" l="1"/>
  <c r="D303" i="13"/>
  <c r="AH302" i="1"/>
  <c r="AK302" i="1"/>
  <c r="Y302" i="1"/>
  <c r="X302" i="1" s="1"/>
  <c r="W302" i="1" s="1"/>
  <c r="V302" i="1" s="1"/>
  <c r="U302" i="1" s="1"/>
  <c r="T302" i="1" s="1"/>
  <c r="F302" i="11"/>
  <c r="AF302" i="1"/>
  <c r="F303" i="13" l="1"/>
  <c r="AI302" i="1"/>
  <c r="AJ302" i="1" s="1"/>
  <c r="M303" i="13" s="1"/>
  <c r="G303" i="13"/>
  <c r="E302" i="31"/>
  <c r="AN302" i="1"/>
  <c r="G303" i="1" l="1"/>
  <c r="F303" i="1"/>
  <c r="C302" i="31"/>
  <c r="B302" i="31"/>
  <c r="AM302" i="1"/>
  <c r="N303" i="13" s="1"/>
  <c r="C301" i="11"/>
  <c r="E303" i="1" l="1"/>
  <c r="D303" i="1" s="1"/>
  <c r="Q303" i="1" s="1"/>
  <c r="S303" i="1" s="1"/>
  <c r="G301" i="11"/>
  <c r="H301" i="11" s="1"/>
  <c r="J303" i="13" s="1"/>
  <c r="K303" i="13"/>
  <c r="D301" i="11"/>
  <c r="D302" i="31"/>
  <c r="O303" i="13" s="1"/>
  <c r="AE303" i="1" l="1"/>
  <c r="C304" i="13"/>
  <c r="A302" i="11"/>
  <c r="L304" i="13" s="1"/>
  <c r="L303" i="1"/>
  <c r="C303" i="1"/>
  <c r="H304" i="1"/>
  <c r="B304" i="13"/>
  <c r="I304" i="1"/>
  <c r="H303" i="13"/>
  <c r="E301" i="11"/>
  <c r="I303" i="13" s="1"/>
  <c r="H302" i="31"/>
  <c r="Q303" i="13" s="1"/>
  <c r="F302" i="31"/>
  <c r="P303" i="13" s="1"/>
  <c r="F303" i="11" l="1"/>
  <c r="D304" i="13"/>
  <c r="AH303" i="1"/>
  <c r="AF303" i="1"/>
  <c r="E304" i="13"/>
  <c r="AK303" i="1"/>
  <c r="Y303" i="1"/>
  <c r="X303" i="1" s="1"/>
  <c r="W303" i="1" s="1"/>
  <c r="V303" i="1" s="1"/>
  <c r="U303" i="1" s="1"/>
  <c r="T303" i="1" s="1"/>
  <c r="F304" i="13" l="1"/>
  <c r="AI303" i="1"/>
  <c r="AJ303" i="1" s="1"/>
  <c r="M304" i="13" s="1"/>
  <c r="G304" i="13"/>
  <c r="E303" i="31"/>
  <c r="F304" i="1" l="1"/>
  <c r="G304" i="1"/>
  <c r="C303" i="31"/>
  <c r="B303" i="31"/>
  <c r="AM303" i="1"/>
  <c r="N304" i="13" s="1"/>
  <c r="AN303" i="1"/>
  <c r="C302" i="11" l="1"/>
  <c r="E304" i="1"/>
  <c r="D304" i="1" s="1"/>
  <c r="Q304" i="1" s="1"/>
  <c r="S304" i="1" s="1"/>
  <c r="D303" i="31"/>
  <c r="O304" i="13" s="1"/>
  <c r="K304" i="13" l="1"/>
  <c r="G302" i="11"/>
  <c r="H302" i="11" s="1"/>
  <c r="J304" i="13" s="1"/>
  <c r="D302" i="11"/>
  <c r="B305" i="13"/>
  <c r="A303" i="11"/>
  <c r="AE304" i="1"/>
  <c r="C304" i="1"/>
  <c r="C305" i="13"/>
  <c r="L304" i="1"/>
  <c r="I305" i="1"/>
  <c r="H305" i="1"/>
  <c r="H303" i="31"/>
  <c r="Q304" i="13" s="1"/>
  <c r="F303" i="31"/>
  <c r="P304" i="13" s="1"/>
  <c r="D305" i="13" l="1"/>
  <c r="AH304" i="1"/>
  <c r="L305" i="13"/>
  <c r="Y304" i="1"/>
  <c r="X304" i="1" s="1"/>
  <c r="W304" i="1" s="1"/>
  <c r="V304" i="1" s="1"/>
  <c r="U304" i="1" s="1"/>
  <c r="E305" i="13"/>
  <c r="AF304" i="1"/>
  <c r="F304" i="11"/>
  <c r="AK304" i="1"/>
  <c r="E302" i="11"/>
  <c r="I304" i="13" s="1"/>
  <c r="H304" i="13"/>
  <c r="T304" i="1" l="1"/>
  <c r="F305" i="13"/>
  <c r="AI304" i="1" l="1"/>
  <c r="AJ304" i="1" s="1"/>
  <c r="M305" i="13" s="1"/>
  <c r="E304" i="31"/>
  <c r="G305" i="13"/>
  <c r="AN304" i="1"/>
  <c r="F305" i="1" l="1"/>
  <c r="G305" i="1"/>
  <c r="B304" i="31"/>
  <c r="C304" i="31"/>
  <c r="AM304" i="1"/>
  <c r="N305" i="13" s="1"/>
  <c r="C303" i="11"/>
  <c r="E305" i="1" l="1"/>
  <c r="D305" i="1" s="1"/>
  <c r="Q305" i="1" s="1"/>
  <c r="S305" i="1" s="1"/>
  <c r="D304" i="31"/>
  <c r="H304" i="31" s="1"/>
  <c r="Q305" i="13" s="1"/>
  <c r="G303" i="11"/>
  <c r="H303" i="11" s="1"/>
  <c r="J305" i="13" s="1"/>
  <c r="K305" i="13"/>
  <c r="D303" i="11"/>
  <c r="C305" i="1" l="1"/>
  <c r="L305" i="1"/>
  <c r="C306" i="13"/>
  <c r="H306" i="1"/>
  <c r="A304" i="11"/>
  <c r="L306" i="13" s="1"/>
  <c r="B306" i="13"/>
  <c r="AE305" i="1"/>
  <c r="I306" i="1"/>
  <c r="F304" i="31"/>
  <c r="P305" i="13" s="1"/>
  <c r="O305" i="13"/>
  <c r="H305" i="13"/>
  <c r="E303" i="11"/>
  <c r="I305" i="13" s="1"/>
  <c r="D306" i="13" l="1"/>
  <c r="E306" i="13"/>
  <c r="Y305" i="1"/>
  <c r="X305" i="1" s="1"/>
  <c r="W305" i="1" s="1"/>
  <c r="V305" i="1" s="1"/>
  <c r="U305" i="1" s="1"/>
  <c r="F306" i="13" s="1"/>
  <c r="AH305" i="1"/>
  <c r="AK305" i="1"/>
  <c r="F305" i="11"/>
  <c r="AF305" i="1"/>
  <c r="T305" i="1" l="1"/>
  <c r="AI305" i="1" s="1"/>
  <c r="AJ305" i="1" s="1"/>
  <c r="M306" i="13" s="1"/>
  <c r="AN305" i="1"/>
  <c r="G306" i="13" l="1"/>
  <c r="E305" i="31"/>
  <c r="F306" i="1"/>
  <c r="G306" i="1"/>
  <c r="C304" i="11"/>
  <c r="B305" i="31"/>
  <c r="C305" i="31"/>
  <c r="AM305" i="1"/>
  <c r="N306" i="13" s="1"/>
  <c r="E306" i="1" l="1"/>
  <c r="D306" i="1" s="1"/>
  <c r="Q306" i="1" s="1"/>
  <c r="S306" i="1" s="1"/>
  <c r="G304" i="11"/>
  <c r="H304" i="11" s="1"/>
  <c r="J306" i="13" s="1"/>
  <c r="K306" i="13"/>
  <c r="D304" i="11"/>
  <c r="D305" i="31"/>
  <c r="O306" i="13" s="1"/>
  <c r="C306" i="1" l="1"/>
  <c r="I307" i="1"/>
  <c r="A305" i="11"/>
  <c r="L307" i="13" s="1"/>
  <c r="H307" i="1"/>
  <c r="AH306" i="1" s="1"/>
  <c r="L306" i="1"/>
  <c r="C307" i="13"/>
  <c r="B307" i="13"/>
  <c r="AE306" i="1"/>
  <c r="F305" i="31"/>
  <c r="P306" i="13" s="1"/>
  <c r="H305" i="31"/>
  <c r="Q306" i="13" s="1"/>
  <c r="H306" i="13"/>
  <c r="E304" i="11"/>
  <c r="I306" i="13" s="1"/>
  <c r="D307" i="13" l="1"/>
  <c r="E307" i="13"/>
  <c r="Y306" i="1"/>
  <c r="X306" i="1" s="1"/>
  <c r="W306" i="1" s="1"/>
  <c r="V306" i="1" s="1"/>
  <c r="U306" i="1" s="1"/>
  <c r="F307" i="13" s="1"/>
  <c r="F306" i="11"/>
  <c r="AF306" i="1"/>
  <c r="AK306" i="1"/>
  <c r="T306" i="1" l="1"/>
  <c r="AI306" i="1" s="1"/>
  <c r="AJ306" i="1" s="1"/>
  <c r="M307" i="13" s="1"/>
  <c r="E306" i="31" l="1"/>
  <c r="G307" i="13"/>
  <c r="G307" i="1"/>
  <c r="F307" i="1"/>
  <c r="C306" i="31"/>
  <c r="B306" i="31"/>
  <c r="AM306" i="1"/>
  <c r="N307" i="13" s="1"/>
  <c r="AN306" i="1"/>
  <c r="D306" i="31" l="1"/>
  <c r="O307" i="13" s="1"/>
  <c r="C305" i="11"/>
  <c r="E307" i="1"/>
  <c r="D307" i="1" s="1"/>
  <c r="Q307" i="1" s="1"/>
  <c r="S307" i="1" s="1"/>
  <c r="B308" i="13" l="1"/>
  <c r="AE307" i="1"/>
  <c r="A306" i="11"/>
  <c r="C308" i="13"/>
  <c r="C307" i="1"/>
  <c r="L307" i="1"/>
  <c r="H308" i="1"/>
  <c r="I308" i="1"/>
  <c r="G305" i="11"/>
  <c r="H305" i="11" s="1"/>
  <c r="J307" i="13" s="1"/>
  <c r="K307" i="13"/>
  <c r="D305" i="11"/>
  <c r="H306" i="31"/>
  <c r="Q307" i="13" s="1"/>
  <c r="F306" i="31"/>
  <c r="P307" i="13" s="1"/>
  <c r="D308" i="13" l="1"/>
  <c r="AH307" i="1"/>
  <c r="H307" i="13"/>
  <c r="E305" i="11"/>
  <c r="I307" i="13" s="1"/>
  <c r="Y307" i="1"/>
  <c r="X307" i="1" s="1"/>
  <c r="W307" i="1" s="1"/>
  <c r="V307" i="1" s="1"/>
  <c r="U307" i="1" s="1"/>
  <c r="E308" i="13"/>
  <c r="AF307" i="1"/>
  <c r="AK307" i="1"/>
  <c r="F307" i="11"/>
  <c r="L308" i="13"/>
  <c r="T307" i="1" l="1"/>
  <c r="F308" i="13"/>
  <c r="AI307" i="1" l="1"/>
  <c r="AJ307" i="1" s="1"/>
  <c r="M308" i="13" s="1"/>
  <c r="E307" i="31"/>
  <c r="G308" i="13"/>
  <c r="G308" i="1" l="1"/>
  <c r="F308" i="1"/>
  <c r="B307" i="31"/>
  <c r="C307" i="31"/>
  <c r="AM307" i="1"/>
  <c r="N308" i="13" s="1"/>
  <c r="AN307" i="1"/>
  <c r="D307" i="31" l="1"/>
  <c r="C306" i="11"/>
  <c r="E308" i="1"/>
  <c r="D308" i="1" s="1"/>
  <c r="Q308" i="1" s="1"/>
  <c r="S308" i="1" s="1"/>
  <c r="F307" i="31" l="1"/>
  <c r="P308" i="13" s="1"/>
  <c r="O308" i="13"/>
  <c r="H307" i="31"/>
  <c r="Q308" i="13" s="1"/>
  <c r="K308" i="13"/>
  <c r="G306" i="11"/>
  <c r="H306" i="11" s="1"/>
  <c r="J308" i="13" s="1"/>
  <c r="D306" i="11"/>
  <c r="A307" i="11"/>
  <c r="C308" i="1"/>
  <c r="C309" i="13"/>
  <c r="B309" i="13"/>
  <c r="AE308" i="1"/>
  <c r="L308" i="1"/>
  <c r="H309" i="1"/>
  <c r="I309" i="1"/>
  <c r="D309" i="13" l="1"/>
  <c r="Y308" i="1"/>
  <c r="X308" i="1" s="1"/>
  <c r="W308" i="1" s="1"/>
  <c r="V308" i="1" s="1"/>
  <c r="U308" i="1" s="1"/>
  <c r="E306" i="11"/>
  <c r="I308" i="13" s="1"/>
  <c r="H308" i="13"/>
  <c r="AF308" i="1"/>
  <c r="E309" i="13"/>
  <c r="AK308" i="1"/>
  <c r="F308" i="11"/>
  <c r="AH308" i="1"/>
  <c r="L309" i="13"/>
  <c r="T308" i="1" l="1"/>
  <c r="F309" i="13"/>
  <c r="AI308" i="1" l="1"/>
  <c r="AJ308" i="1" s="1"/>
  <c r="M309" i="13" s="1"/>
  <c r="E308" i="31"/>
  <c r="G309" i="13"/>
  <c r="AN308" i="1"/>
  <c r="F309" i="1" l="1"/>
  <c r="G309" i="1"/>
  <c r="C307" i="11"/>
  <c r="B308" i="31"/>
  <c r="C308" i="31"/>
  <c r="AM308" i="1"/>
  <c r="N309" i="13" s="1"/>
  <c r="E309" i="1" l="1"/>
  <c r="D309" i="1" s="1"/>
  <c r="Q309" i="1" s="1"/>
  <c r="S309" i="1" s="1"/>
  <c r="G307" i="11"/>
  <c r="H307" i="11" s="1"/>
  <c r="J309" i="13" s="1"/>
  <c r="K309" i="13"/>
  <c r="D307" i="11"/>
  <c r="D308" i="31"/>
  <c r="O309" i="13" s="1"/>
  <c r="B310" i="13" l="1"/>
  <c r="A308" i="11"/>
  <c r="L310" i="13" s="1"/>
  <c r="L309" i="1"/>
  <c r="C309" i="1"/>
  <c r="C310" i="13"/>
  <c r="I310" i="1"/>
  <c r="AE309" i="1"/>
  <c r="H310" i="1"/>
  <c r="E307" i="11"/>
  <c r="I309" i="13" s="1"/>
  <c r="H309" i="13"/>
  <c r="F308" i="31"/>
  <c r="P309" i="13" s="1"/>
  <c r="H308" i="31"/>
  <c r="Q309" i="13" s="1"/>
  <c r="AF309" i="1" l="1"/>
  <c r="D310" i="13"/>
  <c r="AH309" i="1"/>
  <c r="Y309" i="1"/>
  <c r="X309" i="1" s="1"/>
  <c r="W309" i="1" s="1"/>
  <c r="V309" i="1" s="1"/>
  <c r="U309" i="1" s="1"/>
  <c r="F310" i="13" s="1"/>
  <c r="F309" i="11"/>
  <c r="E310" i="13"/>
  <c r="AK309" i="1"/>
  <c r="T309" i="1" l="1"/>
  <c r="G310" i="13" s="1"/>
  <c r="E309" i="31" l="1"/>
  <c r="AI309" i="1"/>
  <c r="AJ309" i="1" s="1"/>
  <c r="M310" i="13" s="1"/>
  <c r="G310" i="1"/>
  <c r="F310" i="1"/>
  <c r="AN309" i="1"/>
  <c r="AM309" i="1" l="1"/>
  <c r="N310" i="13" s="1"/>
  <c r="C309" i="31"/>
  <c r="B309" i="31"/>
  <c r="C308" i="11"/>
  <c r="E310" i="1"/>
  <c r="D310" i="1" s="1"/>
  <c r="Q310" i="1" s="1"/>
  <c r="S310" i="1" s="1"/>
  <c r="D309" i="31" l="1"/>
  <c r="H309" i="31" s="1"/>
  <c r="Q310" i="13" s="1"/>
  <c r="O310" i="13"/>
  <c r="K310" i="13"/>
  <c r="G308" i="11"/>
  <c r="H308" i="11" s="1"/>
  <c r="J310" i="13" s="1"/>
  <c r="D308" i="11"/>
  <c r="AE310" i="1"/>
  <c r="C310" i="1"/>
  <c r="C311" i="13"/>
  <c r="A309" i="11"/>
  <c r="B311" i="13"/>
  <c r="I311" i="1"/>
  <c r="L310" i="1"/>
  <c r="H311" i="1"/>
  <c r="D311" i="13" l="1"/>
  <c r="F309" i="31"/>
  <c r="P310" i="13" s="1"/>
  <c r="AH310" i="1"/>
  <c r="E311" i="13"/>
  <c r="AF310" i="1"/>
  <c r="F310" i="11"/>
  <c r="AK310" i="1"/>
  <c r="L311" i="13"/>
  <c r="H310" i="13"/>
  <c r="E308" i="11"/>
  <c r="I310" i="13" s="1"/>
  <c r="Y310" i="1"/>
  <c r="X310" i="1" s="1"/>
  <c r="W310" i="1" s="1"/>
  <c r="V310" i="1" s="1"/>
  <c r="U310" i="1" s="1"/>
  <c r="F311" i="13" l="1"/>
  <c r="T310" i="1"/>
  <c r="AI310" i="1" l="1"/>
  <c r="AJ310" i="1" s="1"/>
  <c r="M311" i="13" s="1"/>
  <c r="E310" i="31"/>
  <c r="G311" i="13"/>
  <c r="F311" i="1" l="1"/>
  <c r="G311" i="1"/>
  <c r="C310" i="31"/>
  <c r="B310" i="31"/>
  <c r="AM310" i="1"/>
  <c r="N311" i="13" s="1"/>
  <c r="AN310" i="1"/>
  <c r="D310" i="31" l="1"/>
  <c r="O311" i="13" s="1"/>
  <c r="C309" i="11"/>
  <c r="E311" i="1"/>
  <c r="D311" i="1" s="1"/>
  <c r="Q311" i="1" s="1"/>
  <c r="S311" i="1" s="1"/>
  <c r="AE311" i="1" l="1"/>
  <c r="A310" i="11"/>
  <c r="C312" i="13"/>
  <c r="C311" i="1"/>
  <c r="B312" i="13"/>
  <c r="L311" i="1"/>
  <c r="I312" i="1"/>
  <c r="H312" i="1"/>
  <c r="K311" i="13"/>
  <c r="G309" i="11"/>
  <c r="H309" i="11" s="1"/>
  <c r="J311" i="13" s="1"/>
  <c r="D309" i="11"/>
  <c r="H310" i="31"/>
  <c r="Q311" i="13" s="1"/>
  <c r="F310" i="31"/>
  <c r="P311" i="13" s="1"/>
  <c r="D312" i="13" l="1"/>
  <c r="AH311" i="1"/>
  <c r="E312" i="13"/>
  <c r="AF311" i="1"/>
  <c r="F311" i="11"/>
  <c r="AK311" i="1"/>
  <c r="L312" i="13"/>
  <c r="Y311" i="1"/>
  <c r="X311" i="1" s="1"/>
  <c r="W311" i="1" s="1"/>
  <c r="V311" i="1" s="1"/>
  <c r="U311" i="1" s="1"/>
  <c r="H311" i="13"/>
  <c r="E309" i="11"/>
  <c r="I311" i="13" s="1"/>
  <c r="F312" i="13" l="1"/>
  <c r="T311" i="1"/>
  <c r="AI311" i="1" l="1"/>
  <c r="AJ311" i="1" s="1"/>
  <c r="M312" i="13" s="1"/>
  <c r="E311" i="31"/>
  <c r="G312" i="13"/>
  <c r="G312" i="1" l="1"/>
  <c r="F312" i="1"/>
  <c r="B311" i="31"/>
  <c r="C311" i="31"/>
  <c r="AM311" i="1"/>
  <c r="N312" i="13" s="1"/>
  <c r="AN311" i="1"/>
  <c r="D311" i="31" l="1"/>
  <c r="E312" i="1"/>
  <c r="D312" i="1" s="1"/>
  <c r="Q312" i="1" s="1"/>
  <c r="S312" i="1" s="1"/>
  <c r="C310" i="11"/>
  <c r="F311" i="31" l="1"/>
  <c r="P312" i="13" s="1"/>
  <c r="O312" i="13"/>
  <c r="H311" i="31"/>
  <c r="Q312" i="13" s="1"/>
  <c r="A311" i="11"/>
  <c r="C312" i="1"/>
  <c r="C313" i="13"/>
  <c r="AE312" i="1"/>
  <c r="B313" i="13"/>
  <c r="L312" i="1"/>
  <c r="H313" i="1"/>
  <c r="I313" i="1"/>
  <c r="G310" i="11"/>
  <c r="H310" i="11" s="1"/>
  <c r="J312" i="13" s="1"/>
  <c r="K312" i="13"/>
  <c r="D310" i="11"/>
  <c r="D313" i="13" l="1"/>
  <c r="AH312" i="1"/>
  <c r="E313" i="13"/>
  <c r="AF312" i="1"/>
  <c r="F312" i="11"/>
  <c r="AK312" i="1"/>
  <c r="L313" i="13"/>
  <c r="H312" i="13"/>
  <c r="E310" i="11"/>
  <c r="I312" i="13" s="1"/>
  <c r="Y312" i="1"/>
  <c r="X312" i="1" s="1"/>
  <c r="W312" i="1" s="1"/>
  <c r="V312" i="1" s="1"/>
  <c r="U312" i="1" s="1"/>
  <c r="F313" i="13" l="1"/>
  <c r="T312" i="1"/>
  <c r="AI312" i="1" l="1"/>
  <c r="AJ312" i="1" s="1"/>
  <c r="M313" i="13" s="1"/>
  <c r="G313" i="13"/>
  <c r="E312" i="31"/>
  <c r="F313" i="1" l="1"/>
  <c r="G313" i="1"/>
  <c r="C312" i="31"/>
  <c r="B312" i="31"/>
  <c r="AM312" i="1"/>
  <c r="N313" i="13" s="1"/>
  <c r="AN312" i="1"/>
  <c r="D312" i="31" l="1"/>
  <c r="O313" i="13" s="1"/>
  <c r="C311" i="11"/>
  <c r="E313" i="1"/>
  <c r="D313" i="1" s="1"/>
  <c r="Q313" i="1" s="1"/>
  <c r="S313" i="1" s="1"/>
  <c r="B314" i="13" l="1"/>
  <c r="C313" i="1"/>
  <c r="AE313" i="1"/>
  <c r="C314" i="13"/>
  <c r="A312" i="11"/>
  <c r="L313" i="1"/>
  <c r="I314" i="1"/>
  <c r="H314" i="1"/>
  <c r="K313" i="13"/>
  <c r="G311" i="11"/>
  <c r="H311" i="11" s="1"/>
  <c r="J313" i="13" s="1"/>
  <c r="D311" i="11"/>
  <c r="F312" i="31"/>
  <c r="P313" i="13" s="1"/>
  <c r="H312" i="31"/>
  <c r="Q313" i="13" s="1"/>
  <c r="D314" i="13" l="1"/>
  <c r="AH313" i="1"/>
  <c r="AF313" i="1"/>
  <c r="E314" i="13"/>
  <c r="F313" i="11"/>
  <c r="AK313" i="1"/>
  <c r="Y313" i="1"/>
  <c r="X313" i="1" s="1"/>
  <c r="W313" i="1" s="1"/>
  <c r="V313" i="1" s="1"/>
  <c r="U313" i="1" s="1"/>
  <c r="L314" i="13"/>
  <c r="E311" i="11"/>
  <c r="I313" i="13" s="1"/>
  <c r="H313" i="13"/>
  <c r="T313" i="1" l="1"/>
  <c r="F314" i="13"/>
  <c r="AI313" i="1" l="1"/>
  <c r="AJ313" i="1" s="1"/>
  <c r="M314" i="13" s="1"/>
  <c r="G314" i="13"/>
  <c r="E313" i="31"/>
  <c r="AN313" i="1"/>
  <c r="G314" i="1" l="1"/>
  <c r="F314" i="1"/>
  <c r="C312" i="11"/>
  <c r="C313" i="31"/>
  <c r="B313" i="31"/>
  <c r="AM313" i="1"/>
  <c r="N314" i="13" s="1"/>
  <c r="E314" i="1" l="1"/>
  <c r="D314" i="1" s="1"/>
  <c r="Q314" i="1" s="1"/>
  <c r="S314" i="1" s="1"/>
  <c r="D313" i="31"/>
  <c r="G312" i="11"/>
  <c r="H312" i="11" s="1"/>
  <c r="J314" i="13" s="1"/>
  <c r="K314" i="13"/>
  <c r="D312" i="11"/>
  <c r="C315" i="13" l="1"/>
  <c r="H315" i="1"/>
  <c r="L314" i="1"/>
  <c r="C314" i="1"/>
  <c r="I315" i="1"/>
  <c r="AE314" i="1"/>
  <c r="A313" i="11"/>
  <c r="L315" i="13" s="1"/>
  <c r="B315" i="13"/>
  <c r="F313" i="31"/>
  <c r="P314" i="13" s="1"/>
  <c r="O314" i="13"/>
  <c r="H313" i="31"/>
  <c r="Q314" i="13" s="1"/>
  <c r="E312" i="11"/>
  <c r="I314" i="13" s="1"/>
  <c r="H314" i="13"/>
  <c r="E315" i="13" l="1"/>
  <c r="D315" i="13"/>
  <c r="Y314" i="1"/>
  <c r="X314" i="1" s="1"/>
  <c r="W314" i="1" s="1"/>
  <c r="V314" i="1" s="1"/>
  <c r="U314" i="1" s="1"/>
  <c r="F315" i="13" s="1"/>
  <c r="AK314" i="1"/>
  <c r="F314" i="11"/>
  <c r="AF314" i="1"/>
  <c r="AH314" i="1"/>
  <c r="T314" i="1" l="1"/>
  <c r="AI314" i="1" s="1"/>
  <c r="AJ314" i="1" s="1"/>
  <c r="M315" i="13" s="1"/>
  <c r="G315" i="13" l="1"/>
  <c r="E314" i="31"/>
  <c r="G315" i="1"/>
  <c r="F315" i="1"/>
  <c r="B314" i="31"/>
  <c r="C314" i="31"/>
  <c r="AM314" i="1"/>
  <c r="N315" i="13" s="1"/>
  <c r="AN314" i="1"/>
  <c r="D314" i="31" l="1"/>
  <c r="E315" i="1"/>
  <c r="D315" i="1" s="1"/>
  <c r="Q315" i="1" s="1"/>
  <c r="S315" i="1" s="1"/>
  <c r="C313" i="11"/>
  <c r="F314" i="31" l="1"/>
  <c r="P315" i="13" s="1"/>
  <c r="O315" i="13"/>
  <c r="H314" i="31"/>
  <c r="Q315" i="13" s="1"/>
  <c r="A314" i="11"/>
  <c r="C315" i="1"/>
  <c r="AE315" i="1"/>
  <c r="B316" i="13"/>
  <c r="C316" i="13"/>
  <c r="I316" i="1"/>
  <c r="L315" i="1"/>
  <c r="H316" i="1"/>
  <c r="K315" i="13"/>
  <c r="G313" i="11"/>
  <c r="H313" i="11" s="1"/>
  <c r="J315" i="13" s="1"/>
  <c r="D313" i="11"/>
  <c r="D316" i="13" l="1"/>
  <c r="AH315" i="1"/>
  <c r="Y315" i="1"/>
  <c r="X315" i="1" s="1"/>
  <c r="W315" i="1" s="1"/>
  <c r="V315" i="1" s="1"/>
  <c r="U315" i="1" s="1"/>
  <c r="L316" i="13"/>
  <c r="H315" i="13"/>
  <c r="E313" i="11"/>
  <c r="I315" i="13" s="1"/>
  <c r="AF315" i="1"/>
  <c r="E316" i="13"/>
  <c r="F315" i="11"/>
  <c r="AK315" i="1"/>
  <c r="F316" i="13" l="1"/>
  <c r="T315" i="1"/>
  <c r="AI315" i="1" l="1"/>
  <c r="AJ315" i="1" s="1"/>
  <c r="M316" i="13" s="1"/>
  <c r="G316" i="13"/>
  <c r="E315" i="31"/>
  <c r="AN315" i="1"/>
  <c r="G316" i="1" l="1"/>
  <c r="F316" i="1"/>
  <c r="C314" i="11"/>
  <c r="C315" i="31"/>
  <c r="B315" i="31"/>
  <c r="AM315" i="1"/>
  <c r="N316" i="13" s="1"/>
  <c r="E316" i="1" l="1"/>
  <c r="D316" i="1" s="1"/>
  <c r="Q316" i="1" s="1"/>
  <c r="S316" i="1" s="1"/>
  <c r="G314" i="11"/>
  <c r="H314" i="11" s="1"/>
  <c r="J316" i="13" s="1"/>
  <c r="K316" i="13"/>
  <c r="D314" i="11"/>
  <c r="D315" i="31"/>
  <c r="O316" i="13" s="1"/>
  <c r="C316" i="1" l="1"/>
  <c r="B317" i="13"/>
  <c r="H317" i="1"/>
  <c r="C317" i="13"/>
  <c r="I317" i="1"/>
  <c r="AE316" i="1"/>
  <c r="L316" i="1"/>
  <c r="A315" i="11"/>
  <c r="L317" i="13" s="1"/>
  <c r="H316" i="13"/>
  <c r="E314" i="11"/>
  <c r="I316" i="13" s="1"/>
  <c r="H315" i="31"/>
  <c r="Q316" i="13" s="1"/>
  <c r="F315" i="31"/>
  <c r="P316" i="13" s="1"/>
  <c r="D317" i="13" l="1"/>
  <c r="F316" i="11"/>
  <c r="AH316" i="1"/>
  <c r="Y316" i="1"/>
  <c r="X316" i="1" s="1"/>
  <c r="W316" i="1" s="1"/>
  <c r="V316" i="1" s="1"/>
  <c r="U316" i="1" s="1"/>
  <c r="F317" i="13" s="1"/>
  <c r="AK316" i="1"/>
  <c r="AF316" i="1"/>
  <c r="E317" i="13"/>
  <c r="T316" i="1" l="1"/>
  <c r="AI316" i="1" s="1"/>
  <c r="AJ316" i="1" s="1"/>
  <c r="M317" i="13" s="1"/>
  <c r="AN316" i="1"/>
  <c r="E316" i="31" l="1"/>
  <c r="G317" i="13"/>
  <c r="F317" i="1"/>
  <c r="G317" i="1"/>
  <c r="C315" i="11"/>
  <c r="B316" i="31"/>
  <c r="C316" i="31"/>
  <c r="AM316" i="1"/>
  <c r="N317" i="13" s="1"/>
  <c r="E317" i="1" l="1"/>
  <c r="D317" i="1" s="1"/>
  <c r="Q317" i="1" s="1"/>
  <c r="S317" i="1" s="1"/>
  <c r="D316" i="31"/>
  <c r="K317" i="13"/>
  <c r="G315" i="11"/>
  <c r="H315" i="11" s="1"/>
  <c r="J317" i="13" s="1"/>
  <c r="D315" i="11"/>
  <c r="A316" i="11" l="1"/>
  <c r="L318" i="13" s="1"/>
  <c r="L317" i="1"/>
  <c r="C318" i="13"/>
  <c r="B318" i="13"/>
  <c r="C317" i="1"/>
  <c r="AE317" i="1"/>
  <c r="H318" i="1"/>
  <c r="I318" i="1"/>
  <c r="F316" i="31"/>
  <c r="P317" i="13" s="1"/>
  <c r="O317" i="13"/>
  <c r="H316" i="31"/>
  <c r="Q317" i="13" s="1"/>
  <c r="E315" i="11"/>
  <c r="I317" i="13" s="1"/>
  <c r="H317" i="13"/>
  <c r="E318" i="13" l="1"/>
  <c r="D318" i="13"/>
  <c r="AH317" i="1"/>
  <c r="Y317" i="1"/>
  <c r="X317" i="1" s="1"/>
  <c r="W317" i="1" s="1"/>
  <c r="V317" i="1" s="1"/>
  <c r="U317" i="1" s="1"/>
  <c r="F318" i="13" s="1"/>
  <c r="F317" i="11"/>
  <c r="AK317" i="1"/>
  <c r="AF317" i="1"/>
  <c r="T317" i="1" l="1"/>
  <c r="AI317" i="1" s="1"/>
  <c r="AJ317" i="1" s="1"/>
  <c r="M318" i="13" s="1"/>
  <c r="AN317" i="1"/>
  <c r="F318" i="1" l="1"/>
  <c r="G318" i="13"/>
  <c r="AM317" i="1"/>
  <c r="N318" i="13" s="1"/>
  <c r="C317" i="31"/>
  <c r="G318" i="1"/>
  <c r="E317" i="31"/>
  <c r="B317" i="31"/>
  <c r="C316" i="11"/>
  <c r="E318" i="1" l="1"/>
  <c r="D318" i="1" s="1"/>
  <c r="Q318" i="1" s="1"/>
  <c r="S318" i="1" s="1"/>
  <c r="D317" i="31"/>
  <c r="H317" i="31" s="1"/>
  <c r="Q318" i="13" s="1"/>
  <c r="O318" i="13"/>
  <c r="K318" i="13"/>
  <c r="G316" i="11"/>
  <c r="H316" i="11" s="1"/>
  <c r="J318" i="13" s="1"/>
  <c r="D316" i="11"/>
  <c r="C319" i="13" l="1"/>
  <c r="H319" i="1"/>
  <c r="AH318" i="1" s="1"/>
  <c r="L318" i="1"/>
  <c r="AE318" i="1"/>
  <c r="I319" i="1"/>
  <c r="B319" i="13"/>
  <c r="C318" i="1"/>
  <c r="A317" i="11"/>
  <c r="L319" i="13" s="1"/>
  <c r="F317" i="31"/>
  <c r="P318" i="13" s="1"/>
  <c r="H318" i="13"/>
  <c r="E316" i="11"/>
  <c r="I318" i="13" s="1"/>
  <c r="AK318" i="1" l="1"/>
  <c r="D319" i="13"/>
  <c r="AF318" i="1"/>
  <c r="F318" i="11"/>
  <c r="E319" i="13"/>
  <c r="Y318" i="1"/>
  <c r="X318" i="1" s="1"/>
  <c r="W318" i="1" s="1"/>
  <c r="V318" i="1" s="1"/>
  <c r="U318" i="1" s="1"/>
  <c r="F319" i="13" s="1"/>
  <c r="T318" i="1" l="1"/>
  <c r="AI318" i="1" s="1"/>
  <c r="AJ318" i="1" s="1"/>
  <c r="M319" i="13" s="1"/>
  <c r="AN318" i="1"/>
  <c r="E318" i="31" l="1"/>
  <c r="G319" i="13"/>
  <c r="G319" i="1"/>
  <c r="F319" i="1"/>
  <c r="C317" i="11"/>
  <c r="C318" i="31"/>
  <c r="B318" i="31"/>
  <c r="AM318" i="1"/>
  <c r="N319" i="13" s="1"/>
  <c r="E319" i="1" l="1"/>
  <c r="D319" i="1" s="1"/>
  <c r="Q319" i="1" s="1"/>
  <c r="S319" i="1" s="1"/>
  <c r="D318" i="31"/>
  <c r="K319" i="13"/>
  <c r="G317" i="11"/>
  <c r="H317" i="11" s="1"/>
  <c r="J319" i="13" s="1"/>
  <c r="D317" i="11"/>
  <c r="C319" i="1" l="1"/>
  <c r="I320" i="1"/>
  <c r="C320" i="13"/>
  <c r="L319" i="1"/>
  <c r="AE319" i="1"/>
  <c r="A318" i="11"/>
  <c r="L320" i="13" s="1"/>
  <c r="B320" i="13"/>
  <c r="H320" i="1"/>
  <c r="F318" i="31"/>
  <c r="P319" i="13" s="1"/>
  <c r="O319" i="13"/>
  <c r="H318" i="31"/>
  <c r="Q319" i="13" s="1"/>
  <c r="H319" i="13"/>
  <c r="E317" i="11"/>
  <c r="I319" i="13" s="1"/>
  <c r="D320" i="13" l="1"/>
  <c r="E320" i="13"/>
  <c r="Y319" i="1"/>
  <c r="X319" i="1" s="1"/>
  <c r="W319" i="1" s="1"/>
  <c r="V319" i="1" s="1"/>
  <c r="U319" i="1" s="1"/>
  <c r="F320" i="13" s="1"/>
  <c r="AH319" i="1"/>
  <c r="AK319" i="1"/>
  <c r="F319" i="11"/>
  <c r="AF319" i="1"/>
  <c r="T319" i="1" l="1"/>
  <c r="AI319" i="1" s="1"/>
  <c r="AJ319" i="1" s="1"/>
  <c r="M320" i="13" s="1"/>
  <c r="AN319" i="1"/>
  <c r="G320" i="13" l="1"/>
  <c r="E319" i="31"/>
  <c r="G320" i="1"/>
  <c r="F320" i="1"/>
  <c r="C318" i="11"/>
  <c r="B319" i="31"/>
  <c r="C319" i="31"/>
  <c r="AM319" i="1"/>
  <c r="N320" i="13" s="1"/>
  <c r="E320" i="1" l="1"/>
  <c r="D320" i="1" s="1"/>
  <c r="Q320" i="1" s="1"/>
  <c r="S320" i="1" s="1"/>
  <c r="K320" i="13"/>
  <c r="G318" i="11"/>
  <c r="H318" i="11" s="1"/>
  <c r="J320" i="13" s="1"/>
  <c r="D318" i="11"/>
  <c r="D319" i="31"/>
  <c r="O320" i="13" s="1"/>
  <c r="B321" i="13" l="1"/>
  <c r="AE320" i="1"/>
  <c r="L320" i="1"/>
  <c r="C320" i="1"/>
  <c r="H321" i="1"/>
  <c r="C321" i="13"/>
  <c r="I321" i="1"/>
  <c r="A319" i="11"/>
  <c r="L321" i="13" s="1"/>
  <c r="H319" i="31"/>
  <c r="Q320" i="13" s="1"/>
  <c r="F319" i="31"/>
  <c r="P320" i="13" s="1"/>
  <c r="E318" i="11"/>
  <c r="I320" i="13" s="1"/>
  <c r="H320" i="13"/>
  <c r="AK320" i="1" l="1"/>
  <c r="D321" i="13"/>
  <c r="AH320" i="1"/>
  <c r="Y320" i="1"/>
  <c r="X320" i="1" s="1"/>
  <c r="W320" i="1" s="1"/>
  <c r="V320" i="1" s="1"/>
  <c r="U320" i="1" s="1"/>
  <c r="T320" i="1" s="1"/>
  <c r="E321" i="13"/>
  <c r="AF320" i="1"/>
  <c r="F320" i="11"/>
  <c r="F321" i="13" l="1"/>
  <c r="AI320" i="1"/>
  <c r="AJ320" i="1" s="1"/>
  <c r="M321" i="13" s="1"/>
  <c r="E320" i="31"/>
  <c r="G321" i="13"/>
  <c r="AN320" i="1"/>
  <c r="F321" i="1" l="1"/>
  <c r="G321" i="1"/>
  <c r="C319" i="11"/>
  <c r="B320" i="31"/>
  <c r="C320" i="31"/>
  <c r="AM320" i="1"/>
  <c r="N321" i="13" s="1"/>
  <c r="E321" i="1" l="1"/>
  <c r="D321" i="1" s="1"/>
  <c r="Q321" i="1" s="1"/>
  <c r="S321" i="1" s="1"/>
  <c r="K321" i="13"/>
  <c r="G319" i="11"/>
  <c r="H319" i="11" s="1"/>
  <c r="J321" i="13" s="1"/>
  <c r="D319" i="11"/>
  <c r="D320" i="31"/>
  <c r="O321" i="13" s="1"/>
  <c r="B322" i="13" l="1"/>
  <c r="H322" i="1"/>
  <c r="Y321" i="1" s="1"/>
  <c r="A320" i="11"/>
  <c r="L322" i="13" s="1"/>
  <c r="C322" i="13"/>
  <c r="I322" i="1"/>
  <c r="C321" i="1"/>
  <c r="L321" i="1"/>
  <c r="AE321" i="1"/>
  <c r="F320" i="31"/>
  <c r="P321" i="13" s="1"/>
  <c r="H320" i="31"/>
  <c r="Q321" i="13" s="1"/>
  <c r="H321" i="13"/>
  <c r="E319" i="11"/>
  <c r="I321" i="13" s="1"/>
  <c r="E322" i="13" l="1"/>
  <c r="D322" i="13"/>
  <c r="AH321" i="1"/>
  <c r="F321" i="11"/>
  <c r="AK321" i="1"/>
  <c r="X321" i="1"/>
  <c r="W321" i="1" s="1"/>
  <c r="V321" i="1" s="1"/>
  <c r="U321" i="1" s="1"/>
  <c r="T321" i="1" s="1"/>
  <c r="AF321" i="1"/>
  <c r="F322" i="13" l="1"/>
  <c r="AI321" i="1"/>
  <c r="AJ321" i="1" s="1"/>
  <c r="M322" i="13" s="1"/>
  <c r="E321" i="31"/>
  <c r="G322" i="13"/>
  <c r="F322" i="1" l="1"/>
  <c r="G322" i="1"/>
  <c r="C321" i="31"/>
  <c r="B321" i="31"/>
  <c r="AM321" i="1"/>
  <c r="N322" i="13" s="1"/>
  <c r="AN321" i="1"/>
  <c r="D321" i="31" l="1"/>
  <c r="E322" i="1"/>
  <c r="D322" i="1" s="1"/>
  <c r="Q322" i="1" s="1"/>
  <c r="S322" i="1" s="1"/>
  <c r="C320" i="11"/>
  <c r="H321" i="31" l="1"/>
  <c r="Q322" i="13" s="1"/>
  <c r="O322" i="13"/>
  <c r="F321" i="31"/>
  <c r="P322" i="13" s="1"/>
  <c r="G320" i="11"/>
  <c r="H320" i="11" s="1"/>
  <c r="J322" i="13" s="1"/>
  <c r="K322" i="13"/>
  <c r="D320" i="11"/>
  <c r="AE322" i="1"/>
  <c r="A321" i="11"/>
  <c r="C322" i="1"/>
  <c r="B323" i="13"/>
  <c r="C323" i="13"/>
  <c r="I323" i="1"/>
  <c r="H323" i="1"/>
  <c r="L322" i="1"/>
  <c r="D323" i="13" l="1"/>
  <c r="AH322" i="1"/>
  <c r="E320" i="11"/>
  <c r="I322" i="13" s="1"/>
  <c r="H322" i="13"/>
  <c r="Y322" i="1"/>
  <c r="X322" i="1" s="1"/>
  <c r="W322" i="1" s="1"/>
  <c r="V322" i="1" s="1"/>
  <c r="U322" i="1" s="1"/>
  <c r="L323" i="13"/>
  <c r="E323" i="13"/>
  <c r="AF322" i="1"/>
  <c r="AK322" i="1"/>
  <c r="F322" i="11"/>
  <c r="T322" i="1" l="1"/>
  <c r="F323" i="13"/>
  <c r="AI322" i="1" l="1"/>
  <c r="AJ322" i="1" s="1"/>
  <c r="M323" i="13" s="1"/>
  <c r="E322" i="31"/>
  <c r="G323" i="13"/>
  <c r="F323" i="1" l="1"/>
  <c r="G323" i="1"/>
  <c r="B322" i="31"/>
  <c r="C322" i="31"/>
  <c r="AM322" i="1"/>
  <c r="N323" i="13" s="1"/>
  <c r="AN322" i="1"/>
  <c r="C321" i="11" l="1"/>
  <c r="E323" i="1"/>
  <c r="D323" i="1" s="1"/>
  <c r="Q323" i="1" s="1"/>
  <c r="S323" i="1" s="1"/>
  <c r="D322" i="31"/>
  <c r="O323" i="13" s="1"/>
  <c r="H322" i="31" l="1"/>
  <c r="Q323" i="13" s="1"/>
  <c r="F322" i="31"/>
  <c r="P323" i="13" s="1"/>
  <c r="B324" i="13"/>
  <c r="C324" i="13"/>
  <c r="C323" i="1"/>
  <c r="AE323" i="1"/>
  <c r="A322" i="11"/>
  <c r="L323" i="1"/>
  <c r="H324" i="1"/>
  <c r="I324" i="1"/>
  <c r="K323" i="13"/>
  <c r="G321" i="11"/>
  <c r="H321" i="11" s="1"/>
  <c r="J323" i="13" s="1"/>
  <c r="D321" i="11"/>
  <c r="D324" i="13" l="1"/>
  <c r="AH323" i="1"/>
  <c r="L324" i="13"/>
  <c r="E321" i="11"/>
  <c r="I323" i="13" s="1"/>
  <c r="H323" i="13"/>
  <c r="Y323" i="1"/>
  <c r="X323" i="1" s="1"/>
  <c r="W323" i="1" s="1"/>
  <c r="V323" i="1" s="1"/>
  <c r="U323" i="1" s="1"/>
  <c r="AF323" i="1"/>
  <c r="E324" i="13"/>
  <c r="F323" i="11"/>
  <c r="AK323" i="1"/>
  <c r="T323" i="1" l="1"/>
  <c r="F324" i="13"/>
  <c r="AI323" i="1" l="1"/>
  <c r="AJ323" i="1" s="1"/>
  <c r="M324" i="13" s="1"/>
  <c r="G324" i="13"/>
  <c r="E323" i="31"/>
  <c r="AN323" i="1"/>
  <c r="G324" i="1" l="1"/>
  <c r="F324" i="1"/>
  <c r="C322" i="11"/>
  <c r="C323" i="31"/>
  <c r="B323" i="31"/>
  <c r="AM323" i="1"/>
  <c r="N324" i="13" s="1"/>
  <c r="E324" i="1" l="1"/>
  <c r="D324" i="1" s="1"/>
  <c r="Q324" i="1" s="1"/>
  <c r="S324" i="1" s="1"/>
  <c r="D323" i="31"/>
  <c r="K324" i="13"/>
  <c r="G322" i="11"/>
  <c r="H322" i="11" s="1"/>
  <c r="J324" i="13" s="1"/>
  <c r="D322" i="11"/>
  <c r="A323" i="11" l="1"/>
  <c r="I325" i="1"/>
  <c r="B325" i="13"/>
  <c r="L324" i="1"/>
  <c r="C325" i="13"/>
  <c r="C324" i="1"/>
  <c r="AE324" i="1"/>
  <c r="H325" i="1"/>
  <c r="H323" i="31"/>
  <c r="Q324" i="13" s="1"/>
  <c r="O324" i="13"/>
  <c r="F323" i="31"/>
  <c r="P324" i="13" s="1"/>
  <c r="E322" i="11"/>
  <c r="I324" i="13" s="1"/>
  <c r="H324" i="13"/>
  <c r="L325" i="13"/>
  <c r="AF324" i="1" l="1"/>
  <c r="D325" i="13"/>
  <c r="AH324" i="1"/>
  <c r="F324" i="11"/>
  <c r="E325" i="13"/>
  <c r="Y324" i="1"/>
  <c r="X324" i="1" s="1"/>
  <c r="W324" i="1" s="1"/>
  <c r="V324" i="1" s="1"/>
  <c r="U324" i="1" s="1"/>
  <c r="T324" i="1" s="1"/>
  <c r="AK324" i="1"/>
  <c r="F325" i="13" l="1"/>
  <c r="E324" i="31"/>
  <c r="G325" i="13"/>
  <c r="AI324" i="1"/>
  <c r="AJ324" i="1" s="1"/>
  <c r="M325" i="13" s="1"/>
  <c r="F325" i="1" l="1"/>
  <c r="G325" i="1"/>
  <c r="C324" i="31"/>
  <c r="B324" i="31"/>
  <c r="AM324" i="1"/>
  <c r="N325" i="13" s="1"/>
  <c r="AN324" i="1"/>
  <c r="D324" i="31" l="1"/>
  <c r="C323" i="11"/>
  <c r="E325" i="1"/>
  <c r="D325" i="1" s="1"/>
  <c r="Q325" i="1" s="1"/>
  <c r="S325" i="1" s="1"/>
  <c r="H324" i="31" l="1"/>
  <c r="Q325" i="13" s="1"/>
  <c r="O325" i="13"/>
  <c r="F324" i="31"/>
  <c r="P325" i="13" s="1"/>
  <c r="AE325" i="1"/>
  <c r="B326" i="13"/>
  <c r="C326" i="13"/>
  <c r="C325" i="1"/>
  <c r="A324" i="11"/>
  <c r="L325" i="1"/>
  <c r="I326" i="1"/>
  <c r="H326" i="1"/>
  <c r="K325" i="13"/>
  <c r="G323" i="11"/>
  <c r="H323" i="11" s="1"/>
  <c r="J325" i="13" s="1"/>
  <c r="D323" i="11"/>
  <c r="D326" i="13" l="1"/>
  <c r="H325" i="13"/>
  <c r="E323" i="11"/>
  <c r="I325" i="13" s="1"/>
  <c r="Y325" i="1"/>
  <c r="X325" i="1" s="1"/>
  <c r="W325" i="1" s="1"/>
  <c r="V325" i="1" s="1"/>
  <c r="U325" i="1" s="1"/>
  <c r="L326" i="13"/>
  <c r="AF325" i="1"/>
  <c r="E326" i="13"/>
  <c r="AK325" i="1"/>
  <c r="F325" i="11"/>
  <c r="AH325" i="1"/>
  <c r="F326" i="13" l="1"/>
  <c r="T325" i="1"/>
  <c r="AI325" i="1" l="1"/>
  <c r="AJ325" i="1" s="1"/>
  <c r="M326" i="13" s="1"/>
  <c r="G326" i="13"/>
  <c r="E325" i="31"/>
  <c r="F326" i="1" l="1"/>
  <c r="G326" i="1"/>
  <c r="C325" i="31"/>
  <c r="B325" i="31"/>
  <c r="AM325" i="1"/>
  <c r="N326" i="13" s="1"/>
  <c r="AN325" i="1"/>
  <c r="D325" i="31" l="1"/>
  <c r="O326" i="13" s="1"/>
  <c r="C324" i="11"/>
  <c r="E326" i="1"/>
  <c r="D326" i="1" s="1"/>
  <c r="Q326" i="1" s="1"/>
  <c r="S326" i="1" s="1"/>
  <c r="H325" i="31" l="1"/>
  <c r="Q326" i="13" s="1"/>
  <c r="F325" i="31"/>
  <c r="P326" i="13" s="1"/>
  <c r="C326" i="1"/>
  <c r="A325" i="11"/>
  <c r="B327" i="13"/>
  <c r="C327" i="13"/>
  <c r="AE326" i="1"/>
  <c r="L326" i="1"/>
  <c r="I327" i="1"/>
  <c r="H327" i="1"/>
  <c r="K326" i="13"/>
  <c r="G324" i="11"/>
  <c r="H324" i="11" s="1"/>
  <c r="J326" i="13" s="1"/>
  <c r="D324" i="11"/>
  <c r="D327" i="13" l="1"/>
  <c r="AH326" i="1"/>
  <c r="E324" i="11"/>
  <c r="I326" i="13" s="1"/>
  <c r="H326" i="13"/>
  <c r="E327" i="13"/>
  <c r="AF326" i="1"/>
  <c r="F326" i="11"/>
  <c r="AK326" i="1"/>
  <c r="L327" i="13"/>
  <c r="Y326" i="1"/>
  <c r="X326" i="1" s="1"/>
  <c r="W326" i="1" s="1"/>
  <c r="V326" i="1" s="1"/>
  <c r="U326" i="1" s="1"/>
  <c r="F327" i="13" l="1"/>
  <c r="T326" i="1"/>
  <c r="AI326" i="1" l="1"/>
  <c r="AJ326" i="1" s="1"/>
  <c r="M327" i="13" s="1"/>
  <c r="G327" i="13"/>
  <c r="E326" i="31"/>
  <c r="G327" i="1" l="1"/>
  <c r="F327" i="1"/>
  <c r="C326" i="31"/>
  <c r="B326" i="31"/>
  <c r="AM326" i="1"/>
  <c r="N327" i="13" s="1"/>
  <c r="AN326" i="1"/>
  <c r="E327" i="1" l="1"/>
  <c r="D327" i="1" s="1"/>
  <c r="Q327" i="1" s="1"/>
  <c r="S327" i="1" s="1"/>
  <c r="C325" i="11"/>
  <c r="D326" i="31"/>
  <c r="O327" i="13" s="1"/>
  <c r="K327" i="13" l="1"/>
  <c r="G325" i="11"/>
  <c r="H325" i="11" s="1"/>
  <c r="J327" i="13" s="1"/>
  <c r="D325" i="11"/>
  <c r="C327" i="1"/>
  <c r="A326" i="11"/>
  <c r="AE327" i="1"/>
  <c r="C328" i="13"/>
  <c r="B328" i="13"/>
  <c r="L327" i="1"/>
  <c r="I328" i="1"/>
  <c r="H328" i="1"/>
  <c r="F326" i="31"/>
  <c r="P327" i="13" s="1"/>
  <c r="H326" i="31"/>
  <c r="Q327" i="13" s="1"/>
  <c r="D328" i="13" l="1"/>
  <c r="AH327" i="1"/>
  <c r="E328" i="13"/>
  <c r="AF327" i="1"/>
  <c r="F327" i="11"/>
  <c r="AK327" i="1"/>
  <c r="L328" i="13"/>
  <c r="Y327" i="1"/>
  <c r="X327" i="1" s="1"/>
  <c r="W327" i="1" s="1"/>
  <c r="V327" i="1" s="1"/>
  <c r="U327" i="1" s="1"/>
  <c r="H327" i="13"/>
  <c r="E325" i="11"/>
  <c r="I327" i="13" s="1"/>
  <c r="F328" i="13" l="1"/>
  <c r="T327" i="1"/>
  <c r="AI327" i="1" l="1"/>
  <c r="AJ327" i="1" s="1"/>
  <c r="M328" i="13" s="1"/>
  <c r="G328" i="13"/>
  <c r="E327" i="31"/>
  <c r="AN327" i="1"/>
  <c r="F328" i="1" l="1"/>
  <c r="G328" i="1"/>
  <c r="C326" i="11"/>
  <c r="C327" i="31"/>
  <c r="B327" i="31"/>
  <c r="AM327" i="1"/>
  <c r="N328" i="13" s="1"/>
  <c r="E328" i="1" l="1"/>
  <c r="D328" i="1" s="1"/>
  <c r="Q328" i="1" s="1"/>
  <c r="S328" i="1" s="1"/>
  <c r="D327" i="31"/>
  <c r="G326" i="11"/>
  <c r="H326" i="11" s="1"/>
  <c r="J328" i="13" s="1"/>
  <c r="K328" i="13"/>
  <c r="D326" i="11"/>
  <c r="A327" i="11" l="1"/>
  <c r="L329" i="13" s="1"/>
  <c r="H329" i="1"/>
  <c r="B329" i="13"/>
  <c r="L328" i="1"/>
  <c r="C328" i="1"/>
  <c r="I329" i="1"/>
  <c r="C329" i="13"/>
  <c r="AE328" i="1"/>
  <c r="H327" i="31"/>
  <c r="Q328" i="13" s="1"/>
  <c r="O328" i="13"/>
  <c r="F327" i="31"/>
  <c r="P328" i="13" s="1"/>
  <c r="E326" i="11"/>
  <c r="I328" i="13" s="1"/>
  <c r="H328" i="13"/>
  <c r="F328" i="11" l="1"/>
  <c r="D329" i="13"/>
  <c r="AH328" i="1"/>
  <c r="Y328" i="1"/>
  <c r="X328" i="1" s="1"/>
  <c r="W328" i="1" s="1"/>
  <c r="V328" i="1" s="1"/>
  <c r="U328" i="1" s="1"/>
  <c r="F329" i="13" s="1"/>
  <c r="E329" i="13"/>
  <c r="AF328" i="1"/>
  <c r="AK328" i="1"/>
  <c r="T328" i="1" l="1"/>
  <c r="AI328" i="1" s="1"/>
  <c r="AJ328" i="1" s="1"/>
  <c r="M329" i="13" s="1"/>
  <c r="E328" i="31" l="1"/>
  <c r="G329" i="13"/>
  <c r="G329" i="1"/>
  <c r="F329" i="1"/>
  <c r="C328" i="31"/>
  <c r="B328" i="31"/>
  <c r="AM328" i="1"/>
  <c r="N329" i="13" s="1"/>
  <c r="AN328" i="1"/>
  <c r="D328" i="31" l="1"/>
  <c r="E329" i="1"/>
  <c r="D329" i="1" s="1"/>
  <c r="Q329" i="1" s="1"/>
  <c r="S329" i="1" s="1"/>
  <c r="C327" i="11"/>
  <c r="H328" i="31" l="1"/>
  <c r="Q329" i="13" s="1"/>
  <c r="O329" i="13"/>
  <c r="F328" i="31"/>
  <c r="P329" i="13" s="1"/>
  <c r="G327" i="11"/>
  <c r="H327" i="11" s="1"/>
  <c r="J329" i="13" s="1"/>
  <c r="K329" i="13"/>
  <c r="D327" i="11"/>
  <c r="B330" i="13"/>
  <c r="A328" i="11"/>
  <c r="C330" i="13"/>
  <c r="C329" i="1"/>
  <c r="AE329" i="1"/>
  <c r="L329" i="1"/>
  <c r="H330" i="1"/>
  <c r="I330" i="1"/>
  <c r="D330" i="13" l="1"/>
  <c r="Y329" i="1"/>
  <c r="X329" i="1" s="1"/>
  <c r="W329" i="1" s="1"/>
  <c r="V329" i="1" s="1"/>
  <c r="U329" i="1" s="1"/>
  <c r="E327" i="11"/>
  <c r="I329" i="13" s="1"/>
  <c r="H329" i="13"/>
  <c r="E330" i="13"/>
  <c r="AF329" i="1"/>
  <c r="AK329" i="1"/>
  <c r="F329" i="11"/>
  <c r="AH329" i="1"/>
  <c r="L330" i="13"/>
  <c r="T329" i="1" l="1"/>
  <c r="F330" i="13"/>
  <c r="AI329" i="1" l="1"/>
  <c r="AJ329" i="1" s="1"/>
  <c r="M330" i="13" s="1"/>
  <c r="G330" i="13"/>
  <c r="E329" i="31"/>
  <c r="AN329" i="1"/>
  <c r="F330" i="1" l="1"/>
  <c r="G330" i="1"/>
  <c r="C328" i="11"/>
  <c r="B329" i="31"/>
  <c r="C329" i="31"/>
  <c r="AM329" i="1"/>
  <c r="N330" i="13" s="1"/>
  <c r="E330" i="1" l="1"/>
  <c r="D330" i="1" s="1"/>
  <c r="Q330" i="1" s="1"/>
  <c r="S330" i="1" s="1"/>
  <c r="K330" i="13"/>
  <c r="G328" i="11"/>
  <c r="H328" i="11" s="1"/>
  <c r="J330" i="13" s="1"/>
  <c r="D328" i="11"/>
  <c r="D329" i="31"/>
  <c r="O330" i="13" s="1"/>
  <c r="C331" i="13" l="1"/>
  <c r="A329" i="11"/>
  <c r="L331" i="13" s="1"/>
  <c r="AE330" i="1"/>
  <c r="B331" i="13"/>
  <c r="L330" i="1"/>
  <c r="H331" i="1"/>
  <c r="C330" i="1"/>
  <c r="I331" i="1"/>
  <c r="H330" i="13"/>
  <c r="E328" i="11"/>
  <c r="I330" i="13" s="1"/>
  <c r="H329" i="31"/>
  <c r="Q330" i="13" s="1"/>
  <c r="F329" i="31"/>
  <c r="P330" i="13" s="1"/>
  <c r="E331" i="13" l="1"/>
  <c r="D331" i="13"/>
  <c r="Y330" i="1"/>
  <c r="X330" i="1" s="1"/>
  <c r="W330" i="1" s="1"/>
  <c r="V330" i="1" s="1"/>
  <c r="U330" i="1" s="1"/>
  <c r="F331" i="13" s="1"/>
  <c r="AH330" i="1"/>
  <c r="AK330" i="1"/>
  <c r="AF330" i="1"/>
  <c r="F330" i="11"/>
  <c r="T330" i="1" l="1"/>
  <c r="AI330" i="1" s="1"/>
  <c r="AJ330" i="1" s="1"/>
  <c r="M331" i="13" s="1"/>
  <c r="AN330" i="1"/>
  <c r="E330" i="31" l="1"/>
  <c r="G331" i="13"/>
  <c r="F331" i="1"/>
  <c r="G331" i="1"/>
  <c r="C329" i="11"/>
  <c r="C330" i="31"/>
  <c r="B330" i="31"/>
  <c r="AM330" i="1"/>
  <c r="N331" i="13" s="1"/>
  <c r="E331" i="1" l="1"/>
  <c r="D331" i="1" s="1"/>
  <c r="Q331" i="1" s="1"/>
  <c r="S331" i="1" s="1"/>
  <c r="D330" i="31"/>
  <c r="H330" i="31" s="1"/>
  <c r="Q331" i="13" s="1"/>
  <c r="K331" i="13"/>
  <c r="G329" i="11"/>
  <c r="H329" i="11" s="1"/>
  <c r="J331" i="13" s="1"/>
  <c r="D329" i="11"/>
  <c r="A330" i="11" l="1"/>
  <c r="L332" i="13" s="1"/>
  <c r="I332" i="1"/>
  <c r="AE331" i="1"/>
  <c r="L331" i="1"/>
  <c r="B332" i="13"/>
  <c r="H332" i="1"/>
  <c r="Y331" i="1" s="1"/>
  <c r="C332" i="13"/>
  <c r="C331" i="1"/>
  <c r="F330" i="31"/>
  <c r="P331" i="13" s="1"/>
  <c r="O331" i="13"/>
  <c r="E329" i="11"/>
  <c r="I331" i="13" s="1"/>
  <c r="H331" i="13"/>
  <c r="E332" i="13" l="1"/>
  <c r="D332" i="13"/>
  <c r="AH331" i="1"/>
  <c r="X331" i="1"/>
  <c r="W331" i="1" s="1"/>
  <c r="V331" i="1" s="1"/>
  <c r="U331" i="1" s="1"/>
  <c r="F332" i="13" s="1"/>
  <c r="AK331" i="1"/>
  <c r="F331" i="11"/>
  <c r="AF331" i="1"/>
  <c r="T331" i="1" l="1"/>
  <c r="E331" i="31" s="1"/>
  <c r="AN331" i="1"/>
  <c r="G332" i="13" l="1"/>
  <c r="AI331" i="1"/>
  <c r="AJ331" i="1" s="1"/>
  <c r="M332" i="13" s="1"/>
  <c r="G332" i="1"/>
  <c r="F332" i="1"/>
  <c r="C330" i="11"/>
  <c r="AM331" i="1" l="1"/>
  <c r="N332" i="13" s="1"/>
  <c r="C331" i="31"/>
  <c r="B331" i="31"/>
  <c r="E332" i="1"/>
  <c r="D332" i="1" s="1"/>
  <c r="Q332" i="1" s="1"/>
  <c r="S332" i="1" s="1"/>
  <c r="K332" i="13"/>
  <c r="G330" i="11"/>
  <c r="H330" i="11" s="1"/>
  <c r="J332" i="13" s="1"/>
  <c r="D330" i="11"/>
  <c r="A331" i="11" l="1"/>
  <c r="L333" i="13" s="1"/>
  <c r="D331" i="31"/>
  <c r="H331" i="31" s="1"/>
  <c r="Q332" i="13" s="1"/>
  <c r="H333" i="1"/>
  <c r="I333" i="1"/>
  <c r="B333" i="13"/>
  <c r="AE332" i="1"/>
  <c r="L332" i="1"/>
  <c r="C333" i="13"/>
  <c r="C332" i="1"/>
  <c r="O332" i="13"/>
  <c r="H332" i="13"/>
  <c r="E330" i="11"/>
  <c r="I332" i="13" s="1"/>
  <c r="AK332" i="1" l="1"/>
  <c r="D333" i="13"/>
  <c r="F331" i="31"/>
  <c r="P332" i="13" s="1"/>
  <c r="AH332" i="1"/>
  <c r="F332" i="11"/>
  <c r="Y332" i="1"/>
  <c r="X332" i="1" s="1"/>
  <c r="W332" i="1" s="1"/>
  <c r="V332" i="1" s="1"/>
  <c r="U332" i="1" s="1"/>
  <c r="F333" i="13" s="1"/>
  <c r="E333" i="13"/>
  <c r="AF332" i="1"/>
  <c r="T332" i="1" l="1"/>
  <c r="G333" i="13" s="1"/>
  <c r="AI332" i="1" l="1"/>
  <c r="AJ332" i="1" s="1"/>
  <c r="M333" i="13" s="1"/>
  <c r="E332" i="31"/>
  <c r="F333" i="1"/>
  <c r="G333" i="1"/>
  <c r="AN332" i="1"/>
  <c r="AM332" i="1" l="1"/>
  <c r="N333" i="13" s="1"/>
  <c r="B332" i="31"/>
  <c r="C332" i="31"/>
  <c r="C331" i="11"/>
  <c r="E333" i="1"/>
  <c r="D333" i="1" s="1"/>
  <c r="Q333" i="1" s="1"/>
  <c r="S333" i="1" s="1"/>
  <c r="D332" i="31" l="1"/>
  <c r="H332" i="31" s="1"/>
  <c r="Q333" i="13" s="1"/>
  <c r="O333" i="13"/>
  <c r="B334" i="13"/>
  <c r="AE333" i="1"/>
  <c r="C333" i="1"/>
  <c r="A332" i="11"/>
  <c r="C334" i="13"/>
  <c r="I334" i="1"/>
  <c r="H334" i="1"/>
  <c r="L333" i="1"/>
  <c r="K333" i="13"/>
  <c r="G331" i="11"/>
  <c r="H331" i="11" s="1"/>
  <c r="J333" i="13" s="1"/>
  <c r="D331" i="11"/>
  <c r="D334" i="13" l="1"/>
  <c r="F332" i="31"/>
  <c r="P333" i="13" s="1"/>
  <c r="AH333" i="1"/>
  <c r="E334" i="13"/>
  <c r="AF333" i="1"/>
  <c r="F333" i="11"/>
  <c r="AK333" i="1"/>
  <c r="E331" i="11"/>
  <c r="I333" i="13" s="1"/>
  <c r="H333" i="13"/>
  <c r="Y333" i="1"/>
  <c r="X333" i="1" s="1"/>
  <c r="W333" i="1" s="1"/>
  <c r="V333" i="1" s="1"/>
  <c r="U333" i="1" s="1"/>
  <c r="L334" i="13"/>
  <c r="T333" i="1" l="1"/>
  <c r="F334" i="13"/>
  <c r="AI333" i="1" l="1"/>
  <c r="AJ333" i="1" s="1"/>
  <c r="M334" i="13" s="1"/>
  <c r="G334" i="13"/>
  <c r="E333" i="31"/>
  <c r="AN333" i="1"/>
  <c r="F334" i="1" l="1"/>
  <c r="G334" i="1"/>
  <c r="B333" i="31"/>
  <c r="C333" i="31"/>
  <c r="AM333" i="1"/>
  <c r="N334" i="13" s="1"/>
  <c r="C332" i="11"/>
  <c r="E334" i="1" l="1"/>
  <c r="D334" i="1" s="1"/>
  <c r="Q334" i="1" s="1"/>
  <c r="S334" i="1" s="1"/>
  <c r="D333" i="31"/>
  <c r="K334" i="13"/>
  <c r="G332" i="11"/>
  <c r="H332" i="11" s="1"/>
  <c r="J334" i="13" s="1"/>
  <c r="D332" i="11"/>
  <c r="C335" i="13" l="1"/>
  <c r="AE334" i="1"/>
  <c r="C334" i="1"/>
  <c r="A333" i="11"/>
  <c r="L335" i="13" s="1"/>
  <c r="H335" i="1"/>
  <c r="B335" i="13"/>
  <c r="L334" i="1"/>
  <c r="I335" i="1"/>
  <c r="H333" i="31"/>
  <c r="Q334" i="13" s="1"/>
  <c r="O334" i="13"/>
  <c r="F333" i="31"/>
  <c r="P334" i="13" s="1"/>
  <c r="H334" i="13"/>
  <c r="E332" i="11"/>
  <c r="I334" i="13" s="1"/>
  <c r="AK334" i="1" l="1"/>
  <c r="D335" i="13"/>
  <c r="Y334" i="1"/>
  <c r="X334" i="1" s="1"/>
  <c r="W334" i="1" s="1"/>
  <c r="V334" i="1" s="1"/>
  <c r="U334" i="1" s="1"/>
  <c r="F335" i="13" s="1"/>
  <c r="AH334" i="1"/>
  <c r="E335" i="13"/>
  <c r="AF334" i="1"/>
  <c r="F334" i="11"/>
  <c r="T334" i="1" l="1"/>
  <c r="AI334" i="1" s="1"/>
  <c r="AJ334" i="1" s="1"/>
  <c r="M335" i="13" s="1"/>
  <c r="G335" i="13" l="1"/>
  <c r="E334" i="31"/>
  <c r="G335" i="1"/>
  <c r="F335" i="1"/>
  <c r="C334" i="31"/>
  <c r="B334" i="31"/>
  <c r="AM334" i="1"/>
  <c r="N335" i="13" s="1"/>
  <c r="AN334" i="1"/>
  <c r="D334" i="31" l="1"/>
  <c r="E335" i="1"/>
  <c r="D335" i="1" s="1"/>
  <c r="Q335" i="1" s="1"/>
  <c r="S335" i="1" s="1"/>
  <c r="C333" i="11"/>
  <c r="F334" i="31" l="1"/>
  <c r="P335" i="13" s="1"/>
  <c r="O335" i="13"/>
  <c r="H334" i="31"/>
  <c r="Q335" i="13" s="1"/>
  <c r="C336" i="13"/>
  <c r="B336" i="13"/>
  <c r="C335" i="1"/>
  <c r="A334" i="11"/>
  <c r="AE335" i="1"/>
  <c r="H336" i="1"/>
  <c r="L335" i="1"/>
  <c r="I336" i="1"/>
  <c r="K335" i="13"/>
  <c r="G333" i="11"/>
  <c r="H333" i="11" s="1"/>
  <c r="J335" i="13" s="1"/>
  <c r="D333" i="11"/>
  <c r="D336" i="13" l="1"/>
  <c r="AH335" i="1"/>
  <c r="L336" i="13"/>
  <c r="E333" i="11"/>
  <c r="I335" i="13" s="1"/>
  <c r="H335" i="13"/>
  <c r="E336" i="13"/>
  <c r="AF335" i="1"/>
  <c r="F335" i="11"/>
  <c r="AK335" i="1"/>
  <c r="Y335" i="1"/>
  <c r="X335" i="1" s="1"/>
  <c r="W335" i="1" s="1"/>
  <c r="V335" i="1" s="1"/>
  <c r="U335" i="1" s="1"/>
  <c r="T335" i="1" l="1"/>
  <c r="F336" i="13"/>
  <c r="AI335" i="1" l="1"/>
  <c r="AJ335" i="1" s="1"/>
  <c r="M336" i="13" s="1"/>
  <c r="G336" i="13"/>
  <c r="E335" i="31"/>
  <c r="AN335" i="1"/>
  <c r="F336" i="1" l="1"/>
  <c r="G336" i="1"/>
  <c r="C334" i="11"/>
  <c r="B335" i="31"/>
  <c r="C335" i="31"/>
  <c r="AM335" i="1"/>
  <c r="N336" i="13" s="1"/>
  <c r="E336" i="1" l="1"/>
  <c r="D336" i="1" s="1"/>
  <c r="Q336" i="1" s="1"/>
  <c r="S336" i="1" s="1"/>
  <c r="D335" i="31"/>
  <c r="G334" i="11"/>
  <c r="H334" i="11" s="1"/>
  <c r="J336" i="13" s="1"/>
  <c r="K336" i="13"/>
  <c r="D334" i="11"/>
  <c r="B337" i="13" l="1"/>
  <c r="H337" i="1"/>
  <c r="A335" i="11"/>
  <c r="L337" i="13" s="1"/>
  <c r="I337" i="1"/>
  <c r="C337" i="13"/>
  <c r="L336" i="1"/>
  <c r="C336" i="1"/>
  <c r="AE336" i="1"/>
  <c r="F335" i="31"/>
  <c r="P336" i="13" s="1"/>
  <c r="O336" i="13"/>
  <c r="H335" i="31"/>
  <c r="Q336" i="13" s="1"/>
  <c r="H336" i="13"/>
  <c r="E334" i="11"/>
  <c r="I336" i="13" s="1"/>
  <c r="AK336" i="1" l="1"/>
  <c r="D337" i="13"/>
  <c r="AH336" i="1"/>
  <c r="Y336" i="1"/>
  <c r="X336" i="1" s="1"/>
  <c r="W336" i="1" s="1"/>
  <c r="V336" i="1" s="1"/>
  <c r="U336" i="1" s="1"/>
  <c r="F336" i="11"/>
  <c r="E337" i="13"/>
  <c r="AF336" i="1"/>
  <c r="F337" i="13" l="1"/>
  <c r="T336" i="1"/>
  <c r="AI336" i="1" s="1"/>
  <c r="AJ336" i="1" s="1"/>
  <c r="M337" i="13" s="1"/>
  <c r="AN336" i="1"/>
  <c r="E336" i="31" l="1"/>
  <c r="G337" i="13"/>
  <c r="G337" i="1"/>
  <c r="F337" i="1"/>
  <c r="C335" i="11"/>
  <c r="C336" i="31"/>
  <c r="B336" i="31"/>
  <c r="AM336" i="1"/>
  <c r="N337" i="13" s="1"/>
  <c r="E337" i="1" l="1"/>
  <c r="D337" i="1" s="1"/>
  <c r="Q337" i="1" s="1"/>
  <c r="S337" i="1" s="1"/>
  <c r="D336" i="31"/>
  <c r="K337" i="13"/>
  <c r="G335" i="11"/>
  <c r="H335" i="11" s="1"/>
  <c r="J337" i="13" s="1"/>
  <c r="D335" i="11"/>
  <c r="A336" i="11" l="1"/>
  <c r="L338" i="13" s="1"/>
  <c r="H338" i="1"/>
  <c r="AE337" i="1"/>
  <c r="L337" i="1"/>
  <c r="B338" i="13"/>
  <c r="I338" i="1"/>
  <c r="C337" i="1"/>
  <c r="C338" i="13"/>
  <c r="H336" i="31"/>
  <c r="Q337" i="13" s="1"/>
  <c r="O337" i="13"/>
  <c r="F336" i="31"/>
  <c r="P337" i="13" s="1"/>
  <c r="H337" i="13"/>
  <c r="E335" i="11"/>
  <c r="I337" i="13" s="1"/>
  <c r="AK337" i="1" l="1"/>
  <c r="D338" i="13"/>
  <c r="AH337" i="1"/>
  <c r="E338" i="13"/>
  <c r="F337" i="11"/>
  <c r="Y337" i="1"/>
  <c r="X337" i="1" s="1"/>
  <c r="W337" i="1" s="1"/>
  <c r="V337" i="1" s="1"/>
  <c r="U337" i="1" s="1"/>
  <c r="T337" i="1" s="1"/>
  <c r="AF337" i="1"/>
  <c r="F338" i="13" l="1"/>
  <c r="AI337" i="1"/>
  <c r="AJ337" i="1" s="1"/>
  <c r="M338" i="13" s="1"/>
  <c r="E337" i="31"/>
  <c r="G338" i="13"/>
  <c r="AN337" i="1"/>
  <c r="F338" i="1" l="1"/>
  <c r="G338" i="1"/>
  <c r="C336" i="11"/>
  <c r="B337" i="31"/>
  <c r="C337" i="31"/>
  <c r="AM337" i="1"/>
  <c r="N338" i="13" s="1"/>
  <c r="E338" i="1" l="1"/>
  <c r="D338" i="1" s="1"/>
  <c r="Q338" i="1" s="1"/>
  <c r="S338" i="1" s="1"/>
  <c r="D337" i="31"/>
  <c r="K338" i="13"/>
  <c r="G336" i="11"/>
  <c r="H336" i="11" s="1"/>
  <c r="J338" i="13" s="1"/>
  <c r="D336" i="11"/>
  <c r="AE338" i="1" l="1"/>
  <c r="H339" i="1"/>
  <c r="B339" i="13"/>
  <c r="L338" i="1"/>
  <c r="C339" i="13"/>
  <c r="A337" i="11"/>
  <c r="L339" i="13" s="1"/>
  <c r="C338" i="1"/>
  <c r="I339" i="1"/>
  <c r="H337" i="31"/>
  <c r="Q338" i="13" s="1"/>
  <c r="O338" i="13"/>
  <c r="F337" i="31"/>
  <c r="P338" i="13" s="1"/>
  <c r="E336" i="11"/>
  <c r="I338" i="13" s="1"/>
  <c r="H338" i="13"/>
  <c r="E339" i="13" l="1"/>
  <c r="D339" i="13"/>
  <c r="AH338" i="1"/>
  <c r="F338" i="11"/>
  <c r="AK338" i="1"/>
  <c r="AF338" i="1"/>
  <c r="Y338" i="1"/>
  <c r="X338" i="1" s="1"/>
  <c r="W338" i="1" s="1"/>
  <c r="V338" i="1" s="1"/>
  <c r="U338" i="1" s="1"/>
  <c r="T338" i="1" s="1"/>
  <c r="F339" i="13" l="1"/>
  <c r="AI338" i="1"/>
  <c r="AJ338" i="1" s="1"/>
  <c r="M339" i="13" s="1"/>
  <c r="E338" i="31"/>
  <c r="G339" i="13"/>
  <c r="AN338" i="1"/>
  <c r="G339" i="1" l="1"/>
  <c r="F339" i="1"/>
  <c r="C337" i="11"/>
  <c r="B338" i="31"/>
  <c r="C338" i="31"/>
  <c r="AM338" i="1"/>
  <c r="N339" i="13" s="1"/>
  <c r="E339" i="1" l="1"/>
  <c r="D339" i="1" s="1"/>
  <c r="Q339" i="1" s="1"/>
  <c r="S339" i="1" s="1"/>
  <c r="D338" i="31"/>
  <c r="K339" i="13"/>
  <c r="G337" i="11"/>
  <c r="H337" i="11" s="1"/>
  <c r="J339" i="13" s="1"/>
  <c r="D337" i="11"/>
  <c r="B340" i="13" l="1"/>
  <c r="I340" i="1"/>
  <c r="A338" i="11"/>
  <c r="L340" i="13" s="1"/>
  <c r="L339" i="1"/>
  <c r="H340" i="1"/>
  <c r="C339" i="1"/>
  <c r="AE339" i="1"/>
  <c r="C340" i="13"/>
  <c r="H338" i="31"/>
  <c r="Q339" i="13" s="1"/>
  <c r="O339" i="13"/>
  <c r="F338" i="31"/>
  <c r="P339" i="13" s="1"/>
  <c r="E337" i="11"/>
  <c r="I339" i="13" s="1"/>
  <c r="H339" i="13"/>
  <c r="AK339" i="1" l="1"/>
  <c r="D340" i="13"/>
  <c r="E340" i="13"/>
  <c r="Y339" i="1"/>
  <c r="X339" i="1" s="1"/>
  <c r="W339" i="1" s="1"/>
  <c r="V339" i="1" s="1"/>
  <c r="U339" i="1" s="1"/>
  <c r="F340" i="13" s="1"/>
  <c r="AF339" i="1"/>
  <c r="F339" i="11"/>
  <c r="AH339" i="1"/>
  <c r="T339" i="1" l="1"/>
  <c r="AI339" i="1" s="1"/>
  <c r="AJ339" i="1" s="1"/>
  <c r="M340" i="13" s="1"/>
  <c r="AN339" i="1"/>
  <c r="G340" i="13" l="1"/>
  <c r="E339" i="31"/>
  <c r="G340" i="1"/>
  <c r="F340" i="1"/>
  <c r="C338" i="11"/>
  <c r="B339" i="31"/>
  <c r="C339" i="31"/>
  <c r="AM339" i="1"/>
  <c r="N340" i="13" s="1"/>
  <c r="E340" i="1" l="1"/>
  <c r="D340" i="1" s="1"/>
  <c r="Q340" i="1" s="1"/>
  <c r="S340" i="1" s="1"/>
  <c r="D339" i="31"/>
  <c r="G338" i="11"/>
  <c r="H338" i="11" s="1"/>
  <c r="J340" i="13" s="1"/>
  <c r="K340" i="13"/>
  <c r="D338" i="11"/>
  <c r="C341" i="13" l="1"/>
  <c r="I341" i="1"/>
  <c r="B341" i="13"/>
  <c r="AE340" i="1"/>
  <c r="A339" i="11"/>
  <c r="L341" i="13" s="1"/>
  <c r="L340" i="1"/>
  <c r="C340" i="1"/>
  <c r="H341" i="1"/>
  <c r="H339" i="31"/>
  <c r="Q340" i="13" s="1"/>
  <c r="O340" i="13"/>
  <c r="F339" i="31"/>
  <c r="P340" i="13" s="1"/>
  <c r="H340" i="13"/>
  <c r="E338" i="11"/>
  <c r="I340" i="13" s="1"/>
  <c r="AK340" i="1" l="1"/>
  <c r="D341" i="13"/>
  <c r="Y340" i="1"/>
  <c r="X340" i="1" s="1"/>
  <c r="W340" i="1" s="1"/>
  <c r="V340" i="1" s="1"/>
  <c r="U340" i="1" s="1"/>
  <c r="T340" i="1" s="1"/>
  <c r="AH340" i="1"/>
  <c r="E341" i="13"/>
  <c r="AF340" i="1"/>
  <c r="F340" i="11"/>
  <c r="F341" i="13" l="1"/>
  <c r="AI340" i="1"/>
  <c r="AJ340" i="1" s="1"/>
  <c r="M341" i="13" s="1"/>
  <c r="G341" i="13"/>
  <c r="E340" i="31"/>
  <c r="F341" i="1" l="1"/>
  <c r="G341" i="1"/>
  <c r="AN340" i="1"/>
  <c r="C340" i="31"/>
  <c r="B340" i="31"/>
  <c r="AM340" i="1"/>
  <c r="N341" i="13" s="1"/>
  <c r="D340" i="31" l="1"/>
  <c r="E341" i="1"/>
  <c r="D341" i="1" s="1"/>
  <c r="Q341" i="1" s="1"/>
  <c r="S341" i="1" s="1"/>
  <c r="C339" i="11"/>
  <c r="F340" i="31" l="1"/>
  <c r="P341" i="13" s="1"/>
  <c r="O341" i="13"/>
  <c r="H340" i="31"/>
  <c r="Q341" i="13" s="1"/>
  <c r="G339" i="11"/>
  <c r="H339" i="11" s="1"/>
  <c r="J341" i="13" s="1"/>
  <c r="K341" i="13"/>
  <c r="D339" i="11"/>
  <c r="AE341" i="1"/>
  <c r="B342" i="13"/>
  <c r="C341" i="1"/>
  <c r="C342" i="13"/>
  <c r="A340" i="11"/>
  <c r="I342" i="1"/>
  <c r="L341" i="1"/>
  <c r="H342" i="1"/>
  <c r="D342" i="13" l="1"/>
  <c r="AH341" i="1"/>
  <c r="Y341" i="1"/>
  <c r="X341" i="1" s="1"/>
  <c r="W341" i="1" s="1"/>
  <c r="V341" i="1" s="1"/>
  <c r="U341" i="1" s="1"/>
  <c r="L342" i="13"/>
  <c r="E342" i="13"/>
  <c r="AF341" i="1"/>
  <c r="AK341" i="1"/>
  <c r="F341" i="11"/>
  <c r="H341" i="13"/>
  <c r="E339" i="11"/>
  <c r="I341" i="13" s="1"/>
  <c r="T341" i="1" l="1"/>
  <c r="F342" i="13"/>
  <c r="AI341" i="1" l="1"/>
  <c r="AJ341" i="1" s="1"/>
  <c r="M342" i="13" s="1"/>
  <c r="E341" i="31"/>
  <c r="G342" i="13"/>
  <c r="AN341" i="1"/>
  <c r="G342" i="1" l="1"/>
  <c r="F342" i="1"/>
  <c r="C340" i="11"/>
  <c r="C341" i="31"/>
  <c r="B341" i="31"/>
  <c r="AM341" i="1"/>
  <c r="N342" i="13" s="1"/>
  <c r="E342" i="1" l="1"/>
  <c r="D342" i="1" s="1"/>
  <c r="Q342" i="1" s="1"/>
  <c r="S342" i="1" s="1"/>
  <c r="D341" i="31"/>
  <c r="H341" i="31" s="1"/>
  <c r="Q342" i="13" s="1"/>
  <c r="G340" i="11"/>
  <c r="H340" i="11" s="1"/>
  <c r="J342" i="13" s="1"/>
  <c r="K342" i="13"/>
  <c r="D340" i="11"/>
  <c r="C343" i="13" l="1"/>
  <c r="I343" i="1"/>
  <c r="A341" i="11"/>
  <c r="L343" i="13" s="1"/>
  <c r="C342" i="1"/>
  <c r="AE342" i="1"/>
  <c r="L342" i="1"/>
  <c r="B343" i="13"/>
  <c r="H343" i="1"/>
  <c r="F341" i="31"/>
  <c r="P342" i="13" s="1"/>
  <c r="O342" i="13"/>
  <c r="E340" i="11"/>
  <c r="I342" i="13" s="1"/>
  <c r="H342" i="13"/>
  <c r="AF342" i="1" l="1"/>
  <c r="D343" i="13"/>
  <c r="AH342" i="1"/>
  <c r="Y342" i="1"/>
  <c r="X342" i="1" s="1"/>
  <c r="W342" i="1" s="1"/>
  <c r="V342" i="1" s="1"/>
  <c r="U342" i="1" s="1"/>
  <c r="T342" i="1" s="1"/>
  <c r="F342" i="11"/>
  <c r="E343" i="13"/>
  <c r="AK342" i="1"/>
  <c r="F343" i="13" l="1"/>
  <c r="AI342" i="1"/>
  <c r="AJ342" i="1" s="1"/>
  <c r="M343" i="13" s="1"/>
  <c r="E342" i="31"/>
  <c r="G343" i="13"/>
  <c r="AN342" i="1"/>
  <c r="G343" i="1" l="1"/>
  <c r="F343" i="1"/>
  <c r="C341" i="11"/>
  <c r="C342" i="31"/>
  <c r="B342" i="31"/>
  <c r="AM342" i="1"/>
  <c r="N343" i="13" s="1"/>
  <c r="E343" i="1" l="1"/>
  <c r="D343" i="1" s="1"/>
  <c r="Q343" i="1" s="1"/>
  <c r="S343" i="1" s="1"/>
  <c r="D342" i="31"/>
  <c r="O343" i="13" s="1"/>
  <c r="K343" i="13"/>
  <c r="G341" i="11"/>
  <c r="H341" i="11" s="1"/>
  <c r="J343" i="13" s="1"/>
  <c r="D341" i="11"/>
  <c r="A342" i="11" l="1"/>
  <c r="L344" i="13" s="1"/>
  <c r="I344" i="1"/>
  <c r="AE343" i="1"/>
  <c r="L343" i="1"/>
  <c r="C343" i="1"/>
  <c r="B344" i="13"/>
  <c r="C344" i="13"/>
  <c r="H344" i="1"/>
  <c r="H343" i="13"/>
  <c r="E341" i="11"/>
  <c r="I343" i="13" s="1"/>
  <c r="F342" i="31"/>
  <c r="P343" i="13" s="1"/>
  <c r="H342" i="31"/>
  <c r="Q343" i="13" s="1"/>
  <c r="AF343" i="1" l="1"/>
  <c r="D344" i="13"/>
  <c r="Y343" i="1"/>
  <c r="X343" i="1" s="1"/>
  <c r="W343" i="1" s="1"/>
  <c r="V343" i="1" s="1"/>
  <c r="U343" i="1" s="1"/>
  <c r="T343" i="1" s="1"/>
  <c r="AH343" i="1"/>
  <c r="AK343" i="1"/>
  <c r="F343" i="11"/>
  <c r="E344" i="13"/>
  <c r="F344" i="13" l="1"/>
  <c r="AI343" i="1"/>
  <c r="AJ343" i="1" s="1"/>
  <c r="M344" i="13" s="1"/>
  <c r="E343" i="31"/>
  <c r="G344" i="13"/>
  <c r="G344" i="1" l="1"/>
  <c r="F344" i="1"/>
  <c r="AN343" i="1"/>
  <c r="B343" i="31"/>
  <c r="C343" i="31"/>
  <c r="AM343" i="1"/>
  <c r="N344" i="13" s="1"/>
  <c r="C342" i="11" l="1"/>
  <c r="E344" i="1"/>
  <c r="D344" i="1" s="1"/>
  <c r="Q344" i="1" s="1"/>
  <c r="S344" i="1" s="1"/>
  <c r="D343" i="31"/>
  <c r="O344" i="13" s="1"/>
  <c r="H343" i="31" l="1"/>
  <c r="Q344" i="13" s="1"/>
  <c r="F343" i="31"/>
  <c r="P344" i="13" s="1"/>
  <c r="AE344" i="1"/>
  <c r="C344" i="1"/>
  <c r="C345" i="13"/>
  <c r="A343" i="11"/>
  <c r="B345" i="13"/>
  <c r="L344" i="1"/>
  <c r="H345" i="1"/>
  <c r="I345" i="1"/>
  <c r="G342" i="11"/>
  <c r="H342" i="11" s="1"/>
  <c r="J344" i="13" s="1"/>
  <c r="K344" i="13"/>
  <c r="D342" i="11"/>
  <c r="D345" i="13" l="1"/>
  <c r="AH344" i="1"/>
  <c r="E345" i="13"/>
  <c r="AF344" i="1"/>
  <c r="F344" i="11"/>
  <c r="AK344" i="1"/>
  <c r="E342" i="11"/>
  <c r="I344" i="13" s="1"/>
  <c r="H344" i="13"/>
  <c r="Y344" i="1"/>
  <c r="X344" i="1" s="1"/>
  <c r="W344" i="1" s="1"/>
  <c r="V344" i="1" s="1"/>
  <c r="U344" i="1" s="1"/>
  <c r="L345" i="13"/>
  <c r="F345" i="13" l="1"/>
  <c r="T344" i="1"/>
  <c r="AI344" i="1" l="1"/>
  <c r="AJ344" i="1" s="1"/>
  <c r="M345" i="13" s="1"/>
  <c r="G345" i="13"/>
  <c r="E344" i="31"/>
  <c r="AN344" i="1"/>
  <c r="G345" i="1" l="1"/>
  <c r="F345" i="1"/>
  <c r="C343" i="11"/>
  <c r="B344" i="31"/>
  <c r="C344" i="31"/>
  <c r="AM344" i="1"/>
  <c r="N345" i="13" s="1"/>
  <c r="E345" i="1" l="1"/>
  <c r="D345" i="1" s="1"/>
  <c r="Q345" i="1" s="1"/>
  <c r="S345" i="1" s="1"/>
  <c r="D344" i="31"/>
  <c r="K345" i="13"/>
  <c r="G343" i="11"/>
  <c r="H343" i="11" s="1"/>
  <c r="J345" i="13" s="1"/>
  <c r="D343" i="11"/>
  <c r="A344" i="11" l="1"/>
  <c r="L346" i="13" s="1"/>
  <c r="H346" i="1"/>
  <c r="C345" i="1"/>
  <c r="I346" i="1"/>
  <c r="AE345" i="1"/>
  <c r="L345" i="1"/>
  <c r="C346" i="13"/>
  <c r="B346" i="13"/>
  <c r="F344" i="31"/>
  <c r="P345" i="13" s="1"/>
  <c r="O345" i="13"/>
  <c r="H344" i="31"/>
  <c r="Q345" i="13" s="1"/>
  <c r="H345" i="13"/>
  <c r="E343" i="11"/>
  <c r="I345" i="13" s="1"/>
  <c r="F345" i="11" l="1"/>
  <c r="D346" i="13"/>
  <c r="Y345" i="1"/>
  <c r="X345" i="1" s="1"/>
  <c r="W345" i="1" s="1"/>
  <c r="V345" i="1" s="1"/>
  <c r="U345" i="1" s="1"/>
  <c r="T345" i="1" s="1"/>
  <c r="AH345" i="1"/>
  <c r="E346" i="13"/>
  <c r="AK345" i="1"/>
  <c r="AF345" i="1"/>
  <c r="F346" i="13" l="1"/>
  <c r="AI345" i="1"/>
  <c r="AJ345" i="1" s="1"/>
  <c r="M346" i="13" s="1"/>
  <c r="G346" i="13"/>
  <c r="E345" i="31"/>
  <c r="AN345" i="1"/>
  <c r="G346" i="1" l="1"/>
  <c r="F346" i="1"/>
  <c r="B345" i="31"/>
  <c r="C345" i="31"/>
  <c r="AM345" i="1"/>
  <c r="N346" i="13" s="1"/>
  <c r="C344" i="11"/>
  <c r="E346" i="1" l="1"/>
  <c r="D346" i="1" s="1"/>
  <c r="Q346" i="1" s="1"/>
  <c r="S346" i="1" s="1"/>
  <c r="D345" i="31"/>
  <c r="G344" i="11"/>
  <c r="H344" i="11" s="1"/>
  <c r="J346" i="13" s="1"/>
  <c r="K346" i="13"/>
  <c r="D344" i="11"/>
  <c r="C346" i="1" l="1"/>
  <c r="I347" i="1"/>
  <c r="A345" i="11"/>
  <c r="L347" i="13" s="1"/>
  <c r="L346" i="1"/>
  <c r="B347" i="13"/>
  <c r="H347" i="1"/>
  <c r="Y346" i="1" s="1"/>
  <c r="AE346" i="1"/>
  <c r="C347" i="13"/>
  <c r="F345" i="31"/>
  <c r="P346" i="13" s="1"/>
  <c r="O346" i="13"/>
  <c r="H345" i="31"/>
  <c r="Q346" i="13" s="1"/>
  <c r="H346" i="13"/>
  <c r="E344" i="11"/>
  <c r="I346" i="13" s="1"/>
  <c r="D347" i="13" l="1"/>
  <c r="E347" i="13"/>
  <c r="X346" i="1"/>
  <c r="W346" i="1" s="1"/>
  <c r="V346" i="1" s="1"/>
  <c r="U346" i="1" s="1"/>
  <c r="F347" i="13" s="1"/>
  <c r="AH346" i="1"/>
  <c r="F346" i="11"/>
  <c r="AK346" i="1"/>
  <c r="AF346" i="1"/>
  <c r="T346" i="1" l="1"/>
  <c r="AI346" i="1" s="1"/>
  <c r="AJ346" i="1" s="1"/>
  <c r="M347" i="13" s="1"/>
  <c r="AN346" i="1"/>
  <c r="G347" i="1" l="1"/>
  <c r="E346" i="31"/>
  <c r="F347" i="1"/>
  <c r="E347" i="1" s="1"/>
  <c r="D347" i="1" s="1"/>
  <c r="Q347" i="1" s="1"/>
  <c r="S347" i="1" s="1"/>
  <c r="G347" i="13"/>
  <c r="B346" i="31"/>
  <c r="AM346" i="1"/>
  <c r="N347" i="13" s="1"/>
  <c r="C346" i="31"/>
  <c r="C345" i="11"/>
  <c r="D346" i="31" l="1"/>
  <c r="F346" i="31" s="1"/>
  <c r="P347" i="13" s="1"/>
  <c r="O347" i="13"/>
  <c r="G345" i="11"/>
  <c r="H345" i="11" s="1"/>
  <c r="J347" i="13" s="1"/>
  <c r="K347" i="13"/>
  <c r="D345" i="11"/>
  <c r="AE347" i="1"/>
  <c r="C348" i="13"/>
  <c r="B348" i="13"/>
  <c r="A346" i="11"/>
  <c r="C347" i="1"/>
  <c r="L347" i="1"/>
  <c r="I348" i="1"/>
  <c r="H348" i="1"/>
  <c r="D348" i="13" l="1"/>
  <c r="H346" i="31"/>
  <c r="Q347" i="13" s="1"/>
  <c r="L348" i="13"/>
  <c r="H347" i="13"/>
  <c r="E345" i="11"/>
  <c r="I347" i="13" s="1"/>
  <c r="Y347" i="1"/>
  <c r="X347" i="1" s="1"/>
  <c r="W347" i="1" s="1"/>
  <c r="V347" i="1" s="1"/>
  <c r="U347" i="1" s="1"/>
  <c r="AF347" i="1"/>
  <c r="E348" i="13"/>
  <c r="AK347" i="1"/>
  <c r="F347" i="11"/>
  <c r="AH347" i="1"/>
  <c r="T347" i="1" l="1"/>
  <c r="F348" i="13"/>
  <c r="AI347" i="1" l="1"/>
  <c r="AJ347" i="1" s="1"/>
  <c r="M348" i="13" s="1"/>
  <c r="E347" i="31"/>
  <c r="G348" i="13"/>
  <c r="AN347" i="1"/>
  <c r="G348" i="1" l="1"/>
  <c r="F348" i="1"/>
  <c r="C346" i="11"/>
  <c r="B347" i="31"/>
  <c r="C347" i="31"/>
  <c r="AM347" i="1"/>
  <c r="N348" i="13" s="1"/>
  <c r="E348" i="1" l="1"/>
  <c r="D348" i="1" s="1"/>
  <c r="Q348" i="1" s="1"/>
  <c r="S348" i="1" s="1"/>
  <c r="D347" i="31"/>
  <c r="G346" i="11"/>
  <c r="H346" i="11" s="1"/>
  <c r="J348" i="13" s="1"/>
  <c r="K348" i="13"/>
  <c r="D346" i="11"/>
  <c r="C348" i="1" l="1"/>
  <c r="C349" i="13"/>
  <c r="A347" i="11"/>
  <c r="L349" i="13" s="1"/>
  <c r="I349" i="1"/>
  <c r="AE348" i="1"/>
  <c r="B349" i="13"/>
  <c r="L348" i="1"/>
  <c r="H349" i="1"/>
  <c r="Y348" i="1" s="1"/>
  <c r="F347" i="31"/>
  <c r="P348" i="13" s="1"/>
  <c r="O348" i="13"/>
  <c r="H347" i="31"/>
  <c r="Q348" i="13" s="1"/>
  <c r="H348" i="13"/>
  <c r="E346" i="11"/>
  <c r="I348" i="13" s="1"/>
  <c r="D349" i="13" l="1"/>
  <c r="F348" i="11"/>
  <c r="E349" i="13"/>
  <c r="AF348" i="1"/>
  <c r="AK348" i="1"/>
  <c r="X348" i="1"/>
  <c r="W348" i="1" s="1"/>
  <c r="V348" i="1" s="1"/>
  <c r="U348" i="1" s="1"/>
  <c r="F349" i="13" s="1"/>
  <c r="AH348" i="1"/>
  <c r="T348" i="1" l="1"/>
  <c r="AI348" i="1" s="1"/>
  <c r="AJ348" i="1" s="1"/>
  <c r="M349" i="13" s="1"/>
  <c r="E348" i="31" l="1"/>
  <c r="G349" i="13"/>
  <c r="F349" i="1"/>
  <c r="G349" i="1"/>
  <c r="B348" i="31"/>
  <c r="C348" i="31"/>
  <c r="AM348" i="1"/>
  <c r="N349" i="13" s="1"/>
  <c r="AN348" i="1"/>
  <c r="D348" i="31" l="1"/>
  <c r="C347" i="11"/>
  <c r="E349" i="1"/>
  <c r="D349" i="1" s="1"/>
  <c r="Q349" i="1" s="1"/>
  <c r="S349" i="1" s="1"/>
  <c r="H348" i="31" l="1"/>
  <c r="Q349" i="13" s="1"/>
  <c r="O349" i="13"/>
  <c r="F348" i="31"/>
  <c r="P349" i="13" s="1"/>
  <c r="C349" i="1"/>
  <c r="B350" i="13"/>
  <c r="A348" i="11"/>
  <c r="C350" i="13"/>
  <c r="AE349" i="1"/>
  <c r="H350" i="1"/>
  <c r="I350" i="1"/>
  <c r="L349" i="1"/>
  <c r="K349" i="13"/>
  <c r="G347" i="11"/>
  <c r="H347" i="11" s="1"/>
  <c r="J349" i="13" s="1"/>
  <c r="D347" i="11"/>
  <c r="D350" i="13" l="1"/>
  <c r="AH349" i="1"/>
  <c r="E350" i="13"/>
  <c r="AF349" i="1"/>
  <c r="AK349" i="1"/>
  <c r="F349" i="11"/>
  <c r="E347" i="11"/>
  <c r="I349" i="13" s="1"/>
  <c r="H349" i="13"/>
  <c r="Y349" i="1"/>
  <c r="X349" i="1" s="1"/>
  <c r="W349" i="1" s="1"/>
  <c r="V349" i="1" s="1"/>
  <c r="U349" i="1" s="1"/>
  <c r="L350" i="13"/>
  <c r="T349" i="1" l="1"/>
  <c r="F350" i="13"/>
  <c r="AI349" i="1" l="1"/>
  <c r="AJ349" i="1" s="1"/>
  <c r="M350" i="13" s="1"/>
  <c r="G350" i="13"/>
  <c r="E349" i="31"/>
  <c r="F350" i="1" l="1"/>
  <c r="G350" i="1"/>
  <c r="AN349" i="1"/>
  <c r="B349" i="31"/>
  <c r="C349" i="31"/>
  <c r="AM349" i="1"/>
  <c r="N350" i="13" s="1"/>
  <c r="C348" i="11" l="1"/>
  <c r="E350" i="1"/>
  <c r="D350" i="1" s="1"/>
  <c r="Q350" i="1" s="1"/>
  <c r="S350" i="1" s="1"/>
  <c r="D349" i="31"/>
  <c r="O350" i="13" s="1"/>
  <c r="G348" i="11" l="1"/>
  <c r="H348" i="11" s="1"/>
  <c r="J350" i="13" s="1"/>
  <c r="K350" i="13"/>
  <c r="D348" i="11"/>
  <c r="A349" i="11"/>
  <c r="B351" i="13"/>
  <c r="C350" i="1"/>
  <c r="AE350" i="1"/>
  <c r="C351" i="13"/>
  <c r="L350" i="1"/>
  <c r="I351" i="1"/>
  <c r="H351" i="1"/>
  <c r="F349" i="31"/>
  <c r="P350" i="13" s="1"/>
  <c r="H349" i="31"/>
  <c r="Q350" i="13" s="1"/>
  <c r="D351" i="13" l="1"/>
  <c r="AH350" i="1"/>
  <c r="Y350" i="1"/>
  <c r="X350" i="1" s="1"/>
  <c r="W350" i="1" s="1"/>
  <c r="V350" i="1" s="1"/>
  <c r="U350" i="1" s="1"/>
  <c r="L351" i="13"/>
  <c r="E351" i="13"/>
  <c r="AF350" i="1"/>
  <c r="F350" i="11"/>
  <c r="AK350" i="1"/>
  <c r="H350" i="13"/>
  <c r="E348" i="11"/>
  <c r="I350" i="13" s="1"/>
  <c r="F351" i="13" l="1"/>
  <c r="T350" i="1"/>
  <c r="AI350" i="1" l="1"/>
  <c r="AJ350" i="1" s="1"/>
  <c r="M351" i="13" s="1"/>
  <c r="E350" i="31"/>
  <c r="G351" i="13"/>
  <c r="AN350" i="1"/>
  <c r="F351" i="1" l="1"/>
  <c r="G351" i="1"/>
  <c r="C349" i="11"/>
  <c r="C350" i="31"/>
  <c r="B350" i="31"/>
  <c r="AM350" i="1"/>
  <c r="N351" i="13" s="1"/>
  <c r="E351" i="1" l="1"/>
  <c r="D351" i="1" s="1"/>
  <c r="Q351" i="1" s="1"/>
  <c r="S351" i="1" s="1"/>
  <c r="D350" i="31"/>
  <c r="G349" i="11"/>
  <c r="H349" i="11" s="1"/>
  <c r="J351" i="13" s="1"/>
  <c r="K351" i="13"/>
  <c r="D349" i="11"/>
  <c r="C352" i="13" l="1"/>
  <c r="H352" i="1"/>
  <c r="AE351" i="1"/>
  <c r="I352" i="1"/>
  <c r="A350" i="11"/>
  <c r="L352" i="13" s="1"/>
  <c r="C351" i="1"/>
  <c r="L351" i="1"/>
  <c r="B352" i="13"/>
  <c r="H350" i="31"/>
  <c r="Q351" i="13" s="1"/>
  <c r="O351" i="13"/>
  <c r="F350" i="31"/>
  <c r="P351" i="13" s="1"/>
  <c r="E349" i="11"/>
  <c r="I351" i="13" s="1"/>
  <c r="H351" i="13"/>
  <c r="E352" i="13" l="1"/>
  <c r="D352" i="13"/>
  <c r="Y351" i="1"/>
  <c r="X351" i="1" s="1"/>
  <c r="W351" i="1" s="1"/>
  <c r="V351" i="1" s="1"/>
  <c r="U351" i="1" s="1"/>
  <c r="F352" i="13" s="1"/>
  <c r="AH351" i="1"/>
  <c r="AK351" i="1"/>
  <c r="AF351" i="1"/>
  <c r="F351" i="11"/>
  <c r="T351" i="1" l="1"/>
  <c r="AI351" i="1" s="1"/>
  <c r="AJ351" i="1" s="1"/>
  <c r="M352" i="13" s="1"/>
  <c r="AN351" i="1"/>
  <c r="G352" i="13" l="1"/>
  <c r="E351" i="31"/>
  <c r="F352" i="1"/>
  <c r="G352" i="1"/>
  <c r="C350" i="11"/>
  <c r="C351" i="31"/>
  <c r="B351" i="31"/>
  <c r="AM351" i="1"/>
  <c r="N352" i="13" s="1"/>
  <c r="E352" i="1" l="1"/>
  <c r="D352" i="1" s="1"/>
  <c r="Q352" i="1" s="1"/>
  <c r="S352" i="1" s="1"/>
  <c r="D351" i="31"/>
  <c r="K352" i="13"/>
  <c r="G350" i="11"/>
  <c r="H350" i="11" s="1"/>
  <c r="J352" i="13" s="1"/>
  <c r="D350" i="11"/>
  <c r="C353" i="13" l="1"/>
  <c r="I353" i="1"/>
  <c r="H353" i="1"/>
  <c r="AH352" i="1" s="1"/>
  <c r="C352" i="1"/>
  <c r="A351" i="11"/>
  <c r="L353" i="13" s="1"/>
  <c r="L352" i="1"/>
  <c r="AE352" i="1"/>
  <c r="B353" i="13"/>
  <c r="F351" i="31"/>
  <c r="P352" i="13" s="1"/>
  <c r="O352" i="13"/>
  <c r="H351" i="31"/>
  <c r="Q352" i="13" s="1"/>
  <c r="H352" i="13"/>
  <c r="E350" i="11"/>
  <c r="I352" i="13" s="1"/>
  <c r="AK352" i="1" l="1"/>
  <c r="D353" i="13"/>
  <c r="Y352" i="1"/>
  <c r="X352" i="1" s="1"/>
  <c r="W352" i="1" s="1"/>
  <c r="V352" i="1" s="1"/>
  <c r="U352" i="1" s="1"/>
  <c r="T352" i="1" s="1"/>
  <c r="F352" i="11"/>
  <c r="AF352" i="1"/>
  <c r="E353" i="13"/>
  <c r="F353" i="13" l="1"/>
  <c r="AI352" i="1"/>
  <c r="AJ352" i="1" s="1"/>
  <c r="M353" i="13" s="1"/>
  <c r="G353" i="13"/>
  <c r="E352" i="31"/>
  <c r="AN352" i="1"/>
  <c r="F353" i="1" l="1"/>
  <c r="G353" i="1"/>
  <c r="C352" i="31"/>
  <c r="B352" i="31"/>
  <c r="AM352" i="1"/>
  <c r="N353" i="13" s="1"/>
  <c r="C351" i="11"/>
  <c r="E353" i="1" l="1"/>
  <c r="D353" i="1" s="1"/>
  <c r="Q353" i="1" s="1"/>
  <c r="S353" i="1" s="1"/>
  <c r="D352" i="31"/>
  <c r="G351" i="11"/>
  <c r="H351" i="11" s="1"/>
  <c r="J353" i="13" s="1"/>
  <c r="K353" i="13"/>
  <c r="D351" i="11"/>
  <c r="C354" i="13" l="1"/>
  <c r="B354" i="13"/>
  <c r="H354" i="1"/>
  <c r="AH353" i="1" s="1"/>
  <c r="A352" i="11"/>
  <c r="L354" i="13" s="1"/>
  <c r="I354" i="1"/>
  <c r="AE353" i="1"/>
  <c r="L353" i="1"/>
  <c r="C353" i="1"/>
  <c r="F352" i="31"/>
  <c r="P353" i="13" s="1"/>
  <c r="O353" i="13"/>
  <c r="H352" i="31"/>
  <c r="Q353" i="13" s="1"/>
  <c r="E351" i="11"/>
  <c r="I353" i="13" s="1"/>
  <c r="H353" i="13"/>
  <c r="AF353" i="1" l="1"/>
  <c r="D354" i="13"/>
  <c r="Y353" i="1"/>
  <c r="X353" i="1" s="1"/>
  <c r="W353" i="1" s="1"/>
  <c r="V353" i="1" s="1"/>
  <c r="U353" i="1" s="1"/>
  <c r="F354" i="13" s="1"/>
  <c r="AK353" i="1"/>
  <c r="F353" i="11"/>
  <c r="E354" i="13"/>
  <c r="T353" i="1" l="1"/>
  <c r="AI353" i="1" s="1"/>
  <c r="AJ353" i="1" s="1"/>
  <c r="M354" i="13" s="1"/>
  <c r="AN353" i="1"/>
  <c r="E353" i="31" l="1"/>
  <c r="G354" i="13"/>
  <c r="F354" i="1"/>
  <c r="G354" i="1"/>
  <c r="C352" i="11"/>
  <c r="C353" i="31"/>
  <c r="B353" i="31"/>
  <c r="AM353" i="1"/>
  <c r="N354" i="13" s="1"/>
  <c r="E354" i="1" l="1"/>
  <c r="D354" i="1" s="1"/>
  <c r="Q354" i="1" s="1"/>
  <c r="S354" i="1" s="1"/>
  <c r="D353" i="31"/>
  <c r="G352" i="11"/>
  <c r="H352" i="11" s="1"/>
  <c r="J354" i="13" s="1"/>
  <c r="K354" i="13"/>
  <c r="D352" i="11"/>
  <c r="B355" i="13" l="1"/>
  <c r="H355" i="1"/>
  <c r="C355" i="13"/>
  <c r="L354" i="1"/>
  <c r="A353" i="11"/>
  <c r="L355" i="13" s="1"/>
  <c r="C354" i="1"/>
  <c r="AE354" i="1"/>
  <c r="I355" i="1"/>
  <c r="H353" i="31"/>
  <c r="Q354" i="13" s="1"/>
  <c r="O354" i="13"/>
  <c r="F353" i="31"/>
  <c r="P354" i="13" s="1"/>
  <c r="E352" i="11"/>
  <c r="I354" i="13" s="1"/>
  <c r="H354" i="13"/>
  <c r="AK354" i="1" l="1"/>
  <c r="D355" i="13"/>
  <c r="F354" i="11"/>
  <c r="AF354" i="1"/>
  <c r="AH354" i="1"/>
  <c r="E355" i="13"/>
  <c r="Y354" i="1"/>
  <c r="X354" i="1" s="1"/>
  <c r="W354" i="1" s="1"/>
  <c r="V354" i="1" s="1"/>
  <c r="U354" i="1" s="1"/>
  <c r="F355" i="13" s="1"/>
  <c r="T354" i="1" l="1"/>
  <c r="AI354" i="1" s="1"/>
  <c r="AJ354" i="1" s="1"/>
  <c r="M355" i="13" s="1"/>
  <c r="AN354" i="1"/>
  <c r="E354" i="31" l="1"/>
  <c r="G355" i="13"/>
  <c r="F355" i="1"/>
  <c r="G355" i="1"/>
  <c r="C353" i="11"/>
  <c r="B354" i="31"/>
  <c r="C354" i="31"/>
  <c r="AM354" i="1"/>
  <c r="N355" i="13" s="1"/>
  <c r="E355" i="1" l="1"/>
  <c r="D355" i="1" s="1"/>
  <c r="Q355" i="1" s="1"/>
  <c r="S355" i="1" s="1"/>
  <c r="D354" i="31"/>
  <c r="K355" i="13"/>
  <c r="G353" i="11"/>
  <c r="H353" i="11" s="1"/>
  <c r="J355" i="13" s="1"/>
  <c r="D353" i="11"/>
  <c r="A354" i="11" l="1"/>
  <c r="L356" i="13" s="1"/>
  <c r="H356" i="1"/>
  <c r="B356" i="13"/>
  <c r="AE355" i="1"/>
  <c r="C356" i="13"/>
  <c r="I356" i="1"/>
  <c r="L355" i="1"/>
  <c r="C355" i="1"/>
  <c r="F354" i="31"/>
  <c r="P355" i="13" s="1"/>
  <c r="O355" i="13"/>
  <c r="H354" i="31"/>
  <c r="Q355" i="13" s="1"/>
  <c r="E353" i="11"/>
  <c r="I355" i="13" s="1"/>
  <c r="H355" i="13"/>
  <c r="AF355" i="1" l="1"/>
  <c r="D356" i="13"/>
  <c r="AH355" i="1"/>
  <c r="Y355" i="1"/>
  <c r="X355" i="1" s="1"/>
  <c r="W355" i="1" s="1"/>
  <c r="V355" i="1" s="1"/>
  <c r="U355" i="1" s="1"/>
  <c r="F356" i="13" s="1"/>
  <c r="F355" i="11"/>
  <c r="AK355" i="1"/>
  <c r="E356" i="13"/>
  <c r="T355" i="1" l="1"/>
  <c r="AI355" i="1" s="1"/>
  <c r="AJ355" i="1" s="1"/>
  <c r="M356" i="13" s="1"/>
  <c r="G356" i="13" l="1"/>
  <c r="E355" i="31"/>
  <c r="G356" i="1"/>
  <c r="F356" i="1"/>
  <c r="AN355" i="1"/>
  <c r="C355" i="31"/>
  <c r="B355" i="31"/>
  <c r="AM355" i="1"/>
  <c r="N356" i="13" s="1"/>
  <c r="D355" i="31" l="1"/>
  <c r="E356" i="1"/>
  <c r="D356" i="1" s="1"/>
  <c r="Q356" i="1" s="1"/>
  <c r="S356" i="1" s="1"/>
  <c r="C354" i="11"/>
  <c r="F355" i="31" l="1"/>
  <c r="P356" i="13" s="1"/>
  <c r="O356" i="13"/>
  <c r="H355" i="31"/>
  <c r="Q356" i="13" s="1"/>
  <c r="AE356" i="1"/>
  <c r="C356" i="1"/>
  <c r="A355" i="11"/>
  <c r="B357" i="13"/>
  <c r="C357" i="13"/>
  <c r="H357" i="1"/>
  <c r="I357" i="1"/>
  <c r="L356" i="1"/>
  <c r="G354" i="11"/>
  <c r="H354" i="11" s="1"/>
  <c r="J356" i="13" s="1"/>
  <c r="K356" i="13"/>
  <c r="D354" i="11"/>
  <c r="D357" i="13" l="1"/>
  <c r="AH356" i="1"/>
  <c r="E354" i="11"/>
  <c r="I356" i="13" s="1"/>
  <c r="H356" i="13"/>
  <c r="AF356" i="1"/>
  <c r="E357" i="13"/>
  <c r="F356" i="11"/>
  <c r="AK356" i="1"/>
  <c r="Y356" i="1"/>
  <c r="X356" i="1" s="1"/>
  <c r="W356" i="1" s="1"/>
  <c r="V356" i="1" s="1"/>
  <c r="U356" i="1" s="1"/>
  <c r="L357" i="13"/>
  <c r="F357" i="13" l="1"/>
  <c r="T356" i="1"/>
  <c r="AI356" i="1" l="1"/>
  <c r="AJ356" i="1" s="1"/>
  <c r="M357" i="13" s="1"/>
  <c r="E356" i="31"/>
  <c r="G357" i="13"/>
  <c r="AN356" i="1"/>
  <c r="F357" i="1" l="1"/>
  <c r="G357" i="1"/>
  <c r="C355" i="11"/>
  <c r="B356" i="31"/>
  <c r="C356" i="31"/>
  <c r="AM356" i="1"/>
  <c r="N357" i="13" s="1"/>
  <c r="E357" i="1" l="1"/>
  <c r="D357" i="1" s="1"/>
  <c r="Q357" i="1" s="1"/>
  <c r="S357" i="1" s="1"/>
  <c r="D356" i="31"/>
  <c r="K357" i="13"/>
  <c r="G355" i="11"/>
  <c r="H355" i="11" s="1"/>
  <c r="J357" i="13" s="1"/>
  <c r="D355" i="11"/>
  <c r="C357" i="1" l="1"/>
  <c r="I358" i="1"/>
  <c r="A356" i="11"/>
  <c r="L358" i="13" s="1"/>
  <c r="L357" i="1"/>
  <c r="B358" i="13"/>
  <c r="C358" i="13"/>
  <c r="AE357" i="1"/>
  <c r="H358" i="1"/>
  <c r="F356" i="31"/>
  <c r="P357" i="13" s="1"/>
  <c r="O357" i="13"/>
  <c r="H356" i="31"/>
  <c r="Q357" i="13" s="1"/>
  <c r="H357" i="13"/>
  <c r="E355" i="11"/>
  <c r="I357" i="13" s="1"/>
  <c r="D358" i="13" l="1"/>
  <c r="AK357" i="1"/>
  <c r="AH357" i="1"/>
  <c r="AF357" i="1"/>
  <c r="F357" i="11"/>
  <c r="E358" i="13"/>
  <c r="Y357" i="1"/>
  <c r="X357" i="1" s="1"/>
  <c r="W357" i="1" s="1"/>
  <c r="V357" i="1" s="1"/>
  <c r="U357" i="1" s="1"/>
  <c r="F358" i="13" s="1"/>
  <c r="T357" i="1" l="1"/>
  <c r="AI357" i="1" s="1"/>
  <c r="AJ357" i="1" s="1"/>
  <c r="M358" i="13" s="1"/>
  <c r="AN357" i="1"/>
  <c r="E357" i="31" l="1"/>
  <c r="G358" i="13"/>
  <c r="G358" i="1"/>
  <c r="F358" i="1"/>
  <c r="C356" i="11"/>
  <c r="C357" i="31"/>
  <c r="B357" i="31"/>
  <c r="AM357" i="1"/>
  <c r="N358" i="13" s="1"/>
  <c r="E358" i="1" l="1"/>
  <c r="D358" i="1" s="1"/>
  <c r="Q358" i="1" s="1"/>
  <c r="S358" i="1" s="1"/>
  <c r="D357" i="31"/>
  <c r="O358" i="13" s="1"/>
  <c r="G356" i="11"/>
  <c r="H356" i="11" s="1"/>
  <c r="J358" i="13" s="1"/>
  <c r="K358" i="13"/>
  <c r="D356" i="11"/>
  <c r="C359" i="13" l="1"/>
  <c r="H359" i="1"/>
  <c r="B359" i="13"/>
  <c r="C358" i="1"/>
  <c r="L358" i="1"/>
  <c r="A357" i="11"/>
  <c r="L359" i="13" s="1"/>
  <c r="I359" i="1"/>
  <c r="AE358" i="1"/>
  <c r="H358" i="13"/>
  <c r="E356" i="11"/>
  <c r="I358" i="13" s="1"/>
  <c r="F357" i="31"/>
  <c r="P358" i="13" s="1"/>
  <c r="H357" i="31"/>
  <c r="Q358" i="13" s="1"/>
  <c r="F358" i="11" l="1"/>
  <c r="D359" i="13"/>
  <c r="Y358" i="1"/>
  <c r="X358" i="1" s="1"/>
  <c r="W358" i="1" s="1"/>
  <c r="V358" i="1" s="1"/>
  <c r="U358" i="1" s="1"/>
  <c r="T358" i="1" s="1"/>
  <c r="AH358" i="1"/>
  <c r="E359" i="13"/>
  <c r="AF358" i="1"/>
  <c r="AK358" i="1"/>
  <c r="F359" i="13" l="1"/>
  <c r="AI358" i="1"/>
  <c r="AJ358" i="1" s="1"/>
  <c r="M359" i="13" s="1"/>
  <c r="G359" i="13"/>
  <c r="E358" i="31"/>
  <c r="G359" i="1" l="1"/>
  <c r="F359" i="1"/>
  <c r="AN358" i="1"/>
  <c r="C358" i="31"/>
  <c r="B358" i="31"/>
  <c r="AM358" i="1"/>
  <c r="N359" i="13" s="1"/>
  <c r="D358" i="31" l="1"/>
  <c r="C357" i="11"/>
  <c r="E359" i="1"/>
  <c r="D359" i="1" s="1"/>
  <c r="Q359" i="1" s="1"/>
  <c r="S359" i="1" s="1"/>
  <c r="H358" i="31" l="1"/>
  <c r="Q359" i="13" s="1"/>
  <c r="O359" i="13"/>
  <c r="F358" i="31"/>
  <c r="P359" i="13" s="1"/>
  <c r="AE359" i="1"/>
  <c r="B360" i="13"/>
  <c r="C359" i="1"/>
  <c r="A358" i="11"/>
  <c r="C360" i="13"/>
  <c r="H360" i="1"/>
  <c r="I360" i="1"/>
  <c r="L359" i="1"/>
  <c r="K359" i="13"/>
  <c r="G357" i="11"/>
  <c r="H357" i="11" s="1"/>
  <c r="J359" i="13" s="1"/>
  <c r="D357" i="11"/>
  <c r="D360" i="13" l="1"/>
  <c r="AH359" i="1"/>
  <c r="E357" i="11"/>
  <c r="I359" i="13" s="1"/>
  <c r="H359" i="13"/>
  <c r="L360" i="13"/>
  <c r="E360" i="13"/>
  <c r="AF359" i="1"/>
  <c r="F359" i="11"/>
  <c r="AK359" i="1"/>
  <c r="Y359" i="1"/>
  <c r="X359" i="1" s="1"/>
  <c r="W359" i="1" s="1"/>
  <c r="V359" i="1" s="1"/>
  <c r="U359" i="1" s="1"/>
  <c r="T359" i="1" l="1"/>
  <c r="F360" i="13"/>
  <c r="AI359" i="1" l="1"/>
  <c r="AJ359" i="1" s="1"/>
  <c r="M360" i="13" s="1"/>
  <c r="G360" i="13"/>
  <c r="E359" i="31"/>
  <c r="AN359" i="1"/>
  <c r="F360" i="1" l="1"/>
  <c r="G360" i="1"/>
  <c r="B359" i="31"/>
  <c r="C359" i="31"/>
  <c r="AM359" i="1"/>
  <c r="N360" i="13" s="1"/>
  <c r="C358" i="11"/>
  <c r="E360" i="1" l="1"/>
  <c r="D360" i="1" s="1"/>
  <c r="Q360" i="1" s="1"/>
  <c r="S360" i="1" s="1"/>
  <c r="D359" i="31"/>
  <c r="G358" i="11"/>
  <c r="H358" i="11" s="1"/>
  <c r="J360" i="13" s="1"/>
  <c r="K360" i="13"/>
  <c r="D358" i="11"/>
  <c r="C360" i="1" l="1"/>
  <c r="AE360" i="1"/>
  <c r="I361" i="1"/>
  <c r="C361" i="13"/>
  <c r="L360" i="1"/>
  <c r="B361" i="13"/>
  <c r="H361" i="1"/>
  <c r="Y360" i="1" s="1"/>
  <c r="A359" i="11"/>
  <c r="L361" i="13" s="1"/>
  <c r="F359" i="31"/>
  <c r="P360" i="13" s="1"/>
  <c r="O360" i="13"/>
  <c r="H359" i="31"/>
  <c r="Q360" i="13" s="1"/>
  <c r="E358" i="11"/>
  <c r="I360" i="13" s="1"/>
  <c r="H360" i="13"/>
  <c r="D361" i="13" l="1"/>
  <c r="F360" i="11"/>
  <c r="AH360" i="1"/>
  <c r="E361" i="13"/>
  <c r="X360" i="1"/>
  <c r="W360" i="1" s="1"/>
  <c r="V360" i="1" s="1"/>
  <c r="U360" i="1" s="1"/>
  <c r="F361" i="13" s="1"/>
  <c r="AK360" i="1"/>
  <c r="AF360" i="1"/>
  <c r="T360" i="1" l="1"/>
  <c r="E360" i="31" s="1"/>
  <c r="AN360" i="1"/>
  <c r="G361" i="13" l="1"/>
  <c r="AI360" i="1"/>
  <c r="AJ360" i="1" s="1"/>
  <c r="M361" i="13" s="1"/>
  <c r="G361" i="1"/>
  <c r="F361" i="1"/>
  <c r="C359" i="11"/>
  <c r="B360" i="31" l="1"/>
  <c r="AM360" i="1"/>
  <c r="N361" i="13" s="1"/>
  <c r="C360" i="31"/>
  <c r="E361" i="1"/>
  <c r="D361" i="1" s="1"/>
  <c r="Q361" i="1" s="1"/>
  <c r="S361" i="1" s="1"/>
  <c r="G359" i="11"/>
  <c r="H359" i="11" s="1"/>
  <c r="J361" i="13" s="1"/>
  <c r="K361" i="13"/>
  <c r="D359" i="11"/>
  <c r="AE361" i="1" l="1"/>
  <c r="D360" i="31"/>
  <c r="F360" i="31" s="1"/>
  <c r="P361" i="13" s="1"/>
  <c r="H362" i="1"/>
  <c r="B362" i="13"/>
  <c r="L361" i="1"/>
  <c r="C362" i="13"/>
  <c r="I362" i="1"/>
  <c r="C361" i="1"/>
  <c r="A360" i="11"/>
  <c r="L362" i="13" s="1"/>
  <c r="O361" i="13"/>
  <c r="H361" i="13"/>
  <c r="E359" i="11"/>
  <c r="I361" i="13" s="1"/>
  <c r="E362" i="13" l="1"/>
  <c r="D362" i="13"/>
  <c r="H360" i="31"/>
  <c r="Q361" i="13" s="1"/>
  <c r="AH361" i="1"/>
  <c r="AK361" i="1"/>
  <c r="AF361" i="1"/>
  <c r="F361" i="11"/>
  <c r="Y361" i="1"/>
  <c r="X361" i="1" s="1"/>
  <c r="W361" i="1" s="1"/>
  <c r="V361" i="1" s="1"/>
  <c r="U361" i="1" s="1"/>
  <c r="T361" i="1" s="1"/>
  <c r="F362" i="13" l="1"/>
  <c r="AI361" i="1"/>
  <c r="AJ361" i="1" s="1"/>
  <c r="M362" i="13" s="1"/>
  <c r="E361" i="31"/>
  <c r="G362" i="13"/>
  <c r="AN361" i="1"/>
  <c r="G362" i="1" l="1"/>
  <c r="F362" i="1"/>
  <c r="C360" i="11"/>
  <c r="B361" i="31"/>
  <c r="C361" i="31"/>
  <c r="AM361" i="1"/>
  <c r="N362" i="13" s="1"/>
  <c r="E362" i="1" l="1"/>
  <c r="D362" i="1" s="1"/>
  <c r="Q362" i="1" s="1"/>
  <c r="S362" i="1" s="1"/>
  <c r="K362" i="13"/>
  <c r="G360" i="11"/>
  <c r="H360" i="11" s="1"/>
  <c r="J362" i="13" s="1"/>
  <c r="D360" i="11"/>
  <c r="D361" i="31"/>
  <c r="O362" i="13" s="1"/>
  <c r="C362" i="1" l="1"/>
  <c r="L362" i="1"/>
  <c r="C363" i="13"/>
  <c r="AE362" i="1"/>
  <c r="H363" i="1"/>
  <c r="A361" i="11"/>
  <c r="L363" i="13" s="1"/>
  <c r="I363" i="1"/>
  <c r="B363" i="13"/>
  <c r="F361" i="31"/>
  <c r="P362" i="13" s="1"/>
  <c r="H361" i="31"/>
  <c r="Q362" i="13" s="1"/>
  <c r="E360" i="11"/>
  <c r="I362" i="13" s="1"/>
  <c r="H362" i="13"/>
  <c r="D363" i="13" l="1"/>
  <c r="F362" i="11"/>
  <c r="AH362" i="1"/>
  <c r="Y362" i="1"/>
  <c r="X362" i="1" s="1"/>
  <c r="W362" i="1" s="1"/>
  <c r="V362" i="1" s="1"/>
  <c r="U362" i="1" s="1"/>
  <c r="T362" i="1" s="1"/>
  <c r="E363" i="13"/>
  <c r="AF362" i="1"/>
  <c r="AK362" i="1"/>
  <c r="F363" i="13" l="1"/>
  <c r="AI362" i="1"/>
  <c r="AJ362" i="1" s="1"/>
  <c r="M363" i="13" s="1"/>
  <c r="E362" i="31"/>
  <c r="G363" i="13"/>
  <c r="AN362" i="1"/>
  <c r="F363" i="1" l="1"/>
  <c r="G363" i="1"/>
  <c r="C361" i="11"/>
  <c r="B362" i="31"/>
  <c r="C362" i="31"/>
  <c r="AM362" i="1"/>
  <c r="N363" i="13" s="1"/>
  <c r="E363" i="1" l="1"/>
  <c r="D363" i="1" s="1"/>
  <c r="Q363" i="1" s="1"/>
  <c r="S363" i="1" s="1"/>
  <c r="G361" i="11"/>
  <c r="H361" i="11" s="1"/>
  <c r="J363" i="13" s="1"/>
  <c r="K363" i="13"/>
  <c r="D361" i="11"/>
  <c r="D362" i="31"/>
  <c r="O363" i="13" s="1"/>
  <c r="B364" i="13" l="1"/>
  <c r="I364" i="1"/>
  <c r="H364" i="1"/>
  <c r="C364" i="13"/>
  <c r="C363" i="1"/>
  <c r="L363" i="1"/>
  <c r="A362" i="11"/>
  <c r="L364" i="13" s="1"/>
  <c r="AE363" i="1"/>
  <c r="H362" i="31"/>
  <c r="Q363" i="13" s="1"/>
  <c r="F362" i="31"/>
  <c r="P363" i="13" s="1"/>
  <c r="E361" i="11"/>
  <c r="I363" i="13" s="1"/>
  <c r="H363" i="13"/>
  <c r="E364" i="13" l="1"/>
  <c r="D364" i="13"/>
  <c r="Y363" i="1"/>
  <c r="X363" i="1" s="1"/>
  <c r="W363" i="1" s="1"/>
  <c r="V363" i="1" s="1"/>
  <c r="U363" i="1" s="1"/>
  <c r="T363" i="1" s="1"/>
  <c r="AH363" i="1"/>
  <c r="F363" i="11"/>
  <c r="AK363" i="1"/>
  <c r="AF363" i="1"/>
  <c r="F364" i="13" l="1"/>
  <c r="AI363" i="1"/>
  <c r="AJ363" i="1" s="1"/>
  <c r="M364" i="13" s="1"/>
  <c r="G364" i="13"/>
  <c r="E363" i="31"/>
  <c r="G364" i="1" l="1"/>
  <c r="F364" i="1"/>
  <c r="AN363" i="1"/>
  <c r="B363" i="31"/>
  <c r="C363" i="31"/>
  <c r="AM363" i="1"/>
  <c r="N364" i="13" s="1"/>
  <c r="E364" i="1" l="1"/>
  <c r="D364" i="1" s="1"/>
  <c r="Q364" i="1" s="1"/>
  <c r="S364" i="1" s="1"/>
  <c r="C362" i="11"/>
  <c r="D363" i="31"/>
  <c r="O364" i="13" s="1"/>
  <c r="F363" i="31" l="1"/>
  <c r="P364" i="13" s="1"/>
  <c r="H363" i="31"/>
  <c r="Q364" i="13" s="1"/>
  <c r="G362" i="11"/>
  <c r="H362" i="11" s="1"/>
  <c r="J364" i="13" s="1"/>
  <c r="K364" i="13"/>
  <c r="D362" i="11"/>
  <c r="A363" i="11"/>
  <c r="C365" i="13"/>
  <c r="AE364" i="1"/>
  <c r="B365" i="13"/>
  <c r="C364" i="1"/>
  <c r="L364" i="1"/>
  <c r="H365" i="1"/>
  <c r="I365" i="1"/>
  <c r="D365" i="13" l="1"/>
  <c r="AH364" i="1"/>
  <c r="L365" i="13"/>
  <c r="Y364" i="1"/>
  <c r="X364" i="1" s="1"/>
  <c r="W364" i="1" s="1"/>
  <c r="V364" i="1" s="1"/>
  <c r="U364" i="1" s="1"/>
  <c r="H364" i="13"/>
  <c r="E362" i="11"/>
  <c r="I364" i="13" s="1"/>
  <c r="E365" i="13"/>
  <c r="AF364" i="1"/>
  <c r="F364" i="11"/>
  <c r="AK364" i="1"/>
  <c r="T364" i="1" l="1"/>
  <c r="F365" i="13"/>
  <c r="AI364" i="1" l="1"/>
  <c r="AJ364" i="1" s="1"/>
  <c r="M365" i="13" s="1"/>
  <c r="E364" i="31"/>
  <c r="G365" i="13"/>
  <c r="AN364" i="1"/>
  <c r="F365" i="1" l="1"/>
  <c r="G365" i="1"/>
  <c r="C363" i="11"/>
  <c r="C364" i="31"/>
  <c r="B364" i="31"/>
  <c r="AM364" i="1"/>
  <c r="N365" i="13" s="1"/>
  <c r="E365" i="1" l="1"/>
  <c r="D365" i="1" s="1"/>
  <c r="Q365" i="1" s="1"/>
  <c r="S365" i="1" s="1"/>
  <c r="D364" i="31"/>
  <c r="G363" i="11"/>
  <c r="H363" i="11" s="1"/>
  <c r="J365" i="13" s="1"/>
  <c r="K365" i="13"/>
  <c r="D363" i="11"/>
  <c r="B366" i="13" l="1"/>
  <c r="L365" i="1"/>
  <c r="H366" i="1"/>
  <c r="A364" i="11"/>
  <c r="L366" i="13" s="1"/>
  <c r="C366" i="13"/>
  <c r="AE365" i="1"/>
  <c r="C365" i="1"/>
  <c r="I366" i="1"/>
  <c r="F364" i="31"/>
  <c r="P365" i="13" s="1"/>
  <c r="O365" i="13"/>
  <c r="H364" i="31"/>
  <c r="Q365" i="13" s="1"/>
  <c r="E363" i="11"/>
  <c r="I365" i="13" s="1"/>
  <c r="H365" i="13"/>
  <c r="E366" i="13" l="1"/>
  <c r="D366" i="13"/>
  <c r="Y365" i="1"/>
  <c r="X365" i="1" s="1"/>
  <c r="W365" i="1" s="1"/>
  <c r="V365" i="1" s="1"/>
  <c r="U365" i="1" s="1"/>
  <c r="F366" i="13" s="1"/>
  <c r="AH365" i="1"/>
  <c r="F365" i="11"/>
  <c r="AF365" i="1"/>
  <c r="AK365" i="1"/>
  <c r="T365" i="1" l="1"/>
  <c r="AI365" i="1" s="1"/>
  <c r="AJ365" i="1" s="1"/>
  <c r="M366" i="13" s="1"/>
  <c r="AN365" i="1"/>
  <c r="G366" i="13" l="1"/>
  <c r="E365" i="31"/>
  <c r="G366" i="1"/>
  <c r="F366" i="1"/>
  <c r="C364" i="11"/>
  <c r="B365" i="31"/>
  <c r="C365" i="31"/>
  <c r="AM365" i="1"/>
  <c r="N366" i="13" s="1"/>
  <c r="E366" i="1" l="1"/>
  <c r="D366" i="1" s="1"/>
  <c r="Q366" i="1" s="1"/>
  <c r="S366" i="1" s="1"/>
  <c r="G364" i="11"/>
  <c r="H364" i="11" s="1"/>
  <c r="J366" i="13" s="1"/>
  <c r="K366" i="13"/>
  <c r="D364" i="11"/>
  <c r="D365" i="31"/>
  <c r="O366" i="13" s="1"/>
  <c r="C366" i="1" l="1"/>
  <c r="AE366" i="1"/>
  <c r="A365" i="11"/>
  <c r="L367" i="13" s="1"/>
  <c r="C367" i="13"/>
  <c r="L366" i="1"/>
  <c r="I367" i="1"/>
  <c r="B367" i="13"/>
  <c r="H367" i="1"/>
  <c r="AH366" i="1" s="1"/>
  <c r="H366" i="13"/>
  <c r="E364" i="11"/>
  <c r="I366" i="13" s="1"/>
  <c r="F365" i="31"/>
  <c r="P366" i="13" s="1"/>
  <c r="H365" i="31"/>
  <c r="Q366" i="13" s="1"/>
  <c r="D367" i="13" l="1"/>
  <c r="E367" i="13"/>
  <c r="Y366" i="1"/>
  <c r="X366" i="1" s="1"/>
  <c r="W366" i="1" s="1"/>
  <c r="V366" i="1" s="1"/>
  <c r="U366" i="1" s="1"/>
  <c r="T366" i="1" s="1"/>
  <c r="AF366" i="1"/>
  <c r="F366" i="11"/>
  <c r="AK366" i="1"/>
  <c r="F367" i="13" l="1"/>
  <c r="AI366" i="1"/>
  <c r="AJ366" i="1" s="1"/>
  <c r="M367" i="13" s="1"/>
  <c r="E366" i="31"/>
  <c r="G367" i="13"/>
  <c r="AN366" i="1"/>
  <c r="G367" i="1" l="1"/>
  <c r="F367" i="1"/>
  <c r="C365" i="11"/>
  <c r="C366" i="31"/>
  <c r="B366" i="31"/>
  <c r="AM366" i="1"/>
  <c r="N367" i="13" s="1"/>
  <c r="E367" i="1" l="1"/>
  <c r="D367" i="1" s="1"/>
  <c r="Q367" i="1" s="1"/>
  <c r="S367" i="1" s="1"/>
  <c r="D366" i="31"/>
  <c r="K367" i="13"/>
  <c r="G365" i="11"/>
  <c r="H365" i="11" s="1"/>
  <c r="J367" i="13" s="1"/>
  <c r="D365" i="11"/>
  <c r="AE367" i="1" l="1"/>
  <c r="I368" i="1"/>
  <c r="C368" i="13"/>
  <c r="A366" i="11"/>
  <c r="L368" i="13" s="1"/>
  <c r="B368" i="13"/>
  <c r="H368" i="1"/>
  <c r="Y367" i="1" s="1"/>
  <c r="C367" i="1"/>
  <c r="L367" i="1"/>
  <c r="F366" i="31"/>
  <c r="P367" i="13" s="1"/>
  <c r="O367" i="13"/>
  <c r="H366" i="31"/>
  <c r="Q367" i="13" s="1"/>
  <c r="H367" i="13"/>
  <c r="E365" i="11"/>
  <c r="I367" i="13" s="1"/>
  <c r="F367" i="11" l="1"/>
  <c r="D368" i="13"/>
  <c r="AH367" i="1"/>
  <c r="AK367" i="1"/>
  <c r="AF367" i="1"/>
  <c r="X367" i="1"/>
  <c r="W367" i="1" s="1"/>
  <c r="V367" i="1" s="1"/>
  <c r="U367" i="1" s="1"/>
  <c r="T367" i="1" s="1"/>
  <c r="E368" i="13"/>
  <c r="F368" i="13" l="1"/>
  <c r="AI367" i="1"/>
  <c r="AJ367" i="1" s="1"/>
  <c r="M368" i="13" s="1"/>
  <c r="G368" i="13"/>
  <c r="E367" i="31"/>
  <c r="F368" i="1" l="1"/>
  <c r="G368" i="1"/>
  <c r="C367" i="31"/>
  <c r="B367" i="31"/>
  <c r="AM367" i="1"/>
  <c r="N368" i="13" s="1"/>
  <c r="AN367" i="1"/>
  <c r="D367" i="31" l="1"/>
  <c r="O368" i="13" s="1"/>
  <c r="C366" i="11"/>
  <c r="E368" i="1"/>
  <c r="D368" i="1" s="1"/>
  <c r="Q368" i="1" s="1"/>
  <c r="S368" i="1" s="1"/>
  <c r="C369" i="13" l="1"/>
  <c r="C368" i="1"/>
  <c r="B369" i="13"/>
  <c r="A367" i="11"/>
  <c r="AE368" i="1"/>
  <c r="H369" i="1"/>
  <c r="L368" i="1"/>
  <c r="I369" i="1"/>
  <c r="K368" i="13"/>
  <c r="G366" i="11"/>
  <c r="H366" i="11" s="1"/>
  <c r="J368" i="13" s="1"/>
  <c r="D366" i="11"/>
  <c r="H367" i="31"/>
  <c r="Q368" i="13" s="1"/>
  <c r="F367" i="31"/>
  <c r="P368" i="13" s="1"/>
  <c r="D369" i="13" l="1"/>
  <c r="AH368" i="1"/>
  <c r="E369" i="13"/>
  <c r="AF368" i="1"/>
  <c r="AK368" i="1"/>
  <c r="F368" i="11"/>
  <c r="L369" i="13"/>
  <c r="H368" i="13"/>
  <c r="E366" i="11"/>
  <c r="I368" i="13" s="1"/>
  <c r="Y368" i="1"/>
  <c r="X368" i="1" s="1"/>
  <c r="W368" i="1" s="1"/>
  <c r="V368" i="1" s="1"/>
  <c r="U368" i="1" s="1"/>
  <c r="T368" i="1" l="1"/>
  <c r="F369" i="13"/>
  <c r="AI368" i="1" l="1"/>
  <c r="AJ368" i="1" s="1"/>
  <c r="M369" i="13" s="1"/>
  <c r="G369" i="13"/>
  <c r="E368" i="31"/>
  <c r="AN368" i="1"/>
  <c r="G369" i="1" l="1"/>
  <c r="F369" i="1"/>
  <c r="C367" i="11"/>
  <c r="B368" i="31"/>
  <c r="C368" i="31"/>
  <c r="AM368" i="1"/>
  <c r="N369" i="13" s="1"/>
  <c r="E369" i="1" l="1"/>
  <c r="D369" i="1" s="1"/>
  <c r="Q369" i="1" s="1"/>
  <c r="S369" i="1" s="1"/>
  <c r="D368" i="31"/>
  <c r="G367" i="11"/>
  <c r="H367" i="11" s="1"/>
  <c r="J369" i="13" s="1"/>
  <c r="K369" i="13"/>
  <c r="D367" i="11"/>
  <c r="C370" i="13" l="1"/>
  <c r="I370" i="1"/>
  <c r="C369" i="1"/>
  <c r="AE369" i="1"/>
  <c r="A368" i="11"/>
  <c r="L370" i="13" s="1"/>
  <c r="L369" i="1"/>
  <c r="B370" i="13"/>
  <c r="H370" i="1"/>
  <c r="AH369" i="1" s="1"/>
  <c r="H368" i="31"/>
  <c r="Q369" i="13" s="1"/>
  <c r="O369" i="13"/>
  <c r="F368" i="31"/>
  <c r="P369" i="13" s="1"/>
  <c r="H369" i="13"/>
  <c r="E367" i="11"/>
  <c r="I369" i="13" s="1"/>
  <c r="F369" i="11" l="1"/>
  <c r="D370" i="13"/>
  <c r="Y369" i="1"/>
  <c r="X369" i="1" s="1"/>
  <c r="W369" i="1" s="1"/>
  <c r="V369" i="1" s="1"/>
  <c r="U369" i="1" s="1"/>
  <c r="F370" i="13" s="1"/>
  <c r="E370" i="13"/>
  <c r="AF369" i="1"/>
  <c r="AK369" i="1"/>
  <c r="T369" i="1" l="1"/>
  <c r="AI369" i="1" s="1"/>
  <c r="AJ369" i="1" s="1"/>
  <c r="M370" i="13" s="1"/>
  <c r="E369" i="31" l="1"/>
  <c r="G370" i="13"/>
  <c r="G370" i="1"/>
  <c r="F370" i="1"/>
  <c r="C369" i="31"/>
  <c r="B369" i="31"/>
  <c r="AM369" i="1"/>
  <c r="N370" i="13" s="1"/>
  <c r="AN369" i="1"/>
  <c r="D369" i="31" l="1"/>
  <c r="O370" i="13" s="1"/>
  <c r="E370" i="1"/>
  <c r="D370" i="1" s="1"/>
  <c r="Q370" i="1" s="1"/>
  <c r="S370" i="1" s="1"/>
  <c r="C368" i="11"/>
  <c r="K370" i="13" l="1"/>
  <c r="G368" i="11"/>
  <c r="H368" i="11" s="1"/>
  <c r="J370" i="13" s="1"/>
  <c r="D368" i="11"/>
  <c r="AE370" i="1"/>
  <c r="A369" i="11"/>
  <c r="C371" i="13"/>
  <c r="C370" i="1"/>
  <c r="B371" i="13"/>
  <c r="L370" i="1"/>
  <c r="I371" i="1"/>
  <c r="H371" i="1"/>
  <c r="F369" i="31"/>
  <c r="P370" i="13" s="1"/>
  <c r="H369" i="31"/>
  <c r="Q370" i="13" s="1"/>
  <c r="D371" i="13" l="1"/>
  <c r="AH370" i="1"/>
  <c r="H370" i="13"/>
  <c r="E368" i="11"/>
  <c r="I370" i="13" s="1"/>
  <c r="AF370" i="1"/>
  <c r="E371" i="13"/>
  <c r="AK370" i="1"/>
  <c r="F370" i="11"/>
  <c r="L371" i="13"/>
  <c r="Y370" i="1"/>
  <c r="X370" i="1" s="1"/>
  <c r="W370" i="1" s="1"/>
  <c r="V370" i="1" s="1"/>
  <c r="U370" i="1" s="1"/>
  <c r="F371" i="13" l="1"/>
  <c r="T370" i="1"/>
  <c r="AI370" i="1" l="1"/>
  <c r="AJ370" i="1" s="1"/>
  <c r="M371" i="13" s="1"/>
  <c r="E370" i="31"/>
  <c r="G371" i="13"/>
  <c r="AN370" i="1"/>
  <c r="G371" i="1" l="1"/>
  <c r="F371" i="1"/>
  <c r="C369" i="11"/>
  <c r="C370" i="31"/>
  <c r="B370" i="31"/>
  <c r="AM370" i="1"/>
  <c r="N371" i="13" s="1"/>
  <c r="E371" i="1" l="1"/>
  <c r="D371" i="1" s="1"/>
  <c r="Q371" i="1" s="1"/>
  <c r="S371" i="1" s="1"/>
  <c r="D370" i="31"/>
  <c r="K371" i="13"/>
  <c r="G369" i="11"/>
  <c r="H369" i="11" s="1"/>
  <c r="J371" i="13" s="1"/>
  <c r="D369" i="11"/>
  <c r="A370" i="11" l="1"/>
  <c r="L372" i="13" s="1"/>
  <c r="B372" i="13"/>
  <c r="H372" i="1"/>
  <c r="C372" i="13"/>
  <c r="L371" i="1"/>
  <c r="AE371" i="1"/>
  <c r="I372" i="1"/>
  <c r="C371" i="1"/>
  <c r="F370" i="31"/>
  <c r="P371" i="13" s="1"/>
  <c r="O371" i="13"/>
  <c r="H370" i="31"/>
  <c r="Q371" i="13" s="1"/>
  <c r="H371" i="13"/>
  <c r="E369" i="11"/>
  <c r="I371" i="13" s="1"/>
  <c r="AF371" i="1" l="1"/>
  <c r="D372" i="13"/>
  <c r="AH371" i="1"/>
  <c r="F371" i="11"/>
  <c r="Y371" i="1"/>
  <c r="X371" i="1" s="1"/>
  <c r="W371" i="1" s="1"/>
  <c r="V371" i="1" s="1"/>
  <c r="U371" i="1" s="1"/>
  <c r="F372" i="13" s="1"/>
  <c r="E372" i="13"/>
  <c r="AK371" i="1"/>
  <c r="T371" i="1" l="1"/>
  <c r="AI371" i="1" s="1"/>
  <c r="AJ371" i="1" s="1"/>
  <c r="M372" i="13" s="1"/>
  <c r="AN371" i="1"/>
  <c r="E371" i="31" l="1"/>
  <c r="G372" i="13"/>
  <c r="F372" i="1"/>
  <c r="G372" i="1"/>
  <c r="C370" i="11"/>
  <c r="B371" i="31"/>
  <c r="C371" i="31"/>
  <c r="AM371" i="1"/>
  <c r="N372" i="13" s="1"/>
  <c r="E372" i="1" l="1"/>
  <c r="D372" i="1" s="1"/>
  <c r="Q372" i="1" s="1"/>
  <c r="S372" i="1" s="1"/>
  <c r="D371" i="31"/>
  <c r="G370" i="11"/>
  <c r="H370" i="11" s="1"/>
  <c r="J372" i="13" s="1"/>
  <c r="K372" i="13"/>
  <c r="D370" i="11"/>
  <c r="C372" i="1" l="1"/>
  <c r="L372" i="1"/>
  <c r="C373" i="13"/>
  <c r="H373" i="1"/>
  <c r="B373" i="13"/>
  <c r="AE372" i="1"/>
  <c r="A371" i="11"/>
  <c r="L373" i="13" s="1"/>
  <c r="I373" i="1"/>
  <c r="H371" i="31"/>
  <c r="Q372" i="13" s="1"/>
  <c r="O372" i="13"/>
  <c r="F371" i="31"/>
  <c r="P372" i="13" s="1"/>
  <c r="H372" i="13"/>
  <c r="E370" i="11"/>
  <c r="I372" i="13" s="1"/>
  <c r="D373" i="13" l="1"/>
  <c r="AK372" i="1"/>
  <c r="AH372" i="1"/>
  <c r="F372" i="11"/>
  <c r="Y372" i="1"/>
  <c r="X372" i="1" s="1"/>
  <c r="W372" i="1" s="1"/>
  <c r="V372" i="1" s="1"/>
  <c r="U372" i="1" s="1"/>
  <c r="F373" i="13" s="1"/>
  <c r="E373" i="13"/>
  <c r="AF372" i="1"/>
  <c r="T372" i="1" l="1"/>
  <c r="G373" i="13" s="1"/>
  <c r="AI372" i="1" l="1"/>
  <c r="AJ372" i="1" s="1"/>
  <c r="M373" i="13" s="1"/>
  <c r="E372" i="31"/>
  <c r="F373" i="1"/>
  <c r="G373" i="1"/>
  <c r="AN372" i="1"/>
  <c r="C372" i="31" l="1"/>
  <c r="AM372" i="1"/>
  <c r="N373" i="13" s="1"/>
  <c r="B372" i="31"/>
  <c r="C371" i="11"/>
  <c r="E373" i="1"/>
  <c r="D373" i="1" s="1"/>
  <c r="Q373" i="1" s="1"/>
  <c r="S373" i="1" s="1"/>
  <c r="D372" i="31" l="1"/>
  <c r="H372" i="31" s="1"/>
  <c r="Q373" i="13" s="1"/>
  <c r="O373" i="13"/>
  <c r="K373" i="13"/>
  <c r="G371" i="11"/>
  <c r="H371" i="11" s="1"/>
  <c r="J373" i="13" s="1"/>
  <c r="D371" i="11"/>
  <c r="C374" i="13"/>
  <c r="AE373" i="1"/>
  <c r="C373" i="1"/>
  <c r="A372" i="11"/>
  <c r="B374" i="13"/>
  <c r="H374" i="1"/>
  <c r="I374" i="1"/>
  <c r="L373" i="1"/>
  <c r="D374" i="13" l="1"/>
  <c r="F372" i="31"/>
  <c r="P373" i="13" s="1"/>
  <c r="AH373" i="1"/>
  <c r="E374" i="13"/>
  <c r="AF373" i="1"/>
  <c r="AK373" i="1"/>
  <c r="F373" i="11"/>
  <c r="L374" i="13"/>
  <c r="H373" i="13"/>
  <c r="E371" i="11"/>
  <c r="I373" i="13" s="1"/>
  <c r="Y373" i="1"/>
  <c r="X373" i="1" s="1"/>
  <c r="W373" i="1" s="1"/>
  <c r="V373" i="1" s="1"/>
  <c r="U373" i="1" s="1"/>
  <c r="F374" i="13" l="1"/>
  <c r="T373" i="1"/>
  <c r="AI373" i="1" l="1"/>
  <c r="AJ373" i="1" s="1"/>
  <c r="M374" i="13" s="1"/>
  <c r="G374" i="13"/>
  <c r="E373" i="31"/>
  <c r="AN373" i="1"/>
  <c r="F374" i="1" l="1"/>
  <c r="G374" i="1"/>
  <c r="B373" i="31"/>
  <c r="C373" i="31"/>
  <c r="AM373" i="1"/>
  <c r="N374" i="13" s="1"/>
  <c r="C372" i="11"/>
  <c r="E374" i="1" l="1"/>
  <c r="D374" i="1" s="1"/>
  <c r="Q374" i="1" s="1"/>
  <c r="S374" i="1" s="1"/>
  <c r="D373" i="31"/>
  <c r="K374" i="13"/>
  <c r="G372" i="11"/>
  <c r="H372" i="11" s="1"/>
  <c r="J374" i="13" s="1"/>
  <c r="D372" i="11"/>
  <c r="AE374" i="1" l="1"/>
  <c r="I375" i="1"/>
  <c r="C375" i="13"/>
  <c r="H375" i="1"/>
  <c r="B375" i="13"/>
  <c r="A373" i="11"/>
  <c r="L375" i="13" s="1"/>
  <c r="L374" i="1"/>
  <c r="C374" i="1"/>
  <c r="F373" i="31"/>
  <c r="P374" i="13" s="1"/>
  <c r="O374" i="13"/>
  <c r="H373" i="31"/>
  <c r="Q374" i="13" s="1"/>
  <c r="E372" i="11"/>
  <c r="I374" i="13" s="1"/>
  <c r="H374" i="13"/>
  <c r="E375" i="13" l="1"/>
  <c r="D375" i="13"/>
  <c r="AH374" i="1"/>
  <c r="F374" i="11"/>
  <c r="AK374" i="1"/>
  <c r="AF374" i="1"/>
  <c r="Y374" i="1"/>
  <c r="X374" i="1" s="1"/>
  <c r="W374" i="1" s="1"/>
  <c r="V374" i="1" s="1"/>
  <c r="U374" i="1" s="1"/>
  <c r="T374" i="1" s="1"/>
  <c r="F375" i="13" l="1"/>
  <c r="AI374" i="1"/>
  <c r="AJ374" i="1" s="1"/>
  <c r="M375" i="13" s="1"/>
  <c r="E374" i="31"/>
  <c r="G375" i="13"/>
  <c r="AN374" i="1"/>
  <c r="F375" i="1" l="1"/>
  <c r="G375" i="1"/>
  <c r="C373" i="11"/>
  <c r="B374" i="31"/>
  <c r="C374" i="31"/>
  <c r="AM374" i="1"/>
  <c r="N375" i="13" s="1"/>
  <c r="E375" i="1" l="1"/>
  <c r="D375" i="1" s="1"/>
  <c r="Q375" i="1" s="1"/>
  <c r="S375" i="1" s="1"/>
  <c r="D374" i="31"/>
  <c r="K375" i="13"/>
  <c r="G373" i="11"/>
  <c r="H373" i="11" s="1"/>
  <c r="J375" i="13" s="1"/>
  <c r="D373" i="11"/>
  <c r="C375" i="1" l="1"/>
  <c r="AE375" i="1"/>
  <c r="B376" i="13"/>
  <c r="C376" i="13"/>
  <c r="H376" i="1"/>
  <c r="Y375" i="1" s="1"/>
  <c r="A374" i="11"/>
  <c r="L376" i="13" s="1"/>
  <c r="L375" i="1"/>
  <c r="I376" i="1"/>
  <c r="F374" i="31"/>
  <c r="P375" i="13" s="1"/>
  <c r="O375" i="13"/>
  <c r="H374" i="31"/>
  <c r="Q375" i="13" s="1"/>
  <c r="H375" i="13"/>
  <c r="E373" i="11"/>
  <c r="I375" i="13" s="1"/>
  <c r="D376" i="13" l="1"/>
  <c r="E376" i="13"/>
  <c r="AH375" i="1"/>
  <c r="X375" i="1"/>
  <c r="W375" i="1" s="1"/>
  <c r="V375" i="1" s="1"/>
  <c r="U375" i="1" s="1"/>
  <c r="F376" i="13" s="1"/>
  <c r="AK375" i="1"/>
  <c r="F375" i="11"/>
  <c r="AF375" i="1"/>
  <c r="T375" i="1" l="1"/>
  <c r="AI375" i="1" s="1"/>
  <c r="AJ375" i="1" s="1"/>
  <c r="M376" i="13" s="1"/>
  <c r="AN375" i="1"/>
  <c r="G376" i="13" l="1"/>
  <c r="E375" i="31"/>
  <c r="G376" i="1"/>
  <c r="F376" i="1"/>
  <c r="C374" i="11"/>
  <c r="B375" i="31"/>
  <c r="C375" i="31"/>
  <c r="AM375" i="1"/>
  <c r="N376" i="13" s="1"/>
  <c r="E376" i="1" l="1"/>
  <c r="D376" i="1" s="1"/>
  <c r="Q376" i="1" s="1"/>
  <c r="S376" i="1" s="1"/>
  <c r="D375" i="31"/>
  <c r="K376" i="13"/>
  <c r="G374" i="11"/>
  <c r="H374" i="11" s="1"/>
  <c r="J376" i="13" s="1"/>
  <c r="D374" i="11"/>
  <c r="C376" i="1" l="1"/>
  <c r="H377" i="1"/>
  <c r="A375" i="11"/>
  <c r="L377" i="13" s="1"/>
  <c r="L376" i="1"/>
  <c r="AE376" i="1"/>
  <c r="I377" i="1"/>
  <c r="C377" i="13"/>
  <c r="B377" i="13"/>
  <c r="H375" i="31"/>
  <c r="Q376" i="13" s="1"/>
  <c r="O376" i="13"/>
  <c r="F375" i="31"/>
  <c r="P376" i="13" s="1"/>
  <c r="E374" i="11"/>
  <c r="I376" i="13" s="1"/>
  <c r="H376" i="13"/>
  <c r="D377" i="13" l="1"/>
  <c r="F376" i="11"/>
  <c r="AH376" i="1"/>
  <c r="Y376" i="1"/>
  <c r="X376" i="1" s="1"/>
  <c r="W376" i="1" s="1"/>
  <c r="V376" i="1" s="1"/>
  <c r="U376" i="1" s="1"/>
  <c r="F377" i="13" s="1"/>
  <c r="E377" i="13"/>
  <c r="AF376" i="1"/>
  <c r="AK376" i="1"/>
  <c r="T376" i="1" l="1"/>
  <c r="AI376" i="1" s="1"/>
  <c r="AJ376" i="1" s="1"/>
  <c r="M377" i="13" s="1"/>
  <c r="AN376" i="1"/>
  <c r="G377" i="13" l="1"/>
  <c r="E376" i="31"/>
  <c r="G377" i="1"/>
  <c r="F377" i="1"/>
  <c r="C375" i="11"/>
  <c r="B376" i="31"/>
  <c r="C376" i="31"/>
  <c r="AM376" i="1"/>
  <c r="N377" i="13" s="1"/>
  <c r="E377" i="1" l="1"/>
  <c r="D377" i="1" s="1"/>
  <c r="Q377" i="1" s="1"/>
  <c r="S377" i="1" s="1"/>
  <c r="D376" i="31"/>
  <c r="G375" i="11"/>
  <c r="H375" i="11" s="1"/>
  <c r="J377" i="13" s="1"/>
  <c r="K377" i="13"/>
  <c r="D375" i="11"/>
  <c r="A376" i="11" l="1"/>
  <c r="L378" i="13" s="1"/>
  <c r="AE377" i="1"/>
  <c r="H378" i="1"/>
  <c r="L377" i="1"/>
  <c r="C378" i="13"/>
  <c r="B378" i="13"/>
  <c r="C377" i="1"/>
  <c r="I378" i="1"/>
  <c r="H376" i="31"/>
  <c r="Q377" i="13" s="1"/>
  <c r="O377" i="13"/>
  <c r="F376" i="31"/>
  <c r="P377" i="13" s="1"/>
  <c r="H377" i="13"/>
  <c r="E375" i="11"/>
  <c r="I377" i="13" s="1"/>
  <c r="E378" i="13" l="1"/>
  <c r="AH377" i="1"/>
  <c r="D378" i="13"/>
  <c r="Y377" i="1"/>
  <c r="X377" i="1" s="1"/>
  <c r="W377" i="1" s="1"/>
  <c r="V377" i="1" s="1"/>
  <c r="U377" i="1" s="1"/>
  <c r="F378" i="13" s="1"/>
  <c r="F377" i="11"/>
  <c r="AK377" i="1"/>
  <c r="AF377" i="1"/>
  <c r="T377" i="1" l="1"/>
  <c r="G378" i="13" s="1"/>
  <c r="AN377" i="1"/>
  <c r="AI377" i="1" l="1"/>
  <c r="AJ377" i="1" s="1"/>
  <c r="M378" i="13" s="1"/>
  <c r="E377" i="31"/>
  <c r="G378" i="1"/>
  <c r="F378" i="1"/>
  <c r="C376" i="11"/>
  <c r="AM377" i="1" l="1"/>
  <c r="N378" i="13" s="1"/>
  <c r="C377" i="31"/>
  <c r="B377" i="31"/>
  <c r="E378" i="1"/>
  <c r="D378" i="1" s="1"/>
  <c r="Q378" i="1" s="1"/>
  <c r="S378" i="1" s="1"/>
  <c r="K378" i="13"/>
  <c r="G376" i="11"/>
  <c r="H376" i="11" s="1"/>
  <c r="J378" i="13" s="1"/>
  <c r="D376" i="11"/>
  <c r="A377" i="11" l="1"/>
  <c r="L379" i="13" s="1"/>
  <c r="D377" i="31"/>
  <c r="F377" i="31" s="1"/>
  <c r="P378" i="13" s="1"/>
  <c r="L378" i="1"/>
  <c r="C379" i="13"/>
  <c r="I379" i="1"/>
  <c r="C378" i="1"/>
  <c r="B379" i="13"/>
  <c r="AE378" i="1"/>
  <c r="H379" i="1"/>
  <c r="AH378" i="1" s="1"/>
  <c r="O378" i="13"/>
  <c r="H378" i="13"/>
  <c r="E376" i="11"/>
  <c r="I378" i="13" s="1"/>
  <c r="F378" i="11" l="1"/>
  <c r="D379" i="13"/>
  <c r="Y378" i="1"/>
  <c r="X378" i="1" s="1"/>
  <c r="W378" i="1" s="1"/>
  <c r="V378" i="1" s="1"/>
  <c r="U378" i="1" s="1"/>
  <c r="F379" i="13" s="1"/>
  <c r="H377" i="31"/>
  <c r="Q378" i="13" s="1"/>
  <c r="AF378" i="1"/>
  <c r="AK378" i="1"/>
  <c r="E379" i="13"/>
  <c r="T378" i="1" l="1"/>
  <c r="AI378" i="1" s="1"/>
  <c r="AJ378" i="1" s="1"/>
  <c r="M379" i="13" s="1"/>
  <c r="AN378" i="1"/>
  <c r="E378" i="31" l="1"/>
  <c r="G379" i="13"/>
  <c r="F379" i="1"/>
  <c r="G379" i="1"/>
  <c r="C377" i="11"/>
  <c r="B378" i="31"/>
  <c r="C378" i="31"/>
  <c r="AM378" i="1"/>
  <c r="N379" i="13" s="1"/>
  <c r="E379" i="1" l="1"/>
  <c r="D379" i="1" s="1"/>
  <c r="Q379" i="1" s="1"/>
  <c r="S379" i="1" s="1"/>
  <c r="K379" i="13"/>
  <c r="G377" i="11"/>
  <c r="H377" i="11" s="1"/>
  <c r="J379" i="13" s="1"/>
  <c r="D377" i="11"/>
  <c r="D378" i="31"/>
  <c r="O379" i="13" s="1"/>
  <c r="C380" i="13" l="1"/>
  <c r="C379" i="1"/>
  <c r="B380" i="13"/>
  <c r="AE379" i="1"/>
  <c r="I380" i="1"/>
  <c r="H380" i="1"/>
  <c r="AH379" i="1" s="1"/>
  <c r="A378" i="11"/>
  <c r="L380" i="13" s="1"/>
  <c r="L379" i="1"/>
  <c r="E377" i="11"/>
  <c r="I379" i="13" s="1"/>
  <c r="H379" i="13"/>
  <c r="H378" i="31"/>
  <c r="Q379" i="13" s="1"/>
  <c r="F378" i="31"/>
  <c r="P379" i="13" s="1"/>
  <c r="AK379" i="1" l="1"/>
  <c r="D380" i="13"/>
  <c r="F379" i="11"/>
  <c r="Y379" i="1"/>
  <c r="X379" i="1" s="1"/>
  <c r="W379" i="1" s="1"/>
  <c r="V379" i="1" s="1"/>
  <c r="U379" i="1" s="1"/>
  <c r="F380" i="13" s="1"/>
  <c r="E380" i="13"/>
  <c r="AF379" i="1"/>
  <c r="T379" i="1" l="1"/>
  <c r="AI379" i="1" s="1"/>
  <c r="AJ379" i="1" s="1"/>
  <c r="M380" i="13" s="1"/>
  <c r="AN379" i="1"/>
  <c r="G380" i="13" l="1"/>
  <c r="E379" i="31"/>
  <c r="G380" i="1"/>
  <c r="F380" i="1"/>
  <c r="C378" i="11"/>
  <c r="C379" i="31"/>
  <c r="B379" i="31"/>
  <c r="AM379" i="1"/>
  <c r="N380" i="13" s="1"/>
  <c r="E380" i="1" l="1"/>
  <c r="D380" i="1" s="1"/>
  <c r="Q380" i="1" s="1"/>
  <c r="S380" i="1" s="1"/>
  <c r="D379" i="31"/>
  <c r="O380" i="13" s="1"/>
  <c r="G378" i="11"/>
  <c r="H378" i="11" s="1"/>
  <c r="J380" i="13" s="1"/>
  <c r="K380" i="13"/>
  <c r="D378" i="11"/>
  <c r="AE380" i="1" l="1"/>
  <c r="I381" i="1"/>
  <c r="A379" i="11"/>
  <c r="L381" i="13" s="1"/>
  <c r="L380" i="1"/>
  <c r="C381" i="13"/>
  <c r="H381" i="1"/>
  <c r="AH380" i="1" s="1"/>
  <c r="B381" i="13"/>
  <c r="C380" i="1"/>
  <c r="E378" i="11"/>
  <c r="I380" i="13" s="1"/>
  <c r="H380" i="13"/>
  <c r="H379" i="31"/>
  <c r="Q380" i="13" s="1"/>
  <c r="F379" i="31"/>
  <c r="P380" i="13" s="1"/>
  <c r="AK380" i="1" l="1"/>
  <c r="D381" i="13"/>
  <c r="Y380" i="1"/>
  <c r="X380" i="1" s="1"/>
  <c r="W380" i="1" s="1"/>
  <c r="V380" i="1" s="1"/>
  <c r="U380" i="1" s="1"/>
  <c r="T380" i="1" s="1"/>
  <c r="F380" i="11"/>
  <c r="AF380" i="1"/>
  <c r="E381" i="13"/>
  <c r="F381" i="13" l="1"/>
  <c r="AI380" i="1"/>
  <c r="AJ380" i="1" s="1"/>
  <c r="M381" i="13" s="1"/>
  <c r="G381" i="13"/>
  <c r="E380" i="31"/>
  <c r="AN380" i="1"/>
  <c r="G381" i="1" l="1"/>
  <c r="F381" i="1"/>
  <c r="C379" i="11"/>
  <c r="C380" i="31"/>
  <c r="B380" i="31"/>
  <c r="AM380" i="1"/>
  <c r="N381" i="13" s="1"/>
  <c r="E381" i="1" l="1"/>
  <c r="D381" i="1" s="1"/>
  <c r="Q381" i="1" s="1"/>
  <c r="S381" i="1" s="1"/>
  <c r="D380" i="31"/>
  <c r="O381" i="13" s="1"/>
  <c r="G379" i="11"/>
  <c r="H379" i="11" s="1"/>
  <c r="J381" i="13" s="1"/>
  <c r="K381" i="13"/>
  <c r="D379" i="11"/>
  <c r="A380" i="11" l="1"/>
  <c r="L382" i="13" s="1"/>
  <c r="AE381" i="1"/>
  <c r="L381" i="1"/>
  <c r="C381" i="1"/>
  <c r="H382" i="1"/>
  <c r="C382" i="13"/>
  <c r="B382" i="13"/>
  <c r="I382" i="1"/>
  <c r="H381" i="13"/>
  <c r="E379" i="11"/>
  <c r="I381" i="13" s="1"/>
  <c r="F380" i="31"/>
  <c r="P381" i="13" s="1"/>
  <c r="H380" i="31"/>
  <c r="Q381" i="13" s="1"/>
  <c r="AF381" i="1" l="1"/>
  <c r="D382" i="13"/>
  <c r="AH381" i="1"/>
  <c r="Y381" i="1"/>
  <c r="X381" i="1" s="1"/>
  <c r="W381" i="1" s="1"/>
  <c r="V381" i="1" s="1"/>
  <c r="U381" i="1" s="1"/>
  <c r="F382" i="13" s="1"/>
  <c r="F381" i="11"/>
  <c r="AK381" i="1"/>
  <c r="E382" i="13"/>
  <c r="T381" i="1" l="1"/>
  <c r="G382" i="13" s="1"/>
  <c r="E381" i="31" l="1"/>
  <c r="AI381" i="1"/>
  <c r="AJ381" i="1" s="1"/>
  <c r="M382" i="13" s="1"/>
  <c r="F382" i="1"/>
  <c r="G382" i="1"/>
  <c r="AN381" i="1"/>
  <c r="AM381" i="1" l="1"/>
  <c r="N382" i="13" s="1"/>
  <c r="B381" i="31"/>
  <c r="C381" i="31"/>
  <c r="E382" i="1"/>
  <c r="D382" i="1" s="1"/>
  <c r="Q382" i="1" s="1"/>
  <c r="S382" i="1" s="1"/>
  <c r="C380" i="11"/>
  <c r="D381" i="31" l="1"/>
  <c r="O382" i="13" s="1"/>
  <c r="G380" i="11"/>
  <c r="H380" i="11" s="1"/>
  <c r="J382" i="13" s="1"/>
  <c r="K382" i="13"/>
  <c r="D380" i="11"/>
  <c r="B383" i="13"/>
  <c r="C383" i="13"/>
  <c r="C382" i="1"/>
  <c r="AE382" i="1"/>
  <c r="A381" i="11"/>
  <c r="L382" i="1"/>
  <c r="I383" i="1"/>
  <c r="H383" i="1"/>
  <c r="D383" i="13" l="1"/>
  <c r="H381" i="31"/>
  <c r="Q382" i="13" s="1"/>
  <c r="F381" i="31"/>
  <c r="P382" i="13" s="1"/>
  <c r="Y382" i="1"/>
  <c r="X382" i="1" s="1"/>
  <c r="W382" i="1" s="1"/>
  <c r="V382" i="1" s="1"/>
  <c r="U382" i="1" s="1"/>
  <c r="AH382" i="1"/>
  <c r="E380" i="11"/>
  <c r="I382" i="13" s="1"/>
  <c r="H382" i="13"/>
  <c r="E383" i="13"/>
  <c r="AF382" i="1"/>
  <c r="AK382" i="1"/>
  <c r="F382" i="11"/>
  <c r="L383" i="13"/>
  <c r="T382" i="1" l="1"/>
  <c r="F383" i="13"/>
  <c r="AI382" i="1" l="1"/>
  <c r="AJ382" i="1" s="1"/>
  <c r="M383" i="13" s="1"/>
  <c r="E382" i="31"/>
  <c r="G383" i="13"/>
  <c r="G383" i="1" l="1"/>
  <c r="F383" i="1"/>
  <c r="AN382" i="1"/>
  <c r="C382" i="31"/>
  <c r="B382" i="31"/>
  <c r="AM382" i="1"/>
  <c r="N383" i="13" s="1"/>
  <c r="D382" i="31" l="1"/>
  <c r="O383" i="13" s="1"/>
  <c r="C381" i="11"/>
  <c r="E383" i="1"/>
  <c r="D383" i="1" s="1"/>
  <c r="Q383" i="1" s="1"/>
  <c r="S383" i="1" s="1"/>
  <c r="AE383" i="1" l="1"/>
  <c r="B384" i="13"/>
  <c r="A382" i="11"/>
  <c r="C384" i="13"/>
  <c r="C383" i="1"/>
  <c r="I384" i="1"/>
  <c r="H384" i="1"/>
  <c r="L383" i="1"/>
  <c r="K383" i="13"/>
  <c r="G381" i="11"/>
  <c r="H381" i="11" s="1"/>
  <c r="J383" i="13" s="1"/>
  <c r="D381" i="11"/>
  <c r="H382" i="31"/>
  <c r="Q383" i="13" s="1"/>
  <c r="F382" i="31"/>
  <c r="P383" i="13" s="1"/>
  <c r="D384" i="13" l="1"/>
  <c r="L384" i="13"/>
  <c r="E381" i="11"/>
  <c r="I383" i="13" s="1"/>
  <c r="H383" i="13"/>
  <c r="Y383" i="1"/>
  <c r="X383" i="1" s="1"/>
  <c r="W383" i="1" s="1"/>
  <c r="V383" i="1" s="1"/>
  <c r="U383" i="1" s="1"/>
  <c r="AF383" i="1"/>
  <c r="E384" i="13"/>
  <c r="F383" i="11"/>
  <c r="AK383" i="1"/>
  <c r="AH383" i="1"/>
  <c r="T383" i="1" l="1"/>
  <c r="F384" i="13"/>
  <c r="AI383" i="1" l="1"/>
  <c r="AJ383" i="1" s="1"/>
  <c r="M384" i="13" s="1"/>
  <c r="E383" i="31"/>
  <c r="G384" i="13"/>
  <c r="AN383" i="1"/>
  <c r="F384" i="1" l="1"/>
  <c r="G384" i="1"/>
  <c r="C382" i="11"/>
  <c r="C383" i="31"/>
  <c r="B383" i="31"/>
  <c r="AM383" i="1"/>
  <c r="N384" i="13" s="1"/>
  <c r="E384" i="1" l="1"/>
  <c r="D384" i="1" s="1"/>
  <c r="Q384" i="1" s="1"/>
  <c r="S384" i="1" s="1"/>
  <c r="D383" i="31"/>
  <c r="O384" i="13" s="1"/>
  <c r="K384" i="13"/>
  <c r="G382" i="11"/>
  <c r="H382" i="11" s="1"/>
  <c r="J384" i="13" s="1"/>
  <c r="D382" i="11"/>
  <c r="AE384" i="1" l="1"/>
  <c r="I385" i="1"/>
  <c r="C385" i="13"/>
  <c r="L384" i="1"/>
  <c r="B385" i="13"/>
  <c r="C384" i="1"/>
  <c r="A383" i="11"/>
  <c r="L385" i="13" s="1"/>
  <c r="H385" i="1"/>
  <c r="AH384" i="1" s="1"/>
  <c r="H384" i="13"/>
  <c r="E382" i="11"/>
  <c r="I384" i="13" s="1"/>
  <c r="F383" i="31"/>
  <c r="P384" i="13" s="1"/>
  <c r="H383" i="31"/>
  <c r="Q384" i="13" s="1"/>
  <c r="AF384" i="1" l="1"/>
  <c r="D385" i="13"/>
  <c r="Y384" i="1"/>
  <c r="X384" i="1" s="1"/>
  <c r="W384" i="1" s="1"/>
  <c r="V384" i="1" s="1"/>
  <c r="U384" i="1" s="1"/>
  <c r="F385" i="13" s="1"/>
  <c r="E385" i="13"/>
  <c r="F384" i="11"/>
  <c r="AK384" i="1"/>
  <c r="T384" i="1" l="1"/>
  <c r="AI384" i="1" s="1"/>
  <c r="AJ384" i="1" s="1"/>
  <c r="M385" i="13" s="1"/>
  <c r="G385" i="13" l="1"/>
  <c r="E384" i="31"/>
  <c r="F385" i="1"/>
  <c r="G385" i="1"/>
  <c r="AN384" i="1"/>
  <c r="B384" i="31"/>
  <c r="C384" i="31"/>
  <c r="AM384" i="1"/>
  <c r="N385" i="13" s="1"/>
  <c r="D384" i="31" l="1"/>
  <c r="C383" i="11"/>
  <c r="E385" i="1"/>
  <c r="D385" i="1" s="1"/>
  <c r="Q385" i="1" s="1"/>
  <c r="S385" i="1" s="1"/>
  <c r="F384" i="31" l="1"/>
  <c r="P385" i="13" s="1"/>
  <c r="O385" i="13"/>
  <c r="H384" i="31"/>
  <c r="Q385" i="13" s="1"/>
  <c r="A384" i="11"/>
  <c r="B386" i="13"/>
  <c r="C385" i="1"/>
  <c r="C386" i="13"/>
  <c r="AE385" i="1"/>
  <c r="I386" i="1"/>
  <c r="H386" i="1"/>
  <c r="L385" i="1"/>
  <c r="K385" i="13"/>
  <c r="G383" i="11"/>
  <c r="H383" i="11" s="1"/>
  <c r="J385" i="13" s="1"/>
  <c r="D383" i="11"/>
  <c r="D386" i="13" l="1"/>
  <c r="H385" i="13"/>
  <c r="E383" i="11"/>
  <c r="I385" i="13" s="1"/>
  <c r="Y385" i="1"/>
  <c r="X385" i="1" s="1"/>
  <c r="W385" i="1" s="1"/>
  <c r="V385" i="1" s="1"/>
  <c r="U385" i="1" s="1"/>
  <c r="AH385" i="1"/>
  <c r="E386" i="13"/>
  <c r="AF385" i="1"/>
  <c r="AK385" i="1"/>
  <c r="F385" i="11"/>
  <c r="L386" i="13"/>
  <c r="F386" i="13" l="1"/>
  <c r="T385" i="1"/>
  <c r="AI385" i="1" l="1"/>
  <c r="AJ385" i="1" s="1"/>
  <c r="M386" i="13" s="1"/>
  <c r="E385" i="31"/>
  <c r="G386" i="13"/>
  <c r="AN385" i="1"/>
  <c r="G386" i="1" l="1"/>
  <c r="F386" i="1"/>
  <c r="C384" i="11"/>
  <c r="C385" i="31"/>
  <c r="B385" i="31"/>
  <c r="AM385" i="1"/>
  <c r="N386" i="13" s="1"/>
  <c r="E386" i="1" l="1"/>
  <c r="D386" i="1" s="1"/>
  <c r="Q386" i="1" s="1"/>
  <c r="S386" i="1" s="1"/>
  <c r="D385" i="31"/>
  <c r="G384" i="11"/>
  <c r="H384" i="11" s="1"/>
  <c r="J386" i="13" s="1"/>
  <c r="K386" i="13"/>
  <c r="D384" i="11"/>
  <c r="B387" i="13" l="1"/>
  <c r="L386" i="1"/>
  <c r="C387" i="13"/>
  <c r="I387" i="1"/>
  <c r="C386" i="1"/>
  <c r="H387" i="1"/>
  <c r="AE386" i="1"/>
  <c r="A385" i="11"/>
  <c r="L387" i="13" s="1"/>
  <c r="H385" i="31"/>
  <c r="Q386" i="13" s="1"/>
  <c r="O386" i="13"/>
  <c r="F385" i="31"/>
  <c r="P386" i="13" s="1"/>
  <c r="H386" i="13"/>
  <c r="E384" i="11"/>
  <c r="I386" i="13" s="1"/>
  <c r="F386" i="11" l="1"/>
  <c r="D387" i="13"/>
  <c r="Y386" i="1"/>
  <c r="X386" i="1" s="1"/>
  <c r="W386" i="1" s="1"/>
  <c r="V386" i="1" s="1"/>
  <c r="U386" i="1" s="1"/>
  <c r="F387" i="13" s="1"/>
  <c r="AF386" i="1"/>
  <c r="AK386" i="1"/>
  <c r="AH386" i="1"/>
  <c r="E387" i="13"/>
  <c r="T386" i="1" l="1"/>
  <c r="E386" i="31" s="1"/>
  <c r="AN386" i="1"/>
  <c r="AI386" i="1" l="1"/>
  <c r="AJ386" i="1" s="1"/>
  <c r="M387" i="13" s="1"/>
  <c r="G387" i="13"/>
  <c r="F387" i="1"/>
  <c r="G387" i="1"/>
  <c r="C385" i="11"/>
  <c r="C386" i="31" l="1"/>
  <c r="B386" i="31"/>
  <c r="AM386" i="1"/>
  <c r="N387" i="13" s="1"/>
  <c r="E387" i="1"/>
  <c r="D387" i="1" s="1"/>
  <c r="Q387" i="1" s="1"/>
  <c r="S387" i="1" s="1"/>
  <c r="K387" i="13"/>
  <c r="G385" i="11"/>
  <c r="H385" i="11" s="1"/>
  <c r="J387" i="13" s="1"/>
  <c r="D385" i="11"/>
  <c r="B388" i="13" l="1"/>
  <c r="D386" i="31"/>
  <c r="O387" i="13" s="1"/>
  <c r="I388" i="1"/>
  <c r="C388" i="13"/>
  <c r="H388" i="1"/>
  <c r="A386" i="11"/>
  <c r="L388" i="13" s="1"/>
  <c r="L387" i="1"/>
  <c r="C387" i="1"/>
  <c r="AE387" i="1"/>
  <c r="H387" i="13"/>
  <c r="E385" i="11"/>
  <c r="I387" i="13" s="1"/>
  <c r="AF387" i="1" l="1"/>
  <c r="D388" i="13"/>
  <c r="F386" i="31"/>
  <c r="P387" i="13" s="1"/>
  <c r="H386" i="31"/>
  <c r="Q387" i="13" s="1"/>
  <c r="Y387" i="1"/>
  <c r="X387" i="1" s="1"/>
  <c r="W387" i="1" s="1"/>
  <c r="V387" i="1" s="1"/>
  <c r="U387" i="1" s="1"/>
  <c r="T387" i="1" s="1"/>
  <c r="AK387" i="1"/>
  <c r="E388" i="13"/>
  <c r="F387" i="11"/>
  <c r="AH387" i="1"/>
  <c r="F388" i="13" l="1"/>
  <c r="AI387" i="1"/>
  <c r="AJ387" i="1" s="1"/>
  <c r="M388" i="13" s="1"/>
  <c r="E387" i="31"/>
  <c r="G388" i="13"/>
  <c r="AN387" i="1"/>
  <c r="G388" i="1" l="1"/>
  <c r="F388" i="1"/>
  <c r="C386" i="11"/>
  <c r="C387" i="31"/>
  <c r="B387" i="31"/>
  <c r="AM387" i="1"/>
  <c r="N388" i="13" s="1"/>
  <c r="E388" i="1" l="1"/>
  <c r="D388" i="1" s="1"/>
  <c r="Q388" i="1" s="1"/>
  <c r="S388" i="1" s="1"/>
  <c r="D387" i="31"/>
  <c r="K388" i="13"/>
  <c r="G386" i="11"/>
  <c r="H386" i="11" s="1"/>
  <c r="J388" i="13" s="1"/>
  <c r="D386" i="11"/>
  <c r="C388" i="1" l="1"/>
  <c r="H389" i="1"/>
  <c r="A387" i="11"/>
  <c r="L389" i="13" s="1"/>
  <c r="I389" i="1"/>
  <c r="C389" i="13"/>
  <c r="AE388" i="1"/>
  <c r="L388" i="1"/>
  <c r="B389" i="13"/>
  <c r="H387" i="31"/>
  <c r="Q388" i="13" s="1"/>
  <c r="O388" i="13"/>
  <c r="F387" i="31"/>
  <c r="P388" i="13" s="1"/>
  <c r="E386" i="11"/>
  <c r="I388" i="13" s="1"/>
  <c r="H388" i="13"/>
  <c r="D389" i="13" l="1"/>
  <c r="AK388" i="1"/>
  <c r="Y388" i="1"/>
  <c r="X388" i="1" s="1"/>
  <c r="W388" i="1" s="1"/>
  <c r="V388" i="1" s="1"/>
  <c r="U388" i="1" s="1"/>
  <c r="F389" i="13" s="1"/>
  <c r="AH388" i="1"/>
  <c r="E389" i="13"/>
  <c r="F388" i="11"/>
  <c r="AF388" i="1"/>
  <c r="T388" i="1" l="1"/>
  <c r="AI388" i="1" s="1"/>
  <c r="AJ388" i="1" s="1"/>
  <c r="M389" i="13" s="1"/>
  <c r="AN388" i="1"/>
  <c r="E388" i="31" l="1"/>
  <c r="G389" i="13"/>
  <c r="G389" i="1"/>
  <c r="F389" i="1"/>
  <c r="C387" i="11"/>
  <c r="B388" i="31"/>
  <c r="C388" i="31"/>
  <c r="AM388" i="1"/>
  <c r="N389" i="13" s="1"/>
  <c r="E389" i="1" l="1"/>
  <c r="D389" i="1" s="1"/>
  <c r="Q389" i="1" s="1"/>
  <c r="S389" i="1" s="1"/>
  <c r="D388" i="31"/>
  <c r="G387" i="11"/>
  <c r="H387" i="11" s="1"/>
  <c r="J389" i="13" s="1"/>
  <c r="K389" i="13"/>
  <c r="D387" i="11"/>
  <c r="AE389" i="1" l="1"/>
  <c r="H390" i="1"/>
  <c r="A388" i="11"/>
  <c r="L390" i="13" s="1"/>
  <c r="L389" i="1"/>
  <c r="C390" i="13"/>
  <c r="I390" i="1"/>
  <c r="B390" i="13"/>
  <c r="C389" i="1"/>
  <c r="F388" i="31"/>
  <c r="P389" i="13" s="1"/>
  <c r="O389" i="13"/>
  <c r="H388" i="31"/>
  <c r="Q389" i="13" s="1"/>
  <c r="H389" i="13"/>
  <c r="E387" i="11"/>
  <c r="I389" i="13" s="1"/>
  <c r="AF389" i="1" l="1"/>
  <c r="D390" i="13"/>
  <c r="AH389" i="1"/>
  <c r="F389" i="11"/>
  <c r="Y389" i="1"/>
  <c r="X389" i="1" s="1"/>
  <c r="W389" i="1" s="1"/>
  <c r="V389" i="1" s="1"/>
  <c r="U389" i="1" s="1"/>
  <c r="F390" i="13" s="1"/>
  <c r="AK389" i="1"/>
  <c r="E390" i="13"/>
  <c r="T389" i="1" l="1"/>
  <c r="AI389" i="1" s="1"/>
  <c r="AJ389" i="1" s="1"/>
  <c r="M390" i="13" s="1"/>
  <c r="AN389" i="1"/>
  <c r="G390" i="13" l="1"/>
  <c r="E389" i="31"/>
  <c r="G390" i="1"/>
  <c r="F390" i="1"/>
  <c r="C388" i="11"/>
  <c r="C389" i="31"/>
  <c r="B389" i="31"/>
  <c r="AM389" i="1"/>
  <c r="N390" i="13" s="1"/>
  <c r="E390" i="1" l="1"/>
  <c r="D390" i="1" s="1"/>
  <c r="Q390" i="1" s="1"/>
  <c r="S390" i="1" s="1"/>
  <c r="D389" i="31"/>
  <c r="O390" i="13" s="1"/>
  <c r="K390" i="13"/>
  <c r="G388" i="11"/>
  <c r="H388" i="11" s="1"/>
  <c r="J390" i="13" s="1"/>
  <c r="D388" i="11"/>
  <c r="B391" i="13" l="1"/>
  <c r="L390" i="1"/>
  <c r="C391" i="13"/>
  <c r="H391" i="1"/>
  <c r="A389" i="11"/>
  <c r="L391" i="13" s="1"/>
  <c r="I391" i="1"/>
  <c r="AE390" i="1"/>
  <c r="C390" i="1"/>
  <c r="E388" i="11"/>
  <c r="I390" i="13" s="1"/>
  <c r="H390" i="13"/>
  <c r="H389" i="31"/>
  <c r="Q390" i="13" s="1"/>
  <c r="F389" i="31"/>
  <c r="P390" i="13" s="1"/>
  <c r="AF390" i="1" l="1"/>
  <c r="D391" i="13"/>
  <c r="Y390" i="1"/>
  <c r="X390" i="1" s="1"/>
  <c r="W390" i="1" s="1"/>
  <c r="V390" i="1" s="1"/>
  <c r="U390" i="1" s="1"/>
  <c r="T390" i="1" s="1"/>
  <c r="AH390" i="1"/>
  <c r="E391" i="13"/>
  <c r="F390" i="11"/>
  <c r="AK390" i="1"/>
  <c r="F391" i="13" l="1"/>
  <c r="AI390" i="1"/>
  <c r="AJ390" i="1" s="1"/>
  <c r="M391" i="13" s="1"/>
  <c r="E390" i="31"/>
  <c r="G391" i="13"/>
  <c r="G391" i="1" l="1"/>
  <c r="F391" i="1"/>
  <c r="B390" i="31"/>
  <c r="C390" i="31"/>
  <c r="AM390" i="1"/>
  <c r="N391" i="13" s="1"/>
  <c r="AN390" i="1"/>
  <c r="D390" i="31" l="1"/>
  <c r="E391" i="1"/>
  <c r="D391" i="1" s="1"/>
  <c r="Q391" i="1" s="1"/>
  <c r="S391" i="1" s="1"/>
  <c r="C389" i="11"/>
  <c r="F390" i="31" l="1"/>
  <c r="P391" i="13" s="1"/>
  <c r="O391" i="13"/>
  <c r="H390" i="31"/>
  <c r="Q391" i="13" s="1"/>
  <c r="K391" i="13"/>
  <c r="G389" i="11"/>
  <c r="H389" i="11" s="1"/>
  <c r="J391" i="13" s="1"/>
  <c r="D389" i="11"/>
  <c r="AE391" i="1"/>
  <c r="C391" i="1"/>
  <c r="C392" i="13"/>
  <c r="A390" i="11"/>
  <c r="B392" i="13"/>
  <c r="L391" i="1"/>
  <c r="H392" i="1"/>
  <c r="I392" i="1"/>
  <c r="D392" i="13" l="1"/>
  <c r="Y391" i="1"/>
  <c r="X391" i="1" s="1"/>
  <c r="W391" i="1" s="1"/>
  <c r="V391" i="1" s="1"/>
  <c r="U391" i="1" s="1"/>
  <c r="L392" i="13"/>
  <c r="E389" i="11"/>
  <c r="I391" i="13" s="1"/>
  <c r="H391" i="13"/>
  <c r="AF391" i="1"/>
  <c r="E392" i="13"/>
  <c r="F391" i="11"/>
  <c r="AK391" i="1"/>
  <c r="AH391" i="1"/>
  <c r="F392" i="13" l="1"/>
  <c r="T391" i="1"/>
  <c r="AI391" i="1" l="1"/>
  <c r="AJ391" i="1" s="1"/>
  <c r="M392" i="13" s="1"/>
  <c r="G392" i="13"/>
  <c r="E391" i="31"/>
  <c r="AN391" i="1"/>
  <c r="F392" i="1" l="1"/>
  <c r="G392" i="1"/>
  <c r="C390" i="11"/>
  <c r="B391" i="31"/>
  <c r="C391" i="31"/>
  <c r="AM391" i="1"/>
  <c r="N392" i="13" s="1"/>
  <c r="E392" i="1" l="1"/>
  <c r="D392" i="1" s="1"/>
  <c r="Q392" i="1" s="1"/>
  <c r="S392" i="1" s="1"/>
  <c r="D391" i="31"/>
  <c r="K392" i="13"/>
  <c r="G390" i="11"/>
  <c r="H390" i="11" s="1"/>
  <c r="J392" i="13" s="1"/>
  <c r="D390" i="11"/>
  <c r="AE392" i="1" l="1"/>
  <c r="I393" i="1"/>
  <c r="C392" i="1"/>
  <c r="L392" i="1"/>
  <c r="A391" i="11"/>
  <c r="L393" i="13" s="1"/>
  <c r="B393" i="13"/>
  <c r="C393" i="13"/>
  <c r="H393" i="1"/>
  <c r="AH392" i="1" s="1"/>
  <c r="F391" i="31"/>
  <c r="P392" i="13" s="1"/>
  <c r="O392" i="13"/>
  <c r="H391" i="31"/>
  <c r="Q392" i="13" s="1"/>
  <c r="E390" i="11"/>
  <c r="I392" i="13" s="1"/>
  <c r="H392" i="13"/>
  <c r="E393" i="13" l="1"/>
  <c r="D393" i="13"/>
  <c r="AK392" i="1"/>
  <c r="F392" i="11"/>
  <c r="Y392" i="1"/>
  <c r="X392" i="1" s="1"/>
  <c r="W392" i="1" s="1"/>
  <c r="V392" i="1" s="1"/>
  <c r="U392" i="1" s="1"/>
  <c r="T392" i="1" s="1"/>
  <c r="AF392" i="1"/>
  <c r="F393" i="13" l="1"/>
  <c r="AI392" i="1"/>
  <c r="AJ392" i="1" s="1"/>
  <c r="M393" i="13" s="1"/>
  <c r="E392" i="31"/>
  <c r="G393" i="13"/>
  <c r="AN392" i="1"/>
  <c r="F393" i="1" l="1"/>
  <c r="G393" i="1"/>
  <c r="C391" i="11"/>
  <c r="C392" i="31"/>
  <c r="B392" i="31"/>
  <c r="AM392" i="1"/>
  <c r="N393" i="13" s="1"/>
  <c r="E393" i="1" l="1"/>
  <c r="D393" i="1" s="1"/>
  <c r="Q393" i="1" s="1"/>
  <c r="S393" i="1" s="1"/>
  <c r="D392" i="31"/>
  <c r="O393" i="13" s="1"/>
  <c r="G391" i="11"/>
  <c r="H391" i="11" s="1"/>
  <c r="J393" i="13" s="1"/>
  <c r="K393" i="13"/>
  <c r="D391" i="11"/>
  <c r="C393" i="1" l="1"/>
  <c r="L393" i="1"/>
  <c r="A392" i="11"/>
  <c r="L394" i="13" s="1"/>
  <c r="I394" i="1"/>
  <c r="B394" i="13"/>
  <c r="C394" i="13"/>
  <c r="AE393" i="1"/>
  <c r="H394" i="1"/>
  <c r="E391" i="11"/>
  <c r="I393" i="13" s="1"/>
  <c r="H393" i="13"/>
  <c r="F392" i="31"/>
  <c r="P393" i="13" s="1"/>
  <c r="H392" i="31"/>
  <c r="Q393" i="13" s="1"/>
  <c r="D394" i="13" l="1"/>
  <c r="F393" i="11"/>
  <c r="AH393" i="1"/>
  <c r="Y393" i="1"/>
  <c r="X393" i="1" s="1"/>
  <c r="W393" i="1" s="1"/>
  <c r="V393" i="1" s="1"/>
  <c r="U393" i="1" s="1"/>
  <c r="F394" i="13" s="1"/>
  <c r="AF393" i="1"/>
  <c r="E394" i="13"/>
  <c r="AK393" i="1"/>
  <c r="T393" i="1" l="1"/>
  <c r="E393" i="31" s="1"/>
  <c r="AI393" i="1" l="1"/>
  <c r="AJ393" i="1" s="1"/>
  <c r="M394" i="13" s="1"/>
  <c r="G394" i="13"/>
  <c r="F394" i="1"/>
  <c r="G394" i="1"/>
  <c r="AN393" i="1"/>
  <c r="AM393" i="1" l="1"/>
  <c r="N394" i="13" s="1"/>
  <c r="B393" i="31"/>
  <c r="C393" i="31"/>
  <c r="C392" i="11"/>
  <c r="E394" i="1"/>
  <c r="D394" i="1" s="1"/>
  <c r="Q394" i="1" s="1"/>
  <c r="S394" i="1" s="1"/>
  <c r="D393" i="31" l="1"/>
  <c r="F393" i="31" s="1"/>
  <c r="P394" i="13" s="1"/>
  <c r="O394" i="13"/>
  <c r="B395" i="13"/>
  <c r="C394" i="1"/>
  <c r="C395" i="13"/>
  <c r="AE394" i="1"/>
  <c r="A393" i="11"/>
  <c r="L394" i="1"/>
  <c r="H395" i="1"/>
  <c r="I395" i="1"/>
  <c r="K394" i="13"/>
  <c r="G392" i="11"/>
  <c r="H392" i="11" s="1"/>
  <c r="J394" i="13" s="1"/>
  <c r="D392" i="11"/>
  <c r="D395" i="13" l="1"/>
  <c r="H393" i="31"/>
  <c r="Q394" i="13" s="1"/>
  <c r="AH394" i="1"/>
  <c r="E395" i="13"/>
  <c r="AF394" i="1"/>
  <c r="AK394" i="1"/>
  <c r="F394" i="11"/>
  <c r="H394" i="13"/>
  <c r="E392" i="11"/>
  <c r="I394" i="13" s="1"/>
  <c r="Y394" i="1"/>
  <c r="X394" i="1" s="1"/>
  <c r="W394" i="1" s="1"/>
  <c r="V394" i="1" s="1"/>
  <c r="U394" i="1" s="1"/>
  <c r="L395" i="13"/>
  <c r="F395" i="13" l="1"/>
  <c r="T394" i="1"/>
  <c r="AI394" i="1" l="1"/>
  <c r="AJ394" i="1" s="1"/>
  <c r="M395" i="13" s="1"/>
  <c r="E394" i="31"/>
  <c r="G395" i="13"/>
  <c r="AN394" i="1"/>
  <c r="F395" i="1" l="1"/>
  <c r="G395" i="1"/>
  <c r="C393" i="11"/>
  <c r="C394" i="31"/>
  <c r="B394" i="31"/>
  <c r="AM394" i="1"/>
  <c r="N395" i="13" s="1"/>
  <c r="E395" i="1" l="1"/>
  <c r="D395" i="1" s="1"/>
  <c r="Q395" i="1" s="1"/>
  <c r="S395" i="1" s="1"/>
  <c r="D394" i="31"/>
  <c r="O395" i="13" s="1"/>
  <c r="G393" i="11"/>
  <c r="H393" i="11" s="1"/>
  <c r="J395" i="13" s="1"/>
  <c r="K395" i="13"/>
  <c r="D393" i="11"/>
  <c r="C396" i="13" l="1"/>
  <c r="L395" i="1"/>
  <c r="A394" i="11"/>
  <c r="L396" i="13" s="1"/>
  <c r="I396" i="1"/>
  <c r="C395" i="1"/>
  <c r="B396" i="13"/>
  <c r="AE395" i="1"/>
  <c r="H396" i="1"/>
  <c r="Y395" i="1" s="1"/>
  <c r="H395" i="13"/>
  <c r="E393" i="11"/>
  <c r="I395" i="13" s="1"/>
  <c r="H394" i="31"/>
  <c r="Q395" i="13" s="1"/>
  <c r="F394" i="31"/>
  <c r="P395" i="13" s="1"/>
  <c r="E396" i="13" l="1"/>
  <c r="D396" i="13"/>
  <c r="AH395" i="1"/>
  <c r="X395" i="1"/>
  <c r="W395" i="1" s="1"/>
  <c r="V395" i="1" s="1"/>
  <c r="U395" i="1" s="1"/>
  <c r="F396" i="13" s="1"/>
  <c r="AF395" i="1"/>
  <c r="AK395" i="1"/>
  <c r="F395" i="11"/>
  <c r="T395" i="1" l="1"/>
  <c r="AI395" i="1" s="1"/>
  <c r="AJ395" i="1" s="1"/>
  <c r="M396" i="13" s="1"/>
  <c r="E395" i="31" l="1"/>
  <c r="G396" i="13"/>
  <c r="G396" i="1"/>
  <c r="F396" i="1"/>
  <c r="C395" i="31"/>
  <c r="B395" i="31"/>
  <c r="AM395" i="1"/>
  <c r="N396" i="13" s="1"/>
  <c r="AN395" i="1"/>
  <c r="D395" i="31" l="1"/>
  <c r="C394" i="11"/>
  <c r="E396" i="1"/>
  <c r="D396" i="1" s="1"/>
  <c r="Q396" i="1" s="1"/>
  <c r="S396" i="1" s="1"/>
  <c r="H395" i="31" l="1"/>
  <c r="Q396" i="13" s="1"/>
  <c r="O396" i="13"/>
  <c r="F395" i="31"/>
  <c r="P396" i="13" s="1"/>
  <c r="B397" i="13"/>
  <c r="AE396" i="1"/>
  <c r="C396" i="1"/>
  <c r="A395" i="11"/>
  <c r="C397" i="13"/>
  <c r="I397" i="1"/>
  <c r="L396" i="1"/>
  <c r="H397" i="1"/>
  <c r="K396" i="13"/>
  <c r="G394" i="11"/>
  <c r="H394" i="11" s="1"/>
  <c r="J396" i="13" s="1"/>
  <c r="D394" i="11"/>
  <c r="D397" i="13" l="1"/>
  <c r="AH396" i="1"/>
  <c r="AF396" i="1"/>
  <c r="E397" i="13"/>
  <c r="F396" i="11"/>
  <c r="AK396" i="1"/>
  <c r="L397" i="13"/>
  <c r="E394" i="11"/>
  <c r="I396" i="13" s="1"/>
  <c r="H396" i="13"/>
  <c r="Y396" i="1"/>
  <c r="X396" i="1" s="1"/>
  <c r="W396" i="1" s="1"/>
  <c r="V396" i="1" s="1"/>
  <c r="U396" i="1" s="1"/>
  <c r="T396" i="1" l="1"/>
  <c r="F397" i="13"/>
  <c r="AI396" i="1" l="1"/>
  <c r="AJ396" i="1" s="1"/>
  <c r="M397" i="13" s="1"/>
  <c r="G397" i="13"/>
  <c r="E396" i="31"/>
  <c r="AN396" i="1"/>
  <c r="F397" i="1" l="1"/>
  <c r="G397" i="1"/>
  <c r="C395" i="11"/>
  <c r="C396" i="31"/>
  <c r="B396" i="31"/>
  <c r="AM396" i="1"/>
  <c r="N397" i="13" s="1"/>
  <c r="E397" i="1" l="1"/>
  <c r="D397" i="1" s="1"/>
  <c r="Q397" i="1" s="1"/>
  <c r="S397" i="1" s="1"/>
  <c r="D396" i="31"/>
  <c r="K397" i="13"/>
  <c r="G395" i="11"/>
  <c r="H395" i="11" s="1"/>
  <c r="J397" i="13" s="1"/>
  <c r="D395" i="11"/>
  <c r="B398" i="13" l="1"/>
  <c r="L397" i="1"/>
  <c r="I398" i="1"/>
  <c r="C397" i="1"/>
  <c r="A396" i="11"/>
  <c r="L398" i="13" s="1"/>
  <c r="AE397" i="1"/>
  <c r="C398" i="13"/>
  <c r="H398" i="1"/>
  <c r="Y397" i="1" s="1"/>
  <c r="F396" i="31"/>
  <c r="P397" i="13" s="1"/>
  <c r="O397" i="13"/>
  <c r="H396" i="31"/>
  <c r="Q397" i="13" s="1"/>
  <c r="H397" i="13"/>
  <c r="E395" i="11"/>
  <c r="I397" i="13" s="1"/>
  <c r="E398" i="13" l="1"/>
  <c r="D398" i="13"/>
  <c r="AH397" i="1"/>
  <c r="X397" i="1"/>
  <c r="W397" i="1" s="1"/>
  <c r="V397" i="1" s="1"/>
  <c r="U397" i="1" s="1"/>
  <c r="F398" i="13" s="1"/>
  <c r="AK397" i="1"/>
  <c r="F397" i="11"/>
  <c r="AF397" i="1"/>
  <c r="T397" i="1" l="1"/>
  <c r="AI397" i="1" s="1"/>
  <c r="AJ397" i="1" s="1"/>
  <c r="M398" i="13" s="1"/>
  <c r="AN397" i="1"/>
  <c r="G398" i="13" l="1"/>
  <c r="E397" i="31"/>
  <c r="G398" i="1"/>
  <c r="F398" i="1"/>
  <c r="C396" i="11"/>
  <c r="C397" i="31"/>
  <c r="B397" i="31"/>
  <c r="AM397" i="1"/>
  <c r="N398" i="13" s="1"/>
  <c r="E398" i="1" l="1"/>
  <c r="D398" i="1" s="1"/>
  <c r="Q398" i="1" s="1"/>
  <c r="S398" i="1" s="1"/>
  <c r="D397" i="31"/>
  <c r="G396" i="11"/>
  <c r="H396" i="11" s="1"/>
  <c r="J398" i="13" s="1"/>
  <c r="K398" i="13"/>
  <c r="D396" i="11"/>
  <c r="A397" i="11" l="1"/>
  <c r="I399" i="1"/>
  <c r="H399" i="1"/>
  <c r="AH398" i="1" s="1"/>
  <c r="B399" i="13"/>
  <c r="C399" i="13"/>
  <c r="C398" i="1"/>
  <c r="L398" i="1"/>
  <c r="AE398" i="1"/>
  <c r="F397" i="31"/>
  <c r="P398" i="13" s="1"/>
  <c r="O398" i="13"/>
  <c r="H397" i="31"/>
  <c r="Q398" i="13" s="1"/>
  <c r="L399" i="13"/>
  <c r="E396" i="11"/>
  <c r="I398" i="13" s="1"/>
  <c r="H398" i="13"/>
  <c r="AK398" i="1" l="1"/>
  <c r="D399" i="13"/>
  <c r="AF398" i="1"/>
  <c r="Y398" i="1"/>
  <c r="X398" i="1" s="1"/>
  <c r="W398" i="1" s="1"/>
  <c r="V398" i="1" s="1"/>
  <c r="U398" i="1" s="1"/>
  <c r="T398" i="1" s="1"/>
  <c r="E399" i="13"/>
  <c r="F398" i="11"/>
  <c r="F399" i="13" l="1"/>
  <c r="AI398" i="1"/>
  <c r="AJ398" i="1" s="1"/>
  <c r="M399" i="13" s="1"/>
  <c r="E398" i="31"/>
  <c r="G399" i="13"/>
  <c r="AN398" i="1"/>
  <c r="F399" i="1" l="1"/>
  <c r="G399" i="1"/>
  <c r="C397" i="11"/>
  <c r="C398" i="31"/>
  <c r="B398" i="31"/>
  <c r="AM398" i="1"/>
  <c r="N399" i="13" s="1"/>
  <c r="E399" i="1" l="1"/>
  <c r="D399" i="1" s="1"/>
  <c r="Q399" i="1" s="1"/>
  <c r="S399" i="1" s="1"/>
  <c r="D398" i="31"/>
  <c r="G397" i="11"/>
  <c r="H397" i="11" s="1"/>
  <c r="J399" i="13" s="1"/>
  <c r="K399" i="13"/>
  <c r="D397" i="11"/>
  <c r="C399" i="1" l="1"/>
  <c r="L399" i="1"/>
  <c r="I400" i="1"/>
  <c r="A398" i="11"/>
  <c r="L400" i="13" s="1"/>
  <c r="AE399" i="1"/>
  <c r="B400" i="13"/>
  <c r="C400" i="13"/>
  <c r="H400" i="1"/>
  <c r="AH399" i="1" s="1"/>
  <c r="F398" i="31"/>
  <c r="P399" i="13" s="1"/>
  <c r="O399" i="13"/>
  <c r="H398" i="31"/>
  <c r="Q399" i="13" s="1"/>
  <c r="E397" i="11"/>
  <c r="I399" i="13" s="1"/>
  <c r="H399" i="13"/>
  <c r="D400" i="13" l="1"/>
  <c r="E400" i="13"/>
  <c r="Y399" i="1"/>
  <c r="X399" i="1" s="1"/>
  <c r="W399" i="1" s="1"/>
  <c r="V399" i="1" s="1"/>
  <c r="U399" i="1" s="1"/>
  <c r="F400" i="13" s="1"/>
  <c r="F399" i="11"/>
  <c r="AF399" i="1"/>
  <c r="AK399" i="1"/>
  <c r="T399" i="1" l="1"/>
  <c r="AI399" i="1" s="1"/>
  <c r="AJ399" i="1" s="1"/>
  <c r="M400" i="13" s="1"/>
  <c r="AN399" i="1"/>
  <c r="G400" i="13" l="1"/>
  <c r="E399" i="31"/>
  <c r="F400" i="1"/>
  <c r="G400" i="1"/>
  <c r="C399" i="31"/>
  <c r="B399" i="31"/>
  <c r="AM399" i="1"/>
  <c r="N400" i="13" s="1"/>
  <c r="C398" i="11"/>
  <c r="E400" i="1" l="1"/>
  <c r="D400" i="1" s="1"/>
  <c r="Q400" i="1" s="1"/>
  <c r="S400" i="1" s="1"/>
  <c r="K400" i="13"/>
  <c r="G398" i="11"/>
  <c r="H398" i="11" s="1"/>
  <c r="J400" i="13" s="1"/>
  <c r="D398" i="11"/>
  <c r="D399" i="31"/>
  <c r="O400" i="13" s="1"/>
  <c r="AE400" i="1" l="1"/>
  <c r="I401" i="1"/>
  <c r="C401" i="13"/>
  <c r="L400" i="1"/>
  <c r="B401" i="13"/>
  <c r="H401" i="1"/>
  <c r="Y400" i="1" s="1"/>
  <c r="A399" i="11"/>
  <c r="L401" i="13" s="1"/>
  <c r="C400" i="1"/>
  <c r="F399" i="31"/>
  <c r="P400" i="13" s="1"/>
  <c r="H399" i="31"/>
  <c r="Q400" i="13" s="1"/>
  <c r="H400" i="13"/>
  <c r="E398" i="11"/>
  <c r="I400" i="13" s="1"/>
  <c r="AF400" i="1" l="1"/>
  <c r="D401" i="13"/>
  <c r="X400" i="1"/>
  <c r="W400" i="1" s="1"/>
  <c r="V400" i="1" s="1"/>
  <c r="U400" i="1" s="1"/>
  <c r="F401" i="13" s="1"/>
  <c r="AH400" i="1"/>
  <c r="AK400" i="1"/>
  <c r="F400" i="11"/>
  <c r="E401" i="13"/>
  <c r="T400" i="1" l="1"/>
  <c r="AI400" i="1" s="1"/>
  <c r="AJ400" i="1" s="1"/>
  <c r="M401" i="13" s="1"/>
  <c r="AN400" i="1"/>
  <c r="G401" i="13" l="1"/>
  <c r="E400" i="31"/>
  <c r="G401" i="1"/>
  <c r="F401" i="1"/>
  <c r="C399" i="11"/>
  <c r="C400" i="31"/>
  <c r="B400" i="31"/>
  <c r="AM400" i="1"/>
  <c r="N401" i="13" s="1"/>
  <c r="E401" i="1" l="1"/>
  <c r="D401" i="1" s="1"/>
  <c r="Q401" i="1" s="1"/>
  <c r="S401" i="1" s="1"/>
  <c r="D400" i="31"/>
  <c r="O401" i="13" s="1"/>
  <c r="K401" i="13"/>
  <c r="G399" i="11"/>
  <c r="H399" i="11" s="1"/>
  <c r="J401" i="13" s="1"/>
  <c r="D399" i="11"/>
  <c r="AE401" i="1" l="1"/>
  <c r="L401" i="1"/>
  <c r="A400" i="11"/>
  <c r="L402" i="13" s="1"/>
  <c r="H402" i="1"/>
  <c r="C401" i="1"/>
  <c r="C402" i="13"/>
  <c r="B402" i="13"/>
  <c r="I402" i="1"/>
  <c r="H401" i="13"/>
  <c r="E399" i="11"/>
  <c r="I401" i="13" s="1"/>
  <c r="F400" i="31"/>
  <c r="P401" i="13" s="1"/>
  <c r="H400" i="31"/>
  <c r="Q401" i="13" s="1"/>
  <c r="AF401" i="1" l="1"/>
  <c r="D402" i="13"/>
  <c r="AH401" i="1"/>
  <c r="Y401" i="1"/>
  <c r="X401" i="1" s="1"/>
  <c r="W401" i="1" s="1"/>
  <c r="V401" i="1" s="1"/>
  <c r="U401" i="1" s="1"/>
  <c r="F402" i="13" s="1"/>
  <c r="E402" i="13"/>
  <c r="F401" i="11"/>
  <c r="AK401" i="1"/>
  <c r="T401" i="1" l="1"/>
  <c r="AI401" i="1" s="1"/>
  <c r="AJ401" i="1" s="1"/>
  <c r="M402" i="13" s="1"/>
  <c r="AN401" i="1"/>
  <c r="G402" i="13" l="1"/>
  <c r="E401" i="31"/>
  <c r="G402" i="1"/>
  <c r="F402" i="1"/>
  <c r="C400" i="11"/>
  <c r="B401" i="31"/>
  <c r="C401" i="31"/>
  <c r="AM401" i="1"/>
  <c r="N402" i="13" s="1"/>
  <c r="E402" i="1" l="1"/>
  <c r="D402" i="1" s="1"/>
  <c r="Q402" i="1" s="1"/>
  <c r="S402" i="1" s="1"/>
  <c r="D401" i="31"/>
  <c r="G400" i="11"/>
  <c r="H400" i="11" s="1"/>
  <c r="J402" i="13" s="1"/>
  <c r="K402" i="13"/>
  <c r="D400" i="11"/>
  <c r="AE402" i="1" l="1"/>
  <c r="L402" i="1"/>
  <c r="C403" i="13"/>
  <c r="H403" i="1"/>
  <c r="B403" i="13"/>
  <c r="C402" i="1"/>
  <c r="A401" i="11"/>
  <c r="L403" i="13" s="1"/>
  <c r="I403" i="1"/>
  <c r="H401" i="31"/>
  <c r="Q402" i="13" s="1"/>
  <c r="O402" i="13"/>
  <c r="F401" i="31"/>
  <c r="P402" i="13" s="1"/>
  <c r="H402" i="13"/>
  <c r="E400" i="11"/>
  <c r="I402" i="13" s="1"/>
  <c r="AF402" i="1" l="1"/>
  <c r="AH402" i="1"/>
  <c r="D403" i="13"/>
  <c r="Y402" i="1"/>
  <c r="X402" i="1" s="1"/>
  <c r="W402" i="1" s="1"/>
  <c r="V402" i="1" s="1"/>
  <c r="U402" i="1" s="1"/>
  <c r="T402" i="1" s="1"/>
  <c r="AK402" i="1"/>
  <c r="F402" i="11"/>
  <c r="E403" i="13"/>
  <c r="F403" i="13" l="1"/>
  <c r="AI402" i="1"/>
  <c r="AJ402" i="1" s="1"/>
  <c r="M403" i="13" s="1"/>
  <c r="E402" i="31"/>
  <c r="G403" i="13"/>
  <c r="G403" i="1" l="1"/>
  <c r="F403" i="1"/>
  <c r="B402" i="31"/>
  <c r="C402" i="31"/>
  <c r="AM402" i="1"/>
  <c r="N403" i="13" s="1"/>
  <c r="AN402" i="1"/>
  <c r="D402" i="31" l="1"/>
  <c r="C401" i="11"/>
  <c r="E403" i="1"/>
  <c r="D403" i="1" s="1"/>
  <c r="Q403" i="1" s="1"/>
  <c r="S403" i="1" s="1"/>
  <c r="F402" i="31" l="1"/>
  <c r="P403" i="13" s="1"/>
  <c r="O403" i="13"/>
  <c r="H402" i="31"/>
  <c r="Q403" i="13" s="1"/>
  <c r="G401" i="11"/>
  <c r="H401" i="11" s="1"/>
  <c r="J403" i="13" s="1"/>
  <c r="K403" i="13"/>
  <c r="D401" i="11"/>
  <c r="B404" i="13"/>
  <c r="C403" i="1"/>
  <c r="A402" i="11"/>
  <c r="AE403" i="1"/>
  <c r="C404" i="13"/>
  <c r="I404" i="1"/>
  <c r="L403" i="1"/>
  <c r="H404" i="1"/>
  <c r="D404" i="13" l="1"/>
  <c r="AH403" i="1"/>
  <c r="E404" i="13"/>
  <c r="AF403" i="1"/>
  <c r="F403" i="11"/>
  <c r="AK403" i="1"/>
  <c r="E401" i="11"/>
  <c r="I403" i="13" s="1"/>
  <c r="H403" i="13"/>
  <c r="L404" i="13"/>
  <c r="Y403" i="1"/>
  <c r="X403" i="1" s="1"/>
  <c r="W403" i="1" s="1"/>
  <c r="V403" i="1" s="1"/>
  <c r="U403" i="1" s="1"/>
  <c r="F404" i="13" l="1"/>
  <c r="T403" i="1"/>
  <c r="AI403" i="1" l="1"/>
  <c r="AJ403" i="1" s="1"/>
  <c r="M404" i="13" s="1"/>
  <c r="G404" i="13"/>
  <c r="E403" i="31"/>
  <c r="AN403" i="1"/>
  <c r="G404" i="1" l="1"/>
  <c r="F404" i="1"/>
  <c r="C402" i="11"/>
  <c r="B403" i="31"/>
  <c r="C403" i="31"/>
  <c r="AM403" i="1"/>
  <c r="N404" i="13" s="1"/>
  <c r="E404" i="1" l="1"/>
  <c r="D404" i="1" s="1"/>
  <c r="Q404" i="1" s="1"/>
  <c r="S404" i="1" s="1"/>
  <c r="K404" i="13"/>
  <c r="G402" i="11"/>
  <c r="H402" i="11" s="1"/>
  <c r="J404" i="13" s="1"/>
  <c r="D402" i="11"/>
  <c r="D403" i="31"/>
  <c r="O404" i="13" s="1"/>
  <c r="C405" i="13" l="1"/>
  <c r="H405" i="1"/>
  <c r="AE404" i="1"/>
  <c r="B405" i="13"/>
  <c r="A403" i="11"/>
  <c r="L405" i="13" s="1"/>
  <c r="L404" i="1"/>
  <c r="I405" i="1"/>
  <c r="C404" i="1"/>
  <c r="F403" i="31"/>
  <c r="P404" i="13" s="1"/>
  <c r="H403" i="31"/>
  <c r="Q404" i="13" s="1"/>
  <c r="E402" i="11"/>
  <c r="I404" i="13" s="1"/>
  <c r="H404" i="13"/>
  <c r="AF404" i="1" l="1"/>
  <c r="D405" i="13"/>
  <c r="Y404" i="1"/>
  <c r="X404" i="1" s="1"/>
  <c r="W404" i="1" s="1"/>
  <c r="V404" i="1" s="1"/>
  <c r="U404" i="1" s="1"/>
  <c r="F405" i="13" s="1"/>
  <c r="AH404" i="1"/>
  <c r="F404" i="11"/>
  <c r="AK404" i="1"/>
  <c r="E405" i="13"/>
  <c r="T404" i="1" l="1"/>
  <c r="G405" i="13" s="1"/>
  <c r="E404" i="31" l="1"/>
  <c r="AI404" i="1"/>
  <c r="AJ404" i="1" s="1"/>
  <c r="M405" i="13" s="1"/>
  <c r="F405" i="1"/>
  <c r="G405" i="1"/>
  <c r="AN404" i="1"/>
  <c r="AM404" i="1" l="1"/>
  <c r="N405" i="13" s="1"/>
  <c r="B404" i="31"/>
  <c r="C404" i="31"/>
  <c r="C403" i="11"/>
  <c r="E405" i="1"/>
  <c r="D405" i="1" s="1"/>
  <c r="Q405" i="1" s="1"/>
  <c r="S405" i="1" s="1"/>
  <c r="D404" i="31" l="1"/>
  <c r="O405" i="13" s="1"/>
  <c r="A404" i="11"/>
  <c r="B406" i="13"/>
  <c r="C405" i="1"/>
  <c r="AE405" i="1"/>
  <c r="C406" i="13"/>
  <c r="I406" i="1"/>
  <c r="H406" i="1"/>
  <c r="L405" i="1"/>
  <c r="G403" i="11"/>
  <c r="H403" i="11" s="1"/>
  <c r="J405" i="13" s="1"/>
  <c r="K405" i="13"/>
  <c r="D403" i="11"/>
  <c r="D406" i="13" l="1"/>
  <c r="H404" i="31"/>
  <c r="Q405" i="13" s="1"/>
  <c r="F404" i="31"/>
  <c r="P405" i="13" s="1"/>
  <c r="AH405" i="1"/>
  <c r="E406" i="13"/>
  <c r="AF405" i="1"/>
  <c r="AK405" i="1"/>
  <c r="F405" i="11"/>
  <c r="L406" i="13"/>
  <c r="H405" i="13"/>
  <c r="E403" i="11"/>
  <c r="I405" i="13" s="1"/>
  <c r="Y405" i="1"/>
  <c r="X405" i="1" s="1"/>
  <c r="W405" i="1" s="1"/>
  <c r="V405" i="1" s="1"/>
  <c r="U405" i="1" s="1"/>
  <c r="F406" i="13" l="1"/>
  <c r="T405" i="1"/>
  <c r="AI405" i="1" l="1"/>
  <c r="AJ405" i="1" s="1"/>
  <c r="M406" i="13" s="1"/>
  <c r="G406" i="13"/>
  <c r="E405" i="31"/>
  <c r="AN405" i="1"/>
  <c r="G406" i="1" l="1"/>
  <c r="F406" i="1"/>
  <c r="C404" i="11"/>
  <c r="B405" i="31"/>
  <c r="C405" i="31"/>
  <c r="AM405" i="1"/>
  <c r="N406" i="13" s="1"/>
  <c r="E406" i="1" l="1"/>
  <c r="D406" i="1" s="1"/>
  <c r="Q406" i="1" s="1"/>
  <c r="S406" i="1" s="1"/>
  <c r="K406" i="13"/>
  <c r="G404" i="11"/>
  <c r="H404" i="11" s="1"/>
  <c r="J406" i="13" s="1"/>
  <c r="D404" i="11"/>
  <c r="D405" i="31"/>
  <c r="O406" i="13" s="1"/>
  <c r="A405" i="11" l="1"/>
  <c r="L407" i="13" s="1"/>
  <c r="L406" i="1"/>
  <c r="C406" i="1"/>
  <c r="I407" i="1"/>
  <c r="H407" i="1"/>
  <c r="AE406" i="1"/>
  <c r="C407" i="13"/>
  <c r="B407" i="13"/>
  <c r="H405" i="31"/>
  <c r="Q406" i="13" s="1"/>
  <c r="F405" i="31"/>
  <c r="P406" i="13" s="1"/>
  <c r="H406" i="13"/>
  <c r="E404" i="11"/>
  <c r="I406" i="13" s="1"/>
  <c r="AK406" i="1" l="1"/>
  <c r="D407" i="13"/>
  <c r="AH406" i="1"/>
  <c r="Y406" i="1"/>
  <c r="X406" i="1" s="1"/>
  <c r="W406" i="1" s="1"/>
  <c r="V406" i="1" s="1"/>
  <c r="U406" i="1" s="1"/>
  <c r="T406" i="1" s="1"/>
  <c r="F406" i="11"/>
  <c r="E407" i="13"/>
  <c r="AF406" i="1"/>
  <c r="F407" i="13" l="1"/>
  <c r="AI406" i="1"/>
  <c r="AJ406" i="1" s="1"/>
  <c r="M407" i="13" s="1"/>
  <c r="E406" i="31"/>
  <c r="G407" i="13"/>
  <c r="AN406" i="1"/>
  <c r="G407" i="1" l="1"/>
  <c r="F407" i="1"/>
  <c r="C405" i="11"/>
  <c r="C406" i="31"/>
  <c r="B406" i="31"/>
  <c r="AM406" i="1"/>
  <c r="N407" i="13" s="1"/>
  <c r="E407" i="1" l="1"/>
  <c r="D407" i="1" s="1"/>
  <c r="Q407" i="1" s="1"/>
  <c r="S407" i="1" s="1"/>
  <c r="G405" i="11"/>
  <c r="H405" i="11" s="1"/>
  <c r="J407" i="13" s="1"/>
  <c r="K407" i="13"/>
  <c r="D405" i="11"/>
  <c r="D406" i="31"/>
  <c r="O407" i="13" s="1"/>
  <c r="C408" i="13" l="1"/>
  <c r="C407" i="1"/>
  <c r="H408" i="1"/>
  <c r="A406" i="11"/>
  <c r="L408" i="13" s="1"/>
  <c r="L407" i="1"/>
  <c r="B408" i="13"/>
  <c r="I408" i="1"/>
  <c r="AE407" i="1"/>
  <c r="H406" i="31"/>
  <c r="Q407" i="13" s="1"/>
  <c r="F406" i="31"/>
  <c r="P407" i="13" s="1"/>
  <c r="H407" i="13"/>
  <c r="E405" i="11"/>
  <c r="I407" i="13" s="1"/>
  <c r="AF407" i="1" l="1"/>
  <c r="D408" i="13"/>
  <c r="Y407" i="1"/>
  <c r="X407" i="1" s="1"/>
  <c r="W407" i="1" s="1"/>
  <c r="V407" i="1" s="1"/>
  <c r="U407" i="1" s="1"/>
  <c r="T407" i="1" s="1"/>
  <c r="AK407" i="1"/>
  <c r="E408" i="13"/>
  <c r="F407" i="11"/>
  <c r="AH407" i="1"/>
  <c r="F408" i="13" l="1"/>
  <c r="AI407" i="1"/>
  <c r="AJ407" i="1" s="1"/>
  <c r="M408" i="13" s="1"/>
  <c r="E407" i="31"/>
  <c r="G408" i="13"/>
  <c r="AN407" i="1"/>
  <c r="G408" i="1" l="1"/>
  <c r="F408" i="1"/>
  <c r="C406" i="11"/>
  <c r="C407" i="31"/>
  <c r="B407" i="31"/>
  <c r="AM407" i="1"/>
  <c r="N408" i="13" s="1"/>
  <c r="E408" i="1" l="1"/>
  <c r="D408" i="1" s="1"/>
  <c r="Q408" i="1" s="1"/>
  <c r="S408" i="1" s="1"/>
  <c r="D407" i="31"/>
  <c r="H407" i="31" s="1"/>
  <c r="Q408" i="13" s="1"/>
  <c r="G406" i="11"/>
  <c r="H406" i="11" s="1"/>
  <c r="J408" i="13" s="1"/>
  <c r="K408" i="13"/>
  <c r="D406" i="11"/>
  <c r="B409" i="13" l="1"/>
  <c r="L408" i="1"/>
  <c r="I409" i="1"/>
  <c r="C408" i="1"/>
  <c r="A407" i="11"/>
  <c r="L409" i="13" s="1"/>
  <c r="C409" i="13"/>
  <c r="AE408" i="1"/>
  <c r="H409" i="1"/>
  <c r="AH408" i="1" s="1"/>
  <c r="F407" i="31"/>
  <c r="P408" i="13" s="1"/>
  <c r="O408" i="13"/>
  <c r="H408" i="13"/>
  <c r="E406" i="11"/>
  <c r="I408" i="13" s="1"/>
  <c r="E409" i="13" l="1"/>
  <c r="D409" i="13"/>
  <c r="Y408" i="1"/>
  <c r="X408" i="1" s="1"/>
  <c r="W408" i="1" s="1"/>
  <c r="V408" i="1" s="1"/>
  <c r="U408" i="1" s="1"/>
  <c r="F409" i="13" s="1"/>
  <c r="F408" i="11"/>
  <c r="AK408" i="1"/>
  <c r="AF408" i="1"/>
  <c r="T408" i="1" l="1"/>
  <c r="AI408" i="1" s="1"/>
  <c r="AJ408" i="1" s="1"/>
  <c r="M409" i="13" s="1"/>
  <c r="AN408" i="1"/>
  <c r="E408" i="31" l="1"/>
  <c r="G409" i="13"/>
  <c r="G409" i="1"/>
  <c r="F409" i="1"/>
  <c r="C407" i="11"/>
  <c r="B408" i="31"/>
  <c r="C408" i="31"/>
  <c r="AM408" i="1"/>
  <c r="N409" i="13" s="1"/>
  <c r="E409" i="1" l="1"/>
  <c r="D409" i="1" s="1"/>
  <c r="Q409" i="1" s="1"/>
  <c r="S409" i="1" s="1"/>
  <c r="D408" i="31"/>
  <c r="K409" i="13"/>
  <c r="G407" i="11"/>
  <c r="H407" i="11" s="1"/>
  <c r="J409" i="13" s="1"/>
  <c r="D407" i="11"/>
  <c r="C410" i="13" l="1"/>
  <c r="L409" i="1"/>
  <c r="B410" i="13"/>
  <c r="AE409" i="1"/>
  <c r="I410" i="1"/>
  <c r="C409" i="1"/>
  <c r="H410" i="1"/>
  <c r="Y409" i="1" s="1"/>
  <c r="A408" i="11"/>
  <c r="L410" i="13" s="1"/>
  <c r="F408" i="31"/>
  <c r="P409" i="13" s="1"/>
  <c r="O409" i="13"/>
  <c r="H408" i="31"/>
  <c r="Q409" i="13" s="1"/>
  <c r="H409" i="13"/>
  <c r="E407" i="11"/>
  <c r="I409" i="13" s="1"/>
  <c r="F409" i="11" l="1"/>
  <c r="D410" i="13"/>
  <c r="AH409" i="1"/>
  <c r="AF409" i="1"/>
  <c r="E410" i="13"/>
  <c r="AK409" i="1"/>
  <c r="X409" i="1"/>
  <c r="W409" i="1" s="1"/>
  <c r="V409" i="1" s="1"/>
  <c r="U409" i="1" s="1"/>
  <c r="T409" i="1" s="1"/>
  <c r="F410" i="13" l="1"/>
  <c r="AI409" i="1"/>
  <c r="AJ409" i="1" s="1"/>
  <c r="M410" i="13" s="1"/>
  <c r="E409" i="31"/>
  <c r="G410" i="13"/>
  <c r="G410" i="1" l="1"/>
  <c r="F410" i="1"/>
  <c r="B409" i="31"/>
  <c r="C409" i="31"/>
  <c r="AM409" i="1"/>
  <c r="N410" i="13" s="1"/>
  <c r="AN409" i="1"/>
  <c r="D409" i="31" l="1"/>
  <c r="E410" i="1"/>
  <c r="D410" i="1" s="1"/>
  <c r="Q410" i="1" s="1"/>
  <c r="S410" i="1" s="1"/>
  <c r="C408" i="11"/>
  <c r="H409" i="31" l="1"/>
  <c r="Q410" i="13" s="1"/>
  <c r="O410" i="13"/>
  <c r="F409" i="31"/>
  <c r="P410" i="13" s="1"/>
  <c r="K410" i="13"/>
  <c r="G408" i="11"/>
  <c r="H408" i="11" s="1"/>
  <c r="J410" i="13" s="1"/>
  <c r="D408" i="11"/>
  <c r="B411" i="13"/>
  <c r="A409" i="11"/>
  <c r="C411" i="13"/>
  <c r="AE410" i="1"/>
  <c r="C410" i="1"/>
  <c r="I411" i="1"/>
  <c r="L410" i="1"/>
  <c r="H411" i="1"/>
  <c r="D411" i="13" l="1"/>
  <c r="Y410" i="1"/>
  <c r="X410" i="1" s="1"/>
  <c r="W410" i="1" s="1"/>
  <c r="V410" i="1" s="1"/>
  <c r="U410" i="1" s="1"/>
  <c r="AF410" i="1"/>
  <c r="E411" i="13"/>
  <c r="AK410" i="1"/>
  <c r="F410" i="11"/>
  <c r="H410" i="13"/>
  <c r="E408" i="11"/>
  <c r="I410" i="13" s="1"/>
  <c r="AH410" i="1"/>
  <c r="L411" i="13"/>
  <c r="T410" i="1" l="1"/>
  <c r="F411" i="13"/>
  <c r="AI410" i="1" l="1"/>
  <c r="AJ410" i="1" s="1"/>
  <c r="M411" i="13" s="1"/>
  <c r="E410" i="31"/>
  <c r="G411" i="13"/>
  <c r="AN410" i="1"/>
  <c r="F411" i="1" l="1"/>
  <c r="G411" i="1"/>
  <c r="C409" i="11"/>
  <c r="B410" i="31"/>
  <c r="C410" i="31"/>
  <c r="AM410" i="1"/>
  <c r="N411" i="13" s="1"/>
  <c r="E411" i="1" l="1"/>
  <c r="D411" i="1" s="1"/>
  <c r="Q411" i="1" s="1"/>
  <c r="S411" i="1" s="1"/>
  <c r="G409" i="11"/>
  <c r="H409" i="11" s="1"/>
  <c r="J411" i="13" s="1"/>
  <c r="K411" i="13"/>
  <c r="D409" i="11"/>
  <c r="D410" i="31"/>
  <c r="O411" i="13" s="1"/>
  <c r="A410" i="11" l="1"/>
  <c r="L412" i="13" s="1"/>
  <c r="C412" i="13"/>
  <c r="C411" i="1"/>
  <c r="H412" i="1"/>
  <c r="AE411" i="1"/>
  <c r="L411" i="1"/>
  <c r="B412" i="13"/>
  <c r="I412" i="1"/>
  <c r="H410" i="31"/>
  <c r="Q411" i="13" s="1"/>
  <c r="F410" i="31"/>
  <c r="P411" i="13" s="1"/>
  <c r="H411" i="13"/>
  <c r="E409" i="11"/>
  <c r="I411" i="13" s="1"/>
  <c r="AF411" i="1" l="1"/>
  <c r="D412" i="13"/>
  <c r="AH411" i="1"/>
  <c r="Y411" i="1"/>
  <c r="X411" i="1" s="1"/>
  <c r="W411" i="1" s="1"/>
  <c r="V411" i="1" s="1"/>
  <c r="U411" i="1" s="1"/>
  <c r="T411" i="1" s="1"/>
  <c r="F411" i="11"/>
  <c r="AK411" i="1"/>
  <c r="E412" i="13"/>
  <c r="F412" i="13" l="1"/>
  <c r="AI411" i="1"/>
  <c r="AJ411" i="1" s="1"/>
  <c r="M412" i="13" s="1"/>
  <c r="E411" i="31"/>
  <c r="G412" i="13"/>
  <c r="AN411" i="1"/>
  <c r="F412" i="1" l="1"/>
  <c r="G412" i="1"/>
  <c r="C410" i="11"/>
  <c r="B411" i="31"/>
  <c r="C411" i="31"/>
  <c r="AM411" i="1"/>
  <c r="N412" i="13" s="1"/>
  <c r="E412" i="1" l="1"/>
  <c r="D412" i="1" s="1"/>
  <c r="Q412" i="1" s="1"/>
  <c r="S412" i="1" s="1"/>
  <c r="D411" i="31"/>
  <c r="G410" i="11"/>
  <c r="H410" i="11" s="1"/>
  <c r="J412" i="13" s="1"/>
  <c r="K412" i="13"/>
  <c r="D410" i="11"/>
  <c r="C412" i="1" l="1"/>
  <c r="I413" i="1"/>
  <c r="B413" i="13"/>
  <c r="H413" i="1"/>
  <c r="AE412" i="1"/>
  <c r="C413" i="13"/>
  <c r="A411" i="11"/>
  <c r="L413" i="13" s="1"/>
  <c r="L412" i="1"/>
  <c r="F411" i="31"/>
  <c r="P412" i="13" s="1"/>
  <c r="O412" i="13"/>
  <c r="H411" i="31"/>
  <c r="Q412" i="13" s="1"/>
  <c r="E410" i="11"/>
  <c r="I412" i="13" s="1"/>
  <c r="H412" i="13"/>
  <c r="D413" i="13" l="1"/>
  <c r="AK412" i="1"/>
  <c r="Y412" i="1"/>
  <c r="X412" i="1" s="1"/>
  <c r="W412" i="1" s="1"/>
  <c r="V412" i="1" s="1"/>
  <c r="U412" i="1" s="1"/>
  <c r="F413" i="13" s="1"/>
  <c r="AH412" i="1"/>
  <c r="AF412" i="1"/>
  <c r="E413" i="13"/>
  <c r="F412" i="11"/>
  <c r="T412" i="1" l="1"/>
  <c r="AI412" i="1" s="1"/>
  <c r="AJ412" i="1" s="1"/>
  <c r="M413" i="13" s="1"/>
  <c r="AN412" i="1"/>
  <c r="E412" i="31" l="1"/>
  <c r="G413" i="13"/>
  <c r="G413" i="1"/>
  <c r="F413" i="1"/>
  <c r="C411" i="11"/>
  <c r="C412" i="31"/>
  <c r="B412" i="31"/>
  <c r="AM412" i="1"/>
  <c r="N413" i="13" s="1"/>
  <c r="E413" i="1" l="1"/>
  <c r="D413" i="1" s="1"/>
  <c r="Q413" i="1" s="1"/>
  <c r="S413" i="1" s="1"/>
  <c r="D412" i="31"/>
  <c r="G411" i="11"/>
  <c r="H411" i="11" s="1"/>
  <c r="J413" i="13" s="1"/>
  <c r="K413" i="13"/>
  <c r="D411" i="11"/>
  <c r="A412" i="11" l="1"/>
  <c r="L414" i="13" s="1"/>
  <c r="L413" i="1"/>
  <c r="C413" i="1"/>
  <c r="AE413" i="1"/>
  <c r="C414" i="13"/>
  <c r="B414" i="13"/>
  <c r="H414" i="1"/>
  <c r="I414" i="1"/>
  <c r="H412" i="31"/>
  <c r="Q413" i="13" s="1"/>
  <c r="O413" i="13"/>
  <c r="F412" i="31"/>
  <c r="P413" i="13" s="1"/>
  <c r="H413" i="13"/>
  <c r="E411" i="11"/>
  <c r="I413" i="13" s="1"/>
  <c r="E414" i="13" l="1"/>
  <c r="D414" i="13"/>
  <c r="Y413" i="1"/>
  <c r="X413" i="1" s="1"/>
  <c r="W413" i="1" s="1"/>
  <c r="V413" i="1" s="1"/>
  <c r="U413" i="1" s="1"/>
  <c r="F414" i="13" s="1"/>
  <c r="F413" i="11"/>
  <c r="AK413" i="1"/>
  <c r="AF413" i="1"/>
  <c r="AH413" i="1"/>
  <c r="T413" i="1" l="1"/>
  <c r="AI413" i="1" s="1"/>
  <c r="AJ413" i="1" s="1"/>
  <c r="M414" i="13" s="1"/>
  <c r="AN413" i="1"/>
  <c r="E413" i="31" l="1"/>
  <c r="G414" i="13"/>
  <c r="G414" i="1"/>
  <c r="F414" i="1"/>
  <c r="C412" i="11"/>
  <c r="B413" i="31"/>
  <c r="C413" i="31"/>
  <c r="AM413" i="1"/>
  <c r="N414" i="13" s="1"/>
  <c r="E414" i="1" l="1"/>
  <c r="D414" i="1" s="1"/>
  <c r="Q414" i="1" s="1"/>
  <c r="S414" i="1" s="1"/>
  <c r="D413" i="31"/>
  <c r="K414" i="13"/>
  <c r="G412" i="11"/>
  <c r="H412" i="11" s="1"/>
  <c r="J414" i="13" s="1"/>
  <c r="D412" i="11"/>
  <c r="C414" i="1" l="1"/>
  <c r="L414" i="1"/>
  <c r="H415" i="1"/>
  <c r="A413" i="11"/>
  <c r="L415" i="13" s="1"/>
  <c r="I415" i="1"/>
  <c r="C415" i="13"/>
  <c r="B415" i="13"/>
  <c r="AE414" i="1"/>
  <c r="F413" i="31"/>
  <c r="P414" i="13" s="1"/>
  <c r="O414" i="13"/>
  <c r="H413" i="31"/>
  <c r="Q414" i="13" s="1"/>
  <c r="H414" i="13"/>
  <c r="E412" i="11"/>
  <c r="I414" i="13" s="1"/>
  <c r="D415" i="13" l="1"/>
  <c r="F414" i="11"/>
  <c r="AH414" i="1"/>
  <c r="AF414" i="1"/>
  <c r="E415" i="13"/>
  <c r="AK414" i="1"/>
  <c r="Y414" i="1"/>
  <c r="X414" i="1" s="1"/>
  <c r="W414" i="1" s="1"/>
  <c r="V414" i="1" s="1"/>
  <c r="U414" i="1" s="1"/>
  <c r="F415" i="13" s="1"/>
  <c r="T414" i="1" l="1"/>
  <c r="E414" i="31" s="1"/>
  <c r="AI414" i="1" l="1"/>
  <c r="AJ414" i="1" s="1"/>
  <c r="M415" i="13" s="1"/>
  <c r="G415" i="13"/>
  <c r="F415" i="1"/>
  <c r="G415" i="1"/>
  <c r="AN414" i="1"/>
  <c r="AM414" i="1" l="1"/>
  <c r="N415" i="13" s="1"/>
  <c r="B414" i="31"/>
  <c r="C414" i="31"/>
  <c r="E415" i="1"/>
  <c r="D415" i="1" s="1"/>
  <c r="Q415" i="1" s="1"/>
  <c r="S415" i="1" s="1"/>
  <c r="C413" i="11"/>
  <c r="D414" i="31" l="1"/>
  <c r="F414" i="31" s="1"/>
  <c r="P415" i="13" s="1"/>
  <c r="O415" i="13"/>
  <c r="K415" i="13"/>
  <c r="G413" i="11"/>
  <c r="H413" i="11" s="1"/>
  <c r="J415" i="13" s="1"/>
  <c r="D413" i="11"/>
  <c r="AE415" i="1"/>
  <c r="B416" i="13"/>
  <c r="A414" i="11"/>
  <c r="C415" i="1"/>
  <c r="C416" i="13"/>
  <c r="L415" i="1"/>
  <c r="I416" i="1"/>
  <c r="H416" i="1"/>
  <c r="D416" i="13" l="1"/>
  <c r="H414" i="31"/>
  <c r="Q415" i="13" s="1"/>
  <c r="AF415" i="1"/>
  <c r="E416" i="13"/>
  <c r="AK415" i="1"/>
  <c r="F415" i="11"/>
  <c r="L416" i="13"/>
  <c r="Y415" i="1"/>
  <c r="X415" i="1" s="1"/>
  <c r="W415" i="1" s="1"/>
  <c r="V415" i="1" s="1"/>
  <c r="U415" i="1" s="1"/>
  <c r="AH415" i="1"/>
  <c r="H415" i="13"/>
  <c r="E413" i="11"/>
  <c r="I415" i="13" s="1"/>
  <c r="T415" i="1" l="1"/>
  <c r="F416" i="13"/>
  <c r="AI415" i="1" l="1"/>
  <c r="AJ415" i="1" s="1"/>
  <c r="M416" i="13" s="1"/>
  <c r="G416" i="13"/>
  <c r="E415" i="31"/>
  <c r="AN415" i="1"/>
  <c r="G416" i="1" l="1"/>
  <c r="F416" i="1"/>
  <c r="C414" i="11"/>
  <c r="C415" i="31"/>
  <c r="B415" i="31"/>
  <c r="AM415" i="1"/>
  <c r="N416" i="13" s="1"/>
  <c r="E416" i="1" l="1"/>
  <c r="D416" i="1" s="1"/>
  <c r="Q416" i="1" s="1"/>
  <c r="S416" i="1" s="1"/>
  <c r="G414" i="11"/>
  <c r="H414" i="11" s="1"/>
  <c r="J416" i="13" s="1"/>
  <c r="K416" i="13"/>
  <c r="D414" i="11"/>
  <c r="D415" i="31"/>
  <c r="O416" i="13" s="1"/>
  <c r="A415" i="11" l="1"/>
  <c r="L417" i="13" s="1"/>
  <c r="I417" i="1"/>
  <c r="AE416" i="1"/>
  <c r="H417" i="1"/>
  <c r="AH416" i="1" s="1"/>
  <c r="B417" i="13"/>
  <c r="L416" i="1"/>
  <c r="C417" i="13"/>
  <c r="C416" i="1"/>
  <c r="H415" i="31"/>
  <c r="Q416" i="13" s="1"/>
  <c r="F415" i="31"/>
  <c r="P416" i="13" s="1"/>
  <c r="E414" i="11"/>
  <c r="I416" i="13" s="1"/>
  <c r="H416" i="13"/>
  <c r="AK416" i="1" l="1"/>
  <c r="D417" i="13"/>
  <c r="E417" i="13"/>
  <c r="F416" i="11"/>
  <c r="AF416" i="1"/>
  <c r="Y416" i="1"/>
  <c r="X416" i="1" s="1"/>
  <c r="W416" i="1" s="1"/>
  <c r="V416" i="1" s="1"/>
  <c r="U416" i="1" s="1"/>
  <c r="T416" i="1" s="1"/>
  <c r="F417" i="13" l="1"/>
  <c r="AI416" i="1"/>
  <c r="AJ416" i="1" s="1"/>
  <c r="M417" i="13" s="1"/>
  <c r="E416" i="31"/>
  <c r="G417" i="13"/>
  <c r="G417" i="1" l="1"/>
  <c r="F417" i="1"/>
  <c r="AN416" i="1"/>
  <c r="B416" i="31"/>
  <c r="C416" i="31"/>
  <c r="AM416" i="1"/>
  <c r="N417" i="13" s="1"/>
  <c r="C415" i="11" l="1"/>
  <c r="E417" i="1"/>
  <c r="D417" i="1" s="1"/>
  <c r="Q417" i="1" s="1"/>
  <c r="S417" i="1" s="1"/>
  <c r="D416" i="31"/>
  <c r="O417" i="13" s="1"/>
  <c r="C417" i="1" l="1"/>
  <c r="C418" i="13"/>
  <c r="AE417" i="1"/>
  <c r="B418" i="13"/>
  <c r="A416" i="11"/>
  <c r="L417" i="1"/>
  <c r="H418" i="1"/>
  <c r="I418" i="1"/>
  <c r="K417" i="13"/>
  <c r="G415" i="11"/>
  <c r="H415" i="11" s="1"/>
  <c r="J417" i="13" s="1"/>
  <c r="D415" i="11"/>
  <c r="H416" i="31"/>
  <c r="Q417" i="13" s="1"/>
  <c r="F416" i="31"/>
  <c r="P417" i="13" s="1"/>
  <c r="D418" i="13" l="1"/>
  <c r="AH417" i="1"/>
  <c r="H417" i="13"/>
  <c r="E415" i="11"/>
  <c r="I417" i="13" s="1"/>
  <c r="Y417" i="1"/>
  <c r="X417" i="1" s="1"/>
  <c r="W417" i="1" s="1"/>
  <c r="V417" i="1" s="1"/>
  <c r="U417" i="1" s="1"/>
  <c r="L418" i="13"/>
  <c r="AF417" i="1"/>
  <c r="E418" i="13"/>
  <c r="AK417" i="1"/>
  <c r="F417" i="11"/>
  <c r="T417" i="1" l="1"/>
  <c r="F418" i="13"/>
  <c r="AI417" i="1" l="1"/>
  <c r="AJ417" i="1" s="1"/>
  <c r="M418" i="13" s="1"/>
  <c r="E417" i="31"/>
  <c r="G418" i="13"/>
  <c r="AN417" i="1"/>
  <c r="F418" i="1" l="1"/>
  <c r="G418" i="1"/>
  <c r="C416" i="11"/>
  <c r="B417" i="31"/>
  <c r="C417" i="31"/>
  <c r="AM417" i="1"/>
  <c r="N418" i="13" s="1"/>
  <c r="E418" i="1" l="1"/>
  <c r="D418" i="1" s="1"/>
  <c r="Q418" i="1" s="1"/>
  <c r="S418" i="1" s="1"/>
  <c r="D417" i="31"/>
  <c r="G416" i="11"/>
  <c r="H416" i="11" s="1"/>
  <c r="J418" i="13" s="1"/>
  <c r="K418" i="13"/>
  <c r="D416" i="11"/>
  <c r="AE418" i="1" l="1"/>
  <c r="L418" i="1"/>
  <c r="I419" i="1"/>
  <c r="A417" i="11"/>
  <c r="L419" i="13" s="1"/>
  <c r="C419" i="13"/>
  <c r="H419" i="1"/>
  <c r="C418" i="1"/>
  <c r="B419" i="13"/>
  <c r="H417" i="31"/>
  <c r="Q418" i="13" s="1"/>
  <c r="O418" i="13"/>
  <c r="F417" i="31"/>
  <c r="P418" i="13" s="1"/>
  <c r="H418" i="13"/>
  <c r="E416" i="11"/>
  <c r="I418" i="13" s="1"/>
  <c r="F418" i="11" l="1"/>
  <c r="D419" i="13"/>
  <c r="AH418" i="1"/>
  <c r="E419" i="13"/>
  <c r="AF418" i="1"/>
  <c r="Y418" i="1"/>
  <c r="X418" i="1" s="1"/>
  <c r="W418" i="1" s="1"/>
  <c r="V418" i="1" s="1"/>
  <c r="U418" i="1" s="1"/>
  <c r="T418" i="1" s="1"/>
  <c r="AK418" i="1"/>
  <c r="F419" i="13" l="1"/>
  <c r="AI418" i="1"/>
  <c r="AJ418" i="1" s="1"/>
  <c r="M419" i="13" s="1"/>
  <c r="G419" i="13"/>
  <c r="E418" i="31"/>
  <c r="F419" i="1" l="1"/>
  <c r="G419" i="1"/>
  <c r="C418" i="31"/>
  <c r="B418" i="31"/>
  <c r="AM418" i="1"/>
  <c r="N419" i="13" s="1"/>
  <c r="AN418" i="1"/>
  <c r="D418" i="31" l="1"/>
  <c r="C417" i="11"/>
  <c r="E419" i="1"/>
  <c r="D419" i="1" s="1"/>
  <c r="Q419" i="1" s="1"/>
  <c r="S419" i="1" s="1"/>
  <c r="H418" i="31" l="1"/>
  <c r="Q419" i="13" s="1"/>
  <c r="O419" i="13"/>
  <c r="F418" i="31"/>
  <c r="P419" i="13" s="1"/>
  <c r="K419" i="13"/>
  <c r="G417" i="11"/>
  <c r="H417" i="11" s="1"/>
  <c r="J419" i="13" s="1"/>
  <c r="D417" i="11"/>
  <c r="A418" i="11"/>
  <c r="C419" i="1"/>
  <c r="AE419" i="1"/>
  <c r="C420" i="13"/>
  <c r="B420" i="13"/>
  <c r="H420" i="1"/>
  <c r="I420" i="1"/>
  <c r="L419" i="1"/>
  <c r="D420" i="13" l="1"/>
  <c r="AH419" i="1"/>
  <c r="AF419" i="1"/>
  <c r="E420" i="13"/>
  <c r="F419" i="11"/>
  <c r="AK419" i="1"/>
  <c r="L420" i="13"/>
  <c r="E417" i="11"/>
  <c r="I419" i="13" s="1"/>
  <c r="H419" i="13"/>
  <c r="Y419" i="1"/>
  <c r="X419" i="1" s="1"/>
  <c r="W419" i="1" s="1"/>
  <c r="V419" i="1" s="1"/>
  <c r="U419" i="1" s="1"/>
  <c r="F420" i="13" l="1"/>
  <c r="T419" i="1"/>
  <c r="AI419" i="1" l="1"/>
  <c r="AJ419" i="1" s="1"/>
  <c r="M420" i="13" s="1"/>
  <c r="E419" i="31"/>
  <c r="G420" i="13"/>
  <c r="AN419" i="1"/>
  <c r="G420" i="1" l="1"/>
  <c r="F420" i="1"/>
  <c r="C418" i="11"/>
  <c r="B419" i="31"/>
  <c r="C419" i="31"/>
  <c r="AM419" i="1"/>
  <c r="N420" i="13" s="1"/>
  <c r="E420" i="1" l="1"/>
  <c r="D420" i="1" s="1"/>
  <c r="Q420" i="1" s="1"/>
  <c r="S420" i="1" s="1"/>
  <c r="D419" i="31"/>
  <c r="G418" i="11"/>
  <c r="H418" i="11" s="1"/>
  <c r="J420" i="13" s="1"/>
  <c r="K420" i="13"/>
  <c r="D418" i="11"/>
  <c r="C421" i="13" l="1"/>
  <c r="H421" i="1"/>
  <c r="AE420" i="1"/>
  <c r="L420" i="1"/>
  <c r="A419" i="11"/>
  <c r="L421" i="13" s="1"/>
  <c r="B421" i="13"/>
  <c r="C420" i="1"/>
  <c r="I421" i="1"/>
  <c r="H419" i="31"/>
  <c r="Q420" i="13" s="1"/>
  <c r="O420" i="13"/>
  <c r="F419" i="31"/>
  <c r="P420" i="13" s="1"/>
  <c r="E418" i="11"/>
  <c r="I420" i="13" s="1"/>
  <c r="H420" i="13"/>
  <c r="F420" i="11" l="1"/>
  <c r="D421" i="13"/>
  <c r="Y420" i="1"/>
  <c r="X420" i="1" s="1"/>
  <c r="W420" i="1" s="1"/>
  <c r="V420" i="1" s="1"/>
  <c r="U420" i="1" s="1"/>
  <c r="F421" i="13" s="1"/>
  <c r="AF420" i="1"/>
  <c r="AK420" i="1"/>
  <c r="E421" i="13"/>
  <c r="AH420" i="1"/>
  <c r="T420" i="1" l="1"/>
  <c r="AI420" i="1" s="1"/>
  <c r="AJ420" i="1" s="1"/>
  <c r="M421" i="13" s="1"/>
  <c r="E420" i="31" l="1"/>
  <c r="G421" i="13"/>
  <c r="F421" i="1"/>
  <c r="G421" i="1"/>
  <c r="AN420" i="1"/>
  <c r="B420" i="31"/>
  <c r="C420" i="31"/>
  <c r="AM420" i="1"/>
  <c r="N421" i="13" s="1"/>
  <c r="C419" i="11" l="1"/>
  <c r="E421" i="1"/>
  <c r="D421" i="1" s="1"/>
  <c r="Q421" i="1" s="1"/>
  <c r="S421" i="1" s="1"/>
  <c r="D420" i="31"/>
  <c r="O421" i="13" s="1"/>
  <c r="A420" i="11" l="1"/>
  <c r="C422" i="13"/>
  <c r="AE421" i="1"/>
  <c r="B422" i="13"/>
  <c r="C421" i="1"/>
  <c r="L421" i="1"/>
  <c r="H422" i="1"/>
  <c r="I422" i="1"/>
  <c r="G419" i="11"/>
  <c r="H419" i="11" s="1"/>
  <c r="J421" i="13" s="1"/>
  <c r="K421" i="13"/>
  <c r="D419" i="11"/>
  <c r="H420" i="31"/>
  <c r="Q421" i="13" s="1"/>
  <c r="F420" i="31"/>
  <c r="P421" i="13" s="1"/>
  <c r="D422" i="13" l="1"/>
  <c r="AH421" i="1"/>
  <c r="E419" i="11"/>
  <c r="I421" i="13" s="1"/>
  <c r="H421" i="13"/>
  <c r="Y421" i="1"/>
  <c r="X421" i="1" s="1"/>
  <c r="W421" i="1" s="1"/>
  <c r="V421" i="1" s="1"/>
  <c r="U421" i="1" s="1"/>
  <c r="L422" i="13"/>
  <c r="E422" i="13"/>
  <c r="AF421" i="1"/>
  <c r="F421" i="11"/>
  <c r="AK421" i="1"/>
  <c r="F422" i="13" l="1"/>
  <c r="T421" i="1"/>
  <c r="AI421" i="1" l="1"/>
  <c r="AJ421" i="1" s="1"/>
  <c r="M422" i="13" s="1"/>
  <c r="E421" i="31"/>
  <c r="G422" i="13"/>
  <c r="AN421" i="1"/>
  <c r="F422" i="1" l="1"/>
  <c r="G422" i="1"/>
  <c r="C420" i="11"/>
  <c r="C421" i="31"/>
  <c r="B421" i="31"/>
  <c r="AM421" i="1"/>
  <c r="N422" i="13" s="1"/>
  <c r="E422" i="1" l="1"/>
  <c r="D422" i="1" s="1"/>
  <c r="Q422" i="1" s="1"/>
  <c r="S422" i="1" s="1"/>
  <c r="D421" i="31"/>
  <c r="K422" i="13"/>
  <c r="G420" i="11"/>
  <c r="H420" i="11" s="1"/>
  <c r="J422" i="13" s="1"/>
  <c r="D420" i="11"/>
  <c r="C423" i="13" l="1"/>
  <c r="I423" i="1"/>
  <c r="B423" i="13"/>
  <c r="H423" i="1"/>
  <c r="AH422" i="1" s="1"/>
  <c r="AE422" i="1"/>
  <c r="A421" i="11"/>
  <c r="L423" i="13" s="1"/>
  <c r="C422" i="1"/>
  <c r="L422" i="1"/>
  <c r="H421" i="31"/>
  <c r="Q422" i="13" s="1"/>
  <c r="O422" i="13"/>
  <c r="F421" i="31"/>
  <c r="P422" i="13" s="1"/>
  <c r="H422" i="13"/>
  <c r="E420" i="11"/>
  <c r="I422" i="13" s="1"/>
  <c r="E423" i="13" l="1"/>
  <c r="D423" i="13"/>
  <c r="Y422" i="1"/>
  <c r="X422" i="1" s="1"/>
  <c r="W422" i="1" s="1"/>
  <c r="V422" i="1" s="1"/>
  <c r="U422" i="1" s="1"/>
  <c r="F423" i="13" s="1"/>
  <c r="F422" i="11"/>
  <c r="AF422" i="1"/>
  <c r="AK422" i="1"/>
  <c r="T422" i="1" l="1"/>
  <c r="AI422" i="1" s="1"/>
  <c r="AJ422" i="1" s="1"/>
  <c r="M423" i="13" s="1"/>
  <c r="AN422" i="1"/>
  <c r="G423" i="13" l="1"/>
  <c r="E422" i="31"/>
  <c r="G423" i="1"/>
  <c r="F423" i="1"/>
  <c r="C422" i="31"/>
  <c r="B422" i="31"/>
  <c r="AM422" i="1"/>
  <c r="N423" i="13" s="1"/>
  <c r="C421" i="11"/>
  <c r="E423" i="1" l="1"/>
  <c r="D423" i="1" s="1"/>
  <c r="Q423" i="1" s="1"/>
  <c r="S423" i="1" s="1"/>
  <c r="G421" i="11"/>
  <c r="H421" i="11" s="1"/>
  <c r="J423" i="13" s="1"/>
  <c r="K423" i="13"/>
  <c r="D421" i="11"/>
  <c r="D422" i="31"/>
  <c r="O423" i="13" s="1"/>
  <c r="AE423" i="1" l="1"/>
  <c r="H424" i="1"/>
  <c r="C424" i="13"/>
  <c r="B424" i="13"/>
  <c r="C423" i="1"/>
  <c r="I424" i="1"/>
  <c r="A422" i="11"/>
  <c r="L424" i="13" s="1"/>
  <c r="L423" i="1"/>
  <c r="F422" i="31"/>
  <c r="P423" i="13" s="1"/>
  <c r="H422" i="31"/>
  <c r="Q423" i="13" s="1"/>
  <c r="H423" i="13"/>
  <c r="E421" i="11"/>
  <c r="I423" i="13" s="1"/>
  <c r="E424" i="13" l="1"/>
  <c r="D424" i="13"/>
  <c r="AH423" i="1"/>
  <c r="Y423" i="1"/>
  <c r="X423" i="1" s="1"/>
  <c r="W423" i="1" s="1"/>
  <c r="V423" i="1" s="1"/>
  <c r="U423" i="1" s="1"/>
  <c r="T423" i="1" s="1"/>
  <c r="AF423" i="1"/>
  <c r="AK423" i="1"/>
  <c r="F423" i="11"/>
  <c r="F424" i="13" l="1"/>
  <c r="AI423" i="1"/>
  <c r="AJ423" i="1" s="1"/>
  <c r="M424" i="13" s="1"/>
  <c r="E423" i="31"/>
  <c r="G424" i="13"/>
  <c r="AN423" i="1"/>
  <c r="F424" i="1" l="1"/>
  <c r="G424" i="1"/>
  <c r="C422" i="11"/>
  <c r="C423" i="31"/>
  <c r="B423" i="31"/>
  <c r="AM423" i="1"/>
  <c r="N424" i="13" s="1"/>
  <c r="E424" i="1" l="1"/>
  <c r="D424" i="1" s="1"/>
  <c r="Q424" i="1" s="1"/>
  <c r="S424" i="1" s="1"/>
  <c r="D423" i="31"/>
  <c r="H423" i="31" s="1"/>
  <c r="Q424" i="13" s="1"/>
  <c r="G422" i="11"/>
  <c r="H422" i="11" s="1"/>
  <c r="J424" i="13" s="1"/>
  <c r="K424" i="13"/>
  <c r="D422" i="11"/>
  <c r="C425" i="13" l="1"/>
  <c r="L424" i="1"/>
  <c r="AE424" i="1"/>
  <c r="B425" i="13"/>
  <c r="H425" i="1"/>
  <c r="A423" i="11"/>
  <c r="L425" i="13" s="1"/>
  <c r="I425" i="1"/>
  <c r="C424" i="1"/>
  <c r="F423" i="31"/>
  <c r="P424" i="13" s="1"/>
  <c r="O424" i="13"/>
  <c r="E422" i="11"/>
  <c r="I424" i="13" s="1"/>
  <c r="H424" i="13"/>
  <c r="E425" i="13" l="1"/>
  <c r="D425" i="13"/>
  <c r="F424" i="11"/>
  <c r="AF424" i="1"/>
  <c r="AK424" i="1"/>
  <c r="AH424" i="1"/>
  <c r="Y424" i="1"/>
  <c r="X424" i="1" s="1"/>
  <c r="W424" i="1" s="1"/>
  <c r="V424" i="1" s="1"/>
  <c r="U424" i="1" s="1"/>
  <c r="T424" i="1" s="1"/>
  <c r="F425" i="13" l="1"/>
  <c r="AI424" i="1"/>
  <c r="AJ424" i="1" s="1"/>
  <c r="M425" i="13" s="1"/>
  <c r="G425" i="13"/>
  <c r="E424" i="31"/>
  <c r="F425" i="1" l="1"/>
  <c r="G425" i="1"/>
  <c r="B424" i="31"/>
  <c r="C424" i="31"/>
  <c r="AM424" i="1"/>
  <c r="N425" i="13" s="1"/>
  <c r="AN424" i="1"/>
  <c r="D424" i="31" l="1"/>
  <c r="E425" i="1"/>
  <c r="D425" i="1" s="1"/>
  <c r="Q425" i="1" s="1"/>
  <c r="S425" i="1" s="1"/>
  <c r="C423" i="11"/>
  <c r="H424" i="31" l="1"/>
  <c r="Q425" i="13" s="1"/>
  <c r="O425" i="13"/>
  <c r="F424" i="31"/>
  <c r="P425" i="13" s="1"/>
  <c r="K425" i="13"/>
  <c r="G423" i="11"/>
  <c r="H423" i="11" s="1"/>
  <c r="J425" i="13" s="1"/>
  <c r="D423" i="11"/>
  <c r="B426" i="13"/>
  <c r="C426" i="13"/>
  <c r="AE425" i="1"/>
  <c r="A424" i="11"/>
  <c r="C425" i="1"/>
  <c r="I426" i="1"/>
  <c r="L425" i="1"/>
  <c r="H426" i="1"/>
  <c r="D426" i="13" l="1"/>
  <c r="AH425" i="1"/>
  <c r="Y425" i="1"/>
  <c r="X425" i="1" s="1"/>
  <c r="W425" i="1" s="1"/>
  <c r="V425" i="1" s="1"/>
  <c r="U425" i="1" s="1"/>
  <c r="E426" i="13"/>
  <c r="AF425" i="1"/>
  <c r="F425" i="11"/>
  <c r="AK425" i="1"/>
  <c r="L426" i="13"/>
  <c r="H425" i="13"/>
  <c r="E423" i="11"/>
  <c r="I425" i="13" s="1"/>
  <c r="T425" i="1" l="1"/>
  <c r="F426" i="13"/>
  <c r="AI425" i="1" l="1"/>
  <c r="AJ425" i="1" s="1"/>
  <c r="M426" i="13" s="1"/>
  <c r="G426" i="13"/>
  <c r="E425" i="31"/>
  <c r="F426" i="1" l="1"/>
  <c r="G426" i="1"/>
  <c r="B425" i="31"/>
  <c r="C425" i="31"/>
  <c r="AM425" i="1"/>
  <c r="N426" i="13" s="1"/>
  <c r="AN425" i="1"/>
  <c r="D425" i="31" l="1"/>
  <c r="C424" i="11"/>
  <c r="E426" i="1"/>
  <c r="D426" i="1" s="1"/>
  <c r="Q426" i="1" s="1"/>
  <c r="S426" i="1" s="1"/>
  <c r="F425" i="31" l="1"/>
  <c r="P426" i="13" s="1"/>
  <c r="O426" i="13"/>
  <c r="H425" i="31"/>
  <c r="Q426" i="13" s="1"/>
  <c r="AE426" i="1"/>
  <c r="A425" i="11"/>
  <c r="B427" i="13"/>
  <c r="C426" i="1"/>
  <c r="C427" i="13"/>
  <c r="H427" i="1"/>
  <c r="L426" i="1"/>
  <c r="I427" i="1"/>
  <c r="G424" i="11"/>
  <c r="H424" i="11" s="1"/>
  <c r="J426" i="13" s="1"/>
  <c r="K426" i="13"/>
  <c r="D424" i="11"/>
  <c r="D427" i="13" l="1"/>
  <c r="AH426" i="1"/>
  <c r="L427" i="13"/>
  <c r="H426" i="13"/>
  <c r="E424" i="11"/>
  <c r="I426" i="13" s="1"/>
  <c r="E427" i="13"/>
  <c r="AF426" i="1"/>
  <c r="F426" i="11"/>
  <c r="AK426" i="1"/>
  <c r="Y426" i="1"/>
  <c r="X426" i="1" s="1"/>
  <c r="W426" i="1" s="1"/>
  <c r="V426" i="1" s="1"/>
  <c r="U426" i="1" s="1"/>
  <c r="T426" i="1" l="1"/>
  <c r="F427" i="13"/>
  <c r="AI426" i="1" l="1"/>
  <c r="AJ426" i="1" s="1"/>
  <c r="M427" i="13" s="1"/>
  <c r="E426" i="31"/>
  <c r="G427" i="13"/>
  <c r="AN426" i="1"/>
  <c r="F427" i="1" l="1"/>
  <c r="G427" i="1"/>
  <c r="C425" i="11"/>
  <c r="C426" i="31"/>
  <c r="B426" i="31"/>
  <c r="AM426" i="1"/>
  <c r="N427" i="13" s="1"/>
  <c r="E427" i="1" l="1"/>
  <c r="D427" i="1" s="1"/>
  <c r="Q427" i="1" s="1"/>
  <c r="S427" i="1" s="1"/>
  <c r="D426" i="31"/>
  <c r="G425" i="11"/>
  <c r="H425" i="11" s="1"/>
  <c r="J427" i="13" s="1"/>
  <c r="K427" i="13"/>
  <c r="D425" i="11"/>
  <c r="C427" i="1" l="1"/>
  <c r="L427" i="1"/>
  <c r="C428" i="13"/>
  <c r="A426" i="11"/>
  <c r="L428" i="13" s="1"/>
  <c r="B428" i="13"/>
  <c r="I428" i="1"/>
  <c r="AE427" i="1"/>
  <c r="H428" i="1"/>
  <c r="AH427" i="1" s="1"/>
  <c r="H426" i="31"/>
  <c r="Q427" i="13" s="1"/>
  <c r="O427" i="13"/>
  <c r="F426" i="31"/>
  <c r="P427" i="13" s="1"/>
  <c r="E425" i="11"/>
  <c r="I427" i="13" s="1"/>
  <c r="H427" i="13"/>
  <c r="D428" i="13" l="1"/>
  <c r="AK427" i="1"/>
  <c r="Y427" i="1"/>
  <c r="X427" i="1" s="1"/>
  <c r="W427" i="1" s="1"/>
  <c r="V427" i="1" s="1"/>
  <c r="U427" i="1" s="1"/>
  <c r="F428" i="13" s="1"/>
  <c r="AF427" i="1"/>
  <c r="F427" i="11"/>
  <c r="E428" i="13"/>
  <c r="T427" i="1" l="1"/>
  <c r="AI427" i="1" s="1"/>
  <c r="AJ427" i="1" s="1"/>
  <c r="M428" i="13" s="1"/>
  <c r="AN427" i="1"/>
  <c r="E427" i="31" l="1"/>
  <c r="G428" i="13"/>
  <c r="G428" i="1"/>
  <c r="F428" i="1"/>
  <c r="C426" i="11"/>
  <c r="C427" i="31"/>
  <c r="B427" i="31"/>
  <c r="AM427" i="1"/>
  <c r="N428" i="13" s="1"/>
  <c r="E428" i="1" l="1"/>
  <c r="D428" i="1" s="1"/>
  <c r="Q428" i="1" s="1"/>
  <c r="S428" i="1" s="1"/>
  <c r="D427" i="31"/>
  <c r="G426" i="11"/>
  <c r="H426" i="11" s="1"/>
  <c r="J428" i="13" s="1"/>
  <c r="K428" i="13"/>
  <c r="D426" i="11"/>
  <c r="C428" i="1" l="1"/>
  <c r="I429" i="1"/>
  <c r="B429" i="13"/>
  <c r="A427" i="11"/>
  <c r="L429" i="13" s="1"/>
  <c r="L428" i="1"/>
  <c r="AE428" i="1"/>
  <c r="H429" i="1"/>
  <c r="C429" i="13"/>
  <c r="H427" i="31"/>
  <c r="Q428" i="13" s="1"/>
  <c r="O428" i="13"/>
  <c r="F427" i="31"/>
  <c r="P428" i="13" s="1"/>
  <c r="H428" i="13"/>
  <c r="E426" i="11"/>
  <c r="I428" i="13" s="1"/>
  <c r="D429" i="13" l="1"/>
  <c r="AF428" i="1"/>
  <c r="AH428" i="1"/>
  <c r="AK428" i="1"/>
  <c r="F428" i="11"/>
  <c r="Y428" i="1"/>
  <c r="X428" i="1" s="1"/>
  <c r="W428" i="1" s="1"/>
  <c r="V428" i="1" s="1"/>
  <c r="U428" i="1" s="1"/>
  <c r="T428" i="1" s="1"/>
  <c r="E429" i="13"/>
  <c r="F429" i="13" l="1"/>
  <c r="AI428" i="1"/>
  <c r="AJ428" i="1" s="1"/>
  <c r="M429" i="13" s="1"/>
  <c r="E428" i="31"/>
  <c r="G429" i="13"/>
  <c r="AN428" i="1"/>
  <c r="F429" i="1" l="1"/>
  <c r="G429" i="1"/>
  <c r="C427" i="11"/>
  <c r="C428" i="31"/>
  <c r="B428" i="31"/>
  <c r="AM428" i="1"/>
  <c r="N429" i="13" s="1"/>
  <c r="E429" i="1" l="1"/>
  <c r="D429" i="1" s="1"/>
  <c r="Q429" i="1" s="1"/>
  <c r="S429" i="1" s="1"/>
  <c r="D428" i="31"/>
  <c r="K429" i="13"/>
  <c r="G427" i="11"/>
  <c r="H427" i="11" s="1"/>
  <c r="J429" i="13" s="1"/>
  <c r="D427" i="11"/>
  <c r="C430" i="13" l="1"/>
  <c r="I430" i="1"/>
  <c r="L429" i="1"/>
  <c r="A428" i="11"/>
  <c r="L430" i="13" s="1"/>
  <c r="AE429" i="1"/>
  <c r="C429" i="1"/>
  <c r="B430" i="13"/>
  <c r="H430" i="1"/>
  <c r="AH429" i="1" s="1"/>
  <c r="F428" i="31"/>
  <c r="P429" i="13" s="1"/>
  <c r="O429" i="13"/>
  <c r="H428" i="31"/>
  <c r="Q429" i="13" s="1"/>
  <c r="H429" i="13"/>
  <c r="E427" i="11"/>
  <c r="I429" i="13" s="1"/>
  <c r="E430" i="13" l="1"/>
  <c r="D430" i="13"/>
  <c r="Y429" i="1"/>
  <c r="X429" i="1" s="1"/>
  <c r="W429" i="1" s="1"/>
  <c r="V429" i="1" s="1"/>
  <c r="U429" i="1" s="1"/>
  <c r="F430" i="13" s="1"/>
  <c r="AF429" i="1"/>
  <c r="F429" i="11"/>
  <c r="AK429" i="1"/>
  <c r="T429" i="1" l="1"/>
  <c r="E429" i="31" s="1"/>
  <c r="G430" i="13" l="1"/>
  <c r="AI429" i="1"/>
  <c r="AJ429" i="1" s="1"/>
  <c r="M430" i="13" s="1"/>
  <c r="G430" i="1"/>
  <c r="F430" i="1"/>
  <c r="AN429" i="1"/>
  <c r="AM429" i="1" l="1"/>
  <c r="N430" i="13" s="1"/>
  <c r="C429" i="31"/>
  <c r="B429" i="31"/>
  <c r="C428" i="11"/>
  <c r="E430" i="1"/>
  <c r="D430" i="1" s="1"/>
  <c r="Q430" i="1" s="1"/>
  <c r="S430" i="1" s="1"/>
  <c r="D429" i="31" l="1"/>
  <c r="H429" i="31" s="1"/>
  <c r="Q430" i="13" s="1"/>
  <c r="O430" i="13"/>
  <c r="K430" i="13"/>
  <c r="G428" i="11"/>
  <c r="H428" i="11" s="1"/>
  <c r="J430" i="13" s="1"/>
  <c r="D428" i="11"/>
  <c r="A429" i="11"/>
  <c r="C430" i="1"/>
  <c r="B431" i="13"/>
  <c r="C431" i="13"/>
  <c r="AE430" i="1"/>
  <c r="L430" i="1"/>
  <c r="H431" i="1"/>
  <c r="I431" i="1"/>
  <c r="D431" i="13" l="1"/>
  <c r="F429" i="31"/>
  <c r="P430" i="13" s="1"/>
  <c r="Y430" i="1"/>
  <c r="X430" i="1" s="1"/>
  <c r="W430" i="1" s="1"/>
  <c r="V430" i="1" s="1"/>
  <c r="U430" i="1" s="1"/>
  <c r="E428" i="11"/>
  <c r="I430" i="13" s="1"/>
  <c r="H430" i="13"/>
  <c r="AF430" i="1"/>
  <c r="E431" i="13"/>
  <c r="F430" i="11"/>
  <c r="AK430" i="1"/>
  <c r="AH430" i="1"/>
  <c r="L431" i="13"/>
  <c r="F431" i="13" l="1"/>
  <c r="T430" i="1"/>
  <c r="AI430" i="1" l="1"/>
  <c r="AJ430" i="1" s="1"/>
  <c r="M431" i="13" s="1"/>
  <c r="G431" i="13"/>
  <c r="E430" i="31"/>
  <c r="AN430" i="1"/>
  <c r="F431" i="1" l="1"/>
  <c r="G431" i="1"/>
  <c r="C429" i="11"/>
  <c r="B430" i="31"/>
  <c r="C430" i="31"/>
  <c r="AM430" i="1"/>
  <c r="N431" i="13" s="1"/>
  <c r="E431" i="1" l="1"/>
  <c r="D431" i="1" s="1"/>
  <c r="Q431" i="1" s="1"/>
  <c r="S431" i="1" s="1"/>
  <c r="K431" i="13"/>
  <c r="G429" i="11"/>
  <c r="H429" i="11" s="1"/>
  <c r="J431" i="13" s="1"/>
  <c r="D429" i="11"/>
  <c r="D430" i="31"/>
  <c r="O431" i="13" s="1"/>
  <c r="C431" i="1" l="1"/>
  <c r="D432" i="13" s="1"/>
  <c r="A430" i="11"/>
  <c r="L432" i="13" s="1"/>
  <c r="I432" i="1"/>
  <c r="B432" i="13"/>
  <c r="C432" i="13"/>
  <c r="L431" i="1"/>
  <c r="AE431" i="1"/>
  <c r="H432" i="1"/>
  <c r="F430" i="31"/>
  <c r="P431" i="13" s="1"/>
  <c r="H430" i="31"/>
  <c r="Q431" i="13" s="1"/>
  <c r="E429" i="11"/>
  <c r="I431" i="13" s="1"/>
  <c r="H431" i="13"/>
  <c r="F431" i="11" l="1"/>
  <c r="Y431" i="1"/>
  <c r="X431" i="1" s="1"/>
  <c r="W431" i="1" s="1"/>
  <c r="V431" i="1" s="1"/>
  <c r="U431" i="1" s="1"/>
  <c r="F432" i="13" s="1"/>
  <c r="AK431" i="1"/>
  <c r="AH431" i="1"/>
  <c r="E432" i="13"/>
  <c r="AF431" i="1"/>
  <c r="T431" i="1" l="1"/>
  <c r="E431" i="31" s="1"/>
  <c r="AN431" i="1"/>
  <c r="AI431" i="1" l="1"/>
  <c r="AJ431" i="1" s="1"/>
  <c r="M432" i="13" s="1"/>
  <c r="G432" i="13"/>
  <c r="G432" i="1"/>
  <c r="F432" i="1"/>
  <c r="C430" i="11"/>
  <c r="AM431" i="1" l="1"/>
  <c r="N432" i="13" s="1"/>
  <c r="B431" i="31"/>
  <c r="C431" i="31"/>
  <c r="E432" i="1"/>
  <c r="D432" i="1" s="1"/>
  <c r="Q432" i="1" s="1"/>
  <c r="S432" i="1" s="1"/>
  <c r="K432" i="13"/>
  <c r="G430" i="11"/>
  <c r="H430" i="11" s="1"/>
  <c r="J432" i="13" s="1"/>
  <c r="D430" i="11"/>
  <c r="A431" i="11" l="1"/>
  <c r="L433" i="13" s="1"/>
  <c r="C432" i="1"/>
  <c r="L432" i="1"/>
  <c r="I433" i="1"/>
  <c r="AE432" i="1"/>
  <c r="D431" i="31"/>
  <c r="F431" i="31" s="1"/>
  <c r="P432" i="13" s="1"/>
  <c r="B433" i="13"/>
  <c r="H433" i="1"/>
  <c r="Y432" i="1" s="1"/>
  <c r="C433" i="13"/>
  <c r="O432" i="13"/>
  <c r="E430" i="11"/>
  <c r="I432" i="13" s="1"/>
  <c r="H432" i="13"/>
  <c r="AK432" i="1" l="1"/>
  <c r="D433" i="13"/>
  <c r="AH432" i="1"/>
  <c r="H431" i="31"/>
  <c r="Q432" i="13" s="1"/>
  <c r="E433" i="13"/>
  <c r="X432" i="1"/>
  <c r="W432" i="1" s="1"/>
  <c r="V432" i="1" s="1"/>
  <c r="U432" i="1" s="1"/>
  <c r="T432" i="1" s="1"/>
  <c r="F432" i="11"/>
  <c r="AF432" i="1"/>
  <c r="F433" i="13" l="1"/>
  <c r="AI432" i="1"/>
  <c r="AJ432" i="1" s="1"/>
  <c r="M433" i="13" s="1"/>
  <c r="G433" i="13"/>
  <c r="E432" i="31"/>
  <c r="AN432" i="1"/>
  <c r="G433" i="1" l="1"/>
  <c r="F433" i="1"/>
  <c r="C431" i="11"/>
  <c r="C432" i="31"/>
  <c r="B432" i="31"/>
  <c r="AM432" i="1"/>
  <c r="N433" i="13" s="1"/>
  <c r="E433" i="1" l="1"/>
  <c r="D433" i="1" s="1"/>
  <c r="Q433" i="1" s="1"/>
  <c r="S433" i="1" s="1"/>
  <c r="D432" i="31"/>
  <c r="O433" i="13" s="1"/>
  <c r="G431" i="11"/>
  <c r="H431" i="11" s="1"/>
  <c r="J433" i="13" s="1"/>
  <c r="K433" i="13"/>
  <c r="D431" i="11"/>
  <c r="A432" i="11" l="1"/>
  <c r="L434" i="13" s="1"/>
  <c r="L433" i="1"/>
  <c r="B434" i="13"/>
  <c r="C434" i="13"/>
  <c r="AE433" i="1"/>
  <c r="I434" i="1"/>
  <c r="C433" i="1"/>
  <c r="H434" i="1"/>
  <c r="H433" i="13"/>
  <c r="E431" i="11"/>
  <c r="I433" i="13" s="1"/>
  <c r="F432" i="31"/>
  <c r="P433" i="13" s="1"/>
  <c r="H432" i="31"/>
  <c r="Q433" i="13" s="1"/>
  <c r="AF433" i="1" l="1"/>
  <c r="D434" i="13"/>
  <c r="Y433" i="1"/>
  <c r="X433" i="1" s="1"/>
  <c r="W433" i="1" s="1"/>
  <c r="V433" i="1" s="1"/>
  <c r="U433" i="1" s="1"/>
  <c r="T433" i="1" s="1"/>
  <c r="AH433" i="1"/>
  <c r="E434" i="13"/>
  <c r="AK433" i="1"/>
  <c r="F433" i="11"/>
  <c r="F434" i="13" l="1"/>
  <c r="E433" i="31"/>
  <c r="G434" i="13"/>
  <c r="AI433" i="1"/>
  <c r="AJ433" i="1" s="1"/>
  <c r="M434" i="13" s="1"/>
  <c r="G434" i="1" l="1"/>
  <c r="F434" i="1"/>
  <c r="B433" i="31"/>
  <c r="C433" i="31"/>
  <c r="AM433" i="1"/>
  <c r="N434" i="13" s="1"/>
  <c r="AN433" i="1"/>
  <c r="D433" i="31" l="1"/>
  <c r="C432" i="11"/>
  <c r="E434" i="1"/>
  <c r="D434" i="1" s="1"/>
  <c r="Q434" i="1" s="1"/>
  <c r="S434" i="1" s="1"/>
  <c r="H433" i="31" l="1"/>
  <c r="Q434" i="13" s="1"/>
  <c r="O434" i="13"/>
  <c r="F433" i="31"/>
  <c r="P434" i="13" s="1"/>
  <c r="AE434" i="1"/>
  <c r="B435" i="13"/>
  <c r="C435" i="13"/>
  <c r="C434" i="1"/>
  <c r="A433" i="11"/>
  <c r="H435" i="1"/>
  <c r="I435" i="1"/>
  <c r="L434" i="1"/>
  <c r="K434" i="13"/>
  <c r="G432" i="11"/>
  <c r="H432" i="11" s="1"/>
  <c r="J434" i="13" s="1"/>
  <c r="D432" i="11"/>
  <c r="D435" i="13" l="1"/>
  <c r="Y434" i="1"/>
  <c r="X434" i="1" s="1"/>
  <c r="W434" i="1" s="1"/>
  <c r="V434" i="1" s="1"/>
  <c r="U434" i="1" s="1"/>
  <c r="H434" i="13"/>
  <c r="E432" i="11"/>
  <c r="I434" i="13" s="1"/>
  <c r="L435" i="13"/>
  <c r="E435" i="13"/>
  <c r="AF434" i="1"/>
  <c r="F434" i="11"/>
  <c r="AK434" i="1"/>
  <c r="AH434" i="1"/>
  <c r="F435" i="13" l="1"/>
  <c r="T434" i="1"/>
  <c r="AI434" i="1" l="1"/>
  <c r="AJ434" i="1" s="1"/>
  <c r="M435" i="13" s="1"/>
  <c r="G435" i="13"/>
  <c r="E434" i="31"/>
  <c r="F435" i="1" l="1"/>
  <c r="G435" i="1"/>
  <c r="AN434" i="1"/>
  <c r="B434" i="31"/>
  <c r="C434" i="31"/>
  <c r="AM434" i="1"/>
  <c r="N435" i="13" s="1"/>
  <c r="D434" i="31" l="1"/>
  <c r="O435" i="13" s="1"/>
  <c r="E435" i="1"/>
  <c r="D435" i="1" s="1"/>
  <c r="Q435" i="1" s="1"/>
  <c r="S435" i="1" s="1"/>
  <c r="C433" i="11"/>
  <c r="AE435" i="1" l="1"/>
  <c r="C435" i="1"/>
  <c r="C436" i="13"/>
  <c r="B436" i="13"/>
  <c r="A434" i="11"/>
  <c r="L435" i="1"/>
  <c r="I436" i="1"/>
  <c r="H436" i="1"/>
  <c r="H434" i="31"/>
  <c r="Q435" i="13" s="1"/>
  <c r="F434" i="31"/>
  <c r="P435" i="13" s="1"/>
  <c r="K435" i="13"/>
  <c r="G433" i="11"/>
  <c r="H433" i="11" s="1"/>
  <c r="J435" i="13" s="1"/>
  <c r="D433" i="11"/>
  <c r="D436" i="13" l="1"/>
  <c r="AH435" i="1"/>
  <c r="E433" i="11"/>
  <c r="I435" i="13" s="1"/>
  <c r="H435" i="13"/>
  <c r="Y435" i="1"/>
  <c r="X435" i="1" s="1"/>
  <c r="W435" i="1" s="1"/>
  <c r="V435" i="1" s="1"/>
  <c r="U435" i="1" s="1"/>
  <c r="L436" i="13"/>
  <c r="E436" i="13"/>
  <c r="AF435" i="1"/>
  <c r="AK435" i="1"/>
  <c r="F435" i="11"/>
  <c r="T435" i="1" l="1"/>
  <c r="F436" i="13"/>
  <c r="AI435" i="1" l="1"/>
  <c r="AJ435" i="1" s="1"/>
  <c r="M436" i="13" s="1"/>
  <c r="E435" i="31"/>
  <c r="G436" i="13"/>
  <c r="G436" i="1" l="1"/>
  <c r="F436" i="1"/>
  <c r="AN435" i="1"/>
  <c r="B435" i="31"/>
  <c r="C435" i="31"/>
  <c r="AM435" i="1"/>
  <c r="N436" i="13" s="1"/>
  <c r="C434" i="11" l="1"/>
  <c r="E436" i="1"/>
  <c r="D436" i="1" s="1"/>
  <c r="Q436" i="1" s="1"/>
  <c r="S436" i="1" s="1"/>
  <c r="D435" i="31"/>
  <c r="O436" i="13" s="1"/>
  <c r="C437" i="13" l="1"/>
  <c r="C436" i="1"/>
  <c r="B437" i="13"/>
  <c r="AE436" i="1"/>
  <c r="A435" i="11"/>
  <c r="H437" i="1"/>
  <c r="L436" i="1"/>
  <c r="I437" i="1"/>
  <c r="K436" i="13"/>
  <c r="G434" i="11"/>
  <c r="H434" i="11" s="1"/>
  <c r="J436" i="13" s="1"/>
  <c r="D434" i="11"/>
  <c r="F435" i="31"/>
  <c r="P436" i="13" s="1"/>
  <c r="H435" i="31"/>
  <c r="Q436" i="13" s="1"/>
  <c r="D437" i="13" l="1"/>
  <c r="Y436" i="1"/>
  <c r="X436" i="1" s="1"/>
  <c r="W436" i="1" s="1"/>
  <c r="V436" i="1" s="1"/>
  <c r="U436" i="1" s="1"/>
  <c r="AH436" i="1"/>
  <c r="L437" i="13"/>
  <c r="E434" i="11"/>
  <c r="I436" i="13" s="1"/>
  <c r="H436" i="13"/>
  <c r="AF436" i="1"/>
  <c r="E437" i="13"/>
  <c r="F436" i="11"/>
  <c r="AK436" i="1"/>
  <c r="T436" i="1" l="1"/>
  <c r="F437" i="13"/>
  <c r="AI436" i="1" l="1"/>
  <c r="AJ436" i="1" s="1"/>
  <c r="M437" i="13" s="1"/>
  <c r="G437" i="13"/>
  <c r="E436" i="31"/>
  <c r="AN436" i="1"/>
  <c r="G437" i="1" l="1"/>
  <c r="F437" i="1"/>
  <c r="C435" i="11"/>
  <c r="C436" i="31"/>
  <c r="B436" i="31"/>
  <c r="AM436" i="1"/>
  <c r="N437" i="13" s="1"/>
  <c r="E437" i="1" l="1"/>
  <c r="D437" i="1" s="1"/>
  <c r="Q437" i="1" s="1"/>
  <c r="S437" i="1" s="1"/>
  <c r="D436" i="31"/>
  <c r="O437" i="13" s="1"/>
  <c r="G435" i="11"/>
  <c r="H435" i="11" s="1"/>
  <c r="J437" i="13" s="1"/>
  <c r="K437" i="13"/>
  <c r="D435" i="11"/>
  <c r="C438" i="13" l="1"/>
  <c r="I438" i="1"/>
  <c r="AE437" i="1"/>
  <c r="L437" i="1"/>
  <c r="A436" i="11"/>
  <c r="L438" i="13" s="1"/>
  <c r="H438" i="1"/>
  <c r="AH437" i="1" s="1"/>
  <c r="C437" i="1"/>
  <c r="B438" i="13"/>
  <c r="H437" i="13"/>
  <c r="E435" i="11"/>
  <c r="I437" i="13" s="1"/>
  <c r="F436" i="31"/>
  <c r="P437" i="13" s="1"/>
  <c r="H436" i="31"/>
  <c r="Q437" i="13" s="1"/>
  <c r="AK437" i="1" l="1"/>
  <c r="D438" i="13"/>
  <c r="F437" i="11"/>
  <c r="Y437" i="1"/>
  <c r="X437" i="1" s="1"/>
  <c r="W437" i="1" s="1"/>
  <c r="V437" i="1" s="1"/>
  <c r="U437" i="1" s="1"/>
  <c r="F438" i="13" s="1"/>
  <c r="AF437" i="1"/>
  <c r="E438" i="13"/>
  <c r="T437" i="1" l="1"/>
  <c r="AI437" i="1" s="1"/>
  <c r="AJ437" i="1" s="1"/>
  <c r="M438" i="13" s="1"/>
  <c r="E437" i="31" l="1"/>
  <c r="G438" i="13"/>
  <c r="G438" i="1"/>
  <c r="F438" i="1"/>
  <c r="AN437" i="1"/>
  <c r="C437" i="31"/>
  <c r="B437" i="31"/>
  <c r="AM437" i="1"/>
  <c r="N438" i="13" s="1"/>
  <c r="D437" i="31" l="1"/>
  <c r="C436" i="11"/>
  <c r="E438" i="1"/>
  <c r="D438" i="1" s="1"/>
  <c r="Q438" i="1" s="1"/>
  <c r="S438" i="1" s="1"/>
  <c r="H437" i="31" l="1"/>
  <c r="Q438" i="13" s="1"/>
  <c r="O438" i="13"/>
  <c r="F437" i="31"/>
  <c r="P438" i="13" s="1"/>
  <c r="AE438" i="1"/>
  <c r="A437" i="11"/>
  <c r="B439" i="13"/>
  <c r="C438" i="1"/>
  <c r="C439" i="13"/>
  <c r="H439" i="1"/>
  <c r="I439" i="1"/>
  <c r="L438" i="1"/>
  <c r="G436" i="11"/>
  <c r="H436" i="11" s="1"/>
  <c r="J438" i="13" s="1"/>
  <c r="K438" i="13"/>
  <c r="D436" i="11"/>
  <c r="D439" i="13" l="1"/>
  <c r="AH438" i="1"/>
  <c r="L439" i="13"/>
  <c r="E439" i="13"/>
  <c r="AF438" i="1"/>
  <c r="F438" i="11"/>
  <c r="AK438" i="1"/>
  <c r="H438" i="13"/>
  <c r="E436" i="11"/>
  <c r="I438" i="13" s="1"/>
  <c r="Y438" i="1"/>
  <c r="X438" i="1" s="1"/>
  <c r="W438" i="1" s="1"/>
  <c r="V438" i="1" s="1"/>
  <c r="U438" i="1" s="1"/>
  <c r="T438" i="1" l="1"/>
  <c r="F439" i="13"/>
  <c r="AI438" i="1" l="1"/>
  <c r="AJ438" i="1" s="1"/>
  <c r="M439" i="13" s="1"/>
  <c r="G439" i="13"/>
  <c r="E438" i="31"/>
  <c r="F439" i="1" l="1"/>
  <c r="G439" i="1"/>
  <c r="AN438" i="1"/>
  <c r="B438" i="31"/>
  <c r="C438" i="31"/>
  <c r="AM438" i="1"/>
  <c r="N439" i="13" s="1"/>
  <c r="C437" i="11" l="1"/>
  <c r="E439" i="1"/>
  <c r="D439" i="1" s="1"/>
  <c r="Q439" i="1" s="1"/>
  <c r="S439" i="1" s="1"/>
  <c r="D438" i="31"/>
  <c r="O439" i="13" s="1"/>
  <c r="C440" i="13" l="1"/>
  <c r="C439" i="1"/>
  <c r="B440" i="13"/>
  <c r="A438" i="11"/>
  <c r="AE439" i="1"/>
  <c r="L439" i="1"/>
  <c r="H440" i="1"/>
  <c r="I440" i="1"/>
  <c r="K439" i="13"/>
  <c r="G437" i="11"/>
  <c r="H437" i="11" s="1"/>
  <c r="J439" i="13" s="1"/>
  <c r="D437" i="11"/>
  <c r="H438" i="31"/>
  <c r="Q439" i="13" s="1"/>
  <c r="F438" i="31"/>
  <c r="P439" i="13" s="1"/>
  <c r="D440" i="13" l="1"/>
  <c r="AH439" i="1"/>
  <c r="H439" i="13"/>
  <c r="E437" i="11"/>
  <c r="I439" i="13" s="1"/>
  <c r="Y439" i="1"/>
  <c r="X439" i="1" s="1"/>
  <c r="W439" i="1" s="1"/>
  <c r="V439" i="1" s="1"/>
  <c r="U439" i="1" s="1"/>
  <c r="L440" i="13"/>
  <c r="E440" i="13"/>
  <c r="AF439" i="1"/>
  <c r="F439" i="11"/>
  <c r="AK439" i="1"/>
  <c r="F440" i="13" l="1"/>
  <c r="T439" i="1"/>
  <c r="AI439" i="1" l="1"/>
  <c r="AJ439" i="1" s="1"/>
  <c r="M440" i="13" s="1"/>
  <c r="G440" i="13"/>
  <c r="E439" i="31"/>
  <c r="AN439" i="1"/>
  <c r="F440" i="1" l="1"/>
  <c r="G440" i="1"/>
  <c r="C439" i="31"/>
  <c r="B439" i="31"/>
  <c r="AM439" i="1"/>
  <c r="N440" i="13" s="1"/>
  <c r="C438" i="11"/>
  <c r="E440" i="1" l="1"/>
  <c r="D440" i="1" s="1"/>
  <c r="Q440" i="1" s="1"/>
  <c r="S440" i="1" s="1"/>
  <c r="G438" i="11"/>
  <c r="H438" i="11" s="1"/>
  <c r="J440" i="13" s="1"/>
  <c r="K440" i="13"/>
  <c r="D438" i="11"/>
  <c r="D439" i="31"/>
  <c r="O440" i="13" s="1"/>
  <c r="A439" i="11" l="1"/>
  <c r="L441" i="13" s="1"/>
  <c r="B441" i="13"/>
  <c r="C440" i="1"/>
  <c r="C441" i="13"/>
  <c r="I441" i="1"/>
  <c r="AE440" i="1"/>
  <c r="L440" i="1"/>
  <c r="H441" i="1"/>
  <c r="F439" i="31"/>
  <c r="P440" i="13" s="1"/>
  <c r="H439" i="31"/>
  <c r="Q440" i="13" s="1"/>
  <c r="H440" i="13"/>
  <c r="E438" i="11"/>
  <c r="I440" i="13" s="1"/>
  <c r="E441" i="13" l="1"/>
  <c r="D441" i="13"/>
  <c r="AH440" i="1"/>
  <c r="Y440" i="1"/>
  <c r="X440" i="1" s="1"/>
  <c r="W440" i="1" s="1"/>
  <c r="V440" i="1" s="1"/>
  <c r="U440" i="1" s="1"/>
  <c r="F441" i="13" s="1"/>
  <c r="AF440" i="1"/>
  <c r="AK440" i="1"/>
  <c r="F440" i="11"/>
  <c r="T440" i="1" l="1"/>
  <c r="AI440" i="1" s="1"/>
  <c r="AJ440" i="1" s="1"/>
  <c r="M441" i="13" s="1"/>
  <c r="AN440" i="1"/>
  <c r="G441" i="13" l="1"/>
  <c r="E440" i="31"/>
  <c r="G441" i="1"/>
  <c r="F441" i="1"/>
  <c r="C439" i="11"/>
  <c r="B440" i="31"/>
  <c r="C440" i="31"/>
  <c r="AM440" i="1"/>
  <c r="N441" i="13" s="1"/>
  <c r="E441" i="1" l="1"/>
  <c r="D441" i="1" s="1"/>
  <c r="Q441" i="1" s="1"/>
  <c r="S441" i="1" s="1"/>
  <c r="D440" i="31"/>
  <c r="K441" i="13"/>
  <c r="G439" i="11"/>
  <c r="H439" i="11" s="1"/>
  <c r="J441" i="13" s="1"/>
  <c r="D439" i="11"/>
  <c r="C441" i="1" l="1"/>
  <c r="I442" i="1"/>
  <c r="B442" i="13"/>
  <c r="L441" i="1"/>
  <c r="A440" i="11"/>
  <c r="L442" i="13" s="1"/>
  <c r="AE441" i="1"/>
  <c r="H442" i="1"/>
  <c r="C442" i="13"/>
  <c r="H440" i="31"/>
  <c r="Q441" i="13" s="1"/>
  <c r="O441" i="13"/>
  <c r="F440" i="31"/>
  <c r="P441" i="13" s="1"/>
  <c r="H441" i="13"/>
  <c r="E439" i="11"/>
  <c r="I441" i="13" s="1"/>
  <c r="D442" i="13" l="1"/>
  <c r="AK441" i="1"/>
  <c r="Y441" i="1"/>
  <c r="X441" i="1" s="1"/>
  <c r="W441" i="1" s="1"/>
  <c r="V441" i="1" s="1"/>
  <c r="U441" i="1" s="1"/>
  <c r="F442" i="13" s="1"/>
  <c r="E442" i="13"/>
  <c r="AF441" i="1"/>
  <c r="F441" i="11"/>
  <c r="AH441" i="1"/>
  <c r="T441" i="1" l="1"/>
  <c r="G442" i="13" s="1"/>
  <c r="AN441" i="1"/>
  <c r="E441" i="31" l="1"/>
  <c r="AI441" i="1"/>
  <c r="AJ441" i="1" s="1"/>
  <c r="M442" i="13" s="1"/>
  <c r="G442" i="1"/>
  <c r="F442" i="1"/>
  <c r="C440" i="11"/>
  <c r="AM441" i="1" l="1"/>
  <c r="N442" i="13" s="1"/>
  <c r="C441" i="31"/>
  <c r="B441" i="31"/>
  <c r="E442" i="1"/>
  <c r="D442" i="1" s="1"/>
  <c r="Q442" i="1" s="1"/>
  <c r="S442" i="1" s="1"/>
  <c r="G440" i="11"/>
  <c r="H440" i="11" s="1"/>
  <c r="J442" i="13" s="1"/>
  <c r="K442" i="13"/>
  <c r="D440" i="11"/>
  <c r="C443" i="13" l="1"/>
  <c r="D441" i="31"/>
  <c r="F441" i="31" s="1"/>
  <c r="P442" i="13" s="1"/>
  <c r="H443" i="1"/>
  <c r="A441" i="11"/>
  <c r="L443" i="13" s="1"/>
  <c r="I443" i="1"/>
  <c r="B443" i="13"/>
  <c r="L442" i="1"/>
  <c r="C442" i="1"/>
  <c r="AE442" i="1"/>
  <c r="O442" i="13"/>
  <c r="H442" i="13"/>
  <c r="E440" i="11"/>
  <c r="I442" i="13" s="1"/>
  <c r="F442" i="11" l="1"/>
  <c r="D443" i="13"/>
  <c r="H441" i="31"/>
  <c r="Q442" i="13" s="1"/>
  <c r="AH442" i="1"/>
  <c r="Y442" i="1"/>
  <c r="X442" i="1" s="1"/>
  <c r="W442" i="1" s="1"/>
  <c r="V442" i="1" s="1"/>
  <c r="U442" i="1" s="1"/>
  <c r="F443" i="13" s="1"/>
  <c r="AK442" i="1"/>
  <c r="AF442" i="1"/>
  <c r="E443" i="13"/>
  <c r="T442" i="1" l="1"/>
  <c r="E442" i="31" s="1"/>
  <c r="G443" i="13" l="1"/>
  <c r="AI442" i="1"/>
  <c r="AJ442" i="1" s="1"/>
  <c r="M443" i="13" s="1"/>
  <c r="F443" i="1"/>
  <c r="G443" i="1"/>
  <c r="AN442" i="1"/>
  <c r="B442" i="31" l="1"/>
  <c r="AM442" i="1"/>
  <c r="N443" i="13" s="1"/>
  <c r="C442" i="31"/>
  <c r="C441" i="11"/>
  <c r="E443" i="1"/>
  <c r="D443" i="1" s="1"/>
  <c r="Q443" i="1" s="1"/>
  <c r="S443" i="1" s="1"/>
  <c r="D442" i="31" l="1"/>
  <c r="O443" i="13" s="1"/>
  <c r="K443" i="13"/>
  <c r="G441" i="11"/>
  <c r="H441" i="11" s="1"/>
  <c r="J443" i="13" s="1"/>
  <c r="D441" i="11"/>
  <c r="AE443" i="1"/>
  <c r="C443" i="1"/>
  <c r="B444" i="13"/>
  <c r="C444" i="13"/>
  <c r="A442" i="11"/>
  <c r="L443" i="1"/>
  <c r="H444" i="1"/>
  <c r="I444" i="1"/>
  <c r="D444" i="13" l="1"/>
  <c r="F442" i="31"/>
  <c r="P443" i="13" s="1"/>
  <c r="H442" i="31"/>
  <c r="Q443" i="13" s="1"/>
  <c r="AH443" i="1"/>
  <c r="L444" i="13"/>
  <c r="AF443" i="1"/>
  <c r="E444" i="13"/>
  <c r="F443" i="11"/>
  <c r="AK443" i="1"/>
  <c r="Y443" i="1"/>
  <c r="X443" i="1" s="1"/>
  <c r="W443" i="1" s="1"/>
  <c r="V443" i="1" s="1"/>
  <c r="U443" i="1" s="1"/>
  <c r="H443" i="13"/>
  <c r="E441" i="11"/>
  <c r="I443" i="13" s="1"/>
  <c r="F444" i="13" l="1"/>
  <c r="T443" i="1"/>
  <c r="AI443" i="1" l="1"/>
  <c r="AJ443" i="1" s="1"/>
  <c r="M444" i="13" s="1"/>
  <c r="G444" i="13"/>
  <c r="E443" i="31"/>
  <c r="F444" i="1" l="1"/>
  <c r="G444" i="1"/>
  <c r="AN443" i="1"/>
  <c r="C442" i="11" s="1"/>
  <c r="C443" i="31"/>
  <c r="B443" i="31"/>
  <c r="AM443" i="1"/>
  <c r="N444" i="13" s="1"/>
  <c r="E444" i="1" l="1"/>
  <c r="D444" i="1" s="1"/>
  <c r="Q444" i="1" s="1"/>
  <c r="S444" i="1" s="1"/>
  <c r="G442" i="11"/>
  <c r="H442" i="11" s="1"/>
  <c r="J444" i="13" s="1"/>
  <c r="K444" i="13"/>
  <c r="D442" i="11"/>
  <c r="D443" i="31"/>
  <c r="O444" i="13" s="1"/>
  <c r="C444" i="1" l="1"/>
  <c r="B445" i="13"/>
  <c r="I445" i="1"/>
  <c r="H445" i="1"/>
  <c r="C445" i="13"/>
  <c r="L444" i="1"/>
  <c r="AE444" i="1"/>
  <c r="A443" i="11"/>
  <c r="L445" i="13" s="1"/>
  <c r="H444" i="13"/>
  <c r="E442" i="11"/>
  <c r="I444" i="13" s="1"/>
  <c r="F443" i="31"/>
  <c r="P444" i="13" s="1"/>
  <c r="H443" i="31"/>
  <c r="Q444" i="13" s="1"/>
  <c r="D445" i="13" l="1"/>
  <c r="F444" i="11"/>
  <c r="AH444" i="1"/>
  <c r="AF444" i="1"/>
  <c r="E445" i="13"/>
  <c r="AK444" i="1"/>
  <c r="Y444" i="1"/>
  <c r="X444" i="1" s="1"/>
  <c r="W444" i="1" s="1"/>
  <c r="V444" i="1" s="1"/>
  <c r="U444" i="1" s="1"/>
  <c r="F445" i="13" s="1"/>
  <c r="T444" i="1" l="1"/>
  <c r="AI444" i="1" s="1"/>
  <c r="AJ444" i="1" s="1"/>
  <c r="M445" i="13" s="1"/>
  <c r="AN444" i="1"/>
  <c r="F445" i="1" l="1"/>
  <c r="G445" i="13"/>
  <c r="E444" i="31"/>
  <c r="G445" i="1"/>
  <c r="C443" i="11"/>
  <c r="B444" i="31"/>
  <c r="C444" i="31"/>
  <c r="AM444" i="1"/>
  <c r="N445" i="13" s="1"/>
  <c r="E445" i="1" l="1"/>
  <c r="D445" i="1" s="1"/>
  <c r="Q445" i="1" s="1"/>
  <c r="S445" i="1" s="1"/>
  <c r="D444" i="31"/>
  <c r="K445" i="13"/>
  <c r="G443" i="11"/>
  <c r="H443" i="11" s="1"/>
  <c r="J445" i="13" s="1"/>
  <c r="D443" i="11"/>
  <c r="B446" i="13" l="1"/>
  <c r="H444" i="31"/>
  <c r="Q445" i="13" s="1"/>
  <c r="O445" i="13"/>
  <c r="H446" i="1"/>
  <c r="C445" i="1"/>
  <c r="A444" i="11"/>
  <c r="L446" i="13" s="1"/>
  <c r="AE445" i="1"/>
  <c r="I446" i="1"/>
  <c r="C446" i="13"/>
  <c r="L445" i="1"/>
  <c r="F444" i="31"/>
  <c r="P445" i="13" s="1"/>
  <c r="H445" i="13"/>
  <c r="E443" i="11"/>
  <c r="I445" i="13" s="1"/>
  <c r="AK445" i="1" l="1"/>
  <c r="AH445" i="1"/>
  <c r="D446" i="13"/>
  <c r="Y445" i="1"/>
  <c r="X445" i="1" s="1"/>
  <c r="W445" i="1" s="1"/>
  <c r="V445" i="1" s="1"/>
  <c r="U445" i="1" s="1"/>
  <c r="T445" i="1" s="1"/>
  <c r="F445" i="11"/>
  <c r="AF445" i="1"/>
  <c r="E446" i="13"/>
  <c r="F446" i="13" l="1"/>
  <c r="AI445" i="1"/>
  <c r="AJ445" i="1" s="1"/>
  <c r="M446" i="13" s="1"/>
  <c r="E445" i="31"/>
  <c r="G446" i="13"/>
  <c r="G446" i="1" l="1"/>
  <c r="F446" i="1"/>
  <c r="C445" i="31"/>
  <c r="B445" i="31"/>
  <c r="AM445" i="1"/>
  <c r="N446" i="13" s="1"/>
  <c r="AN445" i="1"/>
  <c r="D445" i="31" l="1"/>
  <c r="C444" i="11"/>
  <c r="E446" i="1"/>
  <c r="D446" i="1" s="1"/>
  <c r="Q446" i="1" s="1"/>
  <c r="S446" i="1" s="1"/>
  <c r="F445" i="31" l="1"/>
  <c r="P446" i="13" s="1"/>
  <c r="O446" i="13"/>
  <c r="H445" i="31"/>
  <c r="Q446" i="13" s="1"/>
  <c r="A445" i="11"/>
  <c r="B447" i="13"/>
  <c r="C446" i="1"/>
  <c r="AE446" i="1"/>
  <c r="C447" i="13"/>
  <c r="I447" i="1"/>
  <c r="H447" i="1"/>
  <c r="L446" i="1"/>
  <c r="K446" i="13"/>
  <c r="G444" i="11"/>
  <c r="H444" i="11" s="1"/>
  <c r="J446" i="13" s="1"/>
  <c r="D444" i="11"/>
  <c r="D447" i="13" l="1"/>
  <c r="AH446" i="1"/>
  <c r="E447" i="13"/>
  <c r="AF446" i="1"/>
  <c r="F446" i="11"/>
  <c r="AK446" i="1"/>
  <c r="L447" i="13"/>
  <c r="H446" i="13"/>
  <c r="E444" i="11"/>
  <c r="I446" i="13" s="1"/>
  <c r="Y446" i="1"/>
  <c r="X446" i="1" s="1"/>
  <c r="W446" i="1" s="1"/>
  <c r="V446" i="1" s="1"/>
  <c r="U446" i="1" s="1"/>
  <c r="F447" i="13" l="1"/>
  <c r="T446" i="1"/>
  <c r="AI446" i="1" l="1"/>
  <c r="AJ446" i="1" s="1"/>
  <c r="M447" i="13" s="1"/>
  <c r="G447" i="13"/>
  <c r="E446" i="31"/>
  <c r="AN446" i="1"/>
  <c r="C445" i="11" s="1"/>
  <c r="G447" i="1" l="1"/>
  <c r="F447" i="1"/>
  <c r="K447" i="13"/>
  <c r="G445" i="11"/>
  <c r="H445" i="11" s="1"/>
  <c r="J447" i="13" s="1"/>
  <c r="D445" i="11"/>
  <c r="B446" i="31"/>
  <c r="C446" i="31"/>
  <c r="AM446" i="1"/>
  <c r="N447" i="13" s="1"/>
  <c r="E447" i="1" l="1"/>
  <c r="D447" i="1" s="1"/>
  <c r="Q447" i="1" s="1"/>
  <c r="S447" i="1" s="1"/>
  <c r="D446" i="31"/>
  <c r="H447" i="13"/>
  <c r="E445" i="11"/>
  <c r="I447" i="13" s="1"/>
  <c r="A446" i="11" l="1"/>
  <c r="L448" i="13" s="1"/>
  <c r="I448" i="1"/>
  <c r="AE447" i="1"/>
  <c r="C448" i="13"/>
  <c r="L447" i="1"/>
  <c r="B448" i="13"/>
  <c r="H448" i="1"/>
  <c r="C447" i="1"/>
  <c r="F446" i="31"/>
  <c r="P447" i="13" s="1"/>
  <c r="O447" i="13"/>
  <c r="H446" i="31"/>
  <c r="Q447" i="13" s="1"/>
  <c r="E448" i="13" l="1"/>
  <c r="D448" i="13"/>
  <c r="AH447" i="1"/>
  <c r="F447" i="11"/>
  <c r="AF447" i="1"/>
  <c r="Y447" i="1"/>
  <c r="X447" i="1" s="1"/>
  <c r="W447" i="1" s="1"/>
  <c r="V447" i="1" s="1"/>
  <c r="U447" i="1" s="1"/>
  <c r="F448" i="13" s="1"/>
  <c r="AK447" i="1"/>
  <c r="T447" i="1" l="1"/>
  <c r="AI447" i="1" s="1"/>
  <c r="AJ447" i="1" s="1"/>
  <c r="M448" i="13" s="1"/>
  <c r="G448" i="13" l="1"/>
  <c r="E447" i="31"/>
  <c r="F448" i="1"/>
  <c r="G448" i="1"/>
  <c r="B447" i="31"/>
  <c r="C447" i="31"/>
  <c r="AM447" i="1"/>
  <c r="N448" i="13" s="1"/>
  <c r="AN447" i="1"/>
  <c r="D447" i="31" l="1"/>
  <c r="E448" i="1"/>
  <c r="D448" i="1" s="1"/>
  <c r="Q448" i="1" s="1"/>
  <c r="S448" i="1" s="1"/>
  <c r="C446" i="11"/>
  <c r="H447" i="31" l="1"/>
  <c r="Q448" i="13" s="1"/>
  <c r="O448" i="13"/>
  <c r="F447" i="31"/>
  <c r="P448" i="13" s="1"/>
  <c r="K448" i="13"/>
  <c r="G446" i="11"/>
  <c r="H446" i="11" s="1"/>
  <c r="J448" i="13" s="1"/>
  <c r="D446" i="11"/>
  <c r="C449" i="13"/>
  <c r="B449" i="13"/>
  <c r="A447" i="11"/>
  <c r="C448" i="1"/>
  <c r="AE448" i="1"/>
  <c r="H449" i="1"/>
  <c r="L448" i="1"/>
  <c r="I449" i="1"/>
  <c r="D449" i="13" l="1"/>
  <c r="Y448" i="1"/>
  <c r="X448" i="1" s="1"/>
  <c r="W448" i="1" s="1"/>
  <c r="V448" i="1" s="1"/>
  <c r="U448" i="1" s="1"/>
  <c r="L449" i="13"/>
  <c r="AH448" i="1"/>
  <c r="AF448" i="1"/>
  <c r="E449" i="13"/>
  <c r="F448" i="11"/>
  <c r="AK448" i="1"/>
  <c r="E446" i="11"/>
  <c r="I448" i="13" s="1"/>
  <c r="H448" i="13"/>
  <c r="T448" i="1" l="1"/>
  <c r="F449" i="13"/>
  <c r="AI448" i="1" l="1"/>
  <c r="AJ448" i="1" s="1"/>
  <c r="M449" i="13" s="1"/>
  <c r="E448" i="31"/>
  <c r="G449" i="13"/>
  <c r="AN448" i="1"/>
  <c r="F449" i="1" l="1"/>
  <c r="G449" i="1"/>
  <c r="C447" i="11"/>
  <c r="B448" i="31"/>
  <c r="C448" i="31"/>
  <c r="AM448" i="1"/>
  <c r="N449" i="13" s="1"/>
  <c r="E449" i="1" l="1"/>
  <c r="D449" i="1" s="1"/>
  <c r="Q449" i="1" s="1"/>
  <c r="S449" i="1" s="1"/>
  <c r="K449" i="13"/>
  <c r="G447" i="11"/>
  <c r="H447" i="11" s="1"/>
  <c r="J449" i="13" s="1"/>
  <c r="D447" i="11"/>
  <c r="D448" i="31"/>
  <c r="O449" i="13" s="1"/>
  <c r="C450" i="13" l="1"/>
  <c r="L449" i="1"/>
  <c r="A448" i="11"/>
  <c r="L450" i="13" s="1"/>
  <c r="H450" i="1"/>
  <c r="B450" i="13"/>
  <c r="I450" i="1"/>
  <c r="AE449" i="1"/>
  <c r="C449" i="1"/>
  <c r="H449" i="13"/>
  <c r="E447" i="11"/>
  <c r="I449" i="13" s="1"/>
  <c r="H448" i="31"/>
  <c r="Q449" i="13" s="1"/>
  <c r="F448" i="31"/>
  <c r="P449" i="13" s="1"/>
  <c r="AF449" i="1" l="1"/>
  <c r="D450" i="13"/>
  <c r="AH449" i="1"/>
  <c r="Y449" i="1"/>
  <c r="X449" i="1" s="1"/>
  <c r="W449" i="1" s="1"/>
  <c r="V449" i="1" s="1"/>
  <c r="U449" i="1" s="1"/>
  <c r="F450" i="13" s="1"/>
  <c r="F449" i="11"/>
  <c r="AK449" i="1"/>
  <c r="E450" i="13"/>
  <c r="T449" i="1" l="1"/>
  <c r="AI449" i="1" s="1"/>
  <c r="AJ449" i="1" s="1"/>
  <c r="M450" i="13" s="1"/>
  <c r="G450" i="13" l="1"/>
  <c r="E449" i="31"/>
  <c r="F450" i="1"/>
  <c r="G450" i="1"/>
  <c r="B449" i="31"/>
  <c r="C449" i="31"/>
  <c r="AM449" i="1"/>
  <c r="N450" i="13" s="1"/>
  <c r="AN449" i="1"/>
  <c r="D449" i="31" l="1"/>
  <c r="C448" i="11"/>
  <c r="E450" i="1"/>
  <c r="D450" i="1" s="1"/>
  <c r="Q450" i="1" s="1"/>
  <c r="S450" i="1" s="1"/>
  <c r="F449" i="31" l="1"/>
  <c r="P450" i="13" s="1"/>
  <c r="O450" i="13"/>
  <c r="H449" i="31"/>
  <c r="Q450" i="13" s="1"/>
  <c r="K450" i="13"/>
  <c r="G448" i="11"/>
  <c r="H448" i="11" s="1"/>
  <c r="J450" i="13" s="1"/>
  <c r="D448" i="11"/>
  <c r="A449" i="11"/>
  <c r="C451" i="13"/>
  <c r="C450" i="1"/>
  <c r="AE450" i="1"/>
  <c r="B451" i="13"/>
  <c r="L450" i="1"/>
  <c r="H451" i="1"/>
  <c r="I451" i="1"/>
  <c r="D451" i="13" l="1"/>
  <c r="Y450" i="1"/>
  <c r="X450" i="1" s="1"/>
  <c r="W450" i="1" s="1"/>
  <c r="V450" i="1" s="1"/>
  <c r="U450" i="1" s="1"/>
  <c r="AH450" i="1"/>
  <c r="H450" i="13"/>
  <c r="E448" i="11"/>
  <c r="I450" i="13" s="1"/>
  <c r="AF450" i="1"/>
  <c r="E451" i="13"/>
  <c r="AK450" i="1"/>
  <c r="F450" i="11"/>
  <c r="L451" i="13"/>
  <c r="F451" i="13" l="1"/>
  <c r="T450" i="1"/>
  <c r="AI450" i="1" l="1"/>
  <c r="AJ450" i="1" s="1"/>
  <c r="M451" i="13" s="1"/>
  <c r="E450" i="31"/>
  <c r="G451" i="13"/>
  <c r="AN450" i="1"/>
  <c r="G451" i="1" l="1"/>
  <c r="F451" i="1"/>
  <c r="C449" i="11"/>
  <c r="B450" i="31"/>
  <c r="C450" i="31"/>
  <c r="AM450" i="1"/>
  <c r="N451" i="13" s="1"/>
  <c r="E451" i="1" l="1"/>
  <c r="D451" i="1" s="1"/>
  <c r="Q451" i="1" s="1"/>
  <c r="S451" i="1" s="1"/>
  <c r="G449" i="11"/>
  <c r="H449" i="11" s="1"/>
  <c r="J451" i="13" s="1"/>
  <c r="K451" i="13"/>
  <c r="D449" i="11"/>
  <c r="D450" i="31"/>
  <c r="O451" i="13" s="1"/>
  <c r="AE451" i="1" l="1"/>
  <c r="C452" i="13"/>
  <c r="B452" i="13"/>
  <c r="A450" i="11"/>
  <c r="L452" i="13" s="1"/>
  <c r="I452" i="1"/>
  <c r="L451" i="1"/>
  <c r="C451" i="1"/>
  <c r="H452" i="1"/>
  <c r="Y451" i="1" s="1"/>
  <c r="H451" i="13"/>
  <c r="E449" i="11"/>
  <c r="I451" i="13" s="1"/>
  <c r="H450" i="31"/>
  <c r="Q451" i="13" s="1"/>
  <c r="F450" i="31"/>
  <c r="P451" i="13" s="1"/>
  <c r="F451" i="11" l="1"/>
  <c r="D452" i="13"/>
  <c r="AH451" i="1"/>
  <c r="AF451" i="1"/>
  <c r="E452" i="13"/>
  <c r="AK451" i="1"/>
  <c r="X451" i="1"/>
  <c r="W451" i="1" s="1"/>
  <c r="V451" i="1" s="1"/>
  <c r="U451" i="1" s="1"/>
  <c r="F452" i="13" s="1"/>
  <c r="T451" i="1" l="1"/>
  <c r="AI451" i="1" s="1"/>
  <c r="AJ451" i="1" s="1"/>
  <c r="M452" i="13" s="1"/>
  <c r="AN451" i="1"/>
  <c r="G452" i="13" l="1"/>
  <c r="E451" i="31"/>
  <c r="F452" i="1"/>
  <c r="G452" i="1"/>
  <c r="C450" i="11"/>
  <c r="B451" i="31"/>
  <c r="C451" i="31"/>
  <c r="AM451" i="1"/>
  <c r="N452" i="13" s="1"/>
  <c r="E452" i="1" l="1"/>
  <c r="D452" i="1" s="1"/>
  <c r="Q452" i="1" s="1"/>
  <c r="S452" i="1" s="1"/>
  <c r="G450" i="11"/>
  <c r="H450" i="11" s="1"/>
  <c r="J452" i="13" s="1"/>
  <c r="K452" i="13"/>
  <c r="D450" i="11"/>
  <c r="D451" i="31"/>
  <c r="O452" i="13" s="1"/>
  <c r="A451" i="11" l="1"/>
  <c r="L453" i="13" s="1"/>
  <c r="L452" i="1"/>
  <c r="B453" i="13"/>
  <c r="H453" i="1"/>
  <c r="I453" i="1"/>
  <c r="C453" i="13"/>
  <c r="AE452" i="1"/>
  <c r="C452" i="1"/>
  <c r="H451" i="31"/>
  <c r="Q452" i="13" s="1"/>
  <c r="F451" i="31"/>
  <c r="P452" i="13" s="1"/>
  <c r="H452" i="13"/>
  <c r="E450" i="11"/>
  <c r="I452" i="13" s="1"/>
  <c r="AF452" i="1" l="1"/>
  <c r="D453" i="13"/>
  <c r="AH452" i="1"/>
  <c r="E453" i="13"/>
  <c r="AK452" i="1"/>
  <c r="F452" i="11"/>
  <c r="Y452" i="1"/>
  <c r="X452" i="1" s="1"/>
  <c r="W452" i="1" s="1"/>
  <c r="V452" i="1" s="1"/>
  <c r="U452" i="1" s="1"/>
  <c r="T452" i="1" s="1"/>
  <c r="F453" i="13" l="1"/>
  <c r="AI452" i="1"/>
  <c r="AJ452" i="1" s="1"/>
  <c r="M453" i="13" s="1"/>
  <c r="E452" i="31"/>
  <c r="G453" i="13"/>
  <c r="AN452" i="1"/>
  <c r="F453" i="1" l="1"/>
  <c r="G453" i="1"/>
  <c r="C451" i="11"/>
  <c r="C452" i="31"/>
  <c r="B452" i="31"/>
  <c r="AM452" i="1"/>
  <c r="N453" i="13" s="1"/>
  <c r="E453" i="1" l="1"/>
  <c r="D453" i="1" s="1"/>
  <c r="Q453" i="1" s="1"/>
  <c r="S453" i="1" s="1"/>
  <c r="D452" i="31"/>
  <c r="G451" i="11"/>
  <c r="H451" i="11" s="1"/>
  <c r="J453" i="13" s="1"/>
  <c r="K453" i="13"/>
  <c r="D451" i="11"/>
  <c r="AE453" i="1" l="1"/>
  <c r="I454" i="1"/>
  <c r="H454" i="1"/>
  <c r="Y453" i="1" s="1"/>
  <c r="A452" i="11"/>
  <c r="L454" i="13" s="1"/>
  <c r="C453" i="1"/>
  <c r="B454" i="13"/>
  <c r="C454" i="13"/>
  <c r="L453" i="1"/>
  <c r="H452" i="31"/>
  <c r="Q453" i="13" s="1"/>
  <c r="O453" i="13"/>
  <c r="F452" i="31"/>
  <c r="P453" i="13" s="1"/>
  <c r="H453" i="13"/>
  <c r="E451" i="11"/>
  <c r="I453" i="13" s="1"/>
  <c r="F453" i="11" l="1"/>
  <c r="D454" i="13"/>
  <c r="AH453" i="1"/>
  <c r="AK453" i="1"/>
  <c r="AF453" i="1"/>
  <c r="X453" i="1"/>
  <c r="W453" i="1" s="1"/>
  <c r="V453" i="1" s="1"/>
  <c r="U453" i="1" s="1"/>
  <c r="T453" i="1" s="1"/>
  <c r="E454" i="13"/>
  <c r="F454" i="13" l="1"/>
  <c r="AI453" i="1"/>
  <c r="AJ453" i="1" s="1"/>
  <c r="M454" i="13" s="1"/>
  <c r="E453" i="31"/>
  <c r="G454" i="13"/>
  <c r="AN453" i="1"/>
  <c r="G454" i="1" l="1"/>
  <c r="F454" i="1"/>
  <c r="C452" i="11"/>
  <c r="B453" i="31"/>
  <c r="C453" i="31"/>
  <c r="AM453" i="1"/>
  <c r="N454" i="13" s="1"/>
  <c r="E454" i="1" l="1"/>
  <c r="D454" i="1" s="1"/>
  <c r="Q454" i="1" s="1"/>
  <c r="S454" i="1" s="1"/>
  <c r="K454" i="13"/>
  <c r="G452" i="11"/>
  <c r="H452" i="11" s="1"/>
  <c r="J454" i="13" s="1"/>
  <c r="D452" i="11"/>
  <c r="D453" i="31"/>
  <c r="O454" i="13" s="1"/>
  <c r="B455" i="13" l="1"/>
  <c r="C455" i="13"/>
  <c r="AE454" i="1"/>
  <c r="H455" i="1"/>
  <c r="A453" i="11"/>
  <c r="L455" i="13" s="1"/>
  <c r="L454" i="1"/>
  <c r="I455" i="1"/>
  <c r="C454" i="1"/>
  <c r="F453" i="31"/>
  <c r="P454" i="13" s="1"/>
  <c r="H453" i="31"/>
  <c r="Q454" i="13" s="1"/>
  <c r="E452" i="11"/>
  <c r="I454" i="13" s="1"/>
  <c r="H454" i="13"/>
  <c r="E455" i="13" l="1"/>
  <c r="D455" i="13"/>
  <c r="AH454" i="1"/>
  <c r="Y454" i="1"/>
  <c r="X454" i="1" s="1"/>
  <c r="W454" i="1" s="1"/>
  <c r="V454" i="1" s="1"/>
  <c r="U454" i="1" s="1"/>
  <c r="T454" i="1" s="1"/>
  <c r="AK454" i="1"/>
  <c r="F454" i="11"/>
  <c r="AF454" i="1"/>
  <c r="F455" i="13" l="1"/>
  <c r="AI454" i="1"/>
  <c r="AJ454" i="1" s="1"/>
  <c r="M455" i="13" s="1"/>
  <c r="G455" i="13"/>
  <c r="E454" i="31"/>
  <c r="AN454" i="1"/>
  <c r="F455" i="1" l="1"/>
  <c r="G455" i="1"/>
  <c r="C453" i="11"/>
  <c r="B454" i="31"/>
  <c r="C454" i="31"/>
  <c r="AM454" i="1"/>
  <c r="N455" i="13" s="1"/>
  <c r="E455" i="1" l="1"/>
  <c r="D455" i="1" s="1"/>
  <c r="Q455" i="1" s="1"/>
  <c r="S455" i="1" s="1"/>
  <c r="K455" i="13"/>
  <c r="G453" i="11"/>
  <c r="H453" i="11" s="1"/>
  <c r="J455" i="13" s="1"/>
  <c r="D453" i="11"/>
  <c r="D454" i="31"/>
  <c r="O455" i="13" s="1"/>
  <c r="A454" i="11" l="1"/>
  <c r="C456" i="13"/>
  <c r="AE455" i="1"/>
  <c r="C455" i="1"/>
  <c r="L455" i="1"/>
  <c r="B456" i="13"/>
  <c r="H456" i="1"/>
  <c r="AH455" i="1" s="1"/>
  <c r="I456" i="1"/>
  <c r="E453" i="11"/>
  <c r="I455" i="13" s="1"/>
  <c r="H455" i="13"/>
  <c r="F454" i="31"/>
  <c r="P455" i="13" s="1"/>
  <c r="H454" i="31"/>
  <c r="Q455" i="13" s="1"/>
  <c r="L456" i="13"/>
  <c r="AF455" i="1" l="1"/>
  <c r="D456" i="13"/>
  <c r="Y455" i="1"/>
  <c r="X455" i="1" s="1"/>
  <c r="W455" i="1" s="1"/>
  <c r="V455" i="1" s="1"/>
  <c r="U455" i="1" s="1"/>
  <c r="T455" i="1" s="1"/>
  <c r="AK455" i="1"/>
  <c r="F455" i="11"/>
  <c r="E456" i="13"/>
  <c r="F456" i="13" l="1"/>
  <c r="AI455" i="1"/>
  <c r="AJ455" i="1" s="1"/>
  <c r="M456" i="13" s="1"/>
  <c r="E455" i="31"/>
  <c r="G456" i="13"/>
  <c r="AN455" i="1"/>
  <c r="G456" i="1" l="1"/>
  <c r="F456" i="1"/>
  <c r="C454" i="11"/>
  <c r="B455" i="31"/>
  <c r="C455" i="31"/>
  <c r="AM455" i="1"/>
  <c r="N456" i="13" s="1"/>
  <c r="E456" i="1" l="1"/>
  <c r="D456" i="1" s="1"/>
  <c r="Q456" i="1" s="1"/>
  <c r="S456" i="1" s="1"/>
  <c r="G454" i="11"/>
  <c r="H454" i="11" s="1"/>
  <c r="J456" i="13" s="1"/>
  <c r="K456" i="13"/>
  <c r="D454" i="11"/>
  <c r="D455" i="31"/>
  <c r="O456" i="13" s="1"/>
  <c r="C456" i="1" l="1"/>
  <c r="L456" i="1"/>
  <c r="AE456" i="1"/>
  <c r="H457" i="1"/>
  <c r="B457" i="13"/>
  <c r="I457" i="1"/>
  <c r="C457" i="13"/>
  <c r="A455" i="11"/>
  <c r="L457" i="13" s="1"/>
  <c r="H455" i="31"/>
  <c r="Q456" i="13" s="1"/>
  <c r="F455" i="31"/>
  <c r="P456" i="13" s="1"/>
  <c r="H456" i="13"/>
  <c r="E454" i="11"/>
  <c r="I456" i="13" s="1"/>
  <c r="D457" i="13" l="1"/>
  <c r="E457" i="13"/>
  <c r="Y456" i="1"/>
  <c r="X456" i="1" s="1"/>
  <c r="W456" i="1" s="1"/>
  <c r="V456" i="1" s="1"/>
  <c r="U456" i="1" s="1"/>
  <c r="F457" i="13" s="1"/>
  <c r="AH456" i="1"/>
  <c r="F456" i="11"/>
  <c r="AK456" i="1"/>
  <c r="AF456" i="1"/>
  <c r="T456" i="1" l="1"/>
  <c r="E456" i="31" s="1"/>
  <c r="G457" i="13" l="1"/>
  <c r="AI456" i="1"/>
  <c r="AJ456" i="1" s="1"/>
  <c r="M457" i="13" s="1"/>
  <c r="F457" i="1"/>
  <c r="G457" i="1"/>
  <c r="AN456" i="1"/>
  <c r="AM456" i="1" l="1"/>
  <c r="N457" i="13" s="1"/>
  <c r="C456" i="31"/>
  <c r="B456" i="31"/>
  <c r="E457" i="1"/>
  <c r="D457" i="1" s="1"/>
  <c r="Q457" i="1" s="1"/>
  <c r="S457" i="1" s="1"/>
  <c r="C455" i="11"/>
  <c r="D456" i="31" l="1"/>
  <c r="F456" i="31" s="1"/>
  <c r="P457" i="13" s="1"/>
  <c r="O457" i="13"/>
  <c r="K457" i="13"/>
  <c r="G455" i="11"/>
  <c r="H455" i="11" s="1"/>
  <c r="J457" i="13" s="1"/>
  <c r="D455" i="11"/>
  <c r="C457" i="1"/>
  <c r="B458" i="13"/>
  <c r="AE457" i="1"/>
  <c r="A456" i="11"/>
  <c r="C458" i="13"/>
  <c r="H458" i="1"/>
  <c r="I458" i="1"/>
  <c r="L457" i="1"/>
  <c r="D458" i="13" l="1"/>
  <c r="H456" i="31"/>
  <c r="Q457" i="13" s="1"/>
  <c r="E458" i="13"/>
  <c r="AF457" i="1"/>
  <c r="AK457" i="1"/>
  <c r="F457" i="11"/>
  <c r="L458" i="13"/>
  <c r="H457" i="13"/>
  <c r="E455" i="11"/>
  <c r="I457" i="13" s="1"/>
  <c r="Y457" i="1"/>
  <c r="X457" i="1" s="1"/>
  <c r="W457" i="1" s="1"/>
  <c r="V457" i="1" s="1"/>
  <c r="U457" i="1" s="1"/>
  <c r="AH457" i="1"/>
  <c r="T457" i="1" l="1"/>
  <c r="F458" i="13"/>
  <c r="AI457" i="1" l="1"/>
  <c r="AJ457" i="1" s="1"/>
  <c r="M458" i="13" s="1"/>
  <c r="E457" i="31"/>
  <c r="G458" i="13"/>
  <c r="AN457" i="1"/>
  <c r="G458" i="1" l="1"/>
  <c r="F458" i="1"/>
  <c r="B457" i="31"/>
  <c r="C457" i="31"/>
  <c r="AM457" i="1"/>
  <c r="N458" i="13" s="1"/>
  <c r="C456" i="11"/>
  <c r="E458" i="1" l="1"/>
  <c r="D458" i="1" s="1"/>
  <c r="Q458" i="1" s="1"/>
  <c r="S458" i="1" s="1"/>
  <c r="D457" i="31"/>
  <c r="K458" i="13"/>
  <c r="G456" i="11"/>
  <c r="H456" i="11" s="1"/>
  <c r="J458" i="13" s="1"/>
  <c r="D456" i="11"/>
  <c r="B459" i="13" l="1"/>
  <c r="L458" i="1"/>
  <c r="AE458" i="1"/>
  <c r="A457" i="11"/>
  <c r="L459" i="13" s="1"/>
  <c r="C458" i="1"/>
  <c r="I459" i="1"/>
  <c r="C459" i="13"/>
  <c r="H459" i="1"/>
  <c r="Y458" i="1" s="1"/>
  <c r="F457" i="31"/>
  <c r="P458" i="13" s="1"/>
  <c r="O458" i="13"/>
  <c r="H457" i="31"/>
  <c r="Q458" i="13" s="1"/>
  <c r="E456" i="11"/>
  <c r="I458" i="13" s="1"/>
  <c r="H458" i="13"/>
  <c r="AK458" i="1" l="1"/>
  <c r="D459" i="13"/>
  <c r="AH458" i="1"/>
  <c r="E459" i="13"/>
  <c r="AF458" i="1"/>
  <c r="F458" i="11"/>
  <c r="X458" i="1"/>
  <c r="W458" i="1" s="1"/>
  <c r="V458" i="1" s="1"/>
  <c r="U458" i="1" s="1"/>
  <c r="T458" i="1" s="1"/>
  <c r="F459" i="13" l="1"/>
  <c r="AI458" i="1"/>
  <c r="AJ458" i="1" s="1"/>
  <c r="M459" i="13" s="1"/>
  <c r="G459" i="13"/>
  <c r="E458" i="31"/>
  <c r="AN458" i="1"/>
  <c r="G459" i="1" l="1"/>
  <c r="F459" i="1"/>
  <c r="C457" i="11"/>
  <c r="C458" i="31"/>
  <c r="B458" i="31"/>
  <c r="AM458" i="1"/>
  <c r="N459" i="13" s="1"/>
  <c r="E459" i="1" l="1"/>
  <c r="D459" i="1" s="1"/>
  <c r="Q459" i="1" s="1"/>
  <c r="S459" i="1" s="1"/>
  <c r="D458" i="31"/>
  <c r="K459" i="13"/>
  <c r="G457" i="11"/>
  <c r="H457" i="11" s="1"/>
  <c r="J459" i="13" s="1"/>
  <c r="D457" i="11"/>
  <c r="C459" i="1" l="1"/>
  <c r="L459" i="1"/>
  <c r="AE459" i="1"/>
  <c r="I460" i="1"/>
  <c r="C460" i="13"/>
  <c r="H460" i="1"/>
  <c r="A458" i="11"/>
  <c r="L460" i="13" s="1"/>
  <c r="B460" i="13"/>
  <c r="F458" i="31"/>
  <c r="P459" i="13" s="1"/>
  <c r="O459" i="13"/>
  <c r="H458" i="31"/>
  <c r="Q459" i="13" s="1"/>
  <c r="E457" i="11"/>
  <c r="I459" i="13" s="1"/>
  <c r="H459" i="13"/>
  <c r="D460" i="13" l="1"/>
  <c r="F459" i="11"/>
  <c r="AH459" i="1"/>
  <c r="E460" i="13"/>
  <c r="AK459" i="1"/>
  <c r="Y459" i="1"/>
  <c r="X459" i="1" s="1"/>
  <c r="W459" i="1" s="1"/>
  <c r="V459" i="1" s="1"/>
  <c r="U459" i="1" s="1"/>
  <c r="F460" i="13" s="1"/>
  <c r="AF459" i="1"/>
  <c r="T459" i="1" l="1"/>
  <c r="E459" i="31" s="1"/>
  <c r="AN459" i="1"/>
  <c r="AI459" i="1" l="1"/>
  <c r="AJ459" i="1" s="1"/>
  <c r="M460" i="13" s="1"/>
  <c r="G460" i="13"/>
  <c r="G460" i="1"/>
  <c r="F460" i="1"/>
  <c r="C458" i="11"/>
  <c r="AM459" i="1" l="1"/>
  <c r="N460" i="13" s="1"/>
  <c r="B459" i="31"/>
  <c r="C459" i="31"/>
  <c r="E460" i="1"/>
  <c r="D460" i="1" s="1"/>
  <c r="Q460" i="1" s="1"/>
  <c r="S460" i="1" s="1"/>
  <c r="G458" i="11"/>
  <c r="H458" i="11" s="1"/>
  <c r="J460" i="13" s="1"/>
  <c r="K460" i="13"/>
  <c r="D458" i="11"/>
  <c r="C460" i="1" l="1"/>
  <c r="D461" i="13" s="1"/>
  <c r="D459" i="31"/>
  <c r="O460" i="13" s="1"/>
  <c r="A459" i="11"/>
  <c r="L461" i="13" s="1"/>
  <c r="AE460" i="1"/>
  <c r="I461" i="1"/>
  <c r="C461" i="13"/>
  <c r="L460" i="1"/>
  <c r="B461" i="13"/>
  <c r="H461" i="1"/>
  <c r="Y460" i="1" s="1"/>
  <c r="H460" i="13"/>
  <c r="E458" i="11"/>
  <c r="I460" i="13" s="1"/>
  <c r="AF460" i="1" l="1"/>
  <c r="H459" i="31"/>
  <c r="Q460" i="13" s="1"/>
  <c r="F459" i="31"/>
  <c r="P460" i="13" s="1"/>
  <c r="AH460" i="1"/>
  <c r="X460" i="1"/>
  <c r="W460" i="1" s="1"/>
  <c r="V460" i="1" s="1"/>
  <c r="U460" i="1" s="1"/>
  <c r="F461" i="13" s="1"/>
  <c r="E461" i="13"/>
  <c r="AK460" i="1"/>
  <c r="F460" i="11"/>
  <c r="T460" i="1" l="1"/>
  <c r="AI460" i="1" s="1"/>
  <c r="AJ460" i="1" s="1"/>
  <c r="M461" i="13" s="1"/>
  <c r="AN460" i="1"/>
  <c r="G461" i="13" l="1"/>
  <c r="E460" i="31"/>
  <c r="F461" i="1"/>
  <c r="G461" i="1"/>
  <c r="C459" i="11"/>
  <c r="B460" i="31"/>
  <c r="C460" i="31"/>
  <c r="AM460" i="1"/>
  <c r="N461" i="13" s="1"/>
  <c r="E461" i="1" l="1"/>
  <c r="D461" i="1" s="1"/>
  <c r="Q461" i="1" s="1"/>
  <c r="S461" i="1" s="1"/>
  <c r="D460" i="31"/>
  <c r="K461" i="13"/>
  <c r="G459" i="11"/>
  <c r="H459" i="11" s="1"/>
  <c r="J461" i="13" s="1"/>
  <c r="D459" i="11"/>
  <c r="B462" i="13" l="1"/>
  <c r="I462" i="1"/>
  <c r="A460" i="11"/>
  <c r="L462" i="13" s="1"/>
  <c r="L461" i="1"/>
  <c r="H462" i="1"/>
  <c r="AH461" i="1" s="1"/>
  <c r="C461" i="1"/>
  <c r="AE461" i="1"/>
  <c r="C462" i="13"/>
  <c r="F460" i="31"/>
  <c r="P461" i="13" s="1"/>
  <c r="O461" i="13"/>
  <c r="H460" i="31"/>
  <c r="Q461" i="13" s="1"/>
  <c r="H461" i="13"/>
  <c r="E459" i="11"/>
  <c r="I461" i="13" s="1"/>
  <c r="F461" i="11" l="1"/>
  <c r="D462" i="13"/>
  <c r="Y461" i="1"/>
  <c r="X461" i="1" s="1"/>
  <c r="W461" i="1" s="1"/>
  <c r="V461" i="1" s="1"/>
  <c r="U461" i="1" s="1"/>
  <c r="F462" i="13" s="1"/>
  <c r="AF461" i="1"/>
  <c r="E462" i="13"/>
  <c r="AK461" i="1"/>
  <c r="T461" i="1" l="1"/>
  <c r="AI461" i="1" s="1"/>
  <c r="AJ461" i="1" s="1"/>
  <c r="M462" i="13" s="1"/>
  <c r="AN461" i="1"/>
  <c r="E461" i="31" l="1"/>
  <c r="G462" i="13"/>
  <c r="G462" i="1"/>
  <c r="F462" i="1"/>
  <c r="C460" i="11"/>
  <c r="C461" i="31"/>
  <c r="B461" i="31"/>
  <c r="AM461" i="1"/>
  <c r="N462" i="13" s="1"/>
  <c r="E462" i="1" l="1"/>
  <c r="D462" i="1" s="1"/>
  <c r="Q462" i="1" s="1"/>
  <c r="S462" i="1" s="1"/>
  <c r="G460" i="11"/>
  <c r="H460" i="11" s="1"/>
  <c r="J462" i="13" s="1"/>
  <c r="K462" i="13"/>
  <c r="D460" i="11"/>
  <c r="D461" i="31"/>
  <c r="O462" i="13" s="1"/>
  <c r="C462" i="1" l="1"/>
  <c r="L462" i="1"/>
  <c r="AE462" i="1"/>
  <c r="C463" i="13"/>
  <c r="I463" i="1"/>
  <c r="B463" i="13"/>
  <c r="H463" i="1"/>
  <c r="A461" i="11"/>
  <c r="L463" i="13" s="1"/>
  <c r="F461" i="31"/>
  <c r="P462" i="13" s="1"/>
  <c r="H461" i="31"/>
  <c r="Q462" i="13" s="1"/>
  <c r="E460" i="11"/>
  <c r="I462" i="13" s="1"/>
  <c r="H462" i="13"/>
  <c r="D463" i="13" l="1"/>
  <c r="AF462" i="1"/>
  <c r="AH462" i="1"/>
  <c r="Y462" i="1"/>
  <c r="X462" i="1" s="1"/>
  <c r="W462" i="1" s="1"/>
  <c r="V462" i="1" s="1"/>
  <c r="U462" i="1" s="1"/>
  <c r="T462" i="1" s="1"/>
  <c r="F462" i="11"/>
  <c r="AK462" i="1"/>
  <c r="E463" i="13"/>
  <c r="F463" i="13" l="1"/>
  <c r="AI462" i="1"/>
  <c r="AJ462" i="1" s="1"/>
  <c r="M463" i="13" s="1"/>
  <c r="E462" i="31"/>
  <c r="G463" i="13"/>
  <c r="AN462" i="1"/>
  <c r="F463" i="1" l="1"/>
  <c r="G463" i="1"/>
  <c r="C461" i="11"/>
  <c r="B462" i="31"/>
  <c r="C462" i="31"/>
  <c r="AM462" i="1"/>
  <c r="N463" i="13" s="1"/>
  <c r="E463" i="1" l="1"/>
  <c r="D463" i="1" s="1"/>
  <c r="Q463" i="1" s="1"/>
  <c r="S463" i="1" s="1"/>
  <c r="D462" i="31"/>
  <c r="G461" i="11"/>
  <c r="H461" i="11" s="1"/>
  <c r="J463" i="13" s="1"/>
  <c r="K463" i="13"/>
  <c r="D461" i="11"/>
  <c r="C463" i="1" l="1"/>
  <c r="L463" i="1"/>
  <c r="B464" i="13"/>
  <c r="C464" i="13"/>
  <c r="AE463" i="1"/>
  <c r="A462" i="11"/>
  <c r="L464" i="13" s="1"/>
  <c r="H464" i="1"/>
  <c r="I464" i="1"/>
  <c r="F462" i="31"/>
  <c r="P463" i="13" s="1"/>
  <c r="O463" i="13"/>
  <c r="H462" i="31"/>
  <c r="Q463" i="13" s="1"/>
  <c r="H463" i="13"/>
  <c r="E461" i="11"/>
  <c r="I463" i="13" s="1"/>
  <c r="D464" i="13" l="1"/>
  <c r="F463" i="11"/>
  <c r="AH463" i="1"/>
  <c r="AK463" i="1"/>
  <c r="Y463" i="1"/>
  <c r="X463" i="1" s="1"/>
  <c r="W463" i="1" s="1"/>
  <c r="V463" i="1" s="1"/>
  <c r="U463" i="1" s="1"/>
  <c r="T463" i="1" s="1"/>
  <c r="AF463" i="1"/>
  <c r="E464" i="13"/>
  <c r="AI463" i="1" l="1"/>
  <c r="AJ463" i="1" s="1"/>
  <c r="M464" i="13" s="1"/>
  <c r="F464" i="13"/>
  <c r="E463" i="31"/>
  <c r="G464" i="13"/>
  <c r="F464" i="1"/>
  <c r="G464" i="1"/>
  <c r="AN463" i="1"/>
  <c r="AM463" i="1" l="1"/>
  <c r="N464" i="13" s="1"/>
  <c r="B463" i="31"/>
  <c r="C463" i="31"/>
  <c r="D463" i="31" s="1"/>
  <c r="C462" i="11"/>
  <c r="E464" i="1"/>
  <c r="D464" i="1" s="1"/>
  <c r="Q464" i="1" s="1"/>
  <c r="S464" i="1" s="1"/>
  <c r="H463" i="31" l="1"/>
  <c r="Q464" i="13" s="1"/>
  <c r="O464" i="13"/>
  <c r="F463" i="31"/>
  <c r="P464" i="13" s="1"/>
  <c r="C464" i="1"/>
  <c r="AE464" i="1"/>
  <c r="B465" i="13"/>
  <c r="C465" i="13"/>
  <c r="A463" i="11"/>
  <c r="L464" i="1"/>
  <c r="I465" i="1"/>
  <c r="H465" i="1"/>
  <c r="K464" i="13"/>
  <c r="G462" i="11"/>
  <c r="H462" i="11" s="1"/>
  <c r="J464" i="13" s="1"/>
  <c r="D462" i="11"/>
  <c r="D465" i="13" l="1"/>
  <c r="AH464" i="1"/>
  <c r="L465" i="13"/>
  <c r="H464" i="13"/>
  <c r="E462" i="11"/>
  <c r="I464" i="13" s="1"/>
  <c r="Y464" i="1"/>
  <c r="X464" i="1" s="1"/>
  <c r="W464" i="1" s="1"/>
  <c r="V464" i="1" s="1"/>
  <c r="U464" i="1" s="1"/>
  <c r="E465" i="13"/>
  <c r="AF464" i="1"/>
  <c r="AK464" i="1"/>
  <c r="F464" i="11"/>
  <c r="T464" i="1" l="1"/>
  <c r="AI464" i="1" s="1"/>
  <c r="AJ464" i="1" s="1"/>
  <c r="M465" i="13" s="1"/>
  <c r="F465" i="13"/>
  <c r="B464" i="31" l="1"/>
  <c r="C464" i="31"/>
  <c r="AM464" i="1"/>
  <c r="N465" i="13" s="1"/>
  <c r="G465" i="13"/>
  <c r="E464" i="31"/>
  <c r="AN464" i="1"/>
  <c r="G465" i="1"/>
  <c r="F465" i="1"/>
  <c r="D464" i="31" l="1"/>
  <c r="E465" i="1"/>
  <c r="D465" i="1" s="1"/>
  <c r="Q465" i="1" s="1"/>
  <c r="S465" i="1" s="1"/>
  <c r="C463" i="11"/>
  <c r="H464" i="31" l="1"/>
  <c r="Q465" i="13" s="1"/>
  <c r="O465" i="13"/>
  <c r="F464" i="31"/>
  <c r="P465" i="13" s="1"/>
  <c r="AE465" i="1"/>
  <c r="C466" i="13"/>
  <c r="B466" i="13"/>
  <c r="A464" i="11"/>
  <c r="C465" i="1"/>
  <c r="H466" i="1"/>
  <c r="L465" i="1"/>
  <c r="I466" i="1"/>
  <c r="K465" i="13"/>
  <c r="G463" i="11"/>
  <c r="H463" i="11" s="1"/>
  <c r="J465" i="13" s="1"/>
  <c r="D463" i="11"/>
  <c r="D466" i="13" l="1"/>
  <c r="AH465" i="1"/>
  <c r="E463" i="11"/>
  <c r="I465" i="13" s="1"/>
  <c r="H465" i="13"/>
  <c r="E466" i="13"/>
  <c r="AF465" i="1"/>
  <c r="AK465" i="1"/>
  <c r="F465" i="11"/>
  <c r="L466" i="13"/>
  <c r="Y465" i="1"/>
  <c r="X465" i="1" s="1"/>
  <c r="W465" i="1" s="1"/>
  <c r="V465" i="1" s="1"/>
  <c r="U465" i="1" s="1"/>
  <c r="F466" i="13" l="1"/>
  <c r="T465" i="1"/>
  <c r="AI465" i="1" l="1"/>
  <c r="AJ465" i="1" s="1"/>
  <c r="M466" i="13" s="1"/>
  <c r="E465" i="31"/>
  <c r="G466" i="13"/>
  <c r="AN465" i="1"/>
  <c r="G466" i="1" l="1"/>
  <c r="F466" i="1"/>
  <c r="C464" i="11"/>
  <c r="C465" i="31"/>
  <c r="B465" i="31"/>
  <c r="AM465" i="1"/>
  <c r="N466" i="13" s="1"/>
  <c r="E466" i="1" l="1"/>
  <c r="D466" i="1" s="1"/>
  <c r="Q466" i="1" s="1"/>
  <c r="S466" i="1" s="1"/>
  <c r="K466" i="13"/>
  <c r="G464" i="11"/>
  <c r="H464" i="11" s="1"/>
  <c r="J466" i="13" s="1"/>
  <c r="D464" i="11"/>
  <c r="D465" i="31"/>
  <c r="O466" i="13" s="1"/>
  <c r="A465" i="11" l="1"/>
  <c r="L467" i="13" s="1"/>
  <c r="B467" i="13"/>
  <c r="L466" i="1"/>
  <c r="C466" i="1"/>
  <c r="H467" i="1"/>
  <c r="AE466" i="1"/>
  <c r="I467" i="1"/>
  <c r="C467" i="13"/>
  <c r="E464" i="11"/>
  <c r="I466" i="13" s="1"/>
  <c r="H466" i="13"/>
  <c r="F465" i="31"/>
  <c r="P466" i="13" s="1"/>
  <c r="H465" i="31"/>
  <c r="Q466" i="13" s="1"/>
  <c r="AF466" i="1" l="1"/>
  <c r="D467" i="13"/>
  <c r="AH466" i="1"/>
  <c r="Y466" i="1"/>
  <c r="X466" i="1" s="1"/>
  <c r="W466" i="1" s="1"/>
  <c r="V466" i="1" s="1"/>
  <c r="U466" i="1" s="1"/>
  <c r="F467" i="13" s="1"/>
  <c r="E467" i="13"/>
  <c r="AK466" i="1"/>
  <c r="F466" i="11"/>
  <c r="T466" i="1" l="1"/>
  <c r="AI466" i="1" s="1"/>
  <c r="AJ466" i="1" s="1"/>
  <c r="M467" i="13" s="1"/>
  <c r="AN466" i="1"/>
  <c r="E466" i="31" l="1"/>
  <c r="G467" i="13"/>
  <c r="F467" i="1"/>
  <c r="G467" i="1"/>
  <c r="C465" i="11"/>
  <c r="B466" i="31"/>
  <c r="C466" i="31"/>
  <c r="AM466" i="1"/>
  <c r="N467" i="13" s="1"/>
  <c r="E467" i="1" l="1"/>
  <c r="D467" i="1" s="1"/>
  <c r="Q467" i="1" s="1"/>
  <c r="S467" i="1" s="1"/>
  <c r="D466" i="31"/>
  <c r="K467" i="13"/>
  <c r="G465" i="11"/>
  <c r="H465" i="11" s="1"/>
  <c r="J467" i="13" s="1"/>
  <c r="D465" i="11"/>
  <c r="C468" i="13" l="1"/>
  <c r="L467" i="1"/>
  <c r="B468" i="13"/>
  <c r="H468" i="1"/>
  <c r="Y467" i="1" s="1"/>
  <c r="A466" i="11"/>
  <c r="L468" i="13" s="1"/>
  <c r="I468" i="1"/>
  <c r="AE467" i="1"/>
  <c r="C467" i="1"/>
  <c r="H466" i="31"/>
  <c r="Q467" i="13" s="1"/>
  <c r="O467" i="13"/>
  <c r="F466" i="31"/>
  <c r="P467" i="13" s="1"/>
  <c r="H467" i="13"/>
  <c r="E465" i="11"/>
  <c r="I467" i="13" s="1"/>
  <c r="E468" i="13" l="1"/>
  <c r="D468" i="13"/>
  <c r="X467" i="1"/>
  <c r="W467" i="1" s="1"/>
  <c r="V467" i="1" s="1"/>
  <c r="U467" i="1" s="1"/>
  <c r="F468" i="13" s="1"/>
  <c r="AH467" i="1"/>
  <c r="AK467" i="1"/>
  <c r="AF467" i="1"/>
  <c r="F467" i="11"/>
  <c r="T467" i="1" l="1"/>
  <c r="E467" i="31" s="1"/>
  <c r="AI467" i="1" l="1"/>
  <c r="AJ467" i="1" s="1"/>
  <c r="M468" i="13" s="1"/>
  <c r="G468" i="13"/>
  <c r="F468" i="1"/>
  <c r="G468" i="1"/>
  <c r="AN467" i="1"/>
  <c r="B467" i="31" l="1"/>
  <c r="AM467" i="1"/>
  <c r="N468" i="13" s="1"/>
  <c r="C467" i="31"/>
  <c r="C466" i="11"/>
  <c r="E468" i="1"/>
  <c r="D468" i="1" s="1"/>
  <c r="Q468" i="1" s="1"/>
  <c r="S468" i="1" s="1"/>
  <c r="D467" i="31" l="1"/>
  <c r="F467" i="31" s="1"/>
  <c r="P468" i="13" s="1"/>
  <c r="O468" i="13"/>
  <c r="B469" i="13"/>
  <c r="C469" i="13"/>
  <c r="AE468" i="1"/>
  <c r="C468" i="1"/>
  <c r="A467" i="11"/>
  <c r="H469" i="1"/>
  <c r="L468" i="1"/>
  <c r="I469" i="1"/>
  <c r="K468" i="13"/>
  <c r="G466" i="11"/>
  <c r="H466" i="11" s="1"/>
  <c r="J468" i="13" s="1"/>
  <c r="D466" i="11"/>
  <c r="D469" i="13" l="1"/>
  <c r="H467" i="31"/>
  <c r="Q468" i="13" s="1"/>
  <c r="AH468" i="1"/>
  <c r="AF468" i="1"/>
  <c r="E469" i="13"/>
  <c r="F468" i="11"/>
  <c r="AK468" i="1"/>
  <c r="L469" i="13"/>
  <c r="H468" i="13"/>
  <c r="E466" i="11"/>
  <c r="I468" i="13" s="1"/>
  <c r="Y468" i="1"/>
  <c r="X468" i="1" s="1"/>
  <c r="W468" i="1" s="1"/>
  <c r="V468" i="1" s="1"/>
  <c r="U468" i="1" s="1"/>
  <c r="T468" i="1" l="1"/>
  <c r="F469" i="13"/>
  <c r="AI468" i="1" l="1"/>
  <c r="AJ468" i="1" s="1"/>
  <c r="M469" i="13" s="1"/>
  <c r="E468" i="31"/>
  <c r="G469" i="13"/>
  <c r="AN468" i="1"/>
  <c r="F469" i="1" l="1"/>
  <c r="G469" i="1"/>
  <c r="C467" i="11"/>
  <c r="C468" i="31"/>
  <c r="B468" i="31"/>
  <c r="AM468" i="1"/>
  <c r="N469" i="13" s="1"/>
  <c r="E469" i="1" l="1"/>
  <c r="D469" i="1" s="1"/>
  <c r="Q469" i="1" s="1"/>
  <c r="S469" i="1" s="1"/>
  <c r="G467" i="11"/>
  <c r="H467" i="11" s="1"/>
  <c r="J469" i="13" s="1"/>
  <c r="K469" i="13"/>
  <c r="D467" i="11"/>
  <c r="D468" i="31"/>
  <c r="O469" i="13" s="1"/>
  <c r="B470" i="13" l="1"/>
  <c r="AE469" i="1"/>
  <c r="I470" i="1"/>
  <c r="C470" i="13"/>
  <c r="L469" i="1"/>
  <c r="C469" i="1"/>
  <c r="H470" i="1"/>
  <c r="A468" i="11"/>
  <c r="L470" i="13" s="1"/>
  <c r="F468" i="31"/>
  <c r="P469" i="13" s="1"/>
  <c r="H468" i="31"/>
  <c r="Q469" i="13" s="1"/>
  <c r="E467" i="11"/>
  <c r="I469" i="13" s="1"/>
  <c r="H469" i="13"/>
  <c r="AK469" i="1" l="1"/>
  <c r="D470" i="13"/>
  <c r="AH469" i="1"/>
  <c r="Y469" i="1"/>
  <c r="X469" i="1" s="1"/>
  <c r="W469" i="1" s="1"/>
  <c r="V469" i="1" s="1"/>
  <c r="U469" i="1" s="1"/>
  <c r="F470" i="13" s="1"/>
  <c r="AF469" i="1"/>
  <c r="F469" i="11"/>
  <c r="E470" i="13"/>
  <c r="T469" i="1" l="1"/>
  <c r="AI469" i="1" s="1"/>
  <c r="AJ469" i="1" s="1"/>
  <c r="M470" i="13" s="1"/>
  <c r="G470" i="13" l="1"/>
  <c r="E469" i="31"/>
  <c r="G470" i="1"/>
  <c r="F470" i="1"/>
  <c r="AN469" i="1"/>
  <c r="C469" i="31"/>
  <c r="B469" i="31"/>
  <c r="AM469" i="1"/>
  <c r="N470" i="13" s="1"/>
  <c r="D469" i="31" l="1"/>
  <c r="C468" i="11"/>
  <c r="E470" i="1"/>
  <c r="D470" i="1" s="1"/>
  <c r="Q470" i="1" s="1"/>
  <c r="S470" i="1" s="1"/>
  <c r="F469" i="31" l="1"/>
  <c r="P470" i="13" s="1"/>
  <c r="O470" i="13"/>
  <c r="H469" i="31"/>
  <c r="Q470" i="13" s="1"/>
  <c r="AE470" i="1"/>
  <c r="C470" i="1"/>
  <c r="C471" i="13"/>
  <c r="B471" i="13"/>
  <c r="A469" i="11"/>
  <c r="I471" i="1"/>
  <c r="L470" i="1"/>
  <c r="H471" i="1"/>
  <c r="G468" i="11"/>
  <c r="H468" i="11" s="1"/>
  <c r="J470" i="13" s="1"/>
  <c r="K470" i="13"/>
  <c r="D468" i="11"/>
  <c r="D471" i="13" l="1"/>
  <c r="Y470" i="1"/>
  <c r="X470" i="1" s="1"/>
  <c r="W470" i="1" s="1"/>
  <c r="V470" i="1" s="1"/>
  <c r="U470" i="1" s="1"/>
  <c r="AF470" i="1"/>
  <c r="E471" i="13"/>
  <c r="F470" i="11"/>
  <c r="AK470" i="1"/>
  <c r="L471" i="13"/>
  <c r="AH470" i="1"/>
  <c r="H470" i="13"/>
  <c r="E468" i="11"/>
  <c r="I470" i="13" s="1"/>
  <c r="F471" i="13" l="1"/>
  <c r="T470" i="1"/>
  <c r="AI470" i="1" l="1"/>
  <c r="AJ470" i="1" s="1"/>
  <c r="M471" i="13" s="1"/>
  <c r="E470" i="31"/>
  <c r="G471" i="13"/>
  <c r="F471" i="1" l="1"/>
  <c r="G471" i="1"/>
  <c r="AN470" i="1"/>
  <c r="B470" i="31"/>
  <c r="C470" i="31"/>
  <c r="AM470" i="1"/>
  <c r="N471" i="13" s="1"/>
  <c r="D470" i="31" l="1"/>
  <c r="C469" i="11"/>
  <c r="E471" i="1"/>
  <c r="D471" i="1" s="1"/>
  <c r="Q471" i="1" s="1"/>
  <c r="S471" i="1" s="1"/>
  <c r="H470" i="31" l="1"/>
  <c r="Q471" i="13" s="1"/>
  <c r="O471" i="13"/>
  <c r="F470" i="31"/>
  <c r="P471" i="13" s="1"/>
  <c r="K471" i="13"/>
  <c r="G469" i="11"/>
  <c r="H469" i="11" s="1"/>
  <c r="J471" i="13" s="1"/>
  <c r="D469" i="11"/>
  <c r="B472" i="13"/>
  <c r="C472" i="13"/>
  <c r="A470" i="11"/>
  <c r="AE471" i="1"/>
  <c r="C471" i="1"/>
  <c r="L471" i="1"/>
  <c r="I472" i="1"/>
  <c r="H472" i="1"/>
  <c r="D472" i="13" l="1"/>
  <c r="Y471" i="1"/>
  <c r="X471" i="1" s="1"/>
  <c r="W471" i="1" s="1"/>
  <c r="V471" i="1" s="1"/>
  <c r="U471" i="1" s="1"/>
  <c r="E469" i="11"/>
  <c r="I471" i="13" s="1"/>
  <c r="H471" i="13"/>
  <c r="AF471" i="1"/>
  <c r="E472" i="13"/>
  <c r="AK471" i="1"/>
  <c r="F471" i="11"/>
  <c r="L472" i="13"/>
  <c r="AH471" i="1"/>
  <c r="F472" i="13" l="1"/>
  <c r="T471" i="1"/>
  <c r="AI471" i="1" l="1"/>
  <c r="AJ471" i="1" s="1"/>
  <c r="M472" i="13" s="1"/>
  <c r="E471" i="31"/>
  <c r="G472" i="13"/>
  <c r="AN471" i="1"/>
  <c r="G472" i="1" l="1"/>
  <c r="F472" i="1"/>
  <c r="C470" i="11"/>
  <c r="B471" i="31"/>
  <c r="C471" i="31"/>
  <c r="AM471" i="1"/>
  <c r="N472" i="13" s="1"/>
  <c r="E472" i="1" l="1"/>
  <c r="D472" i="1" s="1"/>
  <c r="Q472" i="1" s="1"/>
  <c r="S472" i="1" s="1"/>
  <c r="D471" i="31"/>
  <c r="G470" i="11"/>
  <c r="H470" i="11" s="1"/>
  <c r="J472" i="13" s="1"/>
  <c r="K472" i="13"/>
  <c r="D470" i="11"/>
  <c r="A471" i="11" l="1"/>
  <c r="L473" i="13" s="1"/>
  <c r="I473" i="1"/>
  <c r="AE472" i="1"/>
  <c r="H473" i="1"/>
  <c r="B473" i="13"/>
  <c r="L472" i="1"/>
  <c r="C473" i="13"/>
  <c r="C472" i="1"/>
  <c r="H471" i="31"/>
  <c r="Q472" i="13" s="1"/>
  <c r="O472" i="13"/>
  <c r="F471" i="31"/>
  <c r="P472" i="13" s="1"/>
  <c r="E470" i="11"/>
  <c r="I472" i="13" s="1"/>
  <c r="H472" i="13"/>
  <c r="E473" i="13" l="1"/>
  <c r="D473" i="13"/>
  <c r="Y472" i="1"/>
  <c r="X472" i="1" s="1"/>
  <c r="W472" i="1" s="1"/>
  <c r="V472" i="1" s="1"/>
  <c r="U472" i="1" s="1"/>
  <c r="T472" i="1" s="1"/>
  <c r="AH472" i="1"/>
  <c r="F472" i="11"/>
  <c r="AK472" i="1"/>
  <c r="AF472" i="1"/>
  <c r="F473" i="13" l="1"/>
  <c r="AI472" i="1"/>
  <c r="AJ472" i="1" s="1"/>
  <c r="M473" i="13" s="1"/>
  <c r="E472" i="31"/>
  <c r="G473" i="13"/>
  <c r="AN472" i="1"/>
  <c r="G473" i="1" l="1"/>
  <c r="F473" i="1"/>
  <c r="C471" i="11"/>
  <c r="C472" i="31"/>
  <c r="B472" i="31"/>
  <c r="AM472" i="1"/>
  <c r="N473" i="13" s="1"/>
  <c r="E473" i="1" l="1"/>
  <c r="D473" i="1" s="1"/>
  <c r="Q473" i="1" s="1"/>
  <c r="S473" i="1" s="1"/>
  <c r="D472" i="31"/>
  <c r="G471" i="11"/>
  <c r="H471" i="11" s="1"/>
  <c r="J473" i="13" s="1"/>
  <c r="K473" i="13"/>
  <c r="D471" i="11"/>
  <c r="B474" i="13" l="1"/>
  <c r="H474" i="1"/>
  <c r="A472" i="11"/>
  <c r="L474" i="13" s="1"/>
  <c r="I474" i="1"/>
  <c r="C473" i="1"/>
  <c r="AE473" i="1"/>
  <c r="L473" i="1"/>
  <c r="C474" i="13"/>
  <c r="F472" i="31"/>
  <c r="P473" i="13" s="1"/>
  <c r="O473" i="13"/>
  <c r="H472" i="31"/>
  <c r="Q473" i="13" s="1"/>
  <c r="H473" i="13"/>
  <c r="E471" i="11"/>
  <c r="I473" i="13" s="1"/>
  <c r="E474" i="13" l="1"/>
  <c r="D474" i="13"/>
  <c r="AH473" i="1"/>
  <c r="Y473" i="1"/>
  <c r="X473" i="1" s="1"/>
  <c r="W473" i="1" s="1"/>
  <c r="V473" i="1" s="1"/>
  <c r="U473" i="1" s="1"/>
  <c r="T473" i="1" s="1"/>
  <c r="F473" i="11"/>
  <c r="AK473" i="1"/>
  <c r="AF473" i="1"/>
  <c r="F474" i="13" l="1"/>
  <c r="AI473" i="1"/>
  <c r="AJ473" i="1" s="1"/>
  <c r="M474" i="13" s="1"/>
  <c r="G474" i="13"/>
  <c r="E473" i="31"/>
  <c r="AN473" i="1"/>
  <c r="F474" i="1" l="1"/>
  <c r="G474" i="1"/>
  <c r="B473" i="31"/>
  <c r="C473" i="31"/>
  <c r="AM473" i="1"/>
  <c r="N474" i="13" s="1"/>
  <c r="C472" i="11"/>
  <c r="E474" i="1" l="1"/>
  <c r="D474" i="1" s="1"/>
  <c r="Q474" i="1" s="1"/>
  <c r="S474" i="1" s="1"/>
  <c r="K474" i="13"/>
  <c r="G472" i="11"/>
  <c r="H472" i="11" s="1"/>
  <c r="J474" i="13" s="1"/>
  <c r="D472" i="11"/>
  <c r="D473" i="31"/>
  <c r="O474" i="13" s="1"/>
  <c r="AE474" i="1" l="1"/>
  <c r="I475" i="1"/>
  <c r="B475" i="13"/>
  <c r="H475" i="1"/>
  <c r="C475" i="13"/>
  <c r="A473" i="11"/>
  <c r="L475" i="13" s="1"/>
  <c r="L474" i="1"/>
  <c r="C474" i="1"/>
  <c r="H474" i="13"/>
  <c r="E472" i="11"/>
  <c r="I474" i="13" s="1"/>
  <c r="F473" i="31"/>
  <c r="P474" i="13" s="1"/>
  <c r="H473" i="31"/>
  <c r="Q474" i="13" s="1"/>
  <c r="AF474" i="1" l="1"/>
  <c r="D475" i="13"/>
  <c r="AH474" i="1"/>
  <c r="E475" i="13"/>
  <c r="F474" i="11"/>
  <c r="AK474" i="1"/>
  <c r="Y474" i="1"/>
  <c r="X474" i="1" s="1"/>
  <c r="W474" i="1" s="1"/>
  <c r="V474" i="1" s="1"/>
  <c r="U474" i="1" s="1"/>
  <c r="T474" i="1" s="1"/>
  <c r="F475" i="13" l="1"/>
  <c r="AI474" i="1"/>
  <c r="AJ474" i="1" s="1"/>
  <c r="M475" i="13" s="1"/>
  <c r="G475" i="13"/>
  <c r="E474" i="31"/>
  <c r="AN474" i="1"/>
  <c r="G475" i="1" l="1"/>
  <c r="F475" i="1"/>
  <c r="C473" i="11"/>
  <c r="B474" i="31"/>
  <c r="C474" i="31"/>
  <c r="AM474" i="1"/>
  <c r="N475" i="13" s="1"/>
  <c r="E475" i="1" l="1"/>
  <c r="D475" i="1" s="1"/>
  <c r="Q475" i="1" s="1"/>
  <c r="S475" i="1" s="1"/>
  <c r="K475" i="13"/>
  <c r="G473" i="11"/>
  <c r="H473" i="11" s="1"/>
  <c r="J475" i="13" s="1"/>
  <c r="D473" i="11"/>
  <c r="D474" i="31"/>
  <c r="O475" i="13" s="1"/>
  <c r="B476" i="13" l="1"/>
  <c r="L475" i="1"/>
  <c r="C476" i="13"/>
  <c r="H476" i="1"/>
  <c r="AE475" i="1"/>
  <c r="I476" i="1"/>
  <c r="C475" i="1"/>
  <c r="A474" i="11"/>
  <c r="L476" i="13" s="1"/>
  <c r="E473" i="11"/>
  <c r="I475" i="13" s="1"/>
  <c r="H475" i="13"/>
  <c r="F474" i="31"/>
  <c r="P475" i="13" s="1"/>
  <c r="H474" i="31"/>
  <c r="Q475" i="13" s="1"/>
  <c r="E476" i="13" l="1"/>
  <c r="D476" i="13"/>
  <c r="AH475" i="1"/>
  <c r="Y475" i="1"/>
  <c r="X475" i="1" s="1"/>
  <c r="W475" i="1" s="1"/>
  <c r="V475" i="1" s="1"/>
  <c r="U475" i="1" s="1"/>
  <c r="T475" i="1" s="1"/>
  <c r="F475" i="11"/>
  <c r="AK475" i="1"/>
  <c r="AF475" i="1"/>
  <c r="F476" i="13" l="1"/>
  <c r="AI475" i="1"/>
  <c r="AJ475" i="1" s="1"/>
  <c r="M476" i="13" s="1"/>
  <c r="E475" i="31"/>
  <c r="G476" i="13"/>
  <c r="AN475" i="1"/>
  <c r="C474" i="11" s="1"/>
  <c r="F476" i="1" l="1"/>
  <c r="G476" i="1"/>
  <c r="G474" i="11"/>
  <c r="H474" i="11" s="1"/>
  <c r="J476" i="13" s="1"/>
  <c r="K476" i="13"/>
  <c r="D474" i="11"/>
  <c r="C475" i="31"/>
  <c r="B475" i="31"/>
  <c r="AM475" i="1"/>
  <c r="N476" i="13" s="1"/>
  <c r="E476" i="1" l="1"/>
  <c r="D476" i="1" s="1"/>
  <c r="Q476" i="1" s="1"/>
  <c r="S476" i="1" s="1"/>
  <c r="D475" i="31"/>
  <c r="O476" i="13" s="1"/>
  <c r="E474" i="11"/>
  <c r="I476" i="13" s="1"/>
  <c r="H476" i="13"/>
  <c r="A475" i="11" l="1"/>
  <c r="L477" i="13" s="1"/>
  <c r="L476" i="1"/>
  <c r="C477" i="13"/>
  <c r="B477" i="13"/>
  <c r="C476" i="1"/>
  <c r="H477" i="1"/>
  <c r="AE476" i="1"/>
  <c r="I477" i="1"/>
  <c r="F475" i="31"/>
  <c r="P476" i="13" s="1"/>
  <c r="H475" i="31"/>
  <c r="Q476" i="13" s="1"/>
  <c r="E477" i="13" l="1"/>
  <c r="D477" i="13"/>
  <c r="AH476" i="1"/>
  <c r="Y476" i="1"/>
  <c r="X476" i="1" s="1"/>
  <c r="W476" i="1" s="1"/>
  <c r="V476" i="1" s="1"/>
  <c r="U476" i="1" s="1"/>
  <c r="F477" i="13" s="1"/>
  <c r="AF476" i="1"/>
  <c r="F476" i="11"/>
  <c r="AK476" i="1"/>
  <c r="T476" i="1" l="1"/>
  <c r="AI476" i="1" s="1"/>
  <c r="AJ476" i="1" s="1"/>
  <c r="M477" i="13" s="1"/>
  <c r="G477" i="13" l="1"/>
  <c r="E476" i="31"/>
  <c r="F477" i="1"/>
  <c r="G477" i="1"/>
  <c r="C476" i="31"/>
  <c r="B476" i="31"/>
  <c r="AM476" i="1"/>
  <c r="N477" i="13" s="1"/>
  <c r="AN476" i="1"/>
  <c r="D476" i="31" l="1"/>
  <c r="O477" i="13" s="1"/>
  <c r="C475" i="11"/>
  <c r="E477" i="1"/>
  <c r="D477" i="1" s="1"/>
  <c r="Q477" i="1" s="1"/>
  <c r="S477" i="1" s="1"/>
  <c r="AE477" i="1" l="1"/>
  <c r="B478" i="13"/>
  <c r="C477" i="1"/>
  <c r="A476" i="11"/>
  <c r="C478" i="13"/>
  <c r="L477" i="1"/>
  <c r="I478" i="1"/>
  <c r="H478" i="1"/>
  <c r="G475" i="11"/>
  <c r="H475" i="11" s="1"/>
  <c r="J477" i="13" s="1"/>
  <c r="K477" i="13"/>
  <c r="D475" i="11"/>
  <c r="H476" i="31"/>
  <c r="Q477" i="13" s="1"/>
  <c r="F476" i="31"/>
  <c r="P477" i="13" s="1"/>
  <c r="D478" i="13" l="1"/>
  <c r="AH477" i="1"/>
  <c r="E478" i="13"/>
  <c r="AF477" i="1"/>
  <c r="F477" i="11"/>
  <c r="AK477" i="1"/>
  <c r="Y477" i="1"/>
  <c r="X477" i="1" s="1"/>
  <c r="W477" i="1" s="1"/>
  <c r="V477" i="1" s="1"/>
  <c r="U477" i="1" s="1"/>
  <c r="E475" i="11"/>
  <c r="I477" i="13" s="1"/>
  <c r="H477" i="13"/>
  <c r="L478" i="13"/>
  <c r="T477" i="1" l="1"/>
  <c r="F478" i="13"/>
  <c r="AI477" i="1" l="1"/>
  <c r="AJ477" i="1" s="1"/>
  <c r="M478" i="13" s="1"/>
  <c r="E477" i="31"/>
  <c r="G478" i="13"/>
  <c r="F478" i="1" l="1"/>
  <c r="G478" i="1"/>
  <c r="C477" i="31"/>
  <c r="B477" i="31"/>
  <c r="AM477" i="1"/>
  <c r="N478" i="13" s="1"/>
  <c r="AN477" i="1"/>
  <c r="D477" i="31" l="1"/>
  <c r="O478" i="13" s="1"/>
  <c r="E478" i="1"/>
  <c r="D478" i="1" s="1"/>
  <c r="Q478" i="1" s="1"/>
  <c r="S478" i="1" s="1"/>
  <c r="C476" i="11"/>
  <c r="G476" i="11" l="1"/>
  <c r="H476" i="11" s="1"/>
  <c r="J478" i="13" s="1"/>
  <c r="K478" i="13"/>
  <c r="D476" i="11"/>
  <c r="A477" i="11"/>
  <c r="B479" i="13"/>
  <c r="C478" i="1"/>
  <c r="AE478" i="1"/>
  <c r="C479" i="13"/>
  <c r="L478" i="1"/>
  <c r="H479" i="1"/>
  <c r="I479" i="1"/>
  <c r="F477" i="31"/>
  <c r="P478" i="13" s="1"/>
  <c r="H477" i="31"/>
  <c r="Q478" i="13" s="1"/>
  <c r="D479" i="13" l="1"/>
  <c r="Y478" i="1"/>
  <c r="X478" i="1" s="1"/>
  <c r="W478" i="1" s="1"/>
  <c r="V478" i="1" s="1"/>
  <c r="U478" i="1" s="1"/>
  <c r="E476" i="11"/>
  <c r="I478" i="13" s="1"/>
  <c r="H478" i="13"/>
  <c r="AF478" i="1"/>
  <c r="E479" i="13"/>
  <c r="AK478" i="1"/>
  <c r="F478" i="11"/>
  <c r="AH478" i="1"/>
  <c r="L479" i="13"/>
  <c r="T478" i="1" l="1"/>
  <c r="F479" i="13"/>
  <c r="AI478" i="1" l="1"/>
  <c r="AJ478" i="1" s="1"/>
  <c r="M479" i="13" s="1"/>
  <c r="E478" i="31"/>
  <c r="G479" i="13"/>
  <c r="AN478" i="1"/>
  <c r="F479" i="1" l="1"/>
  <c r="G479" i="1"/>
  <c r="C477" i="11"/>
  <c r="C478" i="31"/>
  <c r="B478" i="31"/>
  <c r="AM478" i="1"/>
  <c r="N479" i="13" s="1"/>
  <c r="E479" i="1" l="1"/>
  <c r="D479" i="1" s="1"/>
  <c r="Q479" i="1" s="1"/>
  <c r="S479" i="1" s="1"/>
  <c r="D478" i="31"/>
  <c r="G477" i="11"/>
  <c r="H477" i="11" s="1"/>
  <c r="J479" i="13" s="1"/>
  <c r="K479" i="13"/>
  <c r="D477" i="11"/>
  <c r="C480" i="13" l="1"/>
  <c r="AE479" i="1"/>
  <c r="I480" i="1"/>
  <c r="A478" i="11"/>
  <c r="L480" i="13" s="1"/>
  <c r="L479" i="1"/>
  <c r="H480" i="1"/>
  <c r="C479" i="1"/>
  <c r="B480" i="13"/>
  <c r="F478" i="31"/>
  <c r="P479" i="13" s="1"/>
  <c r="O479" i="13"/>
  <c r="H478" i="31"/>
  <c r="Q479" i="13" s="1"/>
  <c r="H479" i="13"/>
  <c r="E477" i="11"/>
  <c r="I479" i="13" s="1"/>
  <c r="AF479" i="1" l="1"/>
  <c r="D480" i="13"/>
  <c r="AH479" i="1"/>
  <c r="E480" i="13"/>
  <c r="Y479" i="1"/>
  <c r="X479" i="1" s="1"/>
  <c r="W479" i="1" s="1"/>
  <c r="V479" i="1" s="1"/>
  <c r="U479" i="1" s="1"/>
  <c r="F480" i="13" s="1"/>
  <c r="AK479" i="1"/>
  <c r="F479" i="11"/>
  <c r="T479" i="1" l="1"/>
  <c r="AI479" i="1" s="1"/>
  <c r="AJ479" i="1" s="1"/>
  <c r="M480" i="13" s="1"/>
  <c r="AN479" i="1"/>
  <c r="G480" i="13" l="1"/>
  <c r="E479" i="31"/>
  <c r="F480" i="1"/>
  <c r="G480" i="1"/>
  <c r="C478" i="11"/>
  <c r="C479" i="31"/>
  <c r="B479" i="31"/>
  <c r="AM479" i="1"/>
  <c r="N480" i="13" s="1"/>
  <c r="E480" i="1" l="1"/>
  <c r="D480" i="1" s="1"/>
  <c r="Q480" i="1" s="1"/>
  <c r="S480" i="1" s="1"/>
  <c r="D479" i="31"/>
  <c r="K480" i="13"/>
  <c r="G478" i="11"/>
  <c r="H478" i="11" s="1"/>
  <c r="J480" i="13" s="1"/>
  <c r="D478" i="11"/>
  <c r="A479" i="11" l="1"/>
  <c r="L481" i="13" s="1"/>
  <c r="I481" i="1"/>
  <c r="AE480" i="1"/>
  <c r="L480" i="1"/>
  <c r="C480" i="1"/>
  <c r="B481" i="13"/>
  <c r="C481" i="13"/>
  <c r="H481" i="1"/>
  <c r="AH480" i="1" s="1"/>
  <c r="H479" i="31"/>
  <c r="Q480" i="13" s="1"/>
  <c r="O480" i="13"/>
  <c r="F479" i="31"/>
  <c r="P480" i="13" s="1"/>
  <c r="E478" i="11"/>
  <c r="I480" i="13" s="1"/>
  <c r="H480" i="13"/>
  <c r="F480" i="11" l="1"/>
  <c r="D481" i="13"/>
  <c r="Y480" i="1"/>
  <c r="X480" i="1" s="1"/>
  <c r="W480" i="1" s="1"/>
  <c r="V480" i="1" s="1"/>
  <c r="U480" i="1" s="1"/>
  <c r="F481" i="13" s="1"/>
  <c r="E481" i="13"/>
  <c r="AK480" i="1"/>
  <c r="AF480" i="1"/>
  <c r="T480" i="1" l="1"/>
  <c r="G481" i="13" s="1"/>
  <c r="AN480" i="1"/>
  <c r="E480" i="31" l="1"/>
  <c r="AI480" i="1"/>
  <c r="AJ480" i="1" s="1"/>
  <c r="M481" i="13" s="1"/>
  <c r="G481" i="1"/>
  <c r="F481" i="1"/>
  <c r="C479" i="11"/>
  <c r="B480" i="31" l="1"/>
  <c r="AM480" i="1"/>
  <c r="N481" i="13" s="1"/>
  <c r="C480" i="31"/>
  <c r="E481" i="1"/>
  <c r="D481" i="1" s="1"/>
  <c r="Q481" i="1" s="1"/>
  <c r="S481" i="1" s="1"/>
  <c r="G479" i="11"/>
  <c r="H479" i="11" s="1"/>
  <c r="J481" i="13" s="1"/>
  <c r="K481" i="13"/>
  <c r="D479" i="11"/>
  <c r="A480" i="11" l="1"/>
  <c r="L482" i="13" s="1"/>
  <c r="D480" i="31"/>
  <c r="H480" i="31" s="1"/>
  <c r="Q481" i="13" s="1"/>
  <c r="L481" i="1"/>
  <c r="C482" i="13"/>
  <c r="C481" i="1"/>
  <c r="B482" i="13"/>
  <c r="AE481" i="1"/>
  <c r="H482" i="1"/>
  <c r="I482" i="1"/>
  <c r="O481" i="13"/>
  <c r="H481" i="13"/>
  <c r="E479" i="11"/>
  <c r="I481" i="13" s="1"/>
  <c r="E482" i="13" l="1"/>
  <c r="D482" i="13"/>
  <c r="Y481" i="1"/>
  <c r="X481" i="1" s="1"/>
  <c r="W481" i="1" s="1"/>
  <c r="V481" i="1" s="1"/>
  <c r="U481" i="1" s="1"/>
  <c r="F482" i="13" s="1"/>
  <c r="F480" i="31"/>
  <c r="P481" i="13" s="1"/>
  <c r="AH481" i="1"/>
  <c r="AK481" i="1"/>
  <c r="AF481" i="1"/>
  <c r="F481" i="11"/>
  <c r="T481" i="1" l="1"/>
  <c r="AI481" i="1" s="1"/>
  <c r="AJ481" i="1" s="1"/>
  <c r="M482" i="13" s="1"/>
  <c r="AN481" i="1"/>
  <c r="E481" i="31" l="1"/>
  <c r="G482" i="13"/>
  <c r="G482" i="1"/>
  <c r="F482" i="1"/>
  <c r="C480" i="11"/>
  <c r="C481" i="31"/>
  <c r="B481" i="31"/>
  <c r="AM481" i="1"/>
  <c r="N482" i="13" s="1"/>
  <c r="E482" i="1" l="1"/>
  <c r="D482" i="1" s="1"/>
  <c r="Q482" i="1" s="1"/>
  <c r="S482" i="1" s="1"/>
  <c r="D481" i="31"/>
  <c r="G480" i="11"/>
  <c r="H480" i="11" s="1"/>
  <c r="J482" i="13" s="1"/>
  <c r="K482" i="13"/>
  <c r="D480" i="11"/>
  <c r="B483" i="13" l="1"/>
  <c r="L482" i="1"/>
  <c r="AE482" i="1"/>
  <c r="A481" i="11"/>
  <c r="L483" i="13" s="1"/>
  <c r="C483" i="13"/>
  <c r="I483" i="1"/>
  <c r="C482" i="1"/>
  <c r="H483" i="1"/>
  <c r="F481" i="31"/>
  <c r="P482" i="13" s="1"/>
  <c r="O482" i="13"/>
  <c r="H481" i="31"/>
  <c r="Q482" i="13" s="1"/>
  <c r="E480" i="11"/>
  <c r="I482" i="13" s="1"/>
  <c r="H482" i="13"/>
  <c r="AK482" i="1" l="1"/>
  <c r="D483" i="13"/>
  <c r="Y482" i="1"/>
  <c r="X482" i="1" s="1"/>
  <c r="W482" i="1" s="1"/>
  <c r="V482" i="1" s="1"/>
  <c r="U482" i="1" s="1"/>
  <c r="F483" i="13" s="1"/>
  <c r="AH482" i="1"/>
  <c r="F482" i="11"/>
  <c r="E483" i="13"/>
  <c r="AF482" i="1"/>
  <c r="T482" i="1" l="1"/>
  <c r="AI482" i="1" s="1"/>
  <c r="AJ482" i="1" s="1"/>
  <c r="M483" i="13" s="1"/>
  <c r="AN482" i="1"/>
  <c r="G483" i="13" l="1"/>
  <c r="E482" i="31"/>
  <c r="G483" i="1"/>
  <c r="F483" i="1"/>
  <c r="C481" i="11"/>
  <c r="B482" i="31"/>
  <c r="C482" i="31"/>
  <c r="AM482" i="1"/>
  <c r="N483" i="13" s="1"/>
  <c r="E483" i="1" l="1"/>
  <c r="D483" i="1" s="1"/>
  <c r="Q483" i="1" s="1"/>
  <c r="S483" i="1" s="1"/>
  <c r="G481" i="11"/>
  <c r="H481" i="11" s="1"/>
  <c r="J483" i="13" s="1"/>
  <c r="K483" i="13"/>
  <c r="D481" i="11"/>
  <c r="D482" i="31"/>
  <c r="O483" i="13" s="1"/>
  <c r="A482" i="11" l="1"/>
  <c r="L484" i="13" s="1"/>
  <c r="C484" i="13"/>
  <c r="H484" i="1"/>
  <c r="I484" i="1"/>
  <c r="C483" i="1"/>
  <c r="L483" i="1"/>
  <c r="AE483" i="1"/>
  <c r="B484" i="13"/>
  <c r="F482" i="31"/>
  <c r="P483" i="13" s="1"/>
  <c r="H482" i="31"/>
  <c r="Q483" i="13" s="1"/>
  <c r="E481" i="11"/>
  <c r="I483" i="13" s="1"/>
  <c r="H483" i="13"/>
  <c r="F483" i="11" l="1"/>
  <c r="D484" i="13"/>
  <c r="AH483" i="1"/>
  <c r="AK483" i="1"/>
  <c r="Y483" i="1"/>
  <c r="X483" i="1" s="1"/>
  <c r="W483" i="1" s="1"/>
  <c r="V483" i="1" s="1"/>
  <c r="U483" i="1" s="1"/>
  <c r="F484" i="13" s="1"/>
  <c r="E484" i="13"/>
  <c r="AF483" i="1"/>
  <c r="T483" i="1" l="1"/>
  <c r="AI483" i="1" s="1"/>
  <c r="AJ483" i="1" s="1"/>
  <c r="M484" i="13" s="1"/>
  <c r="AN483" i="1"/>
  <c r="G484" i="13" l="1"/>
  <c r="E483" i="31"/>
  <c r="F484" i="1"/>
  <c r="G484" i="1"/>
  <c r="C482" i="11"/>
  <c r="B483" i="31"/>
  <c r="C483" i="31"/>
  <c r="AM483" i="1"/>
  <c r="N484" i="13" s="1"/>
  <c r="E484" i="1" l="1"/>
  <c r="D484" i="1" s="1"/>
  <c r="Q484" i="1" s="1"/>
  <c r="S484" i="1" s="1"/>
  <c r="G482" i="11"/>
  <c r="H482" i="11" s="1"/>
  <c r="J484" i="13" s="1"/>
  <c r="K484" i="13"/>
  <c r="D482" i="11"/>
  <c r="D483" i="31"/>
  <c r="O484" i="13" s="1"/>
  <c r="B485" i="13" l="1"/>
  <c r="C485" i="13"/>
  <c r="I485" i="1"/>
  <c r="C484" i="1"/>
  <c r="AE484" i="1"/>
  <c r="A483" i="11"/>
  <c r="L485" i="13" s="1"/>
  <c r="L484" i="1"/>
  <c r="H485" i="1"/>
  <c r="AH484" i="1" s="1"/>
  <c r="E482" i="11"/>
  <c r="I484" i="13" s="1"/>
  <c r="H484" i="13"/>
  <c r="H483" i="31"/>
  <c r="Q484" i="13" s="1"/>
  <c r="F483" i="31"/>
  <c r="P484" i="13" s="1"/>
  <c r="E485" i="13" l="1"/>
  <c r="D485" i="13"/>
  <c r="Y484" i="1"/>
  <c r="X484" i="1" s="1"/>
  <c r="W484" i="1" s="1"/>
  <c r="V484" i="1" s="1"/>
  <c r="U484" i="1" s="1"/>
  <c r="F485" i="13" s="1"/>
  <c r="F484" i="11"/>
  <c r="AF484" i="1"/>
  <c r="AK484" i="1"/>
  <c r="T484" i="1" l="1"/>
  <c r="G485" i="13" s="1"/>
  <c r="AN484" i="1"/>
  <c r="AI484" i="1" l="1"/>
  <c r="AJ484" i="1" s="1"/>
  <c r="M485" i="13" s="1"/>
  <c r="E484" i="31"/>
  <c r="F485" i="1"/>
  <c r="G485" i="1"/>
  <c r="C483" i="11"/>
  <c r="AM484" i="1" l="1"/>
  <c r="N485" i="13" s="1"/>
  <c r="C484" i="31"/>
  <c r="B484" i="31"/>
  <c r="E485" i="1"/>
  <c r="D485" i="1" s="1"/>
  <c r="Q485" i="1" s="1"/>
  <c r="S485" i="1" s="1"/>
  <c r="G483" i="11"/>
  <c r="H483" i="11" s="1"/>
  <c r="J485" i="13" s="1"/>
  <c r="K485" i="13"/>
  <c r="D483" i="11"/>
  <c r="A484" i="11" l="1"/>
  <c r="D484" i="31"/>
  <c r="O485" i="13" s="1"/>
  <c r="H486" i="1"/>
  <c r="C486" i="13"/>
  <c r="L485" i="1"/>
  <c r="AE485" i="1"/>
  <c r="C485" i="1"/>
  <c r="B486" i="13"/>
  <c r="I486" i="1"/>
  <c r="E483" i="11"/>
  <c r="I485" i="13" s="1"/>
  <c r="H485" i="13"/>
  <c r="L486" i="13"/>
  <c r="AF485" i="1" l="1"/>
  <c r="D486" i="13"/>
  <c r="Y485" i="1"/>
  <c r="X485" i="1" s="1"/>
  <c r="W485" i="1" s="1"/>
  <c r="V485" i="1" s="1"/>
  <c r="U485" i="1" s="1"/>
  <c r="T485" i="1" s="1"/>
  <c r="F484" i="31"/>
  <c r="P485" i="13" s="1"/>
  <c r="H484" i="31"/>
  <c r="Q485" i="13" s="1"/>
  <c r="AH485" i="1"/>
  <c r="AK485" i="1"/>
  <c r="F485" i="11"/>
  <c r="E486" i="13"/>
  <c r="F486" i="13" l="1"/>
  <c r="AI485" i="1"/>
  <c r="AJ485" i="1" s="1"/>
  <c r="M486" i="13" s="1"/>
  <c r="E485" i="31"/>
  <c r="G486" i="13"/>
  <c r="AN485" i="1"/>
  <c r="G486" i="1" l="1"/>
  <c r="F486" i="1"/>
  <c r="C484" i="11"/>
  <c r="B485" i="31"/>
  <c r="C485" i="31"/>
  <c r="AM485" i="1"/>
  <c r="N486" i="13" s="1"/>
  <c r="E486" i="1" l="1"/>
  <c r="D486" i="1" s="1"/>
  <c r="Q486" i="1" s="1"/>
  <c r="S486" i="1" s="1"/>
  <c r="G484" i="11"/>
  <c r="H484" i="11" s="1"/>
  <c r="J486" i="13" s="1"/>
  <c r="K486" i="13"/>
  <c r="D484" i="11"/>
  <c r="D485" i="31"/>
  <c r="O486" i="13" s="1"/>
  <c r="B487" i="13" l="1"/>
  <c r="C487" i="13"/>
  <c r="C486" i="1"/>
  <c r="L486" i="1"/>
  <c r="AE486" i="1"/>
  <c r="H487" i="1"/>
  <c r="I487" i="1"/>
  <c r="A485" i="11"/>
  <c r="L487" i="13" s="1"/>
  <c r="H485" i="31"/>
  <c r="Q486" i="13" s="1"/>
  <c r="F485" i="31"/>
  <c r="P486" i="13" s="1"/>
  <c r="E484" i="11"/>
  <c r="I486" i="13" s="1"/>
  <c r="H486" i="13"/>
  <c r="AF486" i="1" l="1"/>
  <c r="D487" i="13"/>
  <c r="Y486" i="1"/>
  <c r="X486" i="1" s="1"/>
  <c r="W486" i="1" s="1"/>
  <c r="V486" i="1" s="1"/>
  <c r="U486" i="1" s="1"/>
  <c r="T486" i="1" s="1"/>
  <c r="F486" i="11"/>
  <c r="AK486" i="1"/>
  <c r="E487" i="13"/>
  <c r="AH486" i="1"/>
  <c r="F487" i="13" l="1"/>
  <c r="AI486" i="1"/>
  <c r="AJ486" i="1" s="1"/>
  <c r="M487" i="13" s="1"/>
  <c r="G487" i="13"/>
  <c r="E486" i="31"/>
  <c r="AN486" i="1"/>
  <c r="G487" i="1" l="1"/>
  <c r="F487" i="1"/>
  <c r="C485" i="11"/>
  <c r="C486" i="31"/>
  <c r="B486" i="31"/>
  <c r="AM486" i="1"/>
  <c r="N487" i="13" s="1"/>
  <c r="E487" i="1" l="1"/>
  <c r="D487" i="1" s="1"/>
  <c r="Q487" i="1" s="1"/>
  <c r="S487" i="1" s="1"/>
  <c r="D486" i="31"/>
  <c r="K487" i="13"/>
  <c r="G485" i="11"/>
  <c r="H485" i="11" s="1"/>
  <c r="J487" i="13" s="1"/>
  <c r="D485" i="11"/>
  <c r="C487" i="1" l="1"/>
  <c r="L487" i="1"/>
  <c r="A486" i="11"/>
  <c r="L488" i="13" s="1"/>
  <c r="B488" i="13"/>
  <c r="H488" i="1"/>
  <c r="C488" i="13"/>
  <c r="I488" i="1"/>
  <c r="AE487" i="1"/>
  <c r="F486" i="31"/>
  <c r="P487" i="13" s="1"/>
  <c r="O487" i="13"/>
  <c r="H486" i="31"/>
  <c r="Q487" i="13" s="1"/>
  <c r="E485" i="11"/>
  <c r="I487" i="13" s="1"/>
  <c r="H487" i="13"/>
  <c r="D488" i="13" l="1"/>
  <c r="E488" i="13"/>
  <c r="Y487" i="1"/>
  <c r="X487" i="1" s="1"/>
  <c r="W487" i="1" s="1"/>
  <c r="V487" i="1" s="1"/>
  <c r="U487" i="1" s="1"/>
  <c r="F488" i="13" s="1"/>
  <c r="F487" i="11"/>
  <c r="AF487" i="1"/>
  <c r="AK487" i="1"/>
  <c r="AH487" i="1"/>
  <c r="T487" i="1" l="1"/>
  <c r="AI487" i="1" s="1"/>
  <c r="AJ487" i="1" s="1"/>
  <c r="M488" i="13" s="1"/>
  <c r="E487" i="31" l="1"/>
  <c r="G488" i="13"/>
  <c r="F488" i="1"/>
  <c r="G488" i="1"/>
  <c r="C487" i="31"/>
  <c r="B487" i="31"/>
  <c r="AM487" i="1"/>
  <c r="N488" i="13" s="1"/>
  <c r="AN487" i="1"/>
  <c r="D487" i="31" l="1"/>
  <c r="O488" i="13" s="1"/>
  <c r="E488" i="1"/>
  <c r="D488" i="1" s="1"/>
  <c r="Q488" i="1" s="1"/>
  <c r="S488" i="1" s="1"/>
  <c r="C486" i="11"/>
  <c r="K488" i="13" l="1"/>
  <c r="G486" i="11"/>
  <c r="H486" i="11" s="1"/>
  <c r="J488" i="13" s="1"/>
  <c r="D486" i="11"/>
  <c r="A487" i="11"/>
  <c r="B489" i="13"/>
  <c r="C488" i="1"/>
  <c r="AE488" i="1"/>
  <c r="C489" i="13"/>
  <c r="L488" i="1"/>
  <c r="I489" i="1"/>
  <c r="H489" i="1"/>
  <c r="H487" i="31"/>
  <c r="Q488" i="13" s="1"/>
  <c r="F487" i="31"/>
  <c r="P488" i="13" s="1"/>
  <c r="D489" i="13" l="1"/>
  <c r="AH488" i="1"/>
  <c r="H488" i="13"/>
  <c r="E486" i="11"/>
  <c r="I488" i="13" s="1"/>
  <c r="AF488" i="1"/>
  <c r="E489" i="13"/>
  <c r="F488" i="11"/>
  <c r="AK488" i="1"/>
  <c r="Y488" i="1"/>
  <c r="X488" i="1" s="1"/>
  <c r="W488" i="1" s="1"/>
  <c r="V488" i="1" s="1"/>
  <c r="U488" i="1" s="1"/>
  <c r="L489" i="13"/>
  <c r="F489" i="13" l="1"/>
  <c r="T488" i="1"/>
  <c r="AI488" i="1" l="1"/>
  <c r="AJ488" i="1" s="1"/>
  <c r="M489" i="13" s="1"/>
  <c r="G489" i="13"/>
  <c r="E488" i="31"/>
  <c r="AN488" i="1"/>
  <c r="F489" i="1" l="1"/>
  <c r="G489" i="1"/>
  <c r="C487" i="11"/>
  <c r="C488" i="31"/>
  <c r="B488" i="31"/>
  <c r="AM488" i="1"/>
  <c r="N489" i="13" s="1"/>
  <c r="E489" i="1" l="1"/>
  <c r="D489" i="1" s="1"/>
  <c r="Q489" i="1" s="1"/>
  <c r="S489" i="1" s="1"/>
  <c r="K489" i="13"/>
  <c r="G487" i="11"/>
  <c r="H487" i="11" s="1"/>
  <c r="J489" i="13" s="1"/>
  <c r="D487" i="11"/>
  <c r="D488" i="31"/>
  <c r="O489" i="13" s="1"/>
  <c r="A488" i="11" l="1"/>
  <c r="L490" i="13" s="1"/>
  <c r="L489" i="1"/>
  <c r="C490" i="13"/>
  <c r="I490" i="1"/>
  <c r="AE489" i="1"/>
  <c r="H490" i="1"/>
  <c r="C489" i="1"/>
  <c r="B490" i="13"/>
  <c r="H489" i="13"/>
  <c r="E487" i="11"/>
  <c r="I489" i="13" s="1"/>
  <c r="H488" i="31"/>
  <c r="Q489" i="13" s="1"/>
  <c r="F488" i="31"/>
  <c r="P489" i="13" s="1"/>
  <c r="AF489" i="1" l="1"/>
  <c r="D490" i="13"/>
  <c r="AH489" i="1"/>
  <c r="F489" i="11"/>
  <c r="Y489" i="1"/>
  <c r="X489" i="1" s="1"/>
  <c r="W489" i="1" s="1"/>
  <c r="V489" i="1" s="1"/>
  <c r="U489" i="1" s="1"/>
  <c r="F490" i="13" s="1"/>
  <c r="E490" i="13"/>
  <c r="AK489" i="1"/>
  <c r="T489" i="1" l="1"/>
  <c r="E489" i="31" s="1"/>
  <c r="AN489" i="1"/>
  <c r="G490" i="13" l="1"/>
  <c r="AI489" i="1"/>
  <c r="AJ489" i="1" s="1"/>
  <c r="M490" i="13" s="1"/>
  <c r="G490" i="1"/>
  <c r="F490" i="1"/>
  <c r="C488" i="11"/>
  <c r="C489" i="31" l="1"/>
  <c r="AM489" i="1"/>
  <c r="N490" i="13" s="1"/>
  <c r="B489" i="31"/>
  <c r="E490" i="1"/>
  <c r="D490" i="1" s="1"/>
  <c r="Q490" i="1" s="1"/>
  <c r="S490" i="1" s="1"/>
  <c r="K490" i="13"/>
  <c r="G488" i="11"/>
  <c r="H488" i="11" s="1"/>
  <c r="J490" i="13" s="1"/>
  <c r="D488" i="11"/>
  <c r="AE490" i="1" l="1"/>
  <c r="D489" i="31"/>
  <c r="H489" i="31" s="1"/>
  <c r="Q490" i="13" s="1"/>
  <c r="H491" i="1"/>
  <c r="L490" i="1"/>
  <c r="C490" i="1"/>
  <c r="C491" i="13"/>
  <c r="A489" i="11"/>
  <c r="L491" i="13" s="1"/>
  <c r="B491" i="13"/>
  <c r="I491" i="1"/>
  <c r="O490" i="13"/>
  <c r="H490" i="13"/>
  <c r="E488" i="11"/>
  <c r="I490" i="13" s="1"/>
  <c r="F490" i="11" l="1"/>
  <c r="Y490" i="1"/>
  <c r="X490" i="1" s="1"/>
  <c r="W490" i="1" s="1"/>
  <c r="V490" i="1" s="1"/>
  <c r="U490" i="1" s="1"/>
  <c r="F491" i="13" s="1"/>
  <c r="D491" i="13"/>
  <c r="F489" i="31"/>
  <c r="P490" i="13" s="1"/>
  <c r="AH490" i="1"/>
  <c r="E491" i="13"/>
  <c r="AK490" i="1"/>
  <c r="AF490" i="1"/>
  <c r="T490" i="1" l="1"/>
  <c r="AI490" i="1" s="1"/>
  <c r="AJ490" i="1" s="1"/>
  <c r="M491" i="13" s="1"/>
  <c r="AN490" i="1"/>
  <c r="G491" i="13" l="1"/>
  <c r="E490" i="31"/>
  <c r="F491" i="1"/>
  <c r="G491" i="1"/>
  <c r="C489" i="11"/>
  <c r="B490" i="31"/>
  <c r="C490" i="31"/>
  <c r="AM490" i="1"/>
  <c r="N491" i="13" s="1"/>
  <c r="E491" i="1" l="1"/>
  <c r="D491" i="1" s="1"/>
  <c r="Q491" i="1" s="1"/>
  <c r="S491" i="1" s="1"/>
  <c r="D490" i="31"/>
  <c r="K491" i="13"/>
  <c r="G489" i="11"/>
  <c r="H489" i="11" s="1"/>
  <c r="J491" i="13" s="1"/>
  <c r="D489" i="11"/>
  <c r="C492" i="13" l="1"/>
  <c r="L491" i="1"/>
  <c r="I492" i="1"/>
  <c r="B492" i="13"/>
  <c r="A490" i="11"/>
  <c r="L492" i="13" s="1"/>
  <c r="C491" i="1"/>
  <c r="AE491" i="1"/>
  <c r="H492" i="1"/>
  <c r="H490" i="31"/>
  <c r="Q491" i="13" s="1"/>
  <c r="O491" i="13"/>
  <c r="F490" i="31"/>
  <c r="P491" i="13" s="1"/>
  <c r="E489" i="11"/>
  <c r="I491" i="13" s="1"/>
  <c r="H491" i="13"/>
  <c r="AK491" i="1" l="1"/>
  <c r="D492" i="13"/>
  <c r="Y491" i="1"/>
  <c r="X491" i="1" s="1"/>
  <c r="W491" i="1" s="1"/>
  <c r="V491" i="1" s="1"/>
  <c r="U491" i="1" s="1"/>
  <c r="F492" i="13" s="1"/>
  <c r="AH491" i="1"/>
  <c r="E492" i="13"/>
  <c r="AF491" i="1"/>
  <c r="F491" i="11"/>
  <c r="T491" i="1" l="1"/>
  <c r="AI491" i="1" s="1"/>
  <c r="AJ491" i="1" s="1"/>
  <c r="M492" i="13" s="1"/>
  <c r="G492" i="13" l="1"/>
  <c r="E491" i="31"/>
  <c r="F492" i="1"/>
  <c r="G492" i="1"/>
  <c r="C491" i="31"/>
  <c r="B491" i="31"/>
  <c r="AM491" i="1"/>
  <c r="N492" i="13" s="1"/>
  <c r="AN491" i="1"/>
  <c r="D491" i="31" l="1"/>
  <c r="O492" i="13" s="1"/>
  <c r="C490" i="11"/>
  <c r="E492" i="1"/>
  <c r="D492" i="1" s="1"/>
  <c r="Q492" i="1" s="1"/>
  <c r="S492" i="1" s="1"/>
  <c r="K492" i="13" l="1"/>
  <c r="G490" i="11"/>
  <c r="H490" i="11" s="1"/>
  <c r="J492" i="13" s="1"/>
  <c r="D490" i="11"/>
  <c r="F491" i="31"/>
  <c r="P492" i="13" s="1"/>
  <c r="H491" i="31"/>
  <c r="Q492" i="13" s="1"/>
  <c r="B493" i="13"/>
  <c r="AE492" i="1"/>
  <c r="C493" i="13"/>
  <c r="A491" i="11"/>
  <c r="C492" i="1"/>
  <c r="I493" i="1"/>
  <c r="L492" i="1"/>
  <c r="H493" i="1"/>
  <c r="D493" i="13" l="1"/>
  <c r="AH492" i="1"/>
  <c r="E490" i="11"/>
  <c r="I492" i="13" s="1"/>
  <c r="H492" i="13"/>
  <c r="Y492" i="1"/>
  <c r="X492" i="1" s="1"/>
  <c r="W492" i="1" s="1"/>
  <c r="V492" i="1" s="1"/>
  <c r="U492" i="1" s="1"/>
  <c r="L493" i="13"/>
  <c r="AF492" i="1"/>
  <c r="E493" i="13"/>
  <c r="F492" i="11"/>
  <c r="AK492" i="1"/>
  <c r="F493" i="13" l="1"/>
  <c r="T492" i="1"/>
  <c r="AI492" i="1" l="1"/>
  <c r="AJ492" i="1" s="1"/>
  <c r="M493" i="13" s="1"/>
  <c r="E492" i="31"/>
  <c r="G493" i="13"/>
  <c r="AN492" i="1"/>
  <c r="F493" i="1" l="1"/>
  <c r="G493" i="1"/>
  <c r="C491" i="11"/>
  <c r="C492" i="31"/>
  <c r="B492" i="31"/>
  <c r="AM492" i="1"/>
  <c r="N493" i="13" s="1"/>
  <c r="E493" i="1" l="1"/>
  <c r="D493" i="1" s="1"/>
  <c r="Q493" i="1" s="1"/>
  <c r="S493" i="1" s="1"/>
  <c r="D492" i="31"/>
  <c r="G491" i="11"/>
  <c r="H491" i="11" s="1"/>
  <c r="J493" i="13" s="1"/>
  <c r="K493" i="13"/>
  <c r="D491" i="11"/>
  <c r="B494" i="13" l="1"/>
  <c r="I494" i="1"/>
  <c r="A492" i="11"/>
  <c r="L494" i="13" s="1"/>
  <c r="L493" i="1"/>
  <c r="C494" i="13"/>
  <c r="H494" i="1"/>
  <c r="AH493" i="1" s="1"/>
  <c r="AE493" i="1"/>
  <c r="C493" i="1"/>
  <c r="F492" i="31"/>
  <c r="P493" i="13" s="1"/>
  <c r="O493" i="13"/>
  <c r="H492" i="31"/>
  <c r="Q493" i="13" s="1"/>
  <c r="H493" i="13"/>
  <c r="E491" i="11"/>
  <c r="I493" i="13" s="1"/>
  <c r="AF493" i="1" l="1"/>
  <c r="D494" i="13"/>
  <c r="Y493" i="1"/>
  <c r="X493" i="1" s="1"/>
  <c r="W493" i="1" s="1"/>
  <c r="V493" i="1" s="1"/>
  <c r="U493" i="1" s="1"/>
  <c r="T493" i="1" s="1"/>
  <c r="AK493" i="1"/>
  <c r="F493" i="11"/>
  <c r="E494" i="13"/>
  <c r="F494" i="13" l="1"/>
  <c r="AI493" i="1"/>
  <c r="AJ493" i="1" s="1"/>
  <c r="M494" i="13" s="1"/>
  <c r="G494" i="13"/>
  <c r="E493" i="31"/>
  <c r="F494" i="1" l="1"/>
  <c r="G494" i="1"/>
  <c r="AN493" i="1"/>
  <c r="B493" i="31"/>
  <c r="C493" i="31"/>
  <c r="AM493" i="1"/>
  <c r="N494" i="13" s="1"/>
  <c r="C492" i="11" l="1"/>
  <c r="E494" i="1"/>
  <c r="D494" i="1" s="1"/>
  <c r="Q494" i="1" s="1"/>
  <c r="S494" i="1" s="1"/>
  <c r="D493" i="31"/>
  <c r="O494" i="13" s="1"/>
  <c r="G492" i="11" l="1"/>
  <c r="H492" i="11" s="1"/>
  <c r="J494" i="13" s="1"/>
  <c r="K494" i="13"/>
  <c r="D492" i="11"/>
  <c r="C494" i="1"/>
  <c r="A493" i="11"/>
  <c r="B495" i="13"/>
  <c r="AE494" i="1"/>
  <c r="C495" i="13"/>
  <c r="L494" i="1"/>
  <c r="I495" i="1"/>
  <c r="H495" i="1"/>
  <c r="F493" i="31"/>
  <c r="P494" i="13" s="1"/>
  <c r="H493" i="31"/>
  <c r="Q494" i="13" s="1"/>
  <c r="D495" i="13" l="1"/>
  <c r="AH494" i="1"/>
  <c r="E495" i="13"/>
  <c r="AF494" i="1"/>
  <c r="AK494" i="1"/>
  <c r="F494" i="11"/>
  <c r="Y494" i="1"/>
  <c r="X494" i="1" s="1"/>
  <c r="W494" i="1" s="1"/>
  <c r="V494" i="1" s="1"/>
  <c r="U494" i="1" s="1"/>
  <c r="L495" i="13"/>
  <c r="H494" i="13"/>
  <c r="E492" i="11"/>
  <c r="I494" i="13" s="1"/>
  <c r="F495" i="13" l="1"/>
  <c r="T494" i="1"/>
  <c r="AI494" i="1" l="1"/>
  <c r="AJ494" i="1" s="1"/>
  <c r="M495" i="13" s="1"/>
  <c r="E494" i="31"/>
  <c r="G495" i="13"/>
  <c r="AN494" i="1"/>
  <c r="F495" i="1" l="1"/>
  <c r="G495" i="1"/>
  <c r="C493" i="11"/>
  <c r="B494" i="31"/>
  <c r="C494" i="31"/>
  <c r="AM494" i="1"/>
  <c r="N495" i="13" s="1"/>
  <c r="E495" i="1" l="1"/>
  <c r="D495" i="1" s="1"/>
  <c r="Q495" i="1" s="1"/>
  <c r="S495" i="1" s="1"/>
  <c r="D494" i="31"/>
  <c r="G493" i="11"/>
  <c r="H493" i="11" s="1"/>
  <c r="J495" i="13" s="1"/>
  <c r="K495" i="13"/>
  <c r="D493" i="11"/>
  <c r="C496" i="13" l="1"/>
  <c r="H496" i="1"/>
  <c r="I496" i="1"/>
  <c r="C495" i="1"/>
  <c r="AE495" i="1"/>
  <c r="L495" i="1"/>
  <c r="B496" i="13"/>
  <c r="A494" i="11"/>
  <c r="L496" i="13" s="1"/>
  <c r="H494" i="31"/>
  <c r="Q495" i="13" s="1"/>
  <c r="O495" i="13"/>
  <c r="F494" i="31"/>
  <c r="P495" i="13" s="1"/>
  <c r="E493" i="11"/>
  <c r="I495" i="13" s="1"/>
  <c r="H495" i="13"/>
  <c r="F495" i="11" l="1"/>
  <c r="D496" i="13"/>
  <c r="AH495" i="1"/>
  <c r="AF495" i="1"/>
  <c r="Y495" i="1"/>
  <c r="X495" i="1" s="1"/>
  <c r="W495" i="1" s="1"/>
  <c r="V495" i="1" s="1"/>
  <c r="U495" i="1" s="1"/>
  <c r="T495" i="1" s="1"/>
  <c r="E496" i="13"/>
  <c r="AK495" i="1"/>
  <c r="F496" i="13" l="1"/>
  <c r="AI495" i="1"/>
  <c r="AJ495" i="1" s="1"/>
  <c r="M496" i="13" s="1"/>
  <c r="G496" i="13"/>
  <c r="E495" i="31"/>
  <c r="G496" i="1" l="1"/>
  <c r="F496" i="1"/>
  <c r="AN495" i="1"/>
  <c r="B495" i="31"/>
  <c r="C495" i="31"/>
  <c r="AM495" i="1"/>
  <c r="N496" i="13" s="1"/>
  <c r="C494" i="11" l="1"/>
  <c r="E496" i="1"/>
  <c r="D496" i="1" s="1"/>
  <c r="Q496" i="1" s="1"/>
  <c r="S496" i="1" s="1"/>
  <c r="D495" i="31"/>
  <c r="O496" i="13" s="1"/>
  <c r="F495" i="31" l="1"/>
  <c r="P496" i="13" s="1"/>
  <c r="H495" i="31"/>
  <c r="Q496" i="13" s="1"/>
  <c r="A495" i="11"/>
  <c r="B497" i="13"/>
  <c r="C497" i="13"/>
  <c r="C496" i="1"/>
  <c r="AE496" i="1"/>
  <c r="L496" i="1"/>
  <c r="H497" i="1"/>
  <c r="I497" i="1"/>
  <c r="K496" i="13"/>
  <c r="G494" i="11"/>
  <c r="H494" i="11" s="1"/>
  <c r="J496" i="13" s="1"/>
  <c r="D494" i="11"/>
  <c r="D497" i="13" l="1"/>
  <c r="L497" i="13"/>
  <c r="E494" i="11"/>
  <c r="I496" i="13" s="1"/>
  <c r="H496" i="13"/>
  <c r="Y496" i="1"/>
  <c r="X496" i="1" s="1"/>
  <c r="W496" i="1" s="1"/>
  <c r="V496" i="1" s="1"/>
  <c r="U496" i="1" s="1"/>
  <c r="E497" i="13"/>
  <c r="AF496" i="1"/>
  <c r="F496" i="11"/>
  <c r="AK496" i="1"/>
  <c r="AH496" i="1"/>
  <c r="T496" i="1" l="1"/>
  <c r="F497" i="13"/>
  <c r="AI496" i="1" l="1"/>
  <c r="AJ496" i="1" s="1"/>
  <c r="M497" i="13" s="1"/>
  <c r="E496" i="31"/>
  <c r="G497" i="13"/>
  <c r="F497" i="1" l="1"/>
  <c r="G497" i="1"/>
  <c r="B496" i="31"/>
  <c r="C496" i="31"/>
  <c r="AM496" i="1"/>
  <c r="N497" i="13" s="1"/>
  <c r="AN496" i="1"/>
  <c r="D496" i="31" l="1"/>
  <c r="C495" i="11"/>
  <c r="E497" i="1"/>
  <c r="D497" i="1" s="1"/>
  <c r="Q497" i="1" s="1"/>
  <c r="S497" i="1" s="1"/>
  <c r="H496" i="31" l="1"/>
  <c r="Q497" i="13" s="1"/>
  <c r="O497" i="13"/>
  <c r="F496" i="31"/>
  <c r="P497" i="13" s="1"/>
  <c r="K497" i="13"/>
  <c r="G495" i="11"/>
  <c r="H495" i="11" s="1"/>
  <c r="J497" i="13" s="1"/>
  <c r="D495" i="11"/>
  <c r="A496" i="11"/>
  <c r="AE497" i="1"/>
  <c r="C497" i="1"/>
  <c r="C498" i="13"/>
  <c r="B498" i="13"/>
  <c r="H498" i="1"/>
  <c r="I498" i="1"/>
  <c r="L497" i="1"/>
  <c r="D498" i="13" l="1"/>
  <c r="L498" i="13"/>
  <c r="E498" i="13"/>
  <c r="AF497" i="1"/>
  <c r="F497" i="11"/>
  <c r="AK497" i="1"/>
  <c r="E495" i="11"/>
  <c r="I497" i="13" s="1"/>
  <c r="H497" i="13"/>
  <c r="Y497" i="1"/>
  <c r="X497" i="1" s="1"/>
  <c r="W497" i="1" s="1"/>
  <c r="V497" i="1" s="1"/>
  <c r="U497" i="1" s="1"/>
  <c r="AH497" i="1"/>
  <c r="T497" i="1" l="1"/>
  <c r="F498" i="13"/>
  <c r="AI497" i="1" l="1"/>
  <c r="AJ497" i="1" s="1"/>
  <c r="M498" i="13" s="1"/>
  <c r="E497" i="31"/>
  <c r="G498" i="13"/>
  <c r="AN497" i="1"/>
  <c r="C496" i="11" s="1"/>
  <c r="G498" i="1" l="1"/>
  <c r="F498" i="1"/>
  <c r="G496" i="11"/>
  <c r="H496" i="11" s="1"/>
  <c r="J498" i="13" s="1"/>
  <c r="K498" i="13"/>
  <c r="D496" i="11"/>
  <c r="B497" i="31"/>
  <c r="C497" i="31"/>
  <c r="AM497" i="1"/>
  <c r="N498" i="13" s="1"/>
  <c r="E498" i="1" l="1"/>
  <c r="D498" i="1" s="1"/>
  <c r="Q498" i="1" s="1"/>
  <c r="S498" i="1" s="1"/>
  <c r="D497" i="31"/>
  <c r="E496" i="11"/>
  <c r="I498" i="13" s="1"/>
  <c r="H498" i="13"/>
  <c r="C498" i="1" l="1"/>
  <c r="A497" i="11"/>
  <c r="L499" i="13" s="1"/>
  <c r="AE498" i="1"/>
  <c r="I499" i="1"/>
  <c r="C499" i="13"/>
  <c r="H499" i="1"/>
  <c r="Y498" i="1" s="1"/>
  <c r="B499" i="13"/>
  <c r="L498" i="1"/>
  <c r="H497" i="31"/>
  <c r="Q498" i="13" s="1"/>
  <c r="O498" i="13"/>
  <c r="F497" i="31"/>
  <c r="P498" i="13" s="1"/>
  <c r="D499" i="13" l="1"/>
  <c r="AF498" i="1"/>
  <c r="AH498" i="1"/>
  <c r="X498" i="1"/>
  <c r="W498" i="1" s="1"/>
  <c r="V498" i="1" s="1"/>
  <c r="U498" i="1" s="1"/>
  <c r="F499" i="13" s="1"/>
  <c r="F498" i="11"/>
  <c r="E499" i="13"/>
  <c r="AK498" i="1"/>
  <c r="T498" i="1" l="1"/>
  <c r="AI498" i="1" s="1"/>
  <c r="AJ498" i="1" s="1"/>
  <c r="M499" i="13" s="1"/>
  <c r="AN498" i="1"/>
  <c r="E498" i="31" l="1"/>
  <c r="G499" i="13"/>
  <c r="F499" i="1"/>
  <c r="G499" i="1"/>
  <c r="C497" i="11"/>
  <c r="C498" i="31"/>
  <c r="B498" i="31"/>
  <c r="AM498" i="1"/>
  <c r="N499" i="13" s="1"/>
  <c r="E499" i="1" l="1"/>
  <c r="D499" i="1" s="1"/>
  <c r="Q499" i="1" s="1"/>
  <c r="S499" i="1" s="1"/>
  <c r="D498" i="31"/>
  <c r="H498" i="31" s="1"/>
  <c r="Q499" i="13" s="1"/>
  <c r="K499" i="13"/>
  <c r="G497" i="11"/>
  <c r="H497" i="11" s="1"/>
  <c r="J499" i="13" s="1"/>
  <c r="D497" i="11"/>
  <c r="B500" i="13" l="1"/>
  <c r="H500" i="1"/>
  <c r="C500" i="13"/>
  <c r="L499" i="1"/>
  <c r="AE499" i="1"/>
  <c r="A498" i="11"/>
  <c r="L500" i="13" s="1"/>
  <c r="C499" i="1"/>
  <c r="I500" i="1"/>
  <c r="F498" i="31"/>
  <c r="P499" i="13" s="1"/>
  <c r="O499" i="13"/>
  <c r="H499" i="13"/>
  <c r="E497" i="11"/>
  <c r="I499" i="13" s="1"/>
  <c r="AF499" i="1" l="1"/>
  <c r="D500" i="13"/>
  <c r="AH499" i="1"/>
  <c r="AK499" i="1"/>
  <c r="F499" i="11"/>
  <c r="E500" i="13"/>
  <c r="Y499" i="1"/>
  <c r="X499" i="1" s="1"/>
  <c r="W499" i="1" s="1"/>
  <c r="V499" i="1" s="1"/>
  <c r="U499" i="1" s="1"/>
  <c r="F500" i="13" s="1"/>
  <c r="T499" i="1" l="1"/>
  <c r="AI499" i="1" s="1"/>
  <c r="AJ499" i="1" s="1"/>
  <c r="M500" i="13" s="1"/>
  <c r="E499" i="31" l="1"/>
  <c r="G500" i="13"/>
  <c r="G500" i="1"/>
  <c r="F500" i="1"/>
  <c r="B499" i="31"/>
  <c r="C499" i="31"/>
  <c r="AM499" i="1"/>
  <c r="N500" i="13" s="1"/>
  <c r="AN499" i="1"/>
  <c r="D499" i="31" l="1"/>
  <c r="E500" i="1"/>
  <c r="D500" i="1" s="1"/>
  <c r="Q500" i="1" s="1"/>
  <c r="S500" i="1" s="1"/>
  <c r="C498" i="11"/>
  <c r="F499" i="31" l="1"/>
  <c r="P500" i="13" s="1"/>
  <c r="O500" i="13"/>
  <c r="H499" i="31"/>
  <c r="Q500" i="13" s="1"/>
  <c r="G498" i="11"/>
  <c r="H498" i="11" s="1"/>
  <c r="J500" i="13" s="1"/>
  <c r="K500" i="13"/>
  <c r="D498" i="11"/>
  <c r="AE500" i="1"/>
  <c r="C501" i="13"/>
  <c r="A499" i="11"/>
  <c r="B501" i="13"/>
  <c r="C500" i="1"/>
  <c r="L500" i="1"/>
  <c r="I501" i="1"/>
  <c r="H501" i="1"/>
  <c r="D501" i="13" l="1"/>
  <c r="L501" i="13"/>
  <c r="AF500" i="1"/>
  <c r="E501" i="13"/>
  <c r="F500" i="11"/>
  <c r="AK500" i="1"/>
  <c r="AH500" i="1"/>
  <c r="Y500" i="1"/>
  <c r="X500" i="1" s="1"/>
  <c r="W500" i="1" s="1"/>
  <c r="V500" i="1" s="1"/>
  <c r="U500" i="1" s="1"/>
  <c r="H500" i="13"/>
  <c r="E498" i="11"/>
  <c r="I500" i="13" s="1"/>
  <c r="T500" i="1" l="1"/>
  <c r="F501" i="13"/>
  <c r="AI500" i="1" l="1"/>
  <c r="AJ500" i="1" s="1"/>
  <c r="M501" i="13" s="1"/>
  <c r="E500" i="31"/>
  <c r="G501" i="13"/>
  <c r="AN500" i="1"/>
  <c r="G501" i="1" l="1"/>
  <c r="F501" i="1"/>
  <c r="C499" i="11"/>
  <c r="C500" i="31"/>
  <c r="B500" i="31"/>
  <c r="AM500" i="1"/>
  <c r="N501" i="13" s="1"/>
  <c r="E501" i="1" l="1"/>
  <c r="D501" i="1" s="1"/>
  <c r="Q501" i="1" s="1"/>
  <c r="S501" i="1" s="1"/>
  <c r="D500" i="31"/>
  <c r="G499" i="11"/>
  <c r="H499" i="11" s="1"/>
  <c r="J501" i="13" s="1"/>
  <c r="K501" i="13"/>
  <c r="D499" i="11"/>
  <c r="C501" i="1" l="1"/>
  <c r="L501" i="1"/>
  <c r="AF501" i="1" s="1"/>
  <c r="AE501" i="1"/>
  <c r="I502" i="1"/>
  <c r="A500" i="11"/>
  <c r="H502" i="1"/>
  <c r="H500" i="31"/>
  <c r="Q501" i="13" s="1"/>
  <c r="O501" i="13"/>
  <c r="F500" i="31"/>
  <c r="P501" i="13" s="1"/>
  <c r="E499" i="11"/>
  <c r="I501" i="13" s="1"/>
  <c r="H501" i="13"/>
  <c r="Y501" i="1" l="1"/>
  <c r="X501" i="1" s="1"/>
  <c r="W501" i="1" s="1"/>
  <c r="V501" i="1" s="1"/>
  <c r="U501" i="1" s="1"/>
  <c r="T501" i="1" s="1"/>
  <c r="E501" i="31" s="1"/>
  <c r="AH501" i="1"/>
  <c r="AK501" i="1"/>
  <c r="F501" i="11"/>
  <c r="AI501" i="1" l="1"/>
  <c r="AJ501" i="1" s="1"/>
  <c r="AM501" i="1" s="1"/>
  <c r="F502" i="1"/>
  <c r="G502" i="1"/>
  <c r="AN501" i="1"/>
  <c r="B501" i="31" l="1"/>
  <c r="C501" i="31"/>
  <c r="E502" i="1"/>
  <c r="D502" i="1" s="1"/>
  <c r="C500" i="11"/>
  <c r="D501" i="31" l="1"/>
  <c r="H501" i="31" s="1"/>
  <c r="G500" i="11"/>
  <c r="H500" i="11" s="1"/>
  <c r="D500" i="11"/>
  <c r="AH502" i="1"/>
  <c r="A501" i="11"/>
  <c r="C502" i="1"/>
  <c r="AE502" i="1"/>
  <c r="Y502" i="1"/>
  <c r="L502" i="1"/>
  <c r="F501" i="31" l="1"/>
  <c r="E500" i="11"/>
  <c r="AF502" i="1"/>
  <c r="AK502" i="1"/>
  <c r="X502" i="1"/>
  <c r="W502" i="1" s="1"/>
  <c r="V502" i="1" s="1"/>
  <c r="U502" i="1" s="1"/>
  <c r="T502" i="1" s="1"/>
  <c r="E502" i="31" l="1"/>
  <c r="AN502" i="1"/>
  <c r="C501" i="11" s="1"/>
  <c r="AI502" i="1"/>
  <c r="AJ502" i="1" s="1"/>
  <c r="AM502" i="1" s="1"/>
  <c r="G501" i="11" l="1"/>
  <c r="H501" i="11" s="1"/>
  <c r="D501" i="11"/>
  <c r="C502" i="31"/>
  <c r="B502" i="31"/>
  <c r="E501" i="11" l="1"/>
  <c r="D502" i="31"/>
  <c r="F502" i="31" l="1"/>
  <c r="H50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G8" authorId="0" shapeId="0" xr:uid="{00000000-0006-0000-0000-000001000000}">
      <text>
        <r>
          <rPr>
            <sz val="8"/>
            <color indexed="81"/>
            <rFont val="Tahoma"/>
            <family val="2"/>
          </rPr>
          <t>As % of equilibrium output level.</t>
        </r>
      </text>
    </comment>
    <comment ref="K8" authorId="0" shapeId="0" xr:uid="{00000000-0006-0000-0000-000002000000}">
      <text>
        <r>
          <rPr>
            <sz val="8"/>
            <color indexed="81"/>
            <rFont val="Tahoma"/>
            <family val="2"/>
          </rPr>
          <t>As % of total aggregate expenditure.</t>
        </r>
      </text>
    </comment>
    <comment ref="F9" authorId="0" shapeId="0" xr:uid="{00000000-0006-0000-0000-000003000000}">
      <text>
        <r>
          <rPr>
            <sz val="8"/>
            <color indexed="81"/>
            <rFont val="Tahoma"/>
            <family val="2"/>
          </rPr>
          <t>If temporary, it only lasts one period.</t>
        </r>
      </text>
    </comment>
    <comment ref="I9" authorId="0" shapeId="0" xr:uid="{00000000-0006-0000-0000-000004000000}">
      <text>
        <r>
          <rPr>
            <sz val="8"/>
            <color indexed="81"/>
            <rFont val="Tahoma"/>
            <family val="2"/>
          </rPr>
          <t>If temporary, it only lasts one period.</t>
        </r>
      </text>
    </comment>
    <comment ref="I10" authorId="0" shapeId="0" xr:uid="{00000000-0006-0000-0000-000005000000}">
      <text>
        <r>
          <rPr>
            <sz val="8"/>
            <color indexed="81"/>
            <rFont val="Tahoma"/>
            <family val="2"/>
          </rPr>
          <t>The risk premium is zero until period 5. The value chosen is then the size of the risk premium from period 5 on.</t>
        </r>
      </text>
    </comment>
    <comment ref="K11" authorId="1" shapeId="0" xr:uid="{0AAE4A96-654E-463F-95F5-1FEC1B5A5F4D}">
      <text>
        <r>
          <rPr>
            <sz val="8"/>
            <color indexed="81"/>
            <rFont val="Tahoma"/>
            <family val="2"/>
          </rPr>
          <t>Wedge between the central bank's policy rate and the lending rate of commercial banks.</t>
        </r>
      </text>
    </comment>
    <comment ref="U13" authorId="1" shapeId="0" xr:uid="{807CF3D1-5409-4B22-94DF-76A417336CB9}">
      <text>
        <r>
          <rPr>
            <sz val="8"/>
            <color indexed="81"/>
            <rFont val="Tahoma"/>
            <family val="2"/>
          </rPr>
          <t>Weight in central bank's preferences of deviations of inflation with respect to target.</t>
        </r>
      </text>
    </comment>
    <comment ref="U22" authorId="1" shapeId="0" xr:uid="{00000000-0006-0000-0000-000008000000}">
      <text>
        <r>
          <rPr>
            <sz val="8"/>
            <color indexed="81"/>
            <rFont val="Tahoma"/>
            <family val="2"/>
          </rPr>
          <t>Changes in public expenditure as % of autonomous aggregate expenditure. Useful to see how fiscal policy can curb a deflationary trap. It is assumed that the central bank does not expect this policy measure.</t>
        </r>
      </text>
    </comment>
    <comment ref="Q26" authorId="1" shapeId="0" xr:uid="{00000000-0006-0000-0000-000009000000}">
      <text>
        <r>
          <rPr>
            <sz val="8"/>
            <color indexed="81"/>
            <rFont val="Tahoma"/>
            <family val="2"/>
          </rPr>
          <t>If temporary, it only lasts one period.</t>
        </r>
      </text>
    </comment>
    <comment ref="K29" authorId="1" shapeId="0" xr:uid="{C383793C-433C-4A48-8840-59FF811171E5}">
      <text>
        <r>
          <rPr>
            <sz val="8"/>
            <color indexed="81"/>
            <rFont val="Tahoma"/>
            <family val="2"/>
          </rPr>
          <t>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t>
        </r>
      </text>
    </comment>
    <comment ref="D78" authorId="0" shapeId="0" xr:uid="{00000000-0006-0000-0000-00000B000000}">
      <text>
        <r>
          <rPr>
            <sz val="8"/>
            <color indexed="81"/>
            <rFont val="Tahoma"/>
            <family val="2"/>
          </rPr>
          <t>This data has to be used to evaluate the long run sostenibility of fiscal policy. Results are display in the yellow figures. This analysis uses some data from the monetary policy part (specifically, the real interest rate and the economic growth rate) but does not feed-back into the monetary policy part.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Y2" authorId="0" shapeId="0" xr:uid="{00000000-0006-0000-0300-000001000000}">
      <text>
        <r>
          <rPr>
            <b/>
            <sz val="8"/>
            <color indexed="81"/>
            <rFont val="Tahoma"/>
            <family val="2"/>
          </rPr>
          <t>pc:</t>
        </r>
        <r>
          <rPr>
            <sz val="8"/>
            <color indexed="81"/>
            <rFont val="Tahoma"/>
            <family val="2"/>
          </rPr>
          <t xml:space="preserve">
already considered the fact that random shocks are unexpected</t>
        </r>
      </text>
    </comment>
    <comment ref="AN2" authorId="0" shapeId="0" xr:uid="{00000000-0006-0000-0300-000002000000}">
      <text>
        <r>
          <rPr>
            <b/>
            <sz val="8"/>
            <color indexed="81"/>
            <rFont val="Tahoma"/>
            <family val="2"/>
          </rPr>
          <t>pc:</t>
        </r>
        <r>
          <rPr>
            <sz val="8"/>
            <color indexed="81"/>
            <rFont val="Tahoma"/>
            <family val="2"/>
          </rPr>
          <t xml:space="preserve">
to allow for unexpected shocks, it is assumed one lag in the effect of fiscal stabilization policy on output. Owever, the effect on fiscal budget balance is contemporaneous</t>
        </r>
      </text>
    </comment>
    <comment ref="AP3" authorId="0" shapeId="0" xr:uid="{00000000-0006-0000-0300-000003000000}">
      <text>
        <r>
          <rPr>
            <b/>
            <sz val="8"/>
            <color indexed="81"/>
            <rFont val="Tahoma"/>
            <family val="2"/>
          </rPr>
          <t>pc:</t>
        </r>
        <r>
          <rPr>
            <sz val="8"/>
            <color indexed="81"/>
            <rFont val="Tahoma"/>
            <family val="2"/>
          </rPr>
          <t xml:space="preserve">
esta calculado para que el tipo de cambio real inicial (de equilibrio) sea siempre cero.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pc</author>
    <author>usuario</author>
  </authors>
  <commentList>
    <comment ref="A10" authorId="0" shapeId="0" xr:uid="{00000000-0006-0000-0200-000001000000}">
      <text>
        <r>
          <rPr>
            <b/>
            <sz val="8"/>
            <color indexed="81"/>
            <rFont val="Tahoma"/>
            <family val="2"/>
          </rPr>
          <t>pc:</t>
        </r>
        <r>
          <rPr>
            <sz val="8"/>
            <color indexed="81"/>
            <rFont val="Tahoma"/>
            <family val="2"/>
          </rPr>
          <t xml:space="preserve">
he quitado el control, ya que esto está a extinguir. El valor de 2 significa "no"</t>
        </r>
      </text>
    </comment>
    <comment ref="U13" authorId="1" shapeId="0" xr:uid="{00000000-0006-0000-0200-000002000000}">
      <text>
        <r>
          <rPr>
            <sz val="9"/>
            <color indexed="81"/>
            <rFont val="Tahoma"/>
            <family val="2"/>
          </rPr>
          <t>Weight in government's preferences of deviations of inflation with respect to target.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S3" authorId="0" shapeId="0" xr:uid="{00000000-0006-0000-0900-000001000000}">
      <text>
        <r>
          <rPr>
            <b/>
            <sz val="8"/>
            <color indexed="81"/>
            <rFont val="Tahoma"/>
            <family val="2"/>
          </rPr>
          <t>pc:</t>
        </r>
        <r>
          <rPr>
            <sz val="8"/>
            <color indexed="81"/>
            <rFont val="Tahoma"/>
            <family val="2"/>
          </rPr>
          <t xml:space="preserve">
already considered the fact that random shocks are unexpected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Javier Lozano</author>
  </authors>
  <commentList>
    <comment ref="B3" authorId="0" shapeId="0" xr:uid="{00000000-0006-0000-0C00-000001000000}">
      <text>
        <r>
          <rPr>
            <sz val="8"/>
            <color indexed="81"/>
            <rFont val="Tahoma"/>
            <family val="2"/>
          </rPr>
          <t>As % of equilibrium income.</t>
        </r>
      </text>
    </comment>
    <comment ref="Y3" authorId="0" shapeId="0" xr:uid="{00000000-0006-0000-0C00-000002000000}">
      <text>
        <r>
          <rPr>
            <sz val="8"/>
            <color indexed="81"/>
            <rFont val="Tahoma"/>
            <family val="2"/>
          </rPr>
          <t>As % of equilibrium income.</t>
        </r>
      </text>
    </comment>
    <comment ref="A8" authorId="0" shapeId="0" xr:uid="{00000000-0006-0000-0C00-000003000000}">
      <text>
        <r>
          <rPr>
            <sz val="8"/>
            <color indexed="81"/>
            <rFont val="Tahoma"/>
            <family val="2"/>
          </rPr>
          <t>In this period there can happen:
1. A demand shock.
2. A  supply shock.
3. A financial shock.</t>
        </r>
      </text>
    </comment>
    <comment ref="A9" authorId="0" shapeId="0" xr:uid="{00000000-0006-0000-0C00-000004000000}">
      <text>
        <r>
          <rPr>
            <sz val="8"/>
            <color indexed="81"/>
            <rFont val="Tahoma"/>
            <family val="2"/>
          </rPr>
          <t>In this period temporary demand and supply shocks dissipate.</t>
        </r>
      </text>
    </comment>
    <comment ref="A13" authorId="0" shapeId="0" xr:uid="{00000000-0006-0000-0C00-000005000000}">
      <text>
        <r>
          <rPr>
            <sz val="8"/>
            <color indexed="81"/>
            <rFont val="Tahoma"/>
            <family val="2"/>
          </rPr>
          <t>In this period there can happen:
1. A change in inflation target.
2. Central bank's late recognition of a change in equilibrium output already happened in period 5.
3. An unexpected devaluation/revaluation of domestic currency.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K14" authorId="0" shapeId="0" xr:uid="{00000000-0006-0000-0D00-000001000000}">
      <text>
        <r>
          <rPr>
            <sz val="8"/>
            <color indexed="81"/>
            <rFont val="Tahoma"/>
            <family val="2"/>
          </rPr>
          <t xml:space="preserve">It weights lagged inflation and inflation target in the Phillips curve. Zero means full credibility in CB's inflation target, whereas one means that economic agents expect an inflation level equal to past inflation (full inertia). A value between zero and one considers both lagged inflation and inflation target as determinants of current inflation.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E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E00-000002000000}">
      <text>
        <r>
          <rPr>
            <sz val="8"/>
            <color indexed="81"/>
            <rFont val="Tahoma"/>
            <family val="2"/>
          </rPr>
          <t>This is also the interest rate for the remaining periods.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0F00-000001000000}">
      <text>
        <r>
          <rPr>
            <b/>
            <sz val="8"/>
            <color indexed="81"/>
            <rFont val="Tahoma"/>
            <family val="2"/>
          </rPr>
          <t>pc:</t>
        </r>
        <r>
          <rPr>
            <sz val="8"/>
            <color indexed="81"/>
            <rFont val="Tahoma"/>
            <family val="2"/>
          </rPr>
          <t xml:space="preserve">
already considered the fact that random shocks are unexpected</t>
        </r>
      </text>
    </comment>
    <comment ref="I22" authorId="0" shapeId="0" xr:uid="{00000000-0006-0000-0F00-000002000000}">
      <text>
        <r>
          <rPr>
            <sz val="8"/>
            <color indexed="81"/>
            <rFont val="Tahoma"/>
            <family val="2"/>
          </rPr>
          <t>This is also the interest rate for the remaining periods.</t>
        </r>
      </text>
    </comment>
    <comment ref="I26" authorId="0" shapeId="0" xr:uid="{00000000-0006-0000-0F00-000003000000}">
      <text>
        <r>
          <rPr>
            <b/>
            <sz val="8"/>
            <color indexed="81"/>
            <rFont val="Tahoma"/>
            <family val="2"/>
          </rPr>
          <t>pc:</t>
        </r>
        <r>
          <rPr>
            <sz val="8"/>
            <color indexed="81"/>
            <rFont val="Tahoma"/>
            <family val="2"/>
          </rPr>
          <t xml:space="preserve">
esta es la regla de tipo de interés sin el límite cero. Lo uso para incorporar un mensaje en la página de outputs que advierta de que si alguno de estos es negativo, la comparación no es fiable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000-000001000000}">
      <text>
        <r>
          <rPr>
            <b/>
            <sz val="8"/>
            <color indexed="81"/>
            <rFont val="Tahoma"/>
            <family val="2"/>
          </rPr>
          <t>As % of equilibrium income</t>
        </r>
      </text>
    </comment>
    <comment ref="AEA3" authorId="1" shapeId="0" xr:uid="{00000000-0006-0000-1000-000002000000}">
      <text>
        <r>
          <rPr>
            <b/>
            <sz val="8"/>
            <color indexed="81"/>
            <rFont val="Tahoma"/>
            <family val="2"/>
          </rPr>
          <t>en estas dos columnas eliminamos los períodos en los que hay hiperinflación, ya que el modelo no es realista para estos casos</t>
        </r>
        <r>
          <rPr>
            <sz val="8"/>
            <color indexed="81"/>
            <rFont val="Tahoma"/>
            <family val="2"/>
          </rPr>
          <t xml:space="preserve">
</t>
        </r>
      </text>
    </comment>
    <comment ref="A13" authorId="0" shapeId="0" xr:uid="{00000000-0006-0000-10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000-000004000000}">
      <text>
        <r>
          <rPr>
            <b/>
            <sz val="8"/>
            <color indexed="81"/>
            <rFont val="Tahoma"/>
            <family val="2"/>
          </rPr>
          <t>pc:</t>
        </r>
        <r>
          <rPr>
            <sz val="8"/>
            <color indexed="81"/>
            <rFont val="Tahoma"/>
            <family val="2"/>
          </rPr>
          <t xml:space="preserve">
en esta columna están las diferencias y-ye de u política y, el la primera casilla, la suma</t>
        </r>
      </text>
    </comment>
    <comment ref="D25" authorId="1" shapeId="0" xr:uid="{00000000-0006-0000-1000-000005000000}">
      <text>
        <r>
          <rPr>
            <b/>
            <sz val="8"/>
            <color indexed="81"/>
            <rFont val="Tahoma"/>
            <family val="2"/>
          </rPr>
          <t>pc:</t>
        </r>
        <r>
          <rPr>
            <sz val="8"/>
            <color indexed="81"/>
            <rFont val="Tahoma"/>
            <family val="2"/>
          </rPr>
          <t xml:space="preserve">
en esta columna quitamos los períodos con shock de la columna de la izquierda</t>
        </r>
      </text>
    </comment>
    <comment ref="E25" authorId="1" shapeId="0" xr:uid="{00000000-0006-0000-1000-000006000000}">
      <text>
        <r>
          <rPr>
            <b/>
            <sz val="8"/>
            <color indexed="81"/>
            <rFont val="Tahoma"/>
            <family val="2"/>
          </rPr>
          <t>pc:</t>
        </r>
        <r>
          <rPr>
            <sz val="8"/>
            <color indexed="81"/>
            <rFont val="Tahoma"/>
            <family val="2"/>
          </rPr>
          <t xml:space="preserve">
en esta columna está la desviación de la inflación respecto al objetivo de tu política (multiplicado por alfa) y, en la primera casilla, la suma</t>
        </r>
      </text>
    </comment>
    <comment ref="F25" authorId="1" shapeId="0" xr:uid="{00000000-0006-0000-1000-000007000000}">
      <text>
        <r>
          <rPr>
            <b/>
            <sz val="8"/>
            <color indexed="81"/>
            <rFont val="Tahoma"/>
            <family val="2"/>
          </rPr>
          <t>pc:</t>
        </r>
        <r>
          <rPr>
            <sz val="8"/>
            <color indexed="81"/>
            <rFont val="Tahoma"/>
            <family val="2"/>
          </rPr>
          <t xml:space="preserve">
en esta columna quitamos los perídos con shock de la culumna de la izquierda</t>
        </r>
      </text>
    </comment>
    <comment ref="H25" authorId="1" shapeId="0" xr:uid="{00000000-0006-0000-1000-000008000000}">
      <text>
        <r>
          <rPr>
            <b/>
            <sz val="8"/>
            <color indexed="81"/>
            <rFont val="Tahoma"/>
            <family val="2"/>
          </rPr>
          <t>pc:</t>
        </r>
        <r>
          <rPr>
            <sz val="8"/>
            <color indexed="81"/>
            <rFont val="Tahoma"/>
            <family val="2"/>
          </rPr>
          <t xml:space="preserve">
y-ye en la política endógena. En la primera columna, la suma.</t>
        </r>
      </text>
    </comment>
    <comment ref="I25" authorId="1" shapeId="0" xr:uid="{00000000-0006-0000-1000-000009000000}">
      <text>
        <r>
          <rPr>
            <b/>
            <sz val="8"/>
            <color indexed="81"/>
            <rFont val="Tahoma"/>
            <family val="2"/>
          </rPr>
          <t>pc:</t>
        </r>
        <r>
          <rPr>
            <sz val="8"/>
            <color indexed="81"/>
            <rFont val="Tahoma"/>
            <family val="2"/>
          </rPr>
          <t xml:space="preserve">
en esta columna quitamos los perídos con shock de la culumna de la izquierda</t>
        </r>
      </text>
    </comment>
    <comment ref="J25" authorId="1" shapeId="0" xr:uid="{00000000-0006-0000-1000-00000A000000}">
      <text>
        <r>
          <rPr>
            <b/>
            <sz val="8"/>
            <color indexed="81"/>
            <rFont val="Tahoma"/>
            <family val="2"/>
          </rPr>
          <t>pc:</t>
        </r>
        <r>
          <rPr>
            <sz val="8"/>
            <color indexed="81"/>
            <rFont val="Tahoma"/>
            <family val="2"/>
          </rPr>
          <t xml:space="preserve">
desviaciones de la inflación respecto al objetivo en la política endógena. En la primera columna, la suma.</t>
        </r>
      </text>
    </comment>
    <comment ref="K25" authorId="1" shapeId="0" xr:uid="{00000000-0006-0000-1000-00000B000000}">
      <text>
        <r>
          <rPr>
            <b/>
            <sz val="8"/>
            <color indexed="81"/>
            <rFont val="Tahoma"/>
            <family val="2"/>
          </rPr>
          <t>pc:</t>
        </r>
        <r>
          <rPr>
            <sz val="8"/>
            <color indexed="81"/>
            <rFont val="Tahoma"/>
            <family val="2"/>
          </rPr>
          <t xml:space="preserve">
</t>
        </r>
      </text>
    </comment>
    <comment ref="L25" authorId="1" shapeId="0" xr:uid="{00000000-0006-0000-1000-00000C000000}">
      <text>
        <r>
          <rPr>
            <b/>
            <sz val="8"/>
            <color indexed="81"/>
            <rFont val="Tahoma"/>
            <family val="2"/>
          </rPr>
          <t>pc:</t>
        </r>
        <r>
          <rPr>
            <sz val="8"/>
            <color indexed="81"/>
            <rFont val="Tahoma"/>
            <family val="2"/>
          </rPr>
          <t xml:space="preserve">
en esta columna quitamos los perídos con shock de la culumna de la izquierda</t>
        </r>
      </text>
    </comment>
    <comment ref="L45" authorId="1" shapeId="0" xr:uid="{00000000-0006-0000-1000-00000D000000}">
      <text>
        <r>
          <rPr>
            <b/>
            <sz val="8"/>
            <color indexed="81"/>
            <rFont val="Tahoma"/>
            <family val="2"/>
          </rPr>
          <t>pc:</t>
        </r>
        <r>
          <rPr>
            <sz val="8"/>
            <color indexed="81"/>
            <rFont val="Tahoma"/>
            <family val="2"/>
          </rPr>
          <t xml:space="preserve">
esta tabla en realidad no se usa aquí</t>
        </r>
      </text>
    </comment>
    <comment ref="C47" authorId="1" shapeId="0" xr:uid="{00000000-0006-0000-1000-00000E000000}">
      <text>
        <r>
          <rPr>
            <b/>
            <sz val="8"/>
            <color indexed="81"/>
            <rFont val="Tahoma"/>
            <family val="2"/>
          </rPr>
          <t>pc:</t>
        </r>
        <r>
          <rPr>
            <sz val="8"/>
            <color indexed="81"/>
            <rFont val="Tahoma"/>
            <family val="2"/>
          </rPr>
          <t xml:space="preserve">
en esta tabla se toman los valores (sin las fórmulas) de la tabla de arriba</t>
        </r>
      </text>
    </comment>
    <comment ref="I50" authorId="1" shapeId="0" xr:uid="{00000000-0006-0000-1000-00000F000000}">
      <text>
        <r>
          <rPr>
            <b/>
            <sz val="8"/>
            <color indexed="81"/>
            <rFont val="Tahoma"/>
            <family val="2"/>
          </rPr>
          <t>pc:</t>
        </r>
        <r>
          <rPr>
            <sz val="8"/>
            <color indexed="81"/>
            <rFont val="Tahoma"/>
            <family val="2"/>
          </rPr>
          <t xml:space="preserve">
resultados de la estimación lineal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J2" authorId="0" shapeId="0" xr:uid="{00000000-0006-0000-1100-000001000000}">
      <text>
        <r>
          <rPr>
            <sz val="8"/>
            <color indexed="81"/>
            <rFont val="Tahoma"/>
            <family val="2"/>
          </rPr>
          <t>Excluding shock periods.</t>
        </r>
      </text>
    </comment>
    <comment ref="E4" authorId="0" shapeId="0" xr:uid="{00000000-0006-0000-1100-000002000000}">
      <text>
        <r>
          <rPr>
            <sz val="8"/>
            <color indexed="81"/>
            <rFont val="Tahoma"/>
            <family val="2"/>
          </rPr>
          <t>This is the estimated beta in a linear regression using the MR, that is (y-ye)=-</t>
        </r>
        <r>
          <rPr>
            <sz val="8"/>
            <color indexed="81"/>
            <rFont val="Calibri"/>
            <family val="2"/>
          </rPr>
          <t>β</t>
        </r>
        <r>
          <rPr>
            <sz val="8"/>
            <color indexed="81"/>
            <rFont val="Mathematica1"/>
            <charset val="2"/>
          </rPr>
          <t>a</t>
        </r>
        <r>
          <rPr>
            <sz val="8.4"/>
            <color indexed="81"/>
            <rFont val="Tahoma"/>
            <family val="2"/>
          </rPr>
          <t>(</t>
        </r>
        <r>
          <rPr>
            <sz val="8.4"/>
            <color indexed="81"/>
            <rFont val="Mathematica1"/>
            <charset val="2"/>
          </rPr>
          <t>p-p</t>
        </r>
        <r>
          <rPr>
            <sz val="8"/>
            <color indexed="81"/>
            <rFont val="Mathematica1"/>
            <charset val="2"/>
          </rPr>
          <t>T</t>
        </r>
        <r>
          <rPr>
            <sz val="8.4"/>
            <color indexed="81"/>
            <rFont val="Mathematica1"/>
            <charset val="2"/>
          </rPr>
          <t xml:space="preserve">).  </t>
        </r>
        <r>
          <rPr>
            <sz val="8"/>
            <color indexed="81"/>
            <rFont val="Tahoma"/>
            <family val="2"/>
          </rPr>
          <t>Shock periods have been excluded, since the economy is always out of the MR in a shock period.</t>
        </r>
      </text>
    </comment>
    <comment ref="K5" authorId="0" shapeId="0" xr:uid="{00000000-0006-0000-1100-000003000000}">
      <text>
        <r>
          <rPr>
            <sz val="8"/>
            <color indexed="81"/>
            <rFont val="Tahoma"/>
            <family val="2"/>
          </rPr>
          <t>This is how society weights output and inflation in both your policy and the automated central bank's policy outcomes.</t>
        </r>
      </text>
    </comment>
    <comment ref="L5" authorId="0" shapeId="0" xr:uid="{00000000-0006-0000-1100-000004000000}">
      <text>
        <r>
          <rPr>
            <sz val="8"/>
            <color indexed="81"/>
            <rFont val="Tahoma"/>
            <family val="2"/>
          </rPr>
          <t>This is how the automated central bank weights output and inflation when choosing the interest rate.</t>
        </r>
      </text>
    </comment>
    <comment ref="K8" authorId="0" shapeId="0" xr:uid="{00000000-0006-0000-1100-000005000000}">
      <text>
        <r>
          <rPr>
            <sz val="8"/>
            <color indexed="81"/>
            <rFont val="Tahoma"/>
            <family val="2"/>
          </rPr>
          <t>Sum of the squares of deviations of output with respect to equilibrium output in your policy outcome.</t>
        </r>
      </text>
    </comment>
    <comment ref="L8" authorId="0" shapeId="0" xr:uid="{00000000-0006-0000-1100-000006000000}">
      <text>
        <r>
          <rPr>
            <sz val="8"/>
            <color indexed="81"/>
            <rFont val="Tahoma"/>
            <family val="2"/>
          </rPr>
          <t>Sum of the squares of deviations of output with respect to equilibrium output in the automated central bank's policy outcome.</t>
        </r>
      </text>
    </comment>
    <comment ref="K9" authorId="0" shapeId="0" xr:uid="{00000000-0006-0000-1100-000007000000}">
      <text>
        <r>
          <rPr>
            <sz val="8"/>
            <color indexed="81"/>
            <rFont val="Tahoma"/>
            <family val="2"/>
          </rPr>
          <t>Sum of the squares of deviations of inflation with respect to inflation target in your policy outcome.</t>
        </r>
      </text>
    </comment>
    <comment ref="L9" authorId="0" shapeId="0" xr:uid="{00000000-0006-0000-1100-000008000000}">
      <text>
        <r>
          <rPr>
            <sz val="8"/>
            <color indexed="81"/>
            <rFont val="Tahoma"/>
            <family val="2"/>
          </rPr>
          <t>Sum of the squares of deviations of inflation with respect to inflation target in the automated central bank's policy outcome.</t>
        </r>
      </text>
    </comment>
    <comment ref="K10" authorId="0" shapeId="0" xr:uid="{00000000-0006-0000-1100-000009000000}">
      <text>
        <r>
          <rPr>
            <sz val="8"/>
            <color indexed="81"/>
            <rFont val="Tahoma"/>
            <family val="2"/>
          </rPr>
          <t xml:space="preserve">Weights results from your policy outcome (the two numbers above) </t>
        </r>
        <r>
          <rPr>
            <u/>
            <sz val="8"/>
            <color indexed="81"/>
            <rFont val="Tahoma"/>
            <family val="2"/>
          </rPr>
          <t>using the society's beta as weight</t>
        </r>
        <r>
          <rPr>
            <sz val="8"/>
            <color indexed="81"/>
            <rFont val="Tahoma"/>
            <family val="2"/>
          </rPr>
          <t>.</t>
        </r>
      </text>
    </comment>
    <comment ref="L10" authorId="0" shapeId="0" xr:uid="{00000000-0006-0000-1100-00000A000000}">
      <text>
        <r>
          <rPr>
            <sz val="8"/>
            <color indexed="81"/>
            <rFont val="Tahoma"/>
            <family val="2"/>
          </rPr>
          <t xml:space="preserve">Weights results from central bank's policy outcome (the two numbers above) </t>
        </r>
        <r>
          <rPr>
            <u/>
            <sz val="8"/>
            <color indexed="81"/>
            <rFont val="Tahoma"/>
            <family val="2"/>
          </rPr>
          <t>using the society's beta as weight</t>
        </r>
        <r>
          <rPr>
            <sz val="8"/>
            <color indexed="81"/>
            <rFont val="Tahoma"/>
            <family val="2"/>
          </rPr>
          <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Javier Lozano</author>
    <author>pc</author>
  </authors>
  <commentList>
    <comment ref="B3" authorId="0" shapeId="0" xr:uid="{00000000-0006-0000-1200-000001000000}">
      <text>
        <r>
          <rPr>
            <b/>
            <sz val="8"/>
            <color indexed="81"/>
            <rFont val="Tahoma"/>
            <family val="2"/>
          </rPr>
          <t>As % of equilibrium income</t>
        </r>
      </text>
    </comment>
    <comment ref="AEA3" authorId="1" shapeId="0" xr:uid="{00000000-0006-0000-1200-000002000000}">
      <text>
        <r>
          <rPr>
            <b/>
            <sz val="8"/>
            <color indexed="81"/>
            <rFont val="Tahoma"/>
            <family val="2"/>
          </rPr>
          <t>pc:</t>
        </r>
        <r>
          <rPr>
            <sz val="8"/>
            <color indexed="81"/>
            <rFont val="Tahoma"/>
            <family val="2"/>
          </rPr>
          <t xml:space="preserve">
en esta tabla quitamos los períodos con hiperinflación, ya que el modelo no es bueno para estos casos.</t>
        </r>
      </text>
    </comment>
    <comment ref="A13" authorId="0" shapeId="0" xr:uid="{00000000-0006-0000-1200-000003000000}">
      <text>
        <r>
          <rPr>
            <b/>
            <sz val="8"/>
            <color indexed="81"/>
            <rFont val="Tahoma"/>
            <family val="2"/>
          </rPr>
          <t>In this period:
1. Change in inflation target
2. CB realices the change in equilibrium output level when there is delay in perception.</t>
        </r>
      </text>
    </comment>
    <comment ref="C25" authorId="1" shapeId="0" xr:uid="{00000000-0006-0000-1200-000004000000}">
      <text>
        <r>
          <rPr>
            <b/>
            <sz val="8"/>
            <color indexed="81"/>
            <rFont val="Tahoma"/>
            <family val="2"/>
          </rPr>
          <t>pc:</t>
        </r>
        <r>
          <rPr>
            <sz val="8"/>
            <color indexed="81"/>
            <rFont val="Tahoma"/>
            <family val="2"/>
          </rPr>
          <t xml:space="preserve">
en esta columna están las diferencias (y-ye)^2 de tu política </t>
        </r>
      </text>
    </comment>
    <comment ref="D25" authorId="1" shapeId="0" xr:uid="{00000000-0006-0000-1200-000005000000}">
      <text>
        <r>
          <rPr>
            <b/>
            <sz val="8"/>
            <color indexed="81"/>
            <rFont val="Tahoma"/>
            <family val="2"/>
          </rPr>
          <t>pc:</t>
        </r>
        <r>
          <rPr>
            <sz val="8"/>
            <color indexed="81"/>
            <rFont val="Tahoma"/>
            <family val="2"/>
          </rPr>
          <t xml:space="preserve">
excluimos los períodos con shock y sumamos</t>
        </r>
      </text>
    </comment>
    <comment ref="E25" authorId="1" shapeId="0" xr:uid="{00000000-0006-0000-1200-000006000000}">
      <text>
        <r>
          <rPr>
            <b/>
            <sz val="8"/>
            <color indexed="81"/>
            <rFont val="Tahoma"/>
            <family val="2"/>
          </rPr>
          <t>pc:</t>
        </r>
        <r>
          <rPr>
            <sz val="8"/>
            <color indexed="81"/>
            <rFont val="Tahoma"/>
            <family val="2"/>
          </rPr>
          <t xml:space="preserve">
la desviación de la inflación respecto al objetivo, al cuadrado</t>
        </r>
      </text>
    </comment>
    <comment ref="F25" authorId="1" shapeId="0" xr:uid="{00000000-0006-0000-1200-000007000000}">
      <text>
        <r>
          <rPr>
            <b/>
            <sz val="8"/>
            <color indexed="81"/>
            <rFont val="Tahoma"/>
            <family val="2"/>
          </rPr>
          <t>pc:</t>
        </r>
        <r>
          <rPr>
            <sz val="8"/>
            <color indexed="81"/>
            <rFont val="Tahoma"/>
            <family val="2"/>
          </rPr>
          <t xml:space="preserve">
quitamos períodos con shocks y sumamos</t>
        </r>
      </text>
    </comment>
    <comment ref="H25" authorId="1" shapeId="0" xr:uid="{00000000-0006-0000-1200-000008000000}">
      <text>
        <r>
          <rPr>
            <b/>
            <sz val="8"/>
            <color indexed="81"/>
            <rFont val="Tahoma"/>
            <family val="2"/>
          </rPr>
          <t>pc:</t>
        </r>
        <r>
          <rPr>
            <sz val="8"/>
            <color indexed="81"/>
            <rFont val="Tahoma"/>
            <family val="2"/>
          </rPr>
          <t xml:space="preserve">
tabla simétrica a la de la izquierda, pero con la política endógena</t>
        </r>
      </text>
    </comment>
  </commentList>
</comments>
</file>

<file path=xl/sharedStrings.xml><?xml version="1.0" encoding="utf-8"?>
<sst xmlns="http://schemas.openxmlformats.org/spreadsheetml/2006/main" count="503" uniqueCount="250">
  <si>
    <t>pitarg</t>
  </si>
  <si>
    <t>shocks oferta</t>
  </si>
  <si>
    <t>shocks demanda</t>
  </si>
  <si>
    <t>tipo impositivo</t>
  </si>
  <si>
    <t>Precios</t>
  </si>
  <si>
    <t>%gasto público</t>
  </si>
  <si>
    <t>estabilizadores automáticos gto</t>
  </si>
  <si>
    <t>% inicial deuda</t>
  </si>
  <si>
    <t>no</t>
  </si>
  <si>
    <t>yes</t>
  </si>
  <si>
    <t>Initial public expenditures/GDP</t>
  </si>
  <si>
    <t>Initial public debt/GDP</t>
  </si>
  <si>
    <t>inflation</t>
  </si>
  <si>
    <t>GDP</t>
  </si>
  <si>
    <t>Periods</t>
  </si>
  <si>
    <t>Inflation</t>
  </si>
  <si>
    <t>Output gap</t>
  </si>
  <si>
    <t>Growth</t>
  </si>
  <si>
    <t>Nominal i.r.</t>
  </si>
  <si>
    <t>Real i.r.</t>
  </si>
  <si>
    <t>Baseline</t>
  </si>
  <si>
    <t>Delay in the perception of supply shokcs</t>
  </si>
  <si>
    <t>Hysteresis</t>
  </si>
  <si>
    <t>Public expenditure/GDP</t>
  </si>
  <si>
    <t>Tax revenues/GDP</t>
  </si>
  <si>
    <t>Primary budget balance/GDP</t>
  </si>
  <si>
    <t>Total budget balance/GDP</t>
  </si>
  <si>
    <t>Output gap according to CB</t>
  </si>
  <si>
    <t>True out put gap</t>
  </si>
  <si>
    <t>Saldo primarioreal/PIBreal</t>
  </si>
  <si>
    <t>Deuda pública real</t>
  </si>
  <si>
    <t>Deudareal/PIBreal</t>
  </si>
  <si>
    <t>Saldo realtotal/PIBreal</t>
  </si>
  <si>
    <t>Gasto real</t>
  </si>
  <si>
    <t>Impuestos reales</t>
  </si>
  <si>
    <t>Metrics for policy evaluation</t>
  </si>
  <si>
    <t>For accumulated GDP gain/loss</t>
  </si>
  <si>
    <t>For accumulated inflation deviation</t>
  </si>
  <si>
    <t>Random shocks</t>
  </si>
  <si>
    <t>For step-by-step figures</t>
  </si>
  <si>
    <t>For adding economic growth to demand and ye</t>
  </si>
  <si>
    <t>interest rate rule</t>
  </si>
  <si>
    <t>choose own policy</t>
  </si>
  <si>
    <t>accomodating m.p.</t>
  </si>
  <si>
    <t>to avoid negative values</t>
  </si>
  <si>
    <t>nominal interest rates</t>
  </si>
  <si>
    <t>real interest rate</t>
  </si>
  <si>
    <t>Initial (t=5) ye</t>
  </si>
  <si>
    <t>medium run income level</t>
  </si>
  <si>
    <t>Initial (t=5) y</t>
  </si>
  <si>
    <t>t=0 real interest rate</t>
  </si>
  <si>
    <t>to distinguish between growth and no-growth cases</t>
  </si>
  <si>
    <t>Aggregate expenditure</t>
  </si>
  <si>
    <t>case when there is long run growth</t>
  </si>
  <si>
    <t>true value</t>
  </si>
  <si>
    <t>believed by c.b.</t>
  </si>
  <si>
    <t>permanent</t>
  </si>
  <si>
    <t>temporary</t>
  </si>
  <si>
    <t>delay in shock perception</t>
  </si>
  <si>
    <t>hysteresis</t>
  </si>
  <si>
    <t>Shocks</t>
  </si>
  <si>
    <t>Deterministic but unexpected shocks</t>
  </si>
  <si>
    <t>Size</t>
  </si>
  <si>
    <t>Temp vs perm. demand shocks</t>
  </si>
  <si>
    <t>Temp vs perm. supply shocks</t>
  </si>
  <si>
    <t>Change in inflation target</t>
  </si>
  <si>
    <t>Inflation target after period 10</t>
  </si>
  <si>
    <t>Accomodating monetary policy</t>
  </si>
  <si>
    <t>for random shocks</t>
  </si>
  <si>
    <t>list of periods to control for fiscal policy</t>
  </si>
  <si>
    <t>value that results from the choice of period for fiscal policy</t>
  </si>
  <si>
    <t>for permanency of shocks and fiscal policy</t>
  </si>
  <si>
    <t>permanency of policy</t>
  </si>
  <si>
    <t>stabilizing real interest rate</t>
  </si>
  <si>
    <t>A post fiscal policy t=n, 9&lt;n</t>
  </si>
  <si>
    <t>A post demand shock t=n, 5&lt;n&lt;10</t>
  </si>
  <si>
    <t>Initial A t=n, 0&lt;n&lt;5</t>
  </si>
  <si>
    <t>Part not sensitive to interest rate (A) (growth)</t>
  </si>
  <si>
    <t>Part not sensitive to interest rate (A) (no growth)</t>
  </si>
  <si>
    <t>A post-demand shock, t=5</t>
  </si>
  <si>
    <t>case when there is no economic growth</t>
  </si>
  <si>
    <t>Fiscal policy (no growth)</t>
  </si>
  <si>
    <t>Fiscal policy (growth)</t>
  </si>
  <si>
    <t>Public finance</t>
  </si>
  <si>
    <t>Long run growth</t>
  </si>
  <si>
    <t>Growth rate</t>
  </si>
  <si>
    <t>for degree of inertia/credibility</t>
  </si>
  <si>
    <t>for controling long run growth</t>
  </si>
  <si>
    <t>stabilizing interest rate</t>
  </si>
  <si>
    <t>autocorrelation degree of random shocks</t>
  </si>
  <si>
    <t>demand shock</t>
  </si>
  <si>
    <t>supply shock</t>
  </si>
  <si>
    <t>case when there is no long run growth</t>
  </si>
  <si>
    <t>A</t>
  </si>
  <si>
    <t>for feeding shocks</t>
  </si>
  <si>
    <t>interest rate</t>
  </si>
  <si>
    <t>total expenditure</t>
  </si>
  <si>
    <t>Time</t>
  </si>
  <si>
    <t>control hints in own monetary policy</t>
  </si>
  <si>
    <t>For calculating deflationary trap</t>
  </si>
  <si>
    <t>Demand shock in t=5</t>
  </si>
  <si>
    <t>Supply shock in t=5</t>
  </si>
  <si>
    <t>Change in inflation target in t=10</t>
  </si>
  <si>
    <t>Random supply shocks everytime</t>
  </si>
  <si>
    <t>Random demand shocks everytime</t>
  </si>
  <si>
    <t>Tax rate (initial tax revenues/GDP)</t>
  </si>
  <si>
    <t xml:space="preserve">Fiscal policy </t>
  </si>
  <si>
    <t>time</t>
  </si>
  <si>
    <t>dsfsd</t>
  </si>
  <si>
    <t>change inflation target</t>
  </si>
  <si>
    <t>See results with current data</t>
  </si>
  <si>
    <t>controls to feed "compare results"</t>
  </si>
  <si>
    <t>GDP growth</t>
  </si>
  <si>
    <t>nom. i.r.</t>
  </si>
  <si>
    <t>real i.r.</t>
  </si>
  <si>
    <t>primary b./GDP</t>
  </si>
  <si>
    <t>total b./GDP</t>
  </si>
  <si>
    <t>public debt/GDP</t>
  </si>
  <si>
    <t>Long-run economic growth</t>
  </si>
  <si>
    <t>%</t>
  </si>
  <si>
    <t>Nominal interest rate (%)</t>
  </si>
  <si>
    <t>Real interest rate (%)</t>
  </si>
  <si>
    <t>Inflation (%)</t>
  </si>
  <si>
    <t>Your input data in "main page"</t>
  </si>
  <si>
    <t>OPEN/CLOSE ECONOMY</t>
  </si>
  <si>
    <t>open economy</t>
  </si>
  <si>
    <t>q</t>
  </si>
  <si>
    <t>lambda</t>
  </si>
  <si>
    <t>rho</t>
  </si>
  <si>
    <t>qbar</t>
  </si>
  <si>
    <t>t=0 real exchange rate</t>
  </si>
  <si>
    <t>t=0 real interest rate (close economy)</t>
  </si>
  <si>
    <t>t=0 real interest rate (open economy)</t>
  </si>
  <si>
    <t>P</t>
  </si>
  <si>
    <t>P*</t>
  </si>
  <si>
    <t>e</t>
  </si>
  <si>
    <t>exp(q)</t>
  </si>
  <si>
    <t>FIXED/FLEXIBLE EXCHANGE RATES</t>
  </si>
  <si>
    <t>to avoid negative values AND FLEX. VS FIX. E.R.</t>
  </si>
  <si>
    <t>ESTABILIZATION FISCAL POLICY</t>
  </si>
  <si>
    <t>0 means no fiscal stabilization policy</t>
  </si>
  <si>
    <t>stabilization fiscal policy</t>
  </si>
  <si>
    <t>g</t>
  </si>
  <si>
    <t>gasto pub. Inicial</t>
  </si>
  <si>
    <t>Stabilization Policy</t>
  </si>
  <si>
    <t>q(Imports/GDP)</t>
  </si>
  <si>
    <t>Exports/GDP</t>
  </si>
  <si>
    <t>Trade balance/GDP</t>
  </si>
  <si>
    <t>NIIP/GDP</t>
  </si>
  <si>
    <t>elasticity of exports with respect to q</t>
  </si>
  <si>
    <t>elasticity of imports with respect to q</t>
  </si>
  <si>
    <t>share of world income</t>
  </si>
  <si>
    <t>propensity to import</t>
  </si>
  <si>
    <t>initial world income</t>
  </si>
  <si>
    <t>growth rate of world income</t>
  </si>
  <si>
    <t>NIIP</t>
  </si>
  <si>
    <t>current account/GDP</t>
  </si>
  <si>
    <t>Income balance/GDP</t>
  </si>
  <si>
    <t>Initial stabilizing real int rate</t>
  </si>
  <si>
    <t>initial official exchange rate</t>
  </si>
  <si>
    <t>offcial exchange rate after change</t>
  </si>
  <si>
    <t>Real exchange rate</t>
  </si>
  <si>
    <t>Nominal exchange rate</t>
  </si>
  <si>
    <t>Current account/GDP</t>
  </si>
  <si>
    <t>Public debt/PIB</t>
  </si>
  <si>
    <t>t&lt;10</t>
  </si>
  <si>
    <t>inflación objetivo ahsta t=10</t>
  </si>
  <si>
    <t>to distinguish between growth and no-growth cases and add endogenous fiscal plicy</t>
  </si>
  <si>
    <t>Inflationary shock in t=5</t>
  </si>
  <si>
    <t>Parameters</t>
  </si>
  <si>
    <t>Degree of inflation inertia/credibility of central bank</t>
  </si>
  <si>
    <t>Inflation target</t>
  </si>
  <si>
    <t>A  in t=5</t>
  </si>
  <si>
    <t>Supply shock</t>
  </si>
  <si>
    <t>ye in t=5</t>
  </si>
  <si>
    <t>control type of exercise in own policy</t>
  </si>
  <si>
    <t>key:1=temporary random; 2=permanent randon; 3=deterministic</t>
  </si>
  <si>
    <t>control temporary/permanent deterministic demand shocks in own policy</t>
  </si>
  <si>
    <t>control temporary/permanent deterministic supply shocks in own policy</t>
  </si>
  <si>
    <t>inertia/credibility in own monetary policy</t>
  </si>
  <si>
    <t>rdm supply</t>
  </si>
  <si>
    <t>rdm demand</t>
  </si>
  <si>
    <t>random shocks</t>
  </si>
  <si>
    <t>Shock occurence</t>
  </si>
  <si>
    <t>Random shocks every three periods</t>
  </si>
  <si>
    <t>A in t=3 without random shocks</t>
  </si>
  <si>
    <t>ye in t=3 without random shocks</t>
  </si>
  <si>
    <t>nominal interest rate</t>
  </si>
  <si>
    <t>gdp</t>
  </si>
  <si>
    <t>growth</t>
  </si>
  <si>
    <t>Game level</t>
  </si>
  <si>
    <t>Controls</t>
  </si>
  <si>
    <t>Inflation deviations</t>
  </si>
  <si>
    <t>Output deviations</t>
  </si>
  <si>
    <t>Your policy</t>
  </si>
  <si>
    <t>Estimate how you weight inflation and output gap</t>
  </si>
  <si>
    <t>Goodness of fit</t>
  </si>
  <si>
    <r>
      <t xml:space="preserve">Estimated </t>
    </r>
    <r>
      <rPr>
        <b/>
        <i/>
        <sz val="14"/>
        <color theme="0"/>
        <rFont val="Calibri"/>
        <family val="2"/>
      </rPr>
      <t>β</t>
    </r>
  </si>
  <si>
    <t>Nomila interest rate</t>
  </si>
  <si>
    <t>data</t>
  </si>
  <si>
    <t/>
  </si>
  <si>
    <t>control</t>
  </si>
  <si>
    <t>Choose beta for</t>
  </si>
  <si>
    <t>Society</t>
  </si>
  <si>
    <t>Compare your policy choice with a central bank that follows the monetary rule</t>
  </si>
  <si>
    <t>C.B. policy</t>
  </si>
  <si>
    <t>Society's loss</t>
  </si>
  <si>
    <t>Central Bank</t>
  </si>
  <si>
    <t>&gt;0</t>
  </si>
  <si>
    <t>starting period for public debt figure</t>
  </si>
  <si>
    <t>starting period for primary budget figure</t>
  </si>
  <si>
    <t>end period for primary budget figure</t>
  </si>
  <si>
    <t>starting period for total budget figure</t>
  </si>
  <si>
    <t>end period for total budget figure</t>
  </si>
  <si>
    <t>end period for public debt figure</t>
  </si>
  <si>
    <t>Sensitivity of inflation wrt output gap</t>
  </si>
  <si>
    <t>Sensitivity of expenditure wrt interest rate</t>
  </si>
  <si>
    <t>Save results with
current data to
compare different
scenarios</t>
  </si>
  <si>
    <t>Public exp./GDP</t>
  </si>
  <si>
    <t>Tax rev-/GDP</t>
  </si>
  <si>
    <t>Nom. exchange rate</t>
  </si>
  <si>
    <t>Current acc./GDP</t>
  </si>
  <si>
    <t>Reset to a no-shocks, no-policy, baseline parameter values scenario</t>
  </si>
  <si>
    <t>Game's page</t>
  </si>
  <si>
    <t>Evaluation page</t>
  </si>
  <si>
    <t>whether shocks in easy level are expected/unexpected</t>
  </si>
  <si>
    <t>starting period for trade balance figure</t>
  </si>
  <si>
    <t>end period for trade balance figure</t>
  </si>
  <si>
    <t>starting period for current account figure</t>
  </si>
  <si>
    <t>end period for current account figure</t>
  </si>
  <si>
    <t>starting period for NIIP figure</t>
  </si>
  <si>
    <t>end period for NIIP figure</t>
  </si>
  <si>
    <t>Size of risk premium</t>
  </si>
  <si>
    <t>Lending real i.r.</t>
  </si>
  <si>
    <t>Lending nom. i.r.</t>
  </si>
  <si>
    <t>Lending nominal i.r.</t>
  </si>
  <si>
    <t>Permanence</t>
  </si>
  <si>
    <t>hysteresis (sin activeX)</t>
  </si>
  <si>
    <t>error perception (sin ActiveX)</t>
  </si>
  <si>
    <t>Time for fiscal policy</t>
  </si>
  <si>
    <t>duration fiscal policy</t>
  </si>
  <si>
    <t>Real stabilization interest rate in t=-1</t>
  </si>
  <si>
    <t>simulator</t>
  </si>
  <si>
    <t>None</t>
  </si>
  <si>
    <t>Temporary</t>
  </si>
  <si>
    <t>Show the effect of a change in inflation target or a demand shock when there is hysteresis</t>
  </si>
  <si>
    <t>ventanita hysteresis</t>
  </si>
  <si>
    <t>new_inflation</t>
  </si>
  <si>
    <t>IF_condition</t>
  </si>
  <si>
    <t>Else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</si>
</sst>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
    <numFmt numFmtId="165" formatCode="0.000"/>
    <numFmt numFmtId="166" formatCode="0.0"/>
    <numFmt numFmtId="167" formatCode="0.0000"/>
    <numFmt numFmtId="168" formatCode="0.00000"/>
    <numFmt numFmtId="169" formatCode="0.00000000"/>
    <numFmt numFmtId="170" formatCode="0.000000000000000000000000000000%"/>
    <numFmt numFmtId="171" formatCode="0.00000%"/>
    <numFmt numFmtId="172" formatCode="0.00000000000%"/>
    <numFmt numFmtId="173" formatCode="0.000000"/>
  </numFmts>
  <fonts count="85">
    <font>
      <sz val="10"/>
      <name val="Arial"/>
    </font>
    <font>
      <sz val="11"/>
      <color theme="1"/>
      <name val="Times New Roman"/>
      <family val="2"/>
      <scheme val="minor"/>
    </font>
    <font>
      <sz val="10"/>
      <name val="Arial"/>
      <family val="2"/>
    </font>
    <font>
      <sz val="8"/>
      <name val="Arial"/>
      <family val="2"/>
    </font>
    <font>
      <b/>
      <sz val="12"/>
      <name val="Arial"/>
      <family val="2"/>
    </font>
    <font>
      <b/>
      <sz val="10"/>
      <name val="Batang"/>
      <family val="1"/>
    </font>
    <font>
      <b/>
      <sz val="10"/>
      <name val="Arial"/>
      <family val="2"/>
    </font>
    <font>
      <b/>
      <sz val="8"/>
      <name val="Arial"/>
      <family val="2"/>
    </font>
    <font>
      <sz val="8"/>
      <name val="Times New Roman"/>
      <family val="1"/>
    </font>
    <font>
      <sz val="14"/>
      <name val="Arial"/>
      <family val="2"/>
    </font>
    <font>
      <sz val="8"/>
      <color indexed="81"/>
      <name val="Tahoma"/>
      <family val="2"/>
    </font>
    <font>
      <b/>
      <sz val="11"/>
      <color indexed="9"/>
      <name val="Arial"/>
      <family val="2"/>
    </font>
    <font>
      <sz val="10"/>
      <name val="Arial"/>
      <family val="2"/>
    </font>
    <font>
      <sz val="10"/>
      <color indexed="9"/>
      <name val="Arial"/>
      <family val="2"/>
    </font>
    <font>
      <sz val="20"/>
      <name val="Times New Roman"/>
      <family val="1"/>
    </font>
    <font>
      <sz val="20"/>
      <name val="Arial"/>
      <family val="2"/>
    </font>
    <font>
      <sz val="20"/>
      <name val="Impact"/>
      <family val="2"/>
    </font>
    <font>
      <sz val="10"/>
      <name val="Impact"/>
      <family val="2"/>
    </font>
    <font>
      <sz val="24"/>
      <name val="Impact"/>
      <family val="2"/>
    </font>
    <font>
      <sz val="12"/>
      <name val="Arial"/>
      <family val="2"/>
    </font>
    <font>
      <sz val="16"/>
      <name val="Times New Roman"/>
      <family val="1"/>
    </font>
    <font>
      <sz val="10"/>
      <name val="Times New Roman"/>
      <family val="1"/>
    </font>
    <font>
      <b/>
      <sz val="11"/>
      <name val="Arial"/>
      <family val="2"/>
    </font>
    <font>
      <sz val="10"/>
      <name val="Arial"/>
      <family val="2"/>
    </font>
    <font>
      <b/>
      <sz val="12"/>
      <name val="Times New Roman"/>
      <family val="1"/>
    </font>
    <font>
      <sz val="12"/>
      <name val="Times New Roman"/>
      <family val="1"/>
    </font>
    <font>
      <sz val="11"/>
      <name val="Times New Roman"/>
      <family val="1"/>
    </font>
    <font>
      <sz val="12"/>
      <color indexed="27"/>
      <name val="Times New Roman"/>
      <family val="1"/>
    </font>
    <font>
      <sz val="12"/>
      <color indexed="42"/>
      <name val="Times New Roman"/>
      <family val="1"/>
    </font>
    <font>
      <b/>
      <sz val="18"/>
      <name val="Times New Roman"/>
      <family val="1"/>
    </font>
    <font>
      <sz val="2"/>
      <color indexed="9"/>
      <name val="Arial"/>
      <family val="2"/>
    </font>
    <font>
      <sz val="1"/>
      <color indexed="47"/>
      <name val="Arial"/>
      <family val="2"/>
    </font>
    <font>
      <b/>
      <sz val="11"/>
      <name val="Times New Roman"/>
      <family val="1"/>
    </font>
    <font>
      <sz val="1"/>
      <color indexed="9"/>
      <name val="Arial"/>
      <family val="2"/>
    </font>
    <font>
      <b/>
      <sz val="16"/>
      <name val="Arial"/>
      <family val="2"/>
    </font>
    <font>
      <b/>
      <sz val="8"/>
      <color indexed="81"/>
      <name val="Tahoma"/>
      <family val="2"/>
    </font>
    <font>
      <sz val="10"/>
      <color rgb="FF000000"/>
      <name val="Arial"/>
      <family val="2"/>
    </font>
    <font>
      <i/>
      <sz val="10"/>
      <color rgb="FF000000"/>
      <name val="Arial"/>
      <family val="2"/>
    </font>
    <font>
      <b/>
      <sz val="12"/>
      <color rgb="FF000000"/>
      <name val="Times New Roman"/>
      <family val="1"/>
    </font>
    <font>
      <sz val="14"/>
      <name val="Times New Roman"/>
      <family val="1"/>
    </font>
    <font>
      <sz val="1"/>
      <color rgb="FFCCFFCC"/>
      <name val="Arial"/>
      <family val="2"/>
    </font>
    <font>
      <b/>
      <sz val="18"/>
      <color theme="3"/>
      <name val="Arial"/>
      <family val="2"/>
      <scheme val="major"/>
    </font>
    <font>
      <sz val="11"/>
      <color rgb="FF3F3F76"/>
      <name val="Times New Roman"/>
      <family val="2"/>
      <scheme val="minor"/>
    </font>
    <font>
      <b/>
      <sz val="11"/>
      <color rgb="FF3F3F3F"/>
      <name val="Times New Roman"/>
      <family val="2"/>
      <scheme val="minor"/>
    </font>
    <font>
      <b/>
      <sz val="11"/>
      <color theme="0"/>
      <name val="Times New Roman"/>
      <family val="2"/>
      <scheme val="minor"/>
    </font>
    <font>
      <b/>
      <sz val="14"/>
      <color theme="0"/>
      <name val="Times New Roman"/>
      <family val="2"/>
      <scheme val="minor"/>
    </font>
    <font>
      <b/>
      <sz val="14"/>
      <color rgb="FF3F3F3F"/>
      <name val="Times New Roman"/>
      <family val="2"/>
      <scheme val="minor"/>
    </font>
    <font>
      <sz val="14"/>
      <color rgb="FF3F3F76"/>
      <name val="Times New Roman"/>
      <family val="2"/>
      <scheme val="minor"/>
    </font>
    <font>
      <b/>
      <sz val="16"/>
      <color theme="3"/>
      <name val="Arial"/>
      <family val="2"/>
      <scheme val="major"/>
    </font>
    <font>
      <b/>
      <i/>
      <sz val="14"/>
      <color theme="0"/>
      <name val="Calibri"/>
      <family val="2"/>
    </font>
    <font>
      <sz val="11"/>
      <color rgb="FF006100"/>
      <name val="Times New Roman"/>
      <family val="2"/>
      <scheme val="minor"/>
    </font>
    <font>
      <sz val="11"/>
      <color theme="0"/>
      <name val="Times New Roman"/>
      <family val="2"/>
      <scheme val="minor"/>
    </font>
    <font>
      <sz val="10"/>
      <color rgb="FFFF0000"/>
      <name val="Arial"/>
      <family val="2"/>
    </font>
    <font>
      <u/>
      <sz val="8"/>
      <color indexed="81"/>
      <name val="Tahoma"/>
      <family val="2"/>
    </font>
    <font>
      <sz val="9"/>
      <color theme="0"/>
      <name val="Arial"/>
      <family val="2"/>
    </font>
    <font>
      <sz val="9"/>
      <name val="Arial"/>
      <family val="2"/>
    </font>
    <font>
      <sz val="24"/>
      <name val="Cambria"/>
      <family val="1"/>
    </font>
    <font>
      <sz val="20"/>
      <name val="Cambria"/>
      <family val="1"/>
    </font>
    <font>
      <b/>
      <sz val="10"/>
      <name val="Times New Roman"/>
      <family val="1"/>
    </font>
    <font>
      <sz val="8"/>
      <color rgb="FF000000"/>
      <name val="Arial"/>
      <family val="2"/>
    </font>
    <font>
      <sz val="11"/>
      <color indexed="8"/>
      <name val="Times New Roman"/>
      <family val="1"/>
    </font>
    <font>
      <b/>
      <sz val="10"/>
      <name val="Times New Roman"/>
      <family val="1"/>
      <scheme val="minor"/>
    </font>
    <font>
      <sz val="10"/>
      <name val="Times New Roman"/>
      <family val="1"/>
      <scheme val="minor"/>
    </font>
    <font>
      <sz val="10"/>
      <name val="Times New Roman"/>
      <family val="2"/>
      <scheme val="minor"/>
    </font>
    <font>
      <sz val="10"/>
      <color theme="1"/>
      <name val="Times New Roman"/>
      <family val="2"/>
      <scheme val="minor"/>
    </font>
    <font>
      <b/>
      <sz val="14"/>
      <color theme="1"/>
      <name val="Times New Roman"/>
      <family val="1"/>
      <scheme val="minor"/>
    </font>
    <font>
      <b/>
      <sz val="14"/>
      <color theme="0"/>
      <name val="Times New Roman"/>
      <family val="1"/>
      <scheme val="minor"/>
    </font>
    <font>
      <sz val="8"/>
      <color indexed="81"/>
      <name val="Calibri"/>
      <family val="2"/>
    </font>
    <font>
      <sz val="8"/>
      <color indexed="81"/>
      <name val="Mathematica1"/>
      <charset val="2"/>
    </font>
    <font>
      <sz val="8.4"/>
      <color indexed="81"/>
      <name val="Tahoma"/>
      <family val="2"/>
    </font>
    <font>
      <sz val="8.4"/>
      <color indexed="81"/>
      <name val="Mathematica1"/>
      <charset val="2"/>
    </font>
    <font>
      <sz val="10"/>
      <color rgb="FF006100"/>
      <name val="Times New Roman"/>
      <family val="2"/>
      <scheme val="minor"/>
    </font>
    <font>
      <sz val="16"/>
      <name val="Arial"/>
      <family val="2"/>
    </font>
    <font>
      <b/>
      <sz val="12"/>
      <color rgb="FF0066CC"/>
      <name val="Calibri"/>
      <family val="2"/>
    </font>
    <font>
      <b/>
      <sz val="12"/>
      <color rgb="FF0066CC"/>
      <name val="Arial"/>
      <family val="2"/>
    </font>
    <font>
      <b/>
      <sz val="10"/>
      <color rgb="FF000000"/>
      <name val="Arial"/>
      <family val="2"/>
    </font>
    <font>
      <sz val="12"/>
      <color rgb="FF000000"/>
      <name val="Times New Roman"/>
      <family val="1"/>
    </font>
    <font>
      <sz val="2"/>
      <color theme="0"/>
      <name val="Arial"/>
      <family val="2"/>
    </font>
    <font>
      <i/>
      <sz val="1"/>
      <name val="Times New Roman"/>
      <family val="1"/>
    </font>
    <font>
      <sz val="9"/>
      <color rgb="FF000000"/>
      <name val="Arial"/>
      <family val="2"/>
    </font>
    <font>
      <sz val="10"/>
      <color theme="0"/>
      <name val="Arial"/>
      <family val="2"/>
    </font>
    <font>
      <b/>
      <sz val="16"/>
      <color rgb="FF000000"/>
      <name val="Arial"/>
      <family val="2"/>
    </font>
    <font>
      <sz val="9"/>
      <color indexed="81"/>
      <name val="Tahoma"/>
      <family val="2"/>
    </font>
    <font>
      <sz val="16"/>
      <color rgb="FF000000"/>
      <name val="Arial"/>
      <family val="2"/>
    </font>
    <font>
      <sz val="4"/>
      <color theme="0"/>
      <name val="Arial"/>
      <family val="2"/>
    </font>
  </fonts>
  <fills count="55">
    <fill>
      <patternFill patternType="none"/>
    </fill>
    <fill>
      <patternFill patternType="gray125"/>
    </fill>
    <fill>
      <patternFill patternType="solid">
        <fgColor indexed="11"/>
        <bgColor indexed="64"/>
      </patternFill>
    </fill>
    <fill>
      <patternFill patternType="solid">
        <fgColor indexed="15"/>
        <bgColor indexed="64"/>
      </patternFill>
    </fill>
    <fill>
      <patternFill patternType="solid">
        <fgColor indexed="43"/>
        <bgColor indexed="64"/>
      </patternFill>
    </fill>
    <fill>
      <patternFill patternType="solid">
        <fgColor indexed="41"/>
        <bgColor indexed="64"/>
      </patternFill>
    </fill>
    <fill>
      <patternFill patternType="solid">
        <fgColor indexed="10"/>
        <bgColor indexed="64"/>
      </patternFill>
    </fill>
    <fill>
      <patternFill patternType="lightUp">
        <fgColor indexed="11"/>
      </patternFill>
    </fill>
    <fill>
      <patternFill patternType="gray125">
        <fgColor indexed="11"/>
        <bgColor indexed="9"/>
      </patternFill>
    </fill>
    <fill>
      <patternFill patternType="gray125">
        <fgColor indexed="11"/>
      </patternFill>
    </fill>
    <fill>
      <patternFill patternType="gray0625">
        <fgColor indexed="11"/>
        <bgColor indexed="9"/>
      </patternFill>
    </fill>
    <fill>
      <patternFill patternType="gray0625">
        <fgColor indexed="11"/>
      </patternFill>
    </fill>
    <fill>
      <patternFill patternType="solid">
        <fgColor indexed="42"/>
        <bgColor indexed="64"/>
      </patternFill>
    </fill>
    <fill>
      <patternFill patternType="solid">
        <fgColor indexed="26"/>
        <bgColor indexed="64"/>
      </patternFill>
    </fill>
    <fill>
      <patternFill patternType="solid">
        <fgColor indexed="22"/>
        <bgColor indexed="64"/>
      </patternFill>
    </fill>
    <fill>
      <patternFill patternType="solid">
        <fgColor indexed="31"/>
        <bgColor indexed="64"/>
      </patternFill>
    </fill>
    <fill>
      <patternFill patternType="gray125">
        <fgColor indexed="51"/>
        <bgColor indexed="9"/>
      </patternFill>
    </fill>
    <fill>
      <patternFill patternType="solid">
        <fgColor indexed="22"/>
        <bgColor indexed="51"/>
      </patternFill>
    </fill>
    <fill>
      <patternFill patternType="lightUp">
        <fgColor indexed="11"/>
        <bgColor indexed="47"/>
      </patternFill>
    </fill>
    <fill>
      <patternFill patternType="solid">
        <fgColor indexed="45"/>
        <bgColor indexed="64"/>
      </patternFill>
    </fill>
    <fill>
      <patternFill patternType="lightDown">
        <fgColor indexed="11"/>
        <bgColor indexed="9"/>
      </patternFill>
    </fill>
    <fill>
      <patternFill patternType="lightDown">
        <fgColor indexed="11"/>
      </patternFill>
    </fill>
    <fill>
      <patternFill patternType="solid">
        <fgColor indexed="45"/>
        <bgColor indexed="11"/>
      </patternFill>
    </fill>
    <fill>
      <patternFill patternType="solid">
        <fgColor indexed="47"/>
        <bgColor indexed="64"/>
      </patternFill>
    </fill>
    <fill>
      <patternFill patternType="solid">
        <fgColor indexed="47"/>
        <bgColor indexed="11"/>
      </patternFill>
    </fill>
    <fill>
      <patternFill patternType="solid">
        <fgColor indexed="9"/>
        <bgColor indexed="11"/>
      </patternFill>
    </fill>
    <fill>
      <patternFill patternType="solid">
        <fgColor indexed="9"/>
        <bgColor indexed="64"/>
      </patternFill>
    </fill>
    <fill>
      <patternFill patternType="solid">
        <fgColor rgb="FFCCFFCC"/>
        <bgColor indexed="64"/>
      </patternFill>
    </fill>
    <fill>
      <patternFill patternType="solid">
        <fgColor rgb="FFFFFF00"/>
        <bgColor indexed="64"/>
      </patternFill>
    </fill>
    <fill>
      <patternFill patternType="solid">
        <fgColor rgb="FF00FF00"/>
        <bgColor indexed="64"/>
      </patternFill>
    </fill>
    <fill>
      <patternFill patternType="solid">
        <fgColor theme="0"/>
        <bgColor indexed="64"/>
      </patternFill>
    </fill>
    <fill>
      <patternFill patternType="solid">
        <fgColor theme="0"/>
        <bgColor indexed="11"/>
      </patternFill>
    </fill>
    <fill>
      <patternFill patternType="solid">
        <fgColor rgb="FFFFCC99"/>
      </patternFill>
    </fill>
    <fill>
      <patternFill patternType="solid">
        <fgColor rgb="FFF2F2F2"/>
      </patternFill>
    </fill>
    <fill>
      <patternFill patternType="solid">
        <fgColor rgb="FFA5A5A5"/>
      </patternFill>
    </fill>
    <fill>
      <patternFill patternType="lightUp">
        <fgColor rgb="FF00FF00"/>
      </patternFill>
    </fill>
    <fill>
      <patternFill patternType="solid">
        <fgColor theme="5" tint="-0.249977111117893"/>
        <bgColor indexed="64"/>
      </patternFill>
    </fill>
    <fill>
      <patternFill patternType="solid">
        <fgColor theme="6" tint="-0.249977111117893"/>
        <bgColor indexed="64"/>
      </patternFill>
    </fill>
    <fill>
      <patternFill patternType="lightDown">
        <fgColor rgb="FF00FF00"/>
      </patternFill>
    </fill>
    <fill>
      <patternFill patternType="lightTrellis">
        <fgColor rgb="FF00FF00"/>
      </patternFill>
    </fill>
    <fill>
      <patternFill patternType="solid">
        <fgColor rgb="FFC6EFCE"/>
      </patternFill>
    </fill>
    <fill>
      <patternFill patternType="solid">
        <fgColor theme="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1" tint="0.34998626667073579"/>
        <bgColor indexed="64"/>
      </patternFill>
    </fill>
    <fill>
      <patternFill patternType="solid">
        <fgColor theme="4" tint="0.39997558519241921"/>
        <bgColor indexed="64"/>
      </patternFill>
    </fill>
    <fill>
      <patternFill patternType="lightUp">
        <fgColor rgb="FF00FF00"/>
        <bgColor rgb="FFFFCC99"/>
      </patternFill>
    </fill>
    <fill>
      <patternFill patternType="lightUp">
        <fgColor rgb="FF00FF00"/>
        <bgColor theme="0"/>
      </patternFill>
    </fill>
    <fill>
      <patternFill patternType="gray125">
        <fgColor indexed="11"/>
        <bgColor theme="0"/>
      </patternFill>
    </fill>
  </fills>
  <borders count="130">
    <border>
      <left/>
      <right/>
      <top/>
      <bottom/>
      <diagonal/>
    </border>
    <border>
      <left/>
      <right style="double">
        <color indexed="10"/>
      </right>
      <top/>
      <bottom style="double">
        <color indexed="64"/>
      </bottom>
      <diagonal/>
    </border>
    <border>
      <left style="double">
        <color indexed="10"/>
      </left>
      <right style="double">
        <color indexed="10"/>
      </right>
      <top style="double">
        <color indexed="10"/>
      </top>
      <bottom style="double">
        <color indexed="10"/>
      </bottom>
      <diagonal/>
    </border>
    <border>
      <left style="double">
        <color indexed="10"/>
      </left>
      <right style="thick">
        <color indexed="64"/>
      </right>
      <top style="double">
        <color indexed="10"/>
      </top>
      <bottom style="double">
        <color indexed="10"/>
      </bottom>
      <diagonal/>
    </border>
    <border>
      <left style="double">
        <color indexed="64"/>
      </left>
      <right style="double">
        <color indexed="64"/>
      </right>
      <top style="double">
        <color indexed="64"/>
      </top>
      <bottom style="double">
        <color indexed="64"/>
      </bottom>
      <diagonal/>
    </border>
    <border>
      <left style="double">
        <color indexed="64"/>
      </left>
      <right style="double">
        <color indexed="10"/>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style="double">
        <color indexed="64"/>
      </left>
      <right/>
      <top style="double">
        <color indexed="64"/>
      </top>
      <bottom style="double">
        <color indexed="64"/>
      </bottom>
      <diagonal/>
    </border>
    <border>
      <left style="medium">
        <color indexed="17"/>
      </left>
      <right style="medium">
        <color indexed="17"/>
      </right>
      <top/>
      <bottom style="medium">
        <color indexed="17"/>
      </bottom>
      <diagonal/>
    </border>
    <border>
      <left style="medium">
        <color indexed="17"/>
      </left>
      <right/>
      <top/>
      <bottom style="medium">
        <color indexed="17"/>
      </bottom>
      <diagonal/>
    </border>
    <border>
      <left style="medium">
        <color indexed="17"/>
      </left>
      <right style="thick">
        <color indexed="64"/>
      </right>
      <top/>
      <bottom style="medium">
        <color indexed="17"/>
      </bottom>
      <diagonal/>
    </border>
    <border>
      <left style="medium">
        <color indexed="17"/>
      </left>
      <right style="medium">
        <color indexed="17"/>
      </right>
      <top style="medium">
        <color indexed="17"/>
      </top>
      <bottom style="medium">
        <color indexed="17"/>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style="medium">
        <color indexed="17"/>
      </left>
      <right/>
      <top style="medium">
        <color indexed="17"/>
      </top>
      <bottom style="medium">
        <color indexed="17"/>
      </bottom>
      <diagonal/>
    </border>
    <border>
      <left style="medium">
        <color indexed="17"/>
      </left>
      <right style="medium">
        <color indexed="17"/>
      </right>
      <top style="double">
        <color indexed="10"/>
      </top>
      <bottom style="medium">
        <color indexed="17"/>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right/>
      <top style="thin">
        <color indexed="64"/>
      </top>
      <bottom/>
      <diagonal/>
    </border>
    <border>
      <left style="thin">
        <color indexed="57"/>
      </left>
      <right/>
      <top/>
      <bottom/>
      <diagonal/>
    </border>
    <border>
      <left/>
      <right style="thin">
        <color indexed="57"/>
      </right>
      <top/>
      <bottom/>
      <diagonal/>
    </border>
    <border>
      <left/>
      <right/>
      <top style="thin">
        <color indexed="57"/>
      </top>
      <bottom/>
      <diagonal/>
    </border>
    <border>
      <left style="thin">
        <color indexed="57"/>
      </left>
      <right/>
      <top/>
      <bottom style="thin">
        <color indexed="57"/>
      </bottom>
      <diagonal/>
    </border>
    <border>
      <left/>
      <right style="thin">
        <color indexed="57"/>
      </right>
      <top/>
      <bottom style="thin">
        <color indexed="57"/>
      </bottom>
      <diagonal/>
    </border>
    <border>
      <left style="thin">
        <color indexed="57"/>
      </left>
      <right/>
      <top style="thin">
        <color indexed="57"/>
      </top>
      <bottom/>
      <diagonal/>
    </border>
    <border>
      <left/>
      <right style="thin">
        <color indexed="57"/>
      </right>
      <top style="thin">
        <color indexed="57"/>
      </top>
      <bottom/>
      <diagonal/>
    </border>
    <border>
      <left/>
      <right/>
      <top style="double">
        <color indexed="10"/>
      </top>
      <bottom style="double">
        <color indexed="10"/>
      </bottom>
      <diagonal/>
    </border>
    <border>
      <left/>
      <right style="thick">
        <color indexed="64"/>
      </right>
      <top style="double">
        <color indexed="10"/>
      </top>
      <bottom style="double">
        <color indexed="10"/>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17"/>
      </left>
      <right/>
      <top style="double">
        <color indexed="10"/>
      </top>
      <bottom style="medium">
        <color indexed="17"/>
      </bottom>
      <diagonal/>
    </border>
    <border>
      <left style="thick">
        <color indexed="64"/>
      </left>
      <right style="double">
        <color indexed="10"/>
      </right>
      <top style="double">
        <color indexed="10"/>
      </top>
      <bottom style="double">
        <color indexed="10"/>
      </bottom>
      <diagonal/>
    </border>
    <border>
      <left style="thick">
        <color indexed="64"/>
      </left>
      <right style="medium">
        <color indexed="17"/>
      </right>
      <top/>
      <bottom style="medium">
        <color indexed="17"/>
      </bottom>
      <diagonal/>
    </border>
    <border>
      <left style="medium">
        <color indexed="57"/>
      </left>
      <right style="thick">
        <color indexed="64"/>
      </right>
      <top/>
      <bottom style="medium">
        <color indexed="17"/>
      </bottom>
      <diagonal/>
    </border>
    <border>
      <left style="medium">
        <color indexed="57"/>
      </left>
      <right style="medium">
        <color indexed="57"/>
      </right>
      <top/>
      <bottom style="medium">
        <color indexed="17"/>
      </bottom>
      <diagonal/>
    </border>
    <border>
      <left style="medium">
        <color indexed="57"/>
      </left>
      <right style="medium">
        <color indexed="57"/>
      </right>
      <top style="double">
        <color indexed="10"/>
      </top>
      <bottom style="medium">
        <color indexed="17"/>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
      <left style="thick">
        <color indexed="64"/>
      </left>
      <right/>
      <top style="double">
        <color indexed="10"/>
      </top>
      <bottom style="double">
        <color indexed="10"/>
      </bottom>
      <diagonal/>
    </border>
    <border>
      <left/>
      <right/>
      <top style="thick">
        <color indexed="64"/>
      </top>
      <bottom/>
      <diagonal/>
    </border>
    <border>
      <left/>
      <right style="thin">
        <color indexed="64"/>
      </right>
      <top style="thick">
        <color indexed="64"/>
      </top>
      <bottom/>
      <diagonal/>
    </border>
    <border>
      <left/>
      <right/>
      <top/>
      <bottom style="thin">
        <color auto="1"/>
      </bottom>
      <diagonal/>
    </border>
    <border>
      <left/>
      <right/>
      <top style="medium">
        <color indexed="17"/>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339966"/>
      </left>
      <right/>
      <top style="thick">
        <color rgb="FF339966"/>
      </top>
      <bottom/>
      <diagonal/>
    </border>
    <border>
      <left/>
      <right/>
      <top style="thick">
        <color rgb="FF339966"/>
      </top>
      <bottom/>
      <diagonal/>
    </border>
    <border>
      <left/>
      <right style="thick">
        <color rgb="FF339966"/>
      </right>
      <top style="thick">
        <color rgb="FF339966"/>
      </top>
      <bottom/>
      <diagonal/>
    </border>
    <border>
      <left style="thick">
        <color rgb="FF339966"/>
      </left>
      <right/>
      <top/>
      <bottom/>
      <diagonal/>
    </border>
    <border>
      <left/>
      <right style="thick">
        <color rgb="FF339966"/>
      </right>
      <top/>
      <bottom/>
      <diagonal/>
    </border>
    <border>
      <left style="thick">
        <color rgb="FF339966"/>
      </left>
      <right/>
      <top/>
      <bottom style="thick">
        <color rgb="FF339966"/>
      </bottom>
      <diagonal/>
    </border>
    <border>
      <left/>
      <right/>
      <top/>
      <bottom style="thick">
        <color rgb="FF339966"/>
      </bottom>
      <diagonal/>
    </border>
    <border>
      <left/>
      <right style="thick">
        <color rgb="FF339966"/>
      </right>
      <top/>
      <bottom style="thick">
        <color rgb="FF339966"/>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style="thin">
        <color rgb="FF3F3F3F"/>
      </right>
      <top style="thin">
        <color rgb="FF3F3F3F"/>
      </top>
      <bottom/>
      <diagonal/>
    </border>
    <border>
      <left/>
      <right style="thin">
        <color rgb="FF3F3F3F"/>
      </right>
      <top/>
      <bottom style="thin">
        <color rgb="FF3F3F3F"/>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57"/>
      </left>
      <right/>
      <top style="thin">
        <color indexed="57"/>
      </top>
      <bottom/>
      <diagonal/>
    </border>
    <border>
      <left/>
      <right style="thin">
        <color indexed="57"/>
      </right>
      <top style="thin">
        <color indexed="57"/>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57"/>
      </left>
      <right/>
      <top/>
      <bottom style="thin">
        <color indexed="57"/>
      </bottom>
      <diagonal/>
    </border>
    <border>
      <left/>
      <right style="thin">
        <color indexed="57"/>
      </right>
      <top/>
      <bottom style="thin">
        <color indexed="57"/>
      </bottom>
      <diagonal/>
    </border>
    <border>
      <left style="thin">
        <color auto="1"/>
      </left>
      <right/>
      <top/>
      <bottom/>
      <diagonal/>
    </border>
    <border>
      <left/>
      <right style="thin">
        <color auto="1"/>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medium">
        <color auto="1"/>
      </top>
      <bottom style="thin">
        <color auto="1"/>
      </bottom>
      <diagonal/>
    </border>
    <border>
      <left/>
      <right/>
      <top/>
      <bottom style="thin">
        <color indexed="64"/>
      </bottom>
      <diagonal/>
    </border>
    <border>
      <left/>
      <right style="medium">
        <color indexed="64"/>
      </right>
      <top/>
      <bottom style="thin">
        <color indexed="64"/>
      </bottom>
      <diagonal/>
    </border>
    <border>
      <left/>
      <right/>
      <top style="medium">
        <color indexed="64"/>
      </top>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medium">
        <color indexed="64"/>
      </right>
      <top/>
      <bottom/>
      <diagonal/>
    </border>
    <border>
      <left style="medium">
        <color rgb="FF339966"/>
      </left>
      <right style="medium">
        <color indexed="17"/>
      </right>
      <top style="double">
        <color indexed="10"/>
      </top>
      <bottom style="medium">
        <color indexed="17"/>
      </bottom>
      <diagonal/>
    </border>
    <border>
      <left style="medium">
        <color rgb="FF339966"/>
      </left>
      <right style="medium">
        <color indexed="17"/>
      </right>
      <top/>
      <bottom style="medium">
        <color indexed="17"/>
      </bottom>
      <diagonal/>
    </border>
  </borders>
  <cellStyleXfs count="11">
    <xf numFmtId="0" fontId="0" fillId="0" borderId="0"/>
    <xf numFmtId="0" fontId="41" fillId="0" borderId="0" applyNumberFormat="0" applyFill="0" applyBorder="0" applyAlignment="0" applyProtection="0"/>
    <xf numFmtId="0" fontId="42" fillId="32" borderId="84" applyNumberFormat="0" applyAlignment="0" applyProtection="0"/>
    <xf numFmtId="0" fontId="43" fillId="33" borderId="85" applyNumberFormat="0" applyAlignment="0" applyProtection="0"/>
    <xf numFmtId="0" fontId="44" fillId="34" borderId="86" applyNumberFormat="0" applyAlignment="0" applyProtection="0"/>
    <xf numFmtId="0" fontId="50" fillId="40" borderId="0" applyNumberFormat="0" applyBorder="0" applyAlignment="0" applyProtection="0"/>
    <xf numFmtId="0" fontId="51" fillId="41" borderId="0" applyNumberFormat="0" applyBorder="0" applyAlignment="0" applyProtection="0"/>
    <xf numFmtId="0" fontId="5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51" fillId="49" borderId="0" applyNumberFormat="0" applyBorder="0" applyAlignment="0" applyProtection="0"/>
  </cellStyleXfs>
  <cellXfs count="724">
    <xf numFmtId="0" fontId="0" fillId="0" borderId="0" xfId="0"/>
    <xf numFmtId="0" fontId="8" fillId="0" borderId="0" xfId="0" applyFont="1"/>
    <xf numFmtId="0" fontId="0" fillId="0" borderId="0" xfId="0" applyAlignment="1">
      <alignment horizontal="center" vertical="center"/>
    </xf>
    <xf numFmtId="10" fontId="0" fillId="0" borderId="0" xfId="0" applyNumberFormat="1" applyAlignment="1">
      <alignment horizontal="center" vertical="center"/>
    </xf>
    <xf numFmtId="0" fontId="6" fillId="0" borderId="1" xfId="0" applyFont="1" applyBorder="1" applyAlignment="1">
      <alignment horizontal="center"/>
    </xf>
    <xf numFmtId="0" fontId="6" fillId="0" borderId="2" xfId="0" applyFont="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10" fontId="6" fillId="0" borderId="5" xfId="0" applyNumberFormat="1" applyFont="1" applyBorder="1" applyAlignment="1">
      <alignment horizontal="center"/>
    </xf>
    <xf numFmtId="164" fontId="6" fillId="0" borderId="6" xfId="0" applyNumberFormat="1" applyFont="1" applyBorder="1" applyAlignment="1">
      <alignment horizontal="center"/>
    </xf>
    <xf numFmtId="2" fontId="6" fillId="0" borderId="2" xfId="0" applyNumberFormat="1" applyFont="1" applyBorder="1" applyAlignment="1">
      <alignment horizontal="center"/>
    </xf>
    <xf numFmtId="164" fontId="6" fillId="0" borderId="2" xfId="0" applyNumberFormat="1" applyFont="1" applyBorder="1" applyAlignment="1">
      <alignment horizontal="center"/>
    </xf>
    <xf numFmtId="164" fontId="6" fillId="0" borderId="7" xfId="0" applyNumberFormat="1" applyFont="1" applyBorder="1" applyAlignment="1">
      <alignment horizontal="center"/>
    </xf>
    <xf numFmtId="164" fontId="6" fillId="0" borderId="3" xfId="0" applyNumberFormat="1" applyFont="1" applyBorder="1" applyAlignment="1">
      <alignment horizontal="center"/>
    </xf>
    <xf numFmtId="10" fontId="7" fillId="0" borderId="6" xfId="0" applyNumberFormat="1" applyFont="1" applyBorder="1" applyAlignment="1">
      <alignment horizontal="center"/>
    </xf>
    <xf numFmtId="0" fontId="6" fillId="0" borderId="8" xfId="0" applyFont="1" applyBorder="1" applyAlignment="1">
      <alignment horizontal="center"/>
    </xf>
    <xf numFmtId="10" fontId="0" fillId="0" borderId="9" xfId="0" applyNumberFormat="1" applyBorder="1" applyAlignment="1">
      <alignment horizontal="center"/>
    </xf>
    <xf numFmtId="164" fontId="0" fillId="0" borderId="9" xfId="0" applyNumberFormat="1" applyBorder="1" applyAlignment="1">
      <alignment horizontal="center"/>
    </xf>
    <xf numFmtId="2" fontId="0" fillId="0" borderId="9" xfId="0" applyNumberFormat="1" applyBorder="1" applyAlignment="1">
      <alignment horizontal="center"/>
    </xf>
    <xf numFmtId="0" fontId="0" fillId="0" borderId="9" xfId="0" applyBorder="1" applyAlignment="1">
      <alignment horizontal="center"/>
    </xf>
    <xf numFmtId="164" fontId="0" fillId="0" borderId="10" xfId="0" applyNumberFormat="1" applyBorder="1" applyAlignment="1">
      <alignment horizontal="center"/>
    </xf>
    <xf numFmtId="164" fontId="0" fillId="0" borderId="11" xfId="0" applyNumberFormat="1" applyBorder="1" applyAlignment="1">
      <alignment horizontal="center"/>
    </xf>
    <xf numFmtId="10" fontId="0" fillId="0" borderId="12" xfId="0" applyNumberFormat="1" applyBorder="1" applyAlignment="1">
      <alignment horizontal="center"/>
    </xf>
    <xf numFmtId="2" fontId="0" fillId="0" borderId="12" xfId="0" applyNumberFormat="1" applyBorder="1" applyAlignment="1">
      <alignment horizontal="center"/>
    </xf>
    <xf numFmtId="9" fontId="0" fillId="0" borderId="12" xfId="0" applyNumberFormat="1" applyBorder="1" applyAlignment="1">
      <alignment horizontal="center"/>
    </xf>
    <xf numFmtId="164" fontId="0" fillId="0" borderId="12" xfId="0" applyNumberFormat="1" applyBorder="1" applyAlignment="1">
      <alignment horizontal="center"/>
    </xf>
    <xf numFmtId="0" fontId="6" fillId="2" borderId="8" xfId="0" applyFont="1" applyFill="1" applyBorder="1" applyAlignment="1">
      <alignment horizontal="center"/>
    </xf>
    <xf numFmtId="0" fontId="6" fillId="3" borderId="8" xfId="0" applyFont="1" applyFill="1" applyBorder="1" applyAlignment="1">
      <alignment horizontal="center"/>
    </xf>
    <xf numFmtId="0" fontId="6" fillId="4" borderId="8" xfId="0" applyFont="1" applyFill="1" applyBorder="1" applyAlignment="1">
      <alignment horizontal="center"/>
    </xf>
    <xf numFmtId="0" fontId="6" fillId="0" borderId="0" xfId="0" applyFont="1" applyAlignment="1">
      <alignment horizontal="center"/>
    </xf>
    <xf numFmtId="10" fontId="0" fillId="0" borderId="0" xfId="0" applyNumberFormat="1"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center"/>
    </xf>
    <xf numFmtId="0" fontId="11" fillId="0" borderId="0" xfId="0" applyFont="1" applyAlignment="1">
      <alignment horizontal="center"/>
    </xf>
    <xf numFmtId="10" fontId="0" fillId="0" borderId="0" xfId="0" applyNumberFormat="1"/>
    <xf numFmtId="10" fontId="2" fillId="0" borderId="0" xfId="0" applyNumberFormat="1" applyFont="1"/>
    <xf numFmtId="0" fontId="0" fillId="0" borderId="0" xfId="0" applyProtection="1">
      <protection locked="0"/>
    </xf>
    <xf numFmtId="0" fontId="8" fillId="0" borderId="0" xfId="0" applyFont="1" applyProtection="1">
      <protection locked="0"/>
    </xf>
    <xf numFmtId="0" fontId="0" fillId="0" borderId="0" xfId="0" applyAlignment="1" applyProtection="1">
      <alignment horizontal="center" vertical="center" wrapText="1"/>
      <protection locked="0"/>
    </xf>
    <xf numFmtId="10" fontId="9" fillId="0" borderId="0" xfId="0" applyNumberFormat="1" applyFont="1" applyAlignment="1" applyProtection="1">
      <alignment horizontal="left" vertical="center"/>
      <protection locked="0"/>
    </xf>
    <xf numFmtId="10"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2" fillId="0" borderId="0" xfId="0" applyFont="1"/>
    <xf numFmtId="165" fontId="2" fillId="0" borderId="0" xfId="0" applyNumberFormat="1" applyFont="1"/>
    <xf numFmtId="165" fontId="2" fillId="0" borderId="0" xfId="0" applyNumberFormat="1" applyFont="1" applyProtection="1">
      <protection hidden="1"/>
    </xf>
    <xf numFmtId="0" fontId="2" fillId="0" borderId="0" xfId="0" applyFont="1" applyProtection="1">
      <protection hidden="1"/>
    </xf>
    <xf numFmtId="168" fontId="2" fillId="0" borderId="0" xfId="0" applyNumberFormat="1" applyFont="1" applyProtection="1">
      <protection hidden="1"/>
    </xf>
    <xf numFmtId="170" fontId="0" fillId="0" borderId="0" xfId="0" applyNumberFormat="1" applyAlignment="1" applyProtection="1">
      <alignment horizontal="center" vertical="center" wrapText="1"/>
      <protection locked="0"/>
    </xf>
    <xf numFmtId="171" fontId="2" fillId="0" borderId="0" xfId="0" applyNumberFormat="1" applyFont="1" applyProtection="1">
      <protection hidden="1"/>
    </xf>
    <xf numFmtId="0" fontId="6" fillId="0" borderId="0" xfId="0" applyFont="1" applyAlignment="1" applyProtection="1">
      <alignment horizontal="center" vertical="center"/>
      <protection locked="0"/>
    </xf>
    <xf numFmtId="10" fontId="12" fillId="0" borderId="0" xfId="0" applyNumberFormat="1" applyFont="1" applyAlignment="1" applyProtection="1">
      <alignment horizontal="center"/>
      <protection locked="0"/>
    </xf>
    <xf numFmtId="0" fontId="12" fillId="0" borderId="0" xfId="0" applyFont="1"/>
    <xf numFmtId="10" fontId="12" fillId="0" borderId="0" xfId="0" applyNumberFormat="1" applyFont="1"/>
    <xf numFmtId="0" fontId="12" fillId="0" borderId="0" xfId="0" applyFont="1" applyProtection="1">
      <protection locked="0"/>
    </xf>
    <xf numFmtId="0" fontId="12" fillId="0" borderId="13" xfId="0" applyFont="1" applyBorder="1"/>
    <xf numFmtId="166" fontId="12" fillId="0" borderId="13" xfId="0" applyNumberFormat="1" applyFont="1" applyBorder="1"/>
    <xf numFmtId="165" fontId="2" fillId="0" borderId="13" xfId="0" applyNumberFormat="1" applyFont="1" applyBorder="1"/>
    <xf numFmtId="165" fontId="2" fillId="0" borderId="13" xfId="0" applyNumberFormat="1" applyFont="1" applyBorder="1" applyProtection="1">
      <protection hidden="1"/>
    </xf>
    <xf numFmtId="1" fontId="2" fillId="0" borderId="13" xfId="0" applyNumberFormat="1" applyFont="1" applyBorder="1"/>
    <xf numFmtId="1" fontId="2" fillId="0" borderId="13" xfId="0" applyNumberFormat="1" applyFont="1" applyBorder="1" applyProtection="1">
      <protection hidden="1"/>
    </xf>
    <xf numFmtId="166" fontId="2" fillId="0" borderId="13" xfId="0" applyNumberFormat="1" applyFont="1" applyBorder="1" applyProtection="1">
      <protection hidden="1"/>
    </xf>
    <xf numFmtId="166" fontId="2" fillId="0" borderId="13" xfId="0" applyNumberFormat="1" applyFont="1" applyBorder="1"/>
    <xf numFmtId="0" fontId="2" fillId="0" borderId="13" xfId="0" applyFont="1" applyBorder="1"/>
    <xf numFmtId="166" fontId="2" fillId="0" borderId="14" xfId="0" applyNumberFormat="1" applyFont="1" applyBorder="1"/>
    <xf numFmtId="166" fontId="2" fillId="0" borderId="13" xfId="0" applyNumberFormat="1" applyFont="1" applyBorder="1" applyAlignment="1">
      <alignment horizontal="center" vertical="center"/>
    </xf>
    <xf numFmtId="0" fontId="0" fillId="0" borderId="13" xfId="0" applyBorder="1" applyAlignment="1">
      <alignment horizontal="center" vertical="center"/>
    </xf>
    <xf numFmtId="10" fontId="2" fillId="0" borderId="13" xfId="0" applyNumberFormat="1" applyFont="1" applyBorder="1"/>
    <xf numFmtId="0" fontId="13" fillId="0" borderId="0" xfId="0" applyFont="1"/>
    <xf numFmtId="0" fontId="0" fillId="0" borderId="17" xfId="0" applyBorder="1"/>
    <xf numFmtId="0" fontId="17" fillId="0" borderId="0" xfId="0" applyFont="1" applyAlignment="1">
      <alignment horizontal="center"/>
    </xf>
    <xf numFmtId="1" fontId="5" fillId="5" borderId="13" xfId="0" applyNumberFormat="1" applyFont="1" applyFill="1" applyBorder="1" applyAlignment="1" applyProtection="1">
      <alignment horizontal="center"/>
      <protection locked="0"/>
    </xf>
    <xf numFmtId="0" fontId="7" fillId="0" borderId="0" xfId="0" applyFont="1" applyAlignment="1" applyProtection="1">
      <alignment horizontal="center" vertical="center"/>
      <protection locked="0"/>
    </xf>
    <xf numFmtId="0" fontId="0" fillId="0" borderId="18" xfId="0" applyBorder="1"/>
    <xf numFmtId="0" fontId="0" fillId="0" borderId="13" xfId="0" applyBorder="1"/>
    <xf numFmtId="1" fontId="5" fillId="5" borderId="13" xfId="0" applyNumberFormat="1" applyFont="1" applyFill="1" applyBorder="1" applyAlignment="1" applyProtection="1">
      <alignment horizontal="center" vertical="center"/>
      <protection locked="0"/>
    </xf>
    <xf numFmtId="0" fontId="22" fillId="0" borderId="13" xfId="0" applyFont="1" applyBorder="1" applyAlignment="1">
      <alignment horizontal="center"/>
    </xf>
    <xf numFmtId="10" fontId="2" fillId="0" borderId="13" xfId="0" applyNumberFormat="1" applyFont="1" applyBorder="1" applyProtection="1">
      <protection hidden="1"/>
    </xf>
    <xf numFmtId="166" fontId="12" fillId="0" borderId="14" xfId="0" applyNumberFormat="1" applyFont="1" applyBorder="1"/>
    <xf numFmtId="2" fontId="2" fillId="0" borderId="13" xfId="0" applyNumberFormat="1" applyFont="1" applyBorder="1"/>
    <xf numFmtId="2" fontId="2" fillId="0" borderId="0" xfId="0" applyNumberFormat="1" applyFont="1"/>
    <xf numFmtId="2" fontId="2" fillId="0" borderId="0" xfId="0" applyNumberFormat="1" applyFont="1" applyProtection="1">
      <protection hidden="1"/>
    </xf>
    <xf numFmtId="169" fontId="2" fillId="0" borderId="13" xfId="0" applyNumberFormat="1" applyFont="1" applyBorder="1"/>
    <xf numFmtId="169" fontId="2" fillId="0" borderId="13" xfId="0" applyNumberFormat="1" applyFont="1" applyBorder="1" applyProtection="1">
      <protection hidden="1"/>
    </xf>
    <xf numFmtId="0" fontId="0" fillId="0" borderId="19" xfId="0" applyBorder="1"/>
    <xf numFmtId="0" fontId="0" fillId="0" borderId="13" xfId="0" applyBorder="1" applyAlignment="1">
      <alignment wrapText="1"/>
    </xf>
    <xf numFmtId="0" fontId="8" fillId="0" borderId="13" xfId="0" applyFont="1" applyBorder="1" applyProtection="1">
      <protection locked="0"/>
    </xf>
    <xf numFmtId="2" fontId="2" fillId="6" borderId="13" xfId="0" applyNumberFormat="1" applyFont="1" applyFill="1" applyBorder="1" applyProtection="1">
      <protection hidden="1"/>
    </xf>
    <xf numFmtId="2" fontId="2" fillId="0" borderId="14" xfId="0" applyNumberFormat="1" applyFont="1" applyBorder="1"/>
    <xf numFmtId="10" fontId="2" fillId="0" borderId="19" xfId="0" applyNumberFormat="1" applyFont="1" applyBorder="1"/>
    <xf numFmtId="2" fontId="2" fillId="0" borderId="19" xfId="0" applyNumberFormat="1" applyFont="1" applyBorder="1"/>
    <xf numFmtId="166" fontId="2" fillId="0" borderId="0" xfId="0" applyNumberFormat="1" applyFont="1"/>
    <xf numFmtId="0" fontId="2" fillId="0" borderId="20" xfId="0" applyFont="1" applyBorder="1"/>
    <xf numFmtId="2" fontId="12" fillId="0" borderId="21" xfId="0" applyNumberFormat="1" applyFont="1" applyBorder="1" applyAlignment="1" applyProtection="1">
      <alignment horizontal="center"/>
      <protection locked="0"/>
    </xf>
    <xf numFmtId="0" fontId="12" fillId="0" borderId="22" xfId="0" applyFont="1" applyBorder="1" applyAlignment="1">
      <alignment wrapText="1"/>
    </xf>
    <xf numFmtId="0" fontId="12" fillId="0" borderId="22" xfId="0" applyFont="1" applyBorder="1"/>
    <xf numFmtId="164" fontId="0" fillId="0" borderId="0" xfId="0" applyNumberFormat="1"/>
    <xf numFmtId="2" fontId="0" fillId="0" borderId="0" xfId="0" applyNumberFormat="1"/>
    <xf numFmtId="164" fontId="5" fillId="0" borderId="0" xfId="0" applyNumberFormat="1" applyFont="1" applyAlignment="1" applyProtection="1">
      <alignment horizontal="center" vertical="center"/>
      <protection locked="0"/>
    </xf>
    <xf numFmtId="0" fontId="3" fillId="0" borderId="0" xfId="0" applyFont="1" applyProtection="1">
      <protection locked="0"/>
    </xf>
    <xf numFmtId="0" fontId="23" fillId="0" borderId="0" xfId="0" applyFont="1" applyAlignment="1" applyProtection="1">
      <alignment horizontal="center" vertical="center" wrapText="1"/>
      <protection locked="0"/>
    </xf>
    <xf numFmtId="0" fontId="23" fillId="0" borderId="0" xfId="0" applyFont="1" applyProtection="1">
      <protection locked="0"/>
    </xf>
    <xf numFmtId="0" fontId="23" fillId="0" borderId="0" xfId="0" applyFont="1"/>
    <xf numFmtId="0" fontId="4" fillId="0" borderId="0" xfId="0" applyFont="1" applyAlignment="1" applyProtection="1">
      <alignment horizontal="center"/>
      <protection locked="0"/>
    </xf>
    <xf numFmtId="10" fontId="23" fillId="0" borderId="0" xfId="0" applyNumberFormat="1" applyFont="1" applyAlignment="1">
      <alignment horizontal="center" vertical="center"/>
    </xf>
    <xf numFmtId="0" fontId="23" fillId="0" borderId="0" xfId="0" applyFont="1" applyAlignment="1" applyProtection="1">
      <alignment horizontal="center" vertical="center"/>
      <protection locked="0"/>
    </xf>
    <xf numFmtId="0" fontId="4" fillId="0" borderId="0" xfId="0" applyFont="1" applyAlignment="1" applyProtection="1">
      <alignment horizontal="center" vertical="center"/>
      <protection locked="0"/>
    </xf>
    <xf numFmtId="0" fontId="7" fillId="0" borderId="0" xfId="0" applyFont="1" applyAlignment="1" applyProtection="1">
      <alignment horizontal="center" vertical="center" wrapText="1"/>
      <protection locked="0"/>
    </xf>
    <xf numFmtId="168" fontId="2" fillId="0" borderId="13" xfId="0" applyNumberFormat="1" applyFont="1" applyBorder="1" applyProtection="1">
      <protection hidden="1"/>
    </xf>
    <xf numFmtId="171" fontId="2" fillId="0" borderId="13" xfId="0" applyNumberFormat="1" applyFont="1" applyBorder="1" applyProtection="1">
      <protection hidden="1"/>
    </xf>
    <xf numFmtId="0" fontId="2" fillId="0" borderId="13" xfId="0" applyFont="1" applyBorder="1" applyProtection="1">
      <protection hidden="1"/>
    </xf>
    <xf numFmtId="0" fontId="6" fillId="0" borderId="0" xfId="0" applyFont="1" applyAlignment="1" applyProtection="1">
      <alignment horizontal="center" vertical="center" wrapText="1"/>
      <protection locked="0"/>
    </xf>
    <xf numFmtId="49" fontId="0" fillId="0" borderId="13" xfId="0" applyNumberFormat="1" applyBorder="1" applyAlignment="1">
      <alignment horizontal="center" vertical="center"/>
    </xf>
    <xf numFmtId="0" fontId="2" fillId="8" borderId="0" xfId="0" applyFont="1" applyFill="1"/>
    <xf numFmtId="0" fontId="0" fillId="9" borderId="0" xfId="0" applyFill="1"/>
    <xf numFmtId="0" fontId="0" fillId="10" borderId="0" xfId="0" applyFill="1"/>
    <xf numFmtId="0" fontId="0" fillId="11" borderId="0" xfId="0" applyFill="1"/>
    <xf numFmtId="164" fontId="13" fillId="0" borderId="0" xfId="0" applyNumberFormat="1" applyFont="1"/>
    <xf numFmtId="164" fontId="0" fillId="0" borderId="25" xfId="0" applyNumberFormat="1" applyBorder="1" applyAlignment="1">
      <alignment horizontal="center"/>
    </xf>
    <xf numFmtId="164" fontId="0" fillId="0" borderId="26" xfId="0" applyNumberFormat="1" applyBorder="1" applyAlignment="1">
      <alignment horizontal="center"/>
    </xf>
    <xf numFmtId="0" fontId="0" fillId="0" borderId="14" xfId="0" applyBorder="1"/>
    <xf numFmtId="0" fontId="0" fillId="0" borderId="27" xfId="0" applyBorder="1"/>
    <xf numFmtId="0" fontId="17" fillId="7" borderId="0" xfId="0" applyFont="1" applyFill="1" applyAlignment="1">
      <alignment horizontal="center"/>
    </xf>
    <xf numFmtId="2" fontId="5" fillId="13" borderId="13" xfId="0" applyNumberFormat="1" applyFont="1" applyFill="1" applyBorder="1" applyAlignment="1" applyProtection="1">
      <alignment horizontal="center"/>
      <protection locked="0"/>
    </xf>
    <xf numFmtId="172" fontId="2" fillId="0" borderId="13" xfId="0" applyNumberFormat="1" applyFont="1" applyBorder="1"/>
    <xf numFmtId="172" fontId="2" fillId="0" borderId="0" xfId="0" applyNumberFormat="1" applyFont="1"/>
    <xf numFmtId="0" fontId="25" fillId="15" borderId="30" xfId="0" applyFont="1" applyFill="1" applyBorder="1" applyAlignment="1">
      <alignment horizontal="left" vertical="center"/>
    </xf>
    <xf numFmtId="0" fontId="25" fillId="15" borderId="29" xfId="0" applyFont="1" applyFill="1" applyBorder="1" applyAlignment="1">
      <alignment horizontal="left" vertical="center"/>
    </xf>
    <xf numFmtId="0" fontId="0" fillId="7" borderId="31" xfId="0" applyFill="1" applyBorder="1"/>
    <xf numFmtId="0" fontId="17" fillId="7" borderId="32" xfId="0" applyFont="1" applyFill="1" applyBorder="1" applyAlignment="1">
      <alignment horizontal="center"/>
    </xf>
    <xf numFmtId="0" fontId="17" fillId="7" borderId="33" xfId="0" applyFont="1" applyFill="1" applyBorder="1" applyAlignment="1">
      <alignment horizontal="center"/>
    </xf>
    <xf numFmtId="0" fontId="0" fillId="7" borderId="34" xfId="0" applyFill="1" applyBorder="1"/>
    <xf numFmtId="0" fontId="17" fillId="7" borderId="35" xfId="0" applyFont="1" applyFill="1" applyBorder="1" applyAlignment="1">
      <alignment horizontal="center"/>
    </xf>
    <xf numFmtId="0" fontId="0" fillId="7" borderId="35" xfId="0" applyFill="1" applyBorder="1"/>
    <xf numFmtId="0" fontId="0" fillId="7" borderId="36" xfId="0" applyFill="1" applyBorder="1"/>
    <xf numFmtId="0" fontId="0" fillId="7" borderId="38" xfId="0" applyFill="1" applyBorder="1"/>
    <xf numFmtId="0" fontId="0" fillId="7" borderId="33" xfId="0" applyFill="1" applyBorder="1"/>
    <xf numFmtId="0" fontId="18" fillId="7" borderId="34" xfId="0" applyFont="1" applyFill="1" applyBorder="1" applyAlignment="1">
      <alignment horizontal="center"/>
    </xf>
    <xf numFmtId="0" fontId="18" fillId="7" borderId="31" xfId="0" applyFont="1" applyFill="1" applyBorder="1" applyAlignment="1">
      <alignment horizontal="center"/>
    </xf>
    <xf numFmtId="0" fontId="0" fillId="16" borderId="0" xfId="0" applyFill="1"/>
    <xf numFmtId="0" fontId="0" fillId="10" borderId="0" xfId="0" applyFill="1" applyProtection="1">
      <protection locked="0"/>
    </xf>
    <xf numFmtId="0" fontId="24" fillId="8" borderId="0" xfId="0" applyFont="1" applyFill="1" applyAlignment="1">
      <alignment horizontal="center" vertical="center" wrapText="1"/>
    </xf>
    <xf numFmtId="0" fontId="2" fillId="8" borderId="35" xfId="0" applyFont="1" applyFill="1" applyBorder="1"/>
    <xf numFmtId="0" fontId="2" fillId="20" borderId="40" xfId="0" applyFont="1" applyFill="1" applyBorder="1"/>
    <xf numFmtId="0" fontId="2" fillId="20" borderId="41" xfId="0" applyFont="1" applyFill="1" applyBorder="1"/>
    <xf numFmtId="0" fontId="2" fillId="8" borderId="42" xfId="0" applyFont="1" applyFill="1" applyBorder="1"/>
    <xf numFmtId="0" fontId="32" fillId="21" borderId="43" xfId="0" applyFont="1" applyFill="1" applyBorder="1" applyAlignment="1">
      <alignment horizontal="center" vertical="top" wrapText="1"/>
    </xf>
    <xf numFmtId="0" fontId="32" fillId="21" borderId="44" xfId="0" applyFont="1" applyFill="1" applyBorder="1" applyAlignment="1">
      <alignment horizontal="center" vertical="top" wrapText="1"/>
    </xf>
    <xf numFmtId="0" fontId="0" fillId="21" borderId="43" xfId="0" applyFill="1" applyBorder="1" applyAlignment="1">
      <alignment horizontal="center" vertical="center" wrapText="1"/>
    </xf>
    <xf numFmtId="0" fontId="0" fillId="21" borderId="44" xfId="0" applyFill="1" applyBorder="1" applyAlignment="1">
      <alignment horizontal="center" vertical="center" wrapText="1"/>
    </xf>
    <xf numFmtId="0" fontId="32" fillId="9" borderId="42" xfId="0" applyFont="1" applyFill="1" applyBorder="1" applyAlignment="1">
      <alignment horizontal="center" vertical="top" wrapText="1"/>
    </xf>
    <xf numFmtId="0" fontId="0" fillId="9" borderId="0" xfId="0" applyFill="1" applyAlignment="1">
      <alignment horizontal="center" vertical="center" wrapText="1"/>
    </xf>
    <xf numFmtId="0" fontId="0" fillId="0" borderId="47" xfId="0" applyBorder="1" applyAlignment="1">
      <alignment horizontal="center"/>
    </xf>
    <xf numFmtId="0" fontId="0" fillId="0" borderId="48" xfId="0" applyBorder="1" applyAlignment="1">
      <alignment horizontal="center"/>
    </xf>
    <xf numFmtId="0" fontId="25" fillId="15" borderId="51" xfId="0" applyFont="1" applyFill="1" applyBorder="1" applyAlignment="1">
      <alignment horizontal="left" vertical="center"/>
    </xf>
    <xf numFmtId="0" fontId="25" fillId="19" borderId="29" xfId="0" applyFont="1" applyFill="1" applyBorder="1" applyAlignment="1">
      <alignment horizontal="left" vertical="center"/>
    </xf>
    <xf numFmtId="164" fontId="0" fillId="0" borderId="54" xfId="0" applyNumberFormat="1" applyBorder="1" applyAlignment="1">
      <alignment horizontal="center"/>
    </xf>
    <xf numFmtId="10" fontId="6" fillId="0" borderId="55" xfId="0" applyNumberFormat="1" applyFont="1" applyBorder="1" applyAlignment="1">
      <alignment horizontal="center"/>
    </xf>
    <xf numFmtId="10" fontId="0" fillId="0" borderId="56" xfId="0" applyNumberFormat="1" applyBorder="1" applyAlignment="1">
      <alignment horizontal="center"/>
    </xf>
    <xf numFmtId="164" fontId="0" fillId="0" borderId="57" xfId="0" applyNumberFormat="1" applyBorder="1" applyAlignment="1">
      <alignment horizontal="center"/>
    </xf>
    <xf numFmtId="164" fontId="0" fillId="0" borderId="58" xfId="0" applyNumberFormat="1" applyBorder="1" applyAlignment="1">
      <alignment horizontal="center"/>
    </xf>
    <xf numFmtId="0" fontId="6" fillId="0" borderId="55" xfId="0" applyFont="1" applyBorder="1" applyAlignment="1">
      <alignment horizontal="center"/>
    </xf>
    <xf numFmtId="2" fontId="0" fillId="0" borderId="47" xfId="0" applyNumberFormat="1" applyBorder="1" applyAlignment="1">
      <alignment horizontal="center"/>
    </xf>
    <xf numFmtId="2" fontId="0" fillId="0" borderId="59" xfId="0" applyNumberFormat="1" applyBorder="1" applyAlignment="1">
      <alignment horizontal="center"/>
    </xf>
    <xf numFmtId="167" fontId="2" fillId="0" borderId="13" xfId="0" applyNumberFormat="1" applyFont="1" applyBorder="1" applyProtection="1">
      <protection hidden="1"/>
    </xf>
    <xf numFmtId="0" fontId="33" fillId="8" borderId="0" xfId="0" applyFont="1" applyFill="1"/>
    <xf numFmtId="2" fontId="2" fillId="0" borderId="13" xfId="0" applyNumberFormat="1" applyFont="1" applyBorder="1" applyProtection="1">
      <protection hidden="1"/>
    </xf>
    <xf numFmtId="0" fontId="12" fillId="0" borderId="18" xfId="0" applyFont="1" applyBorder="1"/>
    <xf numFmtId="0" fontId="2" fillId="8" borderId="39" xfId="0" applyFont="1" applyFill="1" applyBorder="1"/>
    <xf numFmtId="0" fontId="2" fillId="0" borderId="19" xfId="0" applyFont="1" applyBorder="1"/>
    <xf numFmtId="0" fontId="2" fillId="0" borderId="13" xfId="0" applyFont="1" applyBorder="1" applyAlignment="1">
      <alignment wrapText="1"/>
    </xf>
    <xf numFmtId="10" fontId="0" fillId="0" borderId="71" xfId="0" applyNumberFormat="1" applyBorder="1" applyAlignment="1">
      <alignment horizontal="center"/>
    </xf>
    <xf numFmtId="164" fontId="0" fillId="0" borderId="71" xfId="0" applyNumberFormat="1" applyBorder="1" applyAlignment="1">
      <alignment horizontal="center"/>
    </xf>
    <xf numFmtId="9" fontId="0" fillId="0" borderId="9" xfId="0" applyNumberFormat="1" applyBorder="1" applyAlignment="1">
      <alignment horizontal="center"/>
    </xf>
    <xf numFmtId="0" fontId="40" fillId="9" borderId="0" xfId="0" applyFont="1" applyFill="1" applyProtection="1">
      <protection hidden="1"/>
    </xf>
    <xf numFmtId="1" fontId="5" fillId="30" borderId="13" xfId="0" applyNumberFormat="1" applyFont="1" applyFill="1" applyBorder="1" applyAlignment="1" applyProtection="1">
      <alignment horizontal="center" vertical="center"/>
      <protection locked="0"/>
    </xf>
    <xf numFmtId="0" fontId="19" fillId="12" borderId="70" xfId="0" applyFont="1" applyFill="1" applyBorder="1" applyAlignment="1">
      <alignment horizontal="center" vertical="center"/>
    </xf>
    <xf numFmtId="0" fontId="2" fillId="0" borderId="72" xfId="0" applyFont="1" applyBorder="1"/>
    <xf numFmtId="0" fontId="28" fillId="0" borderId="0" xfId="0" applyFont="1" applyAlignment="1">
      <alignment horizontal="center" vertical="center" wrapText="1"/>
    </xf>
    <xf numFmtId="0" fontId="16" fillId="0" borderId="0" xfId="0" applyFont="1" applyAlignment="1">
      <alignment horizontal="center"/>
    </xf>
    <xf numFmtId="0" fontId="34" fillId="0" borderId="0" xfId="0" applyFont="1" applyAlignment="1">
      <alignment horizontal="center" vertical="center" textRotation="90"/>
    </xf>
    <xf numFmtId="0" fontId="0" fillId="0" borderId="18" xfId="0" applyBorder="1" applyAlignment="1">
      <alignment horizontal="center" vertical="center"/>
    </xf>
    <xf numFmtId="0" fontId="18" fillId="31" borderId="0" xfId="0" applyFont="1" applyFill="1" applyAlignment="1">
      <alignment horizontal="center"/>
    </xf>
    <xf numFmtId="0" fontId="16" fillId="31" borderId="0" xfId="0" applyFont="1" applyFill="1" applyAlignment="1">
      <alignment horizontal="center"/>
    </xf>
    <xf numFmtId="0" fontId="15" fillId="30" borderId="0" xfId="0" applyFont="1" applyFill="1" applyAlignment="1">
      <alignment horizontal="center"/>
    </xf>
    <xf numFmtId="0" fontId="15" fillId="30" borderId="0" xfId="0" applyFont="1" applyFill="1"/>
    <xf numFmtId="0" fontId="45" fillId="36" borderId="86" xfId="4" applyFont="1" applyFill="1"/>
    <xf numFmtId="0" fontId="45" fillId="34" borderId="86" xfId="4" applyFont="1"/>
    <xf numFmtId="0" fontId="0" fillId="35" borderId="0" xfId="0" applyFill="1"/>
    <xf numFmtId="0" fontId="0" fillId="38" borderId="0" xfId="0" applyFill="1"/>
    <xf numFmtId="0" fontId="48" fillId="38" borderId="0" xfId="1" applyFont="1" applyFill="1" applyAlignment="1">
      <alignment horizontal="right" vertical="top" wrapText="1"/>
    </xf>
    <xf numFmtId="0" fontId="0" fillId="38" borderId="0" xfId="0" applyFill="1" applyAlignment="1">
      <alignment horizontal="center"/>
    </xf>
    <xf numFmtId="0" fontId="0" fillId="39" borderId="0" xfId="0" applyFill="1"/>
    <xf numFmtId="0" fontId="0" fillId="39" borderId="0" xfId="0" applyFill="1" applyAlignment="1">
      <alignment wrapText="1"/>
    </xf>
    <xf numFmtId="0" fontId="45" fillId="41" borderId="86" xfId="6" applyFont="1" applyBorder="1"/>
    <xf numFmtId="0" fontId="2" fillId="0" borderId="18" xfId="0" applyFont="1" applyBorder="1"/>
    <xf numFmtId="2" fontId="2" fillId="0" borderId="0" xfId="0" applyNumberFormat="1" applyFont="1" applyAlignment="1">
      <alignment horizontal="center"/>
    </xf>
    <xf numFmtId="0" fontId="2" fillId="0" borderId="0" xfId="0" applyFont="1" applyAlignment="1">
      <alignment horizontal="center"/>
    </xf>
    <xf numFmtId="164" fontId="52" fillId="0" borderId="0" xfId="0" applyNumberFormat="1" applyFont="1" applyAlignment="1">
      <alignment horizontal="center"/>
    </xf>
    <xf numFmtId="0" fontId="45" fillId="37" borderId="86" xfId="4" applyFont="1" applyFill="1" applyAlignment="1">
      <alignment horizontal="center"/>
    </xf>
    <xf numFmtId="2" fontId="0" fillId="35" borderId="0" xfId="0" applyNumberFormat="1" applyFill="1"/>
    <xf numFmtId="2" fontId="2" fillId="0" borderId="39" xfId="0" applyNumberFormat="1" applyFont="1" applyBorder="1" applyProtection="1">
      <protection hidden="1"/>
    </xf>
    <xf numFmtId="0" fontId="0" fillId="0" borderId="0" xfId="0" applyAlignment="1">
      <alignment horizontal="left" vertical="center" wrapText="1"/>
    </xf>
    <xf numFmtId="0" fontId="0" fillId="0" borderId="72" xfId="0" applyBorder="1"/>
    <xf numFmtId="2" fontId="26" fillId="0" borderId="49" xfId="0" applyNumberFormat="1" applyFont="1" applyBorder="1" applyAlignment="1" applyProtection="1">
      <alignment horizontal="right" vertical="center"/>
      <protection locked="0"/>
    </xf>
    <xf numFmtId="0" fontId="21" fillId="0" borderId="18" xfId="0" applyFont="1" applyBorder="1" applyAlignment="1">
      <alignment vertical="center"/>
    </xf>
    <xf numFmtId="0" fontId="21" fillId="0" borderId="0" xfId="0" applyFont="1" applyAlignment="1">
      <alignment vertical="center"/>
    </xf>
    <xf numFmtId="0" fontId="8" fillId="7" borderId="0" xfId="0" applyFont="1" applyFill="1" applyAlignment="1">
      <alignment vertical="center"/>
    </xf>
    <xf numFmtId="0" fontId="0" fillId="7" borderId="0" xfId="0" applyFill="1" applyAlignment="1">
      <alignment vertical="center"/>
    </xf>
    <xf numFmtId="0" fontId="0" fillId="0" borderId="0" xfId="0" applyAlignment="1">
      <alignment vertical="center"/>
    </xf>
    <xf numFmtId="0" fontId="8" fillId="7" borderId="37" xfId="0" applyFont="1" applyFill="1" applyBorder="1" applyAlignment="1">
      <alignment vertical="center"/>
    </xf>
    <xf numFmtId="0" fontId="0" fillId="7" borderId="37" xfId="0" applyFill="1" applyBorder="1" applyAlignment="1">
      <alignment vertical="center"/>
    </xf>
    <xf numFmtId="0" fontId="8" fillId="0" borderId="15" xfId="0" applyFont="1"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9" borderId="0" xfId="0" applyFill="1" applyAlignment="1">
      <alignment vertical="center"/>
    </xf>
    <xf numFmtId="0" fontId="0" fillId="22" borderId="29" xfId="0" applyFill="1" applyBorder="1" applyAlignment="1">
      <alignment vertical="center"/>
    </xf>
    <xf numFmtId="0" fontId="2" fillId="8" borderId="0" xfId="0" applyFont="1" applyFill="1" applyAlignment="1">
      <alignment vertical="center"/>
    </xf>
    <xf numFmtId="0" fontId="17" fillId="7" borderId="31" xfId="0" applyFont="1" applyFill="1" applyBorder="1" applyAlignment="1">
      <alignment horizontal="center" vertical="center"/>
    </xf>
    <xf numFmtId="0" fontId="0" fillId="7" borderId="32" xfId="0" applyFill="1" applyBorder="1" applyAlignment="1">
      <alignment vertical="center"/>
    </xf>
    <xf numFmtId="0" fontId="0" fillId="7" borderId="33" xfId="0" applyFill="1" applyBorder="1" applyAlignment="1">
      <alignment vertical="center"/>
    </xf>
    <xf numFmtId="0" fontId="17" fillId="7" borderId="34" xfId="0" applyFont="1" applyFill="1" applyBorder="1" applyAlignment="1">
      <alignment horizontal="center" vertical="center"/>
    </xf>
    <xf numFmtId="0" fontId="0" fillId="7" borderId="35" xfId="0" applyFill="1" applyBorder="1" applyAlignment="1">
      <alignment vertical="center"/>
    </xf>
    <xf numFmtId="0" fontId="0" fillId="7" borderId="34" xfId="0" applyFill="1" applyBorder="1" applyAlignment="1">
      <alignment vertical="center"/>
    </xf>
    <xf numFmtId="0" fontId="20" fillId="12" borderId="24" xfId="0" applyFont="1" applyFill="1" applyBorder="1" applyAlignment="1">
      <alignment horizontal="center" vertical="center"/>
    </xf>
    <xf numFmtId="0" fontId="20" fillId="12" borderId="16" xfId="0" applyFont="1" applyFill="1" applyBorder="1" applyAlignment="1">
      <alignment horizontal="center" vertical="center"/>
    </xf>
    <xf numFmtId="0" fontId="0" fillId="0" borderId="35" xfId="0" applyBorder="1" applyAlignment="1">
      <alignment vertical="center"/>
    </xf>
    <xf numFmtId="0" fontId="0" fillId="7" borderId="36" xfId="0" applyFill="1" applyBorder="1" applyAlignment="1">
      <alignment vertical="center"/>
    </xf>
    <xf numFmtId="0" fontId="0" fillId="7" borderId="38" xfId="0" applyFill="1" applyBorder="1" applyAlignment="1">
      <alignment vertical="center"/>
    </xf>
    <xf numFmtId="0" fontId="30" fillId="9" borderId="0" xfId="0" applyFont="1" applyFill="1" applyAlignment="1">
      <alignment vertical="center"/>
    </xf>
    <xf numFmtId="0" fontId="0" fillId="18" borderId="34" xfId="0" applyFill="1" applyBorder="1" applyAlignment="1">
      <alignment vertical="center"/>
    </xf>
    <xf numFmtId="0" fontId="0" fillId="18" borderId="35" xfId="0" applyFill="1" applyBorder="1" applyAlignment="1">
      <alignment vertical="center"/>
    </xf>
    <xf numFmtId="0" fontId="0" fillId="18" borderId="36" xfId="0" applyFill="1" applyBorder="1" applyAlignment="1">
      <alignment vertical="center"/>
    </xf>
    <xf numFmtId="0" fontId="0" fillId="18" borderId="37" xfId="0" applyFill="1" applyBorder="1" applyAlignment="1">
      <alignment vertical="center"/>
    </xf>
    <xf numFmtId="0" fontId="0" fillId="18" borderId="38" xfId="0" applyFill="1" applyBorder="1" applyAlignment="1">
      <alignment vertical="center"/>
    </xf>
    <xf numFmtId="0" fontId="0" fillId="8" borderId="0" xfId="0" applyFill="1" applyAlignment="1">
      <alignment vertical="center"/>
    </xf>
    <xf numFmtId="1" fontId="33" fillId="8" borderId="0" xfId="0" applyNumberFormat="1" applyFont="1" applyFill="1" applyAlignment="1">
      <alignment vertical="center"/>
    </xf>
    <xf numFmtId="0" fontId="21" fillId="0" borderId="90" xfId="0" applyFont="1" applyBorder="1" applyAlignment="1">
      <alignment horizontal="center" vertical="center"/>
    </xf>
    <xf numFmtId="0" fontId="0" fillId="0" borderId="40" xfId="0" applyBorder="1" applyAlignment="1">
      <alignment horizontal="center" vertical="top" wrapText="1"/>
    </xf>
    <xf numFmtId="0" fontId="0" fillId="0" borderId="41" xfId="0" applyBorder="1" applyAlignment="1">
      <alignment horizontal="center" vertical="top" wrapText="1"/>
    </xf>
    <xf numFmtId="0" fontId="2" fillId="20" borderId="99" xfId="0" applyFont="1" applyFill="1" applyBorder="1"/>
    <xf numFmtId="0" fontId="2" fillId="20" borderId="100" xfId="0" applyFont="1" applyFill="1" applyBorder="1"/>
    <xf numFmtId="0" fontId="19" fillId="12" borderId="0" xfId="0" applyFont="1" applyFill="1" applyAlignment="1">
      <alignment horizontal="center" vertical="center"/>
    </xf>
    <xf numFmtId="0" fontId="58" fillId="14" borderId="27" xfId="0" applyFont="1" applyFill="1" applyBorder="1" applyAlignment="1">
      <alignment horizontal="center" vertical="center" shrinkToFit="1"/>
    </xf>
    <xf numFmtId="0" fontId="58" fillId="14" borderId="13" xfId="0" applyFont="1" applyFill="1" applyBorder="1" applyAlignment="1">
      <alignment horizontal="center" vertical="center" shrinkToFit="1"/>
    </xf>
    <xf numFmtId="0" fontId="0" fillId="0" borderId="0" xfId="0" applyProtection="1">
      <protection hidden="1"/>
    </xf>
    <xf numFmtId="0" fontId="0" fillId="0" borderId="106" xfId="0" applyBorder="1" applyAlignment="1" applyProtection="1">
      <alignment horizontal="center" vertical="center" shrinkToFit="1"/>
      <protection hidden="1"/>
    </xf>
    <xf numFmtId="10" fontId="0" fillId="0" borderId="102" xfId="0" applyNumberFormat="1" applyBorder="1" applyProtection="1">
      <protection locked="0"/>
    </xf>
    <xf numFmtId="0" fontId="21" fillId="44" borderId="117" xfId="0" applyFont="1" applyFill="1" applyBorder="1" applyAlignment="1" applyProtection="1">
      <alignment horizontal="center" vertical="center" shrinkToFit="1"/>
      <protection hidden="1"/>
    </xf>
    <xf numFmtId="0" fontId="21" fillId="44" borderId="91" xfId="0" applyFont="1" applyFill="1" applyBorder="1" applyAlignment="1" applyProtection="1">
      <alignment horizontal="center" vertical="center" shrinkToFit="1"/>
      <protection hidden="1"/>
    </xf>
    <xf numFmtId="0" fontId="21" fillId="44" borderId="0" xfId="0" applyFont="1" applyFill="1" applyAlignment="1" applyProtection="1">
      <alignment horizontal="center" vertical="center" shrinkToFit="1"/>
      <protection hidden="1"/>
    </xf>
    <xf numFmtId="0" fontId="21" fillId="44" borderId="118" xfId="0" applyFont="1" applyFill="1" applyBorder="1" applyAlignment="1" applyProtection="1">
      <alignment horizontal="center" vertical="center" shrinkToFit="1"/>
      <protection hidden="1"/>
    </xf>
    <xf numFmtId="0" fontId="21" fillId="43" borderId="117" xfId="0" applyFont="1" applyFill="1" applyBorder="1" applyAlignment="1" applyProtection="1">
      <alignment horizontal="center" vertical="center" shrinkToFit="1"/>
      <protection hidden="1"/>
    </xf>
    <xf numFmtId="0" fontId="21" fillId="43" borderId="91" xfId="0" applyFont="1" applyFill="1" applyBorder="1" applyAlignment="1" applyProtection="1">
      <alignment horizontal="center" vertical="center" shrinkToFit="1"/>
      <protection hidden="1"/>
    </xf>
    <xf numFmtId="0" fontId="21" fillId="43" borderId="0" xfId="0" applyFont="1" applyFill="1" applyAlignment="1" applyProtection="1">
      <alignment horizontal="center" vertical="center" shrinkToFit="1"/>
      <protection hidden="1"/>
    </xf>
    <xf numFmtId="0" fontId="21" fillId="43" borderId="118" xfId="0" applyFont="1" applyFill="1" applyBorder="1" applyAlignment="1" applyProtection="1">
      <alignment horizontal="center" vertical="center" shrinkToFit="1"/>
      <protection hidden="1"/>
    </xf>
    <xf numFmtId="0" fontId="21" fillId="42" borderId="117" xfId="0" applyFont="1" applyFill="1" applyBorder="1" applyAlignment="1" applyProtection="1">
      <alignment horizontal="center" vertical="center" shrinkToFit="1"/>
      <protection hidden="1"/>
    </xf>
    <xf numFmtId="0" fontId="21" fillId="42" borderId="91" xfId="0" applyFont="1" applyFill="1" applyBorder="1" applyAlignment="1" applyProtection="1">
      <alignment horizontal="center" vertical="center" shrinkToFit="1"/>
      <protection hidden="1"/>
    </xf>
    <xf numFmtId="0" fontId="21" fillId="42" borderId="0" xfId="0" applyFont="1" applyFill="1" applyAlignment="1" applyProtection="1">
      <alignment horizontal="center" vertical="center" shrinkToFit="1"/>
      <protection hidden="1"/>
    </xf>
    <xf numFmtId="0" fontId="21" fillId="42" borderId="118" xfId="0" applyFont="1" applyFill="1" applyBorder="1" applyAlignment="1" applyProtection="1">
      <alignment horizontal="center" vertical="center" shrinkToFit="1"/>
      <protection hidden="1"/>
    </xf>
    <xf numFmtId="0" fontId="21" fillId="45" borderId="117" xfId="0" applyFont="1" applyFill="1" applyBorder="1" applyAlignment="1" applyProtection="1">
      <alignment horizontal="center" vertical="center" shrinkToFit="1"/>
      <protection hidden="1"/>
    </xf>
    <xf numFmtId="0" fontId="21" fillId="45" borderId="91" xfId="0" applyFont="1" applyFill="1" applyBorder="1" applyAlignment="1" applyProtection="1">
      <alignment horizontal="center" vertical="center" shrinkToFit="1"/>
      <protection hidden="1"/>
    </xf>
    <xf numFmtId="0" fontId="21" fillId="45" borderId="118" xfId="0" applyFont="1" applyFill="1" applyBorder="1" applyAlignment="1" applyProtection="1">
      <alignment horizontal="center" vertical="center" shrinkToFit="1"/>
      <protection hidden="1"/>
    </xf>
    <xf numFmtId="2" fontId="21" fillId="44" borderId="117" xfId="0" applyNumberFormat="1" applyFont="1" applyFill="1" applyBorder="1" applyAlignment="1" applyProtection="1">
      <alignment horizontal="center" vertical="center" shrinkToFit="1"/>
      <protection hidden="1"/>
    </xf>
    <xf numFmtId="10" fontId="21" fillId="44" borderId="91" xfId="0" applyNumberFormat="1" applyFont="1" applyFill="1" applyBorder="1" applyAlignment="1" applyProtection="1">
      <alignment horizontal="center" vertical="center" shrinkToFit="1"/>
      <protection hidden="1"/>
    </xf>
    <xf numFmtId="10" fontId="21" fillId="44" borderId="118" xfId="0" applyNumberFormat="1" applyFont="1" applyFill="1" applyBorder="1" applyAlignment="1" applyProtection="1">
      <alignment horizontal="center" vertical="center" shrinkToFit="1"/>
      <protection hidden="1"/>
    </xf>
    <xf numFmtId="2" fontId="21" fillId="43" borderId="117" xfId="0" applyNumberFormat="1" applyFont="1" applyFill="1" applyBorder="1" applyAlignment="1" applyProtection="1">
      <alignment horizontal="center" vertical="center" shrinkToFit="1"/>
      <protection hidden="1"/>
    </xf>
    <xf numFmtId="10" fontId="21" fillId="43" borderId="91" xfId="0" applyNumberFormat="1" applyFont="1" applyFill="1" applyBorder="1" applyAlignment="1" applyProtection="1">
      <alignment horizontal="center" vertical="center" shrinkToFit="1"/>
      <protection hidden="1"/>
    </xf>
    <xf numFmtId="10" fontId="21" fillId="43" borderId="118" xfId="0" applyNumberFormat="1" applyFont="1" applyFill="1" applyBorder="1" applyAlignment="1" applyProtection="1">
      <alignment horizontal="center" vertical="center" shrinkToFit="1"/>
      <protection hidden="1"/>
    </xf>
    <xf numFmtId="2" fontId="21" fillId="42" borderId="117" xfId="0" applyNumberFormat="1" applyFont="1" applyFill="1" applyBorder="1" applyAlignment="1" applyProtection="1">
      <alignment horizontal="center" vertical="center" shrinkToFit="1"/>
      <protection hidden="1"/>
    </xf>
    <xf numFmtId="10" fontId="21" fillId="42" borderId="91" xfId="0" applyNumberFormat="1" applyFont="1" applyFill="1" applyBorder="1" applyAlignment="1" applyProtection="1">
      <alignment horizontal="center" vertical="center" shrinkToFit="1"/>
      <protection hidden="1"/>
    </xf>
    <xf numFmtId="10" fontId="21" fillId="42" borderId="118" xfId="0" applyNumberFormat="1" applyFont="1" applyFill="1" applyBorder="1" applyAlignment="1" applyProtection="1">
      <alignment horizontal="center" vertical="center" shrinkToFit="1"/>
      <protection hidden="1"/>
    </xf>
    <xf numFmtId="2" fontId="21" fillId="45" borderId="117" xfId="0" applyNumberFormat="1" applyFont="1" applyFill="1" applyBorder="1" applyAlignment="1" applyProtection="1">
      <alignment horizontal="center" vertical="center" shrinkToFit="1"/>
      <protection hidden="1"/>
    </xf>
    <xf numFmtId="10" fontId="21" fillId="45" borderId="91" xfId="0" applyNumberFormat="1" applyFont="1" applyFill="1" applyBorder="1" applyAlignment="1" applyProtection="1">
      <alignment horizontal="center" vertical="center" shrinkToFit="1"/>
      <protection hidden="1"/>
    </xf>
    <xf numFmtId="10" fontId="21" fillId="45" borderId="118" xfId="0" applyNumberFormat="1" applyFont="1" applyFill="1" applyBorder="1" applyAlignment="1" applyProtection="1">
      <alignment horizontal="center" vertical="center" shrinkToFit="1"/>
      <protection hidden="1"/>
    </xf>
    <xf numFmtId="2" fontId="21" fillId="44" borderId="119" xfId="0" applyNumberFormat="1" applyFont="1" applyFill="1" applyBorder="1" applyAlignment="1" applyProtection="1">
      <alignment horizontal="center" vertical="center" shrinkToFit="1"/>
      <protection hidden="1"/>
    </xf>
    <xf numFmtId="10" fontId="21" fillId="44" borderId="120" xfId="0" applyNumberFormat="1" applyFont="1" applyFill="1" applyBorder="1" applyAlignment="1" applyProtection="1">
      <alignment horizontal="center" vertical="center" shrinkToFit="1"/>
      <protection hidden="1"/>
    </xf>
    <xf numFmtId="10" fontId="21" fillId="44" borderId="121" xfId="0" applyNumberFormat="1" applyFont="1" applyFill="1" applyBorder="1" applyAlignment="1" applyProtection="1">
      <alignment horizontal="center" vertical="center" shrinkToFit="1"/>
      <protection hidden="1"/>
    </xf>
    <xf numFmtId="2" fontId="21" fillId="43" borderId="119" xfId="0" applyNumberFormat="1" applyFont="1" applyFill="1" applyBorder="1" applyAlignment="1" applyProtection="1">
      <alignment horizontal="center" vertical="center" shrinkToFit="1"/>
      <protection hidden="1"/>
    </xf>
    <xf numFmtId="10" fontId="21" fillId="43" borderId="120" xfId="0" applyNumberFormat="1" applyFont="1" applyFill="1" applyBorder="1" applyAlignment="1" applyProtection="1">
      <alignment horizontal="center" vertical="center" shrinkToFit="1"/>
      <protection hidden="1"/>
    </xf>
    <xf numFmtId="10" fontId="21" fillId="43" borderId="121" xfId="0" applyNumberFormat="1" applyFont="1" applyFill="1" applyBorder="1" applyAlignment="1" applyProtection="1">
      <alignment horizontal="center" vertical="center" shrinkToFit="1"/>
      <protection hidden="1"/>
    </xf>
    <xf numFmtId="2" fontId="21" fillId="42" borderId="119" xfId="0" applyNumberFormat="1" applyFont="1" applyFill="1" applyBorder="1" applyAlignment="1" applyProtection="1">
      <alignment horizontal="center" vertical="center" shrinkToFit="1"/>
      <protection hidden="1"/>
    </xf>
    <xf numFmtId="10" fontId="21" fillId="42" borderId="120" xfId="0" applyNumberFormat="1" applyFont="1" applyFill="1" applyBorder="1" applyAlignment="1" applyProtection="1">
      <alignment horizontal="center" vertical="center" shrinkToFit="1"/>
      <protection hidden="1"/>
    </xf>
    <xf numFmtId="10" fontId="21" fillId="42" borderId="121" xfId="0" applyNumberFormat="1" applyFont="1" applyFill="1" applyBorder="1" applyAlignment="1" applyProtection="1">
      <alignment horizontal="center" vertical="center" shrinkToFit="1"/>
      <protection hidden="1"/>
    </xf>
    <xf numFmtId="2" fontId="21" fillId="45" borderId="119" xfId="0" applyNumberFormat="1" applyFont="1" applyFill="1" applyBorder="1" applyAlignment="1" applyProtection="1">
      <alignment horizontal="center" vertical="center" shrinkToFit="1"/>
      <protection hidden="1"/>
    </xf>
    <xf numFmtId="10" fontId="21" fillId="45" borderId="120" xfId="0" applyNumberFormat="1" applyFont="1" applyFill="1" applyBorder="1" applyAlignment="1" applyProtection="1">
      <alignment horizontal="center" vertical="center" shrinkToFit="1"/>
      <protection hidden="1"/>
    </xf>
    <xf numFmtId="10" fontId="21" fillId="45" borderId="121" xfId="0" applyNumberFormat="1" applyFont="1" applyFill="1" applyBorder="1" applyAlignment="1" applyProtection="1">
      <alignment horizontal="center" vertical="center" shrinkToFit="1"/>
      <protection hidden="1"/>
    </xf>
    <xf numFmtId="2" fontId="26" fillId="0" borderId="49" xfId="0" applyNumberFormat="1" applyFont="1" applyBorder="1" applyAlignment="1" applyProtection="1">
      <alignment horizontal="right" vertical="center"/>
      <protection locked="0" hidden="1"/>
    </xf>
    <xf numFmtId="2" fontId="26" fillId="0" borderId="50" xfId="0" applyNumberFormat="1" applyFont="1" applyBorder="1" applyAlignment="1" applyProtection="1">
      <alignment horizontal="right" vertical="center"/>
      <protection locked="0"/>
    </xf>
    <xf numFmtId="2" fontId="26" fillId="0" borderId="52" xfId="0" applyNumberFormat="1" applyFont="1" applyBorder="1" applyAlignment="1" applyProtection="1">
      <alignment horizontal="right" vertical="center"/>
      <protection locked="0"/>
    </xf>
    <xf numFmtId="0" fontId="26" fillId="0" borderId="89" xfId="0" applyFont="1" applyBorder="1" applyAlignment="1">
      <alignment horizontal="center" vertical="center"/>
    </xf>
    <xf numFmtId="0" fontId="61" fillId="17" borderId="27" xfId="0" applyFont="1" applyFill="1" applyBorder="1" applyAlignment="1">
      <alignment horizontal="center" vertical="center" shrinkToFit="1"/>
    </xf>
    <xf numFmtId="0" fontId="61" fillId="17" borderId="13" xfId="0" applyFont="1" applyFill="1" applyBorder="1" applyAlignment="1">
      <alignment horizontal="center" vertical="center" shrinkToFit="1"/>
    </xf>
    <xf numFmtId="1" fontId="64" fillId="48" borderId="13" xfId="9" applyNumberFormat="1" applyFont="1" applyBorder="1" applyAlignment="1">
      <alignment horizontal="center" vertical="center"/>
    </xf>
    <xf numFmtId="2" fontId="64" fillId="48" borderId="13" xfId="9" applyNumberFormat="1" applyFont="1" applyBorder="1" applyAlignment="1">
      <alignment horizontal="center" vertical="center"/>
    </xf>
    <xf numFmtId="0" fontId="1" fillId="47" borderId="75" xfId="8" applyBorder="1" applyAlignment="1">
      <alignment horizontal="right" vertical="center"/>
    </xf>
    <xf numFmtId="0" fontId="1" fillId="47" borderId="76" xfId="8" applyBorder="1" applyAlignment="1">
      <alignment horizontal="center" vertical="center"/>
    </xf>
    <xf numFmtId="0" fontId="1" fillId="47" borderId="75" xfId="8" applyBorder="1"/>
    <xf numFmtId="0" fontId="1" fillId="47" borderId="76" xfId="8" applyBorder="1"/>
    <xf numFmtId="0" fontId="1" fillId="47" borderId="77" xfId="8" applyBorder="1"/>
    <xf numFmtId="0" fontId="1" fillId="47" borderId="78" xfId="8" applyBorder="1"/>
    <xf numFmtId="0" fontId="1" fillId="47" borderId="0" xfId="8" applyAlignment="1">
      <alignment horizontal="center" vertical="center"/>
    </xf>
    <xf numFmtId="0" fontId="1" fillId="47" borderId="0" xfId="8" applyBorder="1"/>
    <xf numFmtId="0" fontId="1" fillId="47" borderId="79" xfId="8" applyBorder="1"/>
    <xf numFmtId="0" fontId="1" fillId="47" borderId="80" xfId="8" applyBorder="1"/>
    <xf numFmtId="0" fontId="1" fillId="47" borderId="81" xfId="8" applyBorder="1"/>
    <xf numFmtId="0" fontId="1" fillId="47" borderId="82" xfId="8" applyBorder="1"/>
    <xf numFmtId="0" fontId="2" fillId="0" borderId="19" xfId="0" applyFont="1" applyBorder="1" applyAlignment="1">
      <alignment horizontal="center" vertical="center"/>
    </xf>
    <xf numFmtId="0" fontId="2" fillId="0" borderId="0" xfId="0" applyFont="1" applyAlignment="1">
      <alignment shrinkToFit="1"/>
    </xf>
    <xf numFmtId="0" fontId="2" fillId="0" borderId="0" xfId="0" applyFont="1" applyAlignment="1" applyProtection="1">
      <alignment horizontal="center" vertical="center"/>
      <protection locked="0"/>
    </xf>
    <xf numFmtId="0" fontId="2" fillId="0" borderId="91" xfId="0" applyFont="1" applyBorder="1" applyAlignment="1">
      <alignment horizontal="center" vertical="center"/>
    </xf>
    <xf numFmtId="2" fontId="2" fillId="0" borderId="104" xfId="0" applyNumberFormat="1" applyFont="1" applyBorder="1" applyAlignment="1">
      <alignment horizontal="center"/>
    </xf>
    <xf numFmtId="0" fontId="2" fillId="0" borderId="105" xfId="0" applyFont="1" applyBorder="1" applyAlignment="1">
      <alignment horizontal="center"/>
    </xf>
    <xf numFmtId="0" fontId="2" fillId="0" borderId="98" xfId="0" applyFont="1" applyBorder="1" applyAlignment="1">
      <alignment horizontal="center"/>
    </xf>
    <xf numFmtId="2" fontId="0" fillId="0" borderId="109" xfId="0" applyNumberFormat="1" applyBorder="1" applyAlignment="1">
      <alignment horizontal="center"/>
    </xf>
    <xf numFmtId="2" fontId="2" fillId="0" borderId="103" xfId="0" applyNumberFormat="1" applyFont="1" applyBorder="1" applyAlignment="1">
      <alignment horizontal="center"/>
    </xf>
    <xf numFmtId="0" fontId="2" fillId="0" borderId="93" xfId="0" applyFont="1" applyBorder="1" applyAlignment="1">
      <alignment horizontal="center"/>
    </xf>
    <xf numFmtId="2" fontId="0" fillId="0" borderId="101" xfId="0" applyNumberFormat="1" applyBorder="1" applyAlignment="1">
      <alignment horizontal="center"/>
    </xf>
    <xf numFmtId="0" fontId="2" fillId="0" borderId="102" xfId="0" applyFont="1" applyBorder="1" applyAlignment="1">
      <alignment horizontal="center"/>
    </xf>
    <xf numFmtId="2" fontId="2" fillId="0" borderId="101" xfId="0" applyNumberFormat="1" applyFont="1" applyBorder="1" applyAlignment="1">
      <alignment horizontal="center"/>
    </xf>
    <xf numFmtId="2" fontId="2" fillId="0" borderId="102" xfId="0" applyNumberFormat="1" applyFont="1" applyBorder="1" applyAlignment="1">
      <alignment horizontal="center"/>
    </xf>
    <xf numFmtId="0" fontId="0" fillId="0" borderId="102" xfId="0" applyBorder="1" applyAlignment="1">
      <alignment horizontal="center"/>
    </xf>
    <xf numFmtId="0" fontId="0" fillId="0" borderId="103" xfId="0" applyBorder="1" applyAlignment="1">
      <alignment horizontal="center"/>
    </xf>
    <xf numFmtId="0" fontId="0" fillId="0" borderId="93" xfId="0" applyBorder="1" applyAlignment="1">
      <alignment horizontal="center"/>
    </xf>
    <xf numFmtId="0" fontId="0" fillId="51" borderId="108" xfId="0" applyFill="1" applyBorder="1"/>
    <xf numFmtId="0" fontId="0" fillId="0" borderId="102" xfId="0" applyBorder="1"/>
    <xf numFmtId="0" fontId="0" fillId="0" borderId="109" xfId="0" applyBorder="1" applyAlignment="1">
      <alignment horizontal="center"/>
    </xf>
    <xf numFmtId="164" fontId="0" fillId="0" borderId="103" xfId="0" applyNumberFormat="1" applyBorder="1" applyAlignment="1">
      <alignment horizontal="center"/>
    </xf>
    <xf numFmtId="0" fontId="0" fillId="0" borderId="93" xfId="0" applyBorder="1"/>
    <xf numFmtId="2" fontId="0" fillId="29" borderId="104" xfId="0" applyNumberFormat="1" applyFill="1" applyBorder="1" applyAlignment="1">
      <alignment horizontal="center"/>
    </xf>
    <xf numFmtId="2" fontId="2" fillId="0" borderId="105" xfId="0" applyNumberFormat="1" applyFont="1" applyBorder="1" applyAlignment="1">
      <alignment horizontal="center"/>
    </xf>
    <xf numFmtId="0" fontId="0" fillId="28" borderId="105" xfId="0" applyFill="1" applyBorder="1" applyAlignment="1">
      <alignment horizontal="center"/>
    </xf>
    <xf numFmtId="0" fontId="0" fillId="0" borderId="98" xfId="0" applyBorder="1" applyAlignment="1">
      <alignment horizontal="center"/>
    </xf>
    <xf numFmtId="2" fontId="0" fillId="0" borderId="103" xfId="0" applyNumberFormat="1" applyBorder="1" applyAlignment="1">
      <alignment horizontal="center"/>
    </xf>
    <xf numFmtId="2" fontId="0" fillId="50" borderId="0" xfId="0" applyNumberFormat="1" applyFill="1"/>
    <xf numFmtId="0" fontId="0" fillId="50" borderId="0" xfId="0" applyFill="1"/>
    <xf numFmtId="0" fontId="0" fillId="50" borderId="0" xfId="0" applyFill="1" applyAlignment="1">
      <alignment horizontal="center"/>
    </xf>
    <xf numFmtId="2" fontId="0" fillId="30" borderId="104" xfId="0" applyNumberFormat="1" applyFill="1" applyBorder="1" applyAlignment="1">
      <alignment horizontal="center"/>
    </xf>
    <xf numFmtId="0" fontId="0" fillId="29" borderId="105" xfId="0" applyFill="1" applyBorder="1" applyAlignment="1">
      <alignment horizontal="center"/>
    </xf>
    <xf numFmtId="0" fontId="0" fillId="30" borderId="105" xfId="0" applyFill="1" applyBorder="1" applyAlignment="1">
      <alignment horizontal="center"/>
    </xf>
    <xf numFmtId="0" fontId="0" fillId="29" borderId="98" xfId="0" applyFill="1" applyBorder="1" applyAlignment="1">
      <alignment horizontal="center"/>
    </xf>
    <xf numFmtId="0" fontId="52" fillId="0" borderId="0" xfId="0" applyFont="1" applyAlignment="1">
      <alignment horizontal="center"/>
    </xf>
    <xf numFmtId="0" fontId="52" fillId="0" borderId="102" xfId="0" applyFont="1" applyBorder="1" applyAlignment="1">
      <alignment horizontal="center"/>
    </xf>
    <xf numFmtId="0" fontId="0" fillId="0" borderId="101" xfId="0" applyBorder="1"/>
    <xf numFmtId="0" fontId="52" fillId="0" borderId="101" xfId="0" applyFont="1" applyBorder="1"/>
    <xf numFmtId="0" fontId="52" fillId="0" borderId="102" xfId="0" applyFont="1" applyBorder="1"/>
    <xf numFmtId="0" fontId="0" fillId="0" borderId="109" xfId="0" applyBorder="1"/>
    <xf numFmtId="2" fontId="0" fillId="30" borderId="104" xfId="0" applyNumberFormat="1" applyFill="1" applyBorder="1"/>
    <xf numFmtId="2" fontId="0" fillId="29" borderId="105" xfId="0" applyNumberFormat="1" applyFill="1" applyBorder="1" applyAlignment="1">
      <alignment horizontal="center"/>
    </xf>
    <xf numFmtId="0" fontId="0" fillId="29" borderId="98" xfId="0" applyFill="1" applyBorder="1"/>
    <xf numFmtId="0" fontId="2" fillId="0" borderId="104" xfId="0" applyFont="1" applyBorder="1"/>
    <xf numFmtId="0" fontId="2" fillId="0" borderId="98" xfId="0" applyFont="1" applyBorder="1"/>
    <xf numFmtId="2" fontId="47" fillId="32" borderId="84" xfId="2" applyNumberFormat="1" applyFont="1" applyProtection="1">
      <protection locked="0"/>
    </xf>
    <xf numFmtId="0" fontId="25" fillId="19" borderId="123" xfId="0" applyFont="1" applyFill="1" applyBorder="1" applyAlignment="1">
      <alignment horizontal="left" vertical="center"/>
    </xf>
    <xf numFmtId="0" fontId="0" fillId="0" borderId="91" xfId="0" applyBorder="1"/>
    <xf numFmtId="1" fontId="0" fillId="0" borderId="101" xfId="0" applyNumberFormat="1" applyBorder="1" applyAlignment="1">
      <alignment vertical="center"/>
    </xf>
    <xf numFmtId="0" fontId="0" fillId="7" borderId="126" xfId="0" applyFill="1" applyBorder="1" applyAlignment="1">
      <alignment vertical="center"/>
    </xf>
    <xf numFmtId="0" fontId="25" fillId="15" borderId="110" xfId="0" applyFont="1" applyFill="1" applyBorder="1" applyAlignment="1">
      <alignment horizontal="left" vertical="center"/>
    </xf>
    <xf numFmtId="0" fontId="0" fillId="7" borderId="0" xfId="0" applyFill="1"/>
    <xf numFmtId="0" fontId="26" fillId="25" borderId="50" xfId="0" applyFont="1" applyFill="1" applyBorder="1" applyAlignment="1" applyProtection="1">
      <alignment horizontal="center" vertical="center"/>
      <protection locked="0"/>
    </xf>
    <xf numFmtId="0" fontId="0" fillId="7" borderId="98" xfId="0" applyFill="1" applyBorder="1" applyAlignment="1">
      <alignment vertical="center"/>
    </xf>
    <xf numFmtId="2" fontId="21" fillId="44" borderId="91" xfId="0" applyNumberFormat="1" applyFont="1" applyFill="1" applyBorder="1" applyAlignment="1" applyProtection="1">
      <alignment horizontal="center" vertical="center" shrinkToFit="1"/>
      <protection hidden="1"/>
    </xf>
    <xf numFmtId="2" fontId="21" fillId="44" borderId="120" xfId="0" applyNumberFormat="1" applyFont="1" applyFill="1" applyBorder="1" applyAlignment="1" applyProtection="1">
      <alignment horizontal="center" vertical="center" shrinkToFit="1"/>
      <protection hidden="1"/>
    </xf>
    <xf numFmtId="2" fontId="21" fillId="43" borderId="91" xfId="0" applyNumberFormat="1" applyFont="1" applyFill="1" applyBorder="1" applyAlignment="1" applyProtection="1">
      <alignment horizontal="center" vertical="center" shrinkToFit="1"/>
      <protection hidden="1"/>
    </xf>
    <xf numFmtId="2" fontId="21" fillId="43" borderId="120" xfId="0" applyNumberFormat="1" applyFont="1" applyFill="1" applyBorder="1" applyAlignment="1" applyProtection="1">
      <alignment horizontal="center" vertical="center" shrinkToFit="1"/>
      <protection hidden="1"/>
    </xf>
    <xf numFmtId="2" fontId="21" fillId="42" borderId="91" xfId="0" applyNumberFormat="1" applyFont="1" applyFill="1" applyBorder="1" applyAlignment="1" applyProtection="1">
      <alignment horizontal="center" vertical="center" shrinkToFit="1"/>
      <protection hidden="1"/>
    </xf>
    <xf numFmtId="2" fontId="21" fillId="42" borderId="120" xfId="0" applyNumberFormat="1" applyFont="1" applyFill="1" applyBorder="1" applyAlignment="1" applyProtection="1">
      <alignment horizontal="center" vertical="center" shrinkToFit="1"/>
      <protection hidden="1"/>
    </xf>
    <xf numFmtId="2" fontId="21" fillId="45" borderId="91" xfId="0" applyNumberFormat="1" applyFont="1" applyFill="1" applyBorder="1" applyAlignment="1" applyProtection="1">
      <alignment horizontal="center" vertical="center" shrinkToFit="1"/>
      <protection hidden="1"/>
    </xf>
    <xf numFmtId="2" fontId="21" fillId="45" borderId="120" xfId="0" applyNumberFormat="1" applyFont="1" applyFill="1" applyBorder="1" applyAlignment="1" applyProtection="1">
      <alignment horizontal="center" vertical="center" shrinkToFit="1"/>
      <protection hidden="1"/>
    </xf>
    <xf numFmtId="0" fontId="2" fillId="54" borderId="0" xfId="0" applyFont="1" applyFill="1"/>
    <xf numFmtId="0" fontId="32" fillId="54" borderId="0" xfId="0" applyFont="1" applyFill="1" applyAlignment="1">
      <alignment horizontal="center" vertical="top" wrapText="1"/>
    </xf>
    <xf numFmtId="0" fontId="2" fillId="0" borderId="91" xfId="0" applyFont="1" applyBorder="1"/>
    <xf numFmtId="0" fontId="77" fillId="8" borderId="0" xfId="0" applyFont="1" applyFill="1"/>
    <xf numFmtId="0" fontId="0" fillId="38" borderId="0" xfId="0" applyFill="1" applyAlignment="1">
      <alignment horizontal="left"/>
    </xf>
    <xf numFmtId="0" fontId="0" fillId="10" borderId="0" xfId="0" applyFill="1" applyAlignment="1" applyProtection="1">
      <alignment horizontal="center" vertical="center"/>
      <protection locked="0"/>
    </xf>
    <xf numFmtId="2" fontId="0" fillId="10" borderId="0" xfId="0" applyNumberFormat="1" applyFill="1" applyProtection="1">
      <protection locked="0"/>
    </xf>
    <xf numFmtId="166" fontId="2" fillId="0" borderId="124" xfId="0" applyNumberFormat="1" applyFont="1" applyBorder="1"/>
    <xf numFmtId="167" fontId="0" fillId="0" borderId="0" xfId="0" applyNumberFormat="1"/>
    <xf numFmtId="167" fontId="12" fillId="0" borderId="0" xfId="0" applyNumberFormat="1" applyFont="1" applyAlignment="1" applyProtection="1">
      <alignment horizontal="center"/>
      <protection locked="0"/>
    </xf>
    <xf numFmtId="167" fontId="2" fillId="0" borderId="0" xfId="0" applyNumberFormat="1" applyFont="1" applyProtection="1">
      <protection hidden="1"/>
    </xf>
    <xf numFmtId="165" fontId="46" fillId="33" borderId="85" xfId="3" applyNumberFormat="1" applyFont="1"/>
    <xf numFmtId="168" fontId="46" fillId="33" borderId="85" xfId="3" applyNumberFormat="1" applyFont="1"/>
    <xf numFmtId="166" fontId="2" fillId="0" borderId="19" xfId="0" applyNumberFormat="1" applyFont="1" applyBorder="1"/>
    <xf numFmtId="166" fontId="2" fillId="0" borderId="91" xfId="0" applyNumberFormat="1" applyFont="1" applyBorder="1"/>
    <xf numFmtId="166" fontId="2" fillId="0" borderId="91" xfId="0" applyNumberFormat="1" applyFont="1" applyBorder="1" applyProtection="1">
      <protection hidden="1"/>
    </xf>
    <xf numFmtId="165" fontId="2" fillId="0" borderId="91" xfId="0" applyNumberFormat="1" applyFont="1" applyBorder="1"/>
    <xf numFmtId="1" fontId="2" fillId="0" borderId="91" xfId="0" applyNumberFormat="1" applyFont="1" applyBorder="1"/>
    <xf numFmtId="169" fontId="2" fillId="0" borderId="91" xfId="0" applyNumberFormat="1" applyFont="1" applyBorder="1"/>
    <xf numFmtId="166" fontId="2" fillId="0" borderId="124" xfId="0" applyNumberFormat="1" applyFont="1" applyBorder="1" applyProtection="1">
      <protection hidden="1"/>
    </xf>
    <xf numFmtId="2" fontId="2" fillId="6" borderId="91" xfId="0" applyNumberFormat="1" applyFont="1" applyFill="1" applyBorder="1" applyProtection="1">
      <protection hidden="1"/>
    </xf>
    <xf numFmtId="165" fontId="2" fillId="0" borderId="91" xfId="0" applyNumberFormat="1" applyFont="1" applyBorder="1" applyProtection="1">
      <protection hidden="1"/>
    </xf>
    <xf numFmtId="1" fontId="2" fillId="0" borderId="91" xfId="0" applyNumberFormat="1" applyFont="1" applyBorder="1" applyProtection="1">
      <protection hidden="1"/>
    </xf>
    <xf numFmtId="0" fontId="80" fillId="10" borderId="0" xfId="0" applyFont="1" applyFill="1"/>
    <xf numFmtId="0" fontId="2" fillId="10" borderId="0" xfId="0" applyFont="1" applyFill="1" applyProtection="1">
      <protection locked="0"/>
    </xf>
    <xf numFmtId="0" fontId="0" fillId="0" borderId="67" xfId="0" applyBorder="1" applyAlignment="1">
      <alignment horizontal="center"/>
    </xf>
    <xf numFmtId="164" fontId="0" fillId="0" borderId="128" xfId="0" applyNumberFormat="1" applyBorder="1" applyAlignment="1">
      <alignment horizontal="center"/>
    </xf>
    <xf numFmtId="164" fontId="0" fillId="0" borderId="129" xfId="0" applyNumberFormat="1" applyBorder="1" applyAlignment="1">
      <alignment horizontal="center"/>
    </xf>
    <xf numFmtId="1" fontId="2" fillId="0" borderId="0" xfId="0" applyNumberFormat="1" applyFont="1" applyAlignment="1">
      <alignment vertical="center"/>
    </xf>
    <xf numFmtId="0" fontId="78" fillId="53" borderId="0" xfId="0" applyFont="1" applyFill="1" applyAlignment="1">
      <alignment horizontal="left" vertical="center"/>
    </xf>
    <xf numFmtId="0" fontId="2" fillId="54" borderId="0" xfId="0" applyFont="1" applyFill="1" applyProtection="1">
      <protection locked="0"/>
    </xf>
    <xf numFmtId="0" fontId="31" fillId="53" borderId="0" xfId="0" applyFont="1" applyFill="1" applyAlignment="1">
      <alignment vertical="center"/>
    </xf>
    <xf numFmtId="0" fontId="39" fillId="12" borderId="22" xfId="0" applyFont="1" applyFill="1" applyBorder="1" applyAlignment="1">
      <alignment horizontal="left" vertical="center" indent="1"/>
    </xf>
    <xf numFmtId="0" fontId="39" fillId="12" borderId="91" xfId="0" applyFont="1" applyFill="1" applyBorder="1" applyAlignment="1">
      <alignment horizontal="left" vertical="center" indent="1"/>
    </xf>
    <xf numFmtId="0" fontId="84" fillId="8" borderId="0" xfId="0" applyFont="1" applyFill="1"/>
    <xf numFmtId="0" fontId="26" fillId="25" borderId="50" xfId="0" applyFont="1" applyFill="1" applyBorder="1" applyAlignment="1">
      <alignment horizontal="center" vertical="center"/>
    </xf>
    <xf numFmtId="0" fontId="26" fillId="25" borderId="49" xfId="0" applyFont="1" applyFill="1" applyBorder="1" applyAlignment="1">
      <alignment horizontal="center" vertical="center"/>
    </xf>
    <xf numFmtId="2" fontId="26" fillId="0" borderId="49" xfId="0" applyNumberFormat="1" applyFont="1" applyBorder="1" applyAlignment="1">
      <alignment horizontal="right" vertical="center"/>
    </xf>
    <xf numFmtId="2" fontId="26" fillId="0" borderId="122" xfId="0" applyNumberFormat="1" applyFont="1" applyBorder="1" applyAlignment="1">
      <alignment vertical="center"/>
    </xf>
    <xf numFmtId="0" fontId="26" fillId="0" borderId="53" xfId="0" applyFont="1" applyBorder="1" applyAlignment="1" applyProtection="1">
      <alignment horizontal="center" vertical="center"/>
      <protection locked="0"/>
    </xf>
    <xf numFmtId="166" fontId="2" fillId="28" borderId="91" xfId="0" applyNumberFormat="1" applyFont="1" applyFill="1" applyBorder="1"/>
    <xf numFmtId="0" fontId="14" fillId="12" borderId="17" xfId="0" applyFont="1" applyFill="1" applyBorder="1" applyAlignment="1">
      <alignment horizontal="center" vertical="center"/>
    </xf>
    <xf numFmtId="0" fontId="15" fillId="12" borderId="15" xfId="0" applyFont="1" applyFill="1" applyBorder="1" applyAlignment="1">
      <alignment horizontal="center" vertical="center"/>
    </xf>
    <xf numFmtId="0" fontId="15" fillId="12" borderId="0" xfId="0" applyFont="1" applyFill="1" applyAlignment="1">
      <alignment horizontal="center" vertical="center"/>
    </xf>
    <xf numFmtId="0" fontId="0" fillId="0" borderId="16" xfId="0" applyBorder="1" applyAlignment="1">
      <alignment vertical="center"/>
    </xf>
    <xf numFmtId="0" fontId="20" fillId="12" borderId="64" xfId="0" applyFont="1" applyFill="1" applyBorder="1" applyAlignment="1">
      <alignment horizontal="center" vertical="center"/>
    </xf>
    <xf numFmtId="0" fontId="20" fillId="12" borderId="39" xfId="0" applyFont="1" applyFill="1" applyBorder="1" applyAlignment="1">
      <alignment horizontal="center" vertical="center"/>
    </xf>
    <xf numFmtId="0" fontId="20" fillId="12" borderId="24" xfId="0" applyFont="1" applyFill="1" applyBorder="1" applyAlignment="1">
      <alignment horizontal="center" vertical="center"/>
    </xf>
    <xf numFmtId="0" fontId="32" fillId="20" borderId="45" xfId="0" applyFont="1" applyFill="1" applyBorder="1" applyAlignment="1">
      <alignment horizontal="center" vertical="top" wrapText="1"/>
    </xf>
    <xf numFmtId="0" fontId="32" fillId="21" borderId="46" xfId="0" applyFont="1" applyFill="1" applyBorder="1" applyAlignment="1">
      <alignment horizontal="center" vertical="top" wrapText="1"/>
    </xf>
    <xf numFmtId="0" fontId="32" fillId="21" borderId="40" xfId="0" applyFont="1" applyFill="1" applyBorder="1" applyAlignment="1">
      <alignment horizontal="center" vertical="top" wrapText="1"/>
    </xf>
    <xf numFmtId="0" fontId="32" fillId="21" borderId="41" xfId="0" applyFont="1" applyFill="1" applyBorder="1" applyAlignment="1">
      <alignment horizontal="center" vertical="top" wrapText="1"/>
    </xf>
    <xf numFmtId="0" fontId="25" fillId="12" borderId="17" xfId="0" applyFont="1" applyFill="1" applyBorder="1" applyAlignment="1">
      <alignment horizontal="left" vertical="center" wrapText="1" indent="1"/>
    </xf>
    <xf numFmtId="0" fontId="25" fillId="12" borderId="15" xfId="0" applyFont="1" applyFill="1" applyBorder="1" applyAlignment="1">
      <alignment horizontal="left" vertical="center" wrapText="1" indent="1"/>
    </xf>
    <xf numFmtId="0" fontId="25" fillId="12" borderId="16" xfId="0" applyFont="1" applyFill="1" applyBorder="1" applyAlignment="1">
      <alignment horizontal="left" vertical="center" wrapText="1" indent="1"/>
    </xf>
    <xf numFmtId="0" fontId="20" fillId="24" borderId="101" xfId="0" applyFont="1" applyFill="1" applyBorder="1" applyAlignment="1">
      <alignment horizontal="center" vertical="top" wrapText="1"/>
    </xf>
    <xf numFmtId="0" fontId="20" fillId="23" borderId="0" xfId="0" applyFont="1" applyFill="1" applyAlignment="1">
      <alignment horizontal="center" vertical="top" wrapText="1"/>
    </xf>
    <xf numFmtId="0" fontId="0" fillId="23" borderId="0" xfId="0" applyFill="1" applyAlignment="1">
      <alignment vertical="top" wrapText="1"/>
    </xf>
    <xf numFmtId="0" fontId="0" fillId="23" borderId="102" xfId="0" applyFill="1" applyBorder="1" applyAlignment="1">
      <alignment vertical="top" wrapText="1"/>
    </xf>
    <xf numFmtId="0" fontId="21" fillId="12" borderId="124" xfId="0" applyFont="1" applyFill="1" applyBorder="1" applyAlignment="1">
      <alignment horizontal="left" vertical="center"/>
    </xf>
    <xf numFmtId="0" fontId="0" fillId="0" borderId="108" xfId="0" applyBorder="1" applyAlignment="1">
      <alignment horizontal="left" vertical="center"/>
    </xf>
    <xf numFmtId="0" fontId="39" fillId="12" borderId="23" xfId="0" applyFont="1" applyFill="1" applyBorder="1" applyAlignment="1">
      <alignment horizontal="center" vertical="center"/>
    </xf>
    <xf numFmtId="0" fontId="39" fillId="12" borderId="17" xfId="0" applyFont="1" applyFill="1" applyBorder="1" applyAlignment="1">
      <alignment horizontal="center" vertical="center"/>
    </xf>
    <xf numFmtId="0" fontId="39" fillId="12" borderId="23" xfId="0" applyFont="1" applyFill="1" applyBorder="1" applyAlignment="1">
      <alignment horizontal="left" vertical="center" indent="1"/>
    </xf>
    <xf numFmtId="0" fontId="39" fillId="0" borderId="0" xfId="0" applyFont="1" applyAlignment="1">
      <alignment horizontal="left" vertical="center" indent="1"/>
    </xf>
    <xf numFmtId="0" fontId="39" fillId="12" borderId="17" xfId="0" applyFont="1" applyFill="1" applyBorder="1" applyAlignment="1">
      <alignment horizontal="left" vertical="center" indent="1"/>
    </xf>
    <xf numFmtId="0" fontId="39" fillId="0" borderId="70" xfId="0" applyFont="1" applyBorder="1" applyAlignment="1">
      <alignment horizontal="left" vertical="center" indent="1"/>
    </xf>
    <xf numFmtId="0" fontId="14" fillId="12" borderId="96" xfId="0" applyFont="1" applyFill="1" applyBorder="1" applyAlignment="1">
      <alignment horizontal="center" vertical="center"/>
    </xf>
    <xf numFmtId="0" fontId="0" fillId="0" borderId="97" xfId="0" applyBorder="1" applyAlignment="1">
      <alignment vertical="center"/>
    </xf>
    <xf numFmtId="0" fontId="0" fillId="0" borderId="98" xfId="0" applyBorder="1" applyAlignment="1">
      <alignment vertical="center"/>
    </xf>
    <xf numFmtId="0" fontId="0" fillId="0" borderId="92" xfId="0" applyBorder="1" applyAlignment="1">
      <alignment vertical="center"/>
    </xf>
    <xf numFmtId="0" fontId="0" fillId="0" borderId="103" xfId="0" applyBorder="1" applyAlignment="1">
      <alignment vertical="center"/>
    </xf>
    <xf numFmtId="0" fontId="0" fillId="0" borderId="0" xfId="0" applyAlignment="1">
      <alignment vertical="center"/>
    </xf>
    <xf numFmtId="0" fontId="0" fillId="0" borderId="102" xfId="0" applyBorder="1" applyAlignment="1">
      <alignment vertical="center"/>
    </xf>
    <xf numFmtId="0" fontId="20" fillId="24" borderId="104" xfId="0" applyFont="1" applyFill="1" applyBorder="1" applyAlignment="1">
      <alignment horizontal="center" vertical="center" wrapText="1"/>
    </xf>
    <xf numFmtId="0" fontId="20" fillId="23" borderId="105" xfId="0" applyFont="1" applyFill="1" applyBorder="1" applyAlignment="1">
      <alignment horizontal="center" vertical="center" wrapText="1"/>
    </xf>
    <xf numFmtId="0" fontId="0" fillId="23" borderId="105" xfId="0" applyFill="1" applyBorder="1" applyAlignment="1">
      <alignment vertical="center" wrapText="1"/>
    </xf>
    <xf numFmtId="0" fontId="32" fillId="21" borderId="45" xfId="0" applyFont="1" applyFill="1" applyBorder="1" applyAlignment="1">
      <alignment horizontal="center" vertical="top" wrapText="1"/>
    </xf>
    <xf numFmtId="0" fontId="28" fillId="7" borderId="39" xfId="0" applyFont="1" applyFill="1" applyBorder="1" applyAlignment="1">
      <alignment horizontal="center" vertical="center" wrapText="1"/>
    </xf>
    <xf numFmtId="10" fontId="25" fillId="15" borderId="51" xfId="0" applyNumberFormat="1" applyFont="1" applyFill="1" applyBorder="1" applyAlignment="1" applyProtection="1">
      <alignment horizontal="left" vertical="center"/>
      <protection locked="0"/>
    </xf>
    <xf numFmtId="0" fontId="27" fillId="15" borderId="112" xfId="0" applyFont="1" applyFill="1" applyBorder="1" applyAlignment="1">
      <alignment horizontal="left" vertical="center"/>
    </xf>
    <xf numFmtId="0" fontId="25" fillId="15" borderId="51" xfId="0" applyFont="1" applyFill="1" applyBorder="1" applyAlignment="1">
      <alignment horizontal="center" vertical="center"/>
    </xf>
    <xf numFmtId="0" fontId="25" fillId="15" borderId="127" xfId="0" applyFont="1" applyFill="1" applyBorder="1" applyAlignment="1">
      <alignment horizontal="center" vertical="center"/>
    </xf>
    <xf numFmtId="0" fontId="25" fillId="23" borderId="124" xfId="0" applyFont="1" applyFill="1" applyBorder="1" applyAlignment="1">
      <alignment horizontal="left" vertical="center" indent="1"/>
    </xf>
    <xf numFmtId="0" fontId="21" fillId="23" borderId="125" xfId="0" applyFont="1" applyFill="1" applyBorder="1" applyAlignment="1">
      <alignment horizontal="left" vertical="center" indent="1"/>
    </xf>
    <xf numFmtId="2" fontId="26" fillId="0" borderId="113" xfId="0" applyNumberFormat="1" applyFont="1" applyBorder="1" applyAlignment="1" applyProtection="1">
      <alignment horizontal="right" vertical="center"/>
      <protection locked="0"/>
    </xf>
    <xf numFmtId="2" fontId="26" fillId="0" borderId="111" xfId="0" applyNumberFormat="1" applyFont="1" applyBorder="1" applyAlignment="1" applyProtection="1">
      <alignment horizontal="right" vertical="center"/>
      <protection locked="0"/>
    </xf>
    <xf numFmtId="0" fontId="25" fillId="12" borderId="13" xfId="0" applyFont="1" applyFill="1" applyBorder="1" applyAlignment="1">
      <alignment horizontal="left" vertical="center" wrapText="1" indent="1"/>
    </xf>
    <xf numFmtId="0" fontId="21" fillId="12" borderId="13" xfId="0" applyFont="1" applyFill="1" applyBorder="1" applyAlignment="1">
      <alignment horizontal="left" vertical="center" indent="1"/>
    </xf>
    <xf numFmtId="0" fontId="21" fillId="12" borderId="22" xfId="0" applyFont="1" applyFill="1" applyBorder="1" applyAlignment="1">
      <alignment horizontal="left" vertical="center" indent="1"/>
    </xf>
    <xf numFmtId="2" fontId="60" fillId="0" borderId="50" xfId="0" applyNumberFormat="1" applyFont="1" applyBorder="1" applyAlignment="1" applyProtection="1">
      <alignment horizontal="right" vertical="center"/>
      <protection locked="0"/>
    </xf>
    <xf numFmtId="2" fontId="60" fillId="0" borderId="101" xfId="0" applyNumberFormat="1" applyFont="1" applyBorder="1" applyAlignment="1" applyProtection="1">
      <alignment horizontal="right" vertical="center"/>
      <protection locked="0"/>
    </xf>
    <xf numFmtId="0" fontId="14" fillId="12" borderId="64" xfId="0" applyFont="1" applyFill="1" applyBorder="1" applyAlignment="1">
      <alignment horizontal="center" vertical="center"/>
    </xf>
    <xf numFmtId="0" fontId="15" fillId="12" borderId="39" xfId="0" applyFont="1" applyFill="1" applyBorder="1" applyAlignment="1">
      <alignment horizontal="center" vertical="center"/>
    </xf>
    <xf numFmtId="0" fontId="0" fillId="0" borderId="24" xfId="0" applyBorder="1" applyAlignment="1">
      <alignment vertical="center"/>
    </xf>
    <xf numFmtId="0" fontId="15" fillId="12" borderId="23" xfId="0" applyFont="1" applyFill="1" applyBorder="1" applyAlignment="1">
      <alignment horizontal="center" vertical="center"/>
    </xf>
    <xf numFmtId="0" fontId="0" fillId="0" borderId="20" xfId="0" applyBorder="1" applyAlignment="1">
      <alignment vertical="center"/>
    </xf>
    <xf numFmtId="0" fontId="0" fillId="12" borderId="17" xfId="0" applyFill="1" applyBorder="1" applyAlignment="1">
      <alignment vertical="center"/>
    </xf>
    <xf numFmtId="0" fontId="0" fillId="12" borderId="15" xfId="0" applyFill="1" applyBorder="1" applyAlignment="1">
      <alignment vertical="center"/>
    </xf>
    <xf numFmtId="0" fontId="0" fillId="12" borderId="0" xfId="0" applyFill="1" applyAlignment="1">
      <alignment vertical="center"/>
    </xf>
    <xf numFmtId="2" fontId="21" fillId="26" borderId="50" xfId="0" applyNumberFormat="1" applyFont="1" applyFill="1" applyBorder="1" applyAlignment="1">
      <alignment horizontal="right" vertical="center" wrapText="1"/>
    </xf>
    <xf numFmtId="0" fontId="21" fillId="0" borderId="17" xfId="0" applyFont="1" applyBorder="1" applyAlignment="1">
      <alignment vertical="center"/>
    </xf>
    <xf numFmtId="0" fontId="0" fillId="22" borderId="51" xfId="0" applyFill="1" applyBorder="1" applyAlignment="1">
      <alignment horizontal="left" vertical="center" wrapText="1"/>
    </xf>
    <xf numFmtId="0" fontId="0" fillId="0" borderId="66" xfId="0" applyBorder="1" applyAlignment="1">
      <alignment vertical="center"/>
    </xf>
    <xf numFmtId="0" fontId="26" fillId="24" borderId="96" xfId="0" applyFont="1" applyFill="1" applyBorder="1" applyAlignment="1">
      <alignment horizontal="left" vertical="center" indent="1" shrinkToFit="1"/>
    </xf>
    <xf numFmtId="0" fontId="26" fillId="0" borderId="97" xfId="0" applyFont="1" applyBorder="1" applyAlignment="1">
      <alignment horizontal="left" vertical="center" indent="1" shrinkToFit="1"/>
    </xf>
    <xf numFmtId="0" fontId="26" fillId="0" borderId="98" xfId="0" applyFont="1" applyBorder="1" applyAlignment="1">
      <alignment horizontal="left" vertical="center" indent="1" shrinkToFit="1"/>
    </xf>
    <xf numFmtId="0" fontId="26" fillId="0" borderId="92" xfId="0" applyFont="1" applyBorder="1" applyAlignment="1">
      <alignment horizontal="left" vertical="center" indent="1" shrinkToFit="1"/>
    </xf>
    <xf numFmtId="0" fontId="26" fillId="0" borderId="70" xfId="0" applyFont="1" applyBorder="1" applyAlignment="1">
      <alignment horizontal="left" vertical="center" indent="1" shrinkToFit="1"/>
    </xf>
    <xf numFmtId="0" fontId="26" fillId="0" borderId="93" xfId="0" applyFont="1" applyBorder="1" applyAlignment="1">
      <alignment horizontal="left" vertical="center" indent="1" shrinkToFit="1"/>
    </xf>
    <xf numFmtId="0" fontId="32" fillId="20" borderId="94" xfId="0" applyFont="1" applyFill="1" applyBorder="1" applyAlignment="1">
      <alignment horizontal="center" vertical="center" wrapText="1"/>
    </xf>
    <xf numFmtId="0" fontId="0" fillId="0" borderId="95" xfId="0" applyBorder="1" applyAlignment="1">
      <alignment horizontal="center" vertical="center" wrapText="1"/>
    </xf>
    <xf numFmtId="0" fontId="0" fillId="0" borderId="40" xfId="0" applyBorder="1" applyAlignment="1">
      <alignment horizontal="center" vertical="center" wrapText="1"/>
    </xf>
    <xf numFmtId="0" fontId="0" fillId="0" borderId="41" xfId="0" applyBorder="1" applyAlignment="1">
      <alignment horizontal="center" vertical="center" wrapText="1"/>
    </xf>
    <xf numFmtId="0" fontId="32" fillId="20" borderId="40" xfId="0" applyFont="1" applyFill="1" applyBorder="1" applyAlignment="1">
      <alignment horizontal="center" vertical="top" wrapText="1"/>
    </xf>
    <xf numFmtId="0" fontId="0" fillId="0" borderId="41" xfId="0" applyBorder="1" applyAlignment="1">
      <alignment horizontal="center" wrapText="1"/>
    </xf>
    <xf numFmtId="0" fontId="25" fillId="23" borderId="22" xfId="0" applyFont="1" applyFill="1" applyBorder="1" applyAlignment="1">
      <alignment horizontal="left" vertical="center" indent="1"/>
    </xf>
    <xf numFmtId="0" fontId="21" fillId="23" borderId="28" xfId="0" applyFont="1" applyFill="1" applyBorder="1" applyAlignment="1">
      <alignment horizontal="left" vertical="center" indent="1"/>
    </xf>
    <xf numFmtId="0" fontId="25" fillId="23" borderId="125" xfId="0" applyFont="1" applyFill="1" applyBorder="1" applyAlignment="1">
      <alignment horizontal="left" vertical="center" indent="1"/>
    </xf>
    <xf numFmtId="0" fontId="25" fillId="23" borderId="108" xfId="0" applyFont="1" applyFill="1" applyBorder="1" applyAlignment="1">
      <alignment horizontal="left" vertical="center" indent="1"/>
    </xf>
    <xf numFmtId="0" fontId="28" fillId="7" borderId="0" xfId="0" applyFont="1" applyFill="1" applyAlignment="1">
      <alignment horizontal="left" vertical="center" wrapText="1" indent="1"/>
    </xf>
    <xf numFmtId="0" fontId="56" fillId="52" borderId="31" xfId="0" applyFont="1" applyFill="1" applyBorder="1" applyAlignment="1">
      <alignment horizontal="center" vertical="center"/>
    </xf>
    <xf numFmtId="0" fontId="56" fillId="52" borderId="32" xfId="0" applyFont="1" applyFill="1" applyBorder="1" applyAlignment="1">
      <alignment horizontal="center" vertical="center"/>
    </xf>
    <xf numFmtId="0" fontId="56" fillId="52" borderId="33" xfId="0" applyFont="1" applyFill="1" applyBorder="1" applyAlignment="1">
      <alignment horizontal="center" vertical="center"/>
    </xf>
    <xf numFmtId="0" fontId="56" fillId="52" borderId="34" xfId="0" applyFont="1" applyFill="1" applyBorder="1" applyAlignment="1">
      <alignment horizontal="center" vertical="center"/>
    </xf>
    <xf numFmtId="0" fontId="56" fillId="52" borderId="0" xfId="0" applyFont="1" applyFill="1" applyAlignment="1">
      <alignment horizontal="center" vertical="center"/>
    </xf>
    <xf numFmtId="0" fontId="56" fillId="52" borderId="35" xfId="0" applyFont="1" applyFill="1" applyBorder="1" applyAlignment="1">
      <alignment horizontal="center" vertical="center"/>
    </xf>
    <xf numFmtId="0" fontId="56" fillId="7" borderId="31" xfId="0" applyFont="1" applyFill="1" applyBorder="1" applyAlignment="1">
      <alignment horizontal="center" vertical="center"/>
    </xf>
    <xf numFmtId="0" fontId="56" fillId="7" borderId="32" xfId="0" applyFont="1" applyFill="1" applyBorder="1" applyAlignment="1">
      <alignment horizontal="center" vertical="center"/>
    </xf>
    <xf numFmtId="0" fontId="56" fillId="0" borderId="32" xfId="0" applyFont="1" applyBorder="1" applyAlignment="1">
      <alignment horizontal="center" vertical="center"/>
    </xf>
    <xf numFmtId="0" fontId="56" fillId="0" borderId="33" xfId="0" applyFont="1" applyBorder="1" applyAlignment="1">
      <alignment horizontal="center" vertical="center"/>
    </xf>
    <xf numFmtId="0" fontId="56" fillId="7" borderId="34" xfId="0" applyFont="1" applyFill="1" applyBorder="1" applyAlignment="1">
      <alignment horizontal="center" vertical="center"/>
    </xf>
    <xf numFmtId="0" fontId="56" fillId="7" borderId="0" xfId="0" applyFont="1" applyFill="1" applyAlignment="1">
      <alignment horizontal="center" vertical="center"/>
    </xf>
    <xf numFmtId="0" fontId="56" fillId="0" borderId="0" xfId="0" applyFont="1" applyAlignment="1">
      <alignment horizontal="center" vertical="center"/>
    </xf>
    <xf numFmtId="0" fontId="56" fillId="0" borderId="35" xfId="0" applyFont="1" applyBorder="1" applyAlignment="1">
      <alignment horizontal="center" vertical="center"/>
    </xf>
    <xf numFmtId="0" fontId="56" fillId="7" borderId="34" xfId="0" applyFont="1" applyFill="1" applyBorder="1" applyAlignment="1">
      <alignment horizontal="center"/>
    </xf>
    <xf numFmtId="0" fontId="0" fillId="0" borderId="0" xfId="0"/>
    <xf numFmtId="0" fontId="0" fillId="0" borderId="35" xfId="0" applyBorder="1"/>
    <xf numFmtId="0" fontId="0" fillId="0" borderId="34" xfId="0" applyBorder="1"/>
    <xf numFmtId="0" fontId="0" fillId="12" borderId="22" xfId="0" applyFill="1" applyBorder="1" applyAlignment="1">
      <alignment vertical="center"/>
    </xf>
    <xf numFmtId="0" fontId="0" fillId="12" borderId="28" xfId="0" applyFill="1" applyBorder="1" applyAlignment="1">
      <alignment vertical="center"/>
    </xf>
    <xf numFmtId="0" fontId="0" fillId="12" borderId="39" xfId="0" applyFill="1" applyBorder="1" applyAlignment="1">
      <alignment vertical="center"/>
    </xf>
    <xf numFmtId="0" fontId="20" fillId="12" borderId="13" xfId="0" applyFont="1" applyFill="1" applyBorder="1" applyAlignment="1">
      <alignment horizontal="center" vertical="center"/>
    </xf>
    <xf numFmtId="0" fontId="21" fillId="12" borderId="13" xfId="0" applyFont="1" applyFill="1" applyBorder="1" applyAlignment="1">
      <alignment horizontal="center" vertical="center"/>
    </xf>
    <xf numFmtId="0" fontId="21" fillId="12" borderId="19" xfId="0" applyFont="1" applyFill="1" applyBorder="1" applyAlignment="1">
      <alignment horizontal="center" vertical="center"/>
    </xf>
    <xf numFmtId="0" fontId="0" fillId="0" borderId="19" xfId="0" applyBorder="1" applyAlignment="1">
      <alignment vertical="center"/>
    </xf>
    <xf numFmtId="0" fontId="39" fillId="12" borderId="64" xfId="0" applyFont="1" applyFill="1" applyBorder="1" applyAlignment="1">
      <alignment horizontal="center" vertical="center"/>
    </xf>
    <xf numFmtId="0" fontId="39" fillId="12" borderId="39" xfId="0" applyFont="1" applyFill="1" applyBorder="1" applyAlignment="1">
      <alignment horizontal="center" vertical="center"/>
    </xf>
    <xf numFmtId="0" fontId="9" fillId="0" borderId="24" xfId="0" applyFont="1" applyBorder="1" applyAlignment="1">
      <alignment vertical="center"/>
    </xf>
    <xf numFmtId="0" fontId="39" fillId="12" borderId="16" xfId="0" applyFont="1" applyFill="1" applyBorder="1" applyAlignment="1">
      <alignment horizontal="left" vertical="center" indent="1"/>
    </xf>
    <xf numFmtId="0" fontId="9" fillId="0" borderId="17" xfId="0" applyFont="1" applyBorder="1" applyAlignment="1">
      <alignment horizontal="left" vertical="center" indent="1"/>
    </xf>
    <xf numFmtId="0" fontId="39" fillId="27" borderId="101" xfId="0" applyFont="1" applyFill="1" applyBorder="1" applyAlignment="1">
      <alignment horizontal="center" vertical="center"/>
    </xf>
    <xf numFmtId="0" fontId="39" fillId="27" borderId="68" xfId="0" applyFont="1" applyFill="1" applyBorder="1" applyAlignment="1">
      <alignment horizontal="center" vertical="center"/>
    </xf>
    <xf numFmtId="0" fontId="39" fillId="27" borderId="69" xfId="0" applyFont="1" applyFill="1" applyBorder="1" applyAlignment="1">
      <alignment vertical="center"/>
    </xf>
    <xf numFmtId="0" fontId="25" fillId="27" borderId="104" xfId="0" applyFont="1" applyFill="1" applyBorder="1" applyAlignment="1">
      <alignment horizontal="center" vertical="center" wrapText="1"/>
    </xf>
    <xf numFmtId="0" fontId="25" fillId="27" borderId="105" xfId="0" applyFont="1" applyFill="1" applyBorder="1" applyAlignment="1">
      <alignment horizontal="center" vertical="center" wrapText="1"/>
    </xf>
    <xf numFmtId="0" fontId="19" fillId="0" borderId="98" xfId="0" applyFont="1" applyBorder="1" applyAlignment="1">
      <alignment horizontal="center" vertical="center" wrapText="1"/>
    </xf>
    <xf numFmtId="0" fontId="7" fillId="0" borderId="0" xfId="0" applyFont="1" applyAlignment="1" applyProtection="1">
      <alignment horizontal="center" vertical="center" wrapText="1"/>
      <protection locked="0"/>
    </xf>
    <xf numFmtId="0" fontId="0" fillId="0" borderId="0" xfId="0" applyAlignment="1" applyProtection="1">
      <alignment horizontal="center" vertical="center"/>
      <protection locked="0"/>
    </xf>
    <xf numFmtId="0" fontId="26" fillId="0" borderId="53" xfId="0" quotePrefix="1" applyFont="1" applyBorder="1" applyAlignment="1" applyProtection="1">
      <alignment horizontal="center" vertical="center"/>
      <protection locked="0"/>
    </xf>
    <xf numFmtId="0" fontId="26" fillId="0" borderId="65" xfId="0" applyFont="1" applyBorder="1" applyAlignment="1" applyProtection="1">
      <alignment vertical="center"/>
      <protection locked="0"/>
    </xf>
    <xf numFmtId="0" fontId="25" fillId="12" borderId="64" xfId="0" applyFont="1" applyFill="1" applyBorder="1" applyAlignment="1">
      <alignment horizontal="left" vertical="center" wrapText="1" indent="1"/>
    </xf>
    <xf numFmtId="0" fontId="21" fillId="12" borderId="39" xfId="0" applyFont="1" applyFill="1" applyBorder="1" applyAlignment="1">
      <alignment horizontal="left" vertical="center" wrapText="1" indent="1"/>
    </xf>
    <xf numFmtId="0" fontId="21" fillId="0" borderId="39" xfId="0" applyFont="1" applyBorder="1" applyAlignment="1">
      <alignment horizontal="left" vertical="center" wrapText="1" indent="1"/>
    </xf>
    <xf numFmtId="0" fontId="21" fillId="12" borderId="17" xfId="0" applyFont="1" applyFill="1" applyBorder="1" applyAlignment="1">
      <alignment horizontal="left" vertical="center" wrapText="1" indent="1"/>
    </xf>
    <xf numFmtId="0" fontId="21" fillId="12" borderId="15" xfId="0" applyFont="1" applyFill="1" applyBorder="1" applyAlignment="1">
      <alignment horizontal="left" vertical="center" wrapText="1" indent="1"/>
    </xf>
    <xf numFmtId="0" fontId="21" fillId="0" borderId="15" xfId="0" applyFont="1" applyBorder="1" applyAlignment="1">
      <alignment horizontal="left" vertical="center" wrapText="1" indent="1"/>
    </xf>
    <xf numFmtId="0" fontId="56" fillId="0" borderId="32" xfId="0" applyFont="1" applyBorder="1" applyAlignment="1">
      <alignment vertical="center"/>
    </xf>
    <xf numFmtId="0" fontId="56" fillId="7" borderId="70" xfId="0" applyFont="1" applyFill="1" applyBorder="1" applyAlignment="1">
      <alignment horizontal="center"/>
    </xf>
    <xf numFmtId="0" fontId="56" fillId="0" borderId="70" xfId="0" applyFont="1" applyBorder="1" applyAlignment="1">
      <alignment horizontal="center"/>
    </xf>
    <xf numFmtId="0" fontId="56" fillId="0" borderId="70" xfId="0" applyFont="1" applyBorder="1"/>
    <xf numFmtId="0" fontId="25" fillId="12" borderId="23" xfId="0" applyFont="1" applyFill="1" applyBorder="1" applyAlignment="1">
      <alignment horizontal="left" vertical="center" indent="1"/>
    </xf>
    <xf numFmtId="0" fontId="25" fillId="12" borderId="0" xfId="0" applyFont="1" applyFill="1" applyAlignment="1">
      <alignment horizontal="left" vertical="center" indent="1"/>
    </xf>
    <xf numFmtId="0" fontId="21" fillId="0" borderId="20" xfId="0" applyFont="1" applyBorder="1" applyAlignment="1">
      <alignment horizontal="left" vertical="center" indent="1"/>
    </xf>
    <xf numFmtId="0" fontId="23" fillId="0" borderId="0" xfId="0" applyFont="1" applyAlignment="1" applyProtection="1">
      <alignment horizontal="center" vertical="center" wrapText="1"/>
      <protection locked="0"/>
    </xf>
    <xf numFmtId="0" fontId="25" fillId="12" borderId="22" xfId="0" applyFont="1" applyFill="1" applyBorder="1" applyAlignment="1">
      <alignment horizontal="left" vertical="center" indent="1"/>
    </xf>
    <xf numFmtId="0" fontId="25" fillId="12" borderId="28" xfId="0" applyFont="1" applyFill="1" applyBorder="1" applyAlignment="1">
      <alignment horizontal="left" vertical="center" indent="1"/>
    </xf>
    <xf numFmtId="0" fontId="21" fillId="0" borderId="14" xfId="0" applyFont="1" applyBorder="1" applyAlignment="1">
      <alignment horizontal="left" vertical="center" indent="1"/>
    </xf>
    <xf numFmtId="0" fontId="21" fillId="0" borderId="22" xfId="0" applyFont="1" applyBorder="1" applyAlignment="1">
      <alignment horizontal="left" vertical="center" wrapText="1" indent="1"/>
    </xf>
    <xf numFmtId="0" fontId="21" fillId="12" borderId="13" xfId="0" applyFont="1" applyFill="1" applyBorder="1" applyAlignment="1">
      <alignment horizontal="left" vertical="center" wrapText="1" indent="1"/>
    </xf>
    <xf numFmtId="0" fontId="26" fillId="0" borderId="53" xfId="0" applyFont="1" applyBorder="1" applyAlignment="1" applyProtection="1">
      <alignment horizontal="center" vertical="center"/>
      <protection locked="0"/>
    </xf>
    <xf numFmtId="0" fontId="25" fillId="12" borderId="104" xfId="0" applyFont="1" applyFill="1" applyBorder="1" applyAlignment="1">
      <alignment horizontal="left" vertical="center" wrapText="1" indent="1"/>
    </xf>
    <xf numFmtId="0" fontId="25" fillId="12" borderId="105" xfId="0" applyFont="1" applyFill="1" applyBorder="1" applyAlignment="1">
      <alignment horizontal="left" vertical="center" wrapText="1" indent="1"/>
    </xf>
    <xf numFmtId="0" fontId="21" fillId="0" borderId="98" xfId="0" applyFont="1" applyBorder="1" applyAlignment="1">
      <alignment horizontal="left" vertical="center" wrapText="1" indent="1"/>
    </xf>
    <xf numFmtId="0" fontId="0" fillId="0" borderId="109" xfId="0" applyBorder="1" applyAlignment="1">
      <alignment horizontal="left" vertical="center" wrapText="1" indent="1"/>
    </xf>
    <xf numFmtId="0" fontId="0" fillId="0" borderId="103" xfId="0" applyBorder="1" applyAlignment="1">
      <alignment horizontal="left" vertical="center" wrapText="1" indent="1"/>
    </xf>
    <xf numFmtId="0" fontId="0" fillId="0" borderId="93" xfId="0" applyBorder="1" applyAlignment="1">
      <alignment horizontal="left" vertical="center" wrapText="1" indent="1"/>
    </xf>
    <xf numFmtId="0" fontId="29" fillId="8" borderId="0" xfId="0" applyFont="1" applyFill="1" applyAlignment="1">
      <alignment horizontal="center" vertical="center" textRotation="90"/>
    </xf>
    <xf numFmtId="0" fontId="32" fillId="20" borderId="45" xfId="0" applyFont="1" applyFill="1" applyBorder="1" applyAlignment="1">
      <alignment horizontal="center" vertical="center" wrapText="1"/>
    </xf>
    <xf numFmtId="0" fontId="32" fillId="20" borderId="46" xfId="0" applyFont="1" applyFill="1" applyBorder="1" applyAlignment="1">
      <alignment horizontal="center" vertical="center" wrapText="1"/>
    </xf>
    <xf numFmtId="0" fontId="32" fillId="20" borderId="40" xfId="0" applyFont="1" applyFill="1" applyBorder="1" applyAlignment="1">
      <alignment horizontal="center" vertical="center" wrapText="1"/>
    </xf>
    <xf numFmtId="0" fontId="32" fillId="20" borderId="41" xfId="0" applyFont="1" applyFill="1" applyBorder="1" applyAlignment="1">
      <alignment horizontal="center" vertical="center" wrapText="1"/>
    </xf>
    <xf numFmtId="0" fontId="21" fillId="12" borderId="28" xfId="0" applyFont="1" applyFill="1" applyBorder="1" applyAlignment="1">
      <alignment horizontal="left" vertical="center" indent="1"/>
    </xf>
    <xf numFmtId="0" fontId="56" fillId="7" borderId="32" xfId="0" applyFont="1" applyFill="1" applyBorder="1" applyAlignment="1">
      <alignment horizontal="center"/>
    </xf>
    <xf numFmtId="0" fontId="56" fillId="7" borderId="0" xfId="0" applyFont="1" applyFill="1" applyAlignment="1">
      <alignment horizontal="center"/>
    </xf>
    <xf numFmtId="0" fontId="57" fillId="7" borderId="32" xfId="0" applyFont="1" applyFill="1" applyBorder="1" applyAlignment="1">
      <alignment horizontal="center" vertical="center"/>
    </xf>
    <xf numFmtId="0" fontId="57" fillId="7" borderId="0" xfId="0" applyFont="1" applyFill="1" applyAlignment="1">
      <alignment horizontal="center" vertical="center"/>
    </xf>
    <xf numFmtId="0" fontId="14" fillId="12" borderId="39" xfId="0" applyFont="1" applyFill="1" applyBorder="1" applyAlignment="1">
      <alignment horizontal="center" vertical="center"/>
    </xf>
    <xf numFmtId="0" fontId="14" fillId="0" borderId="24" xfId="0" applyFont="1" applyBorder="1"/>
    <xf numFmtId="0" fontId="14" fillId="12" borderId="23" xfId="0" applyFont="1" applyFill="1" applyBorder="1" applyAlignment="1">
      <alignment horizontal="center" vertical="center"/>
    </xf>
    <xf numFmtId="0" fontId="14" fillId="12" borderId="0" xfId="0" applyFont="1" applyFill="1" applyAlignment="1">
      <alignment horizontal="center" vertical="center"/>
    </xf>
    <xf numFmtId="0" fontId="14" fillId="0" borderId="20" xfId="0" applyFont="1" applyBorder="1"/>
    <xf numFmtId="0" fontId="39" fillId="12" borderId="22" xfId="0" applyFont="1" applyFill="1" applyBorder="1" applyAlignment="1">
      <alignment horizontal="center" vertical="center"/>
    </xf>
    <xf numFmtId="0" fontId="39" fillId="12" borderId="28" xfId="0" applyFont="1" applyFill="1" applyBorder="1" applyAlignment="1">
      <alignment horizontal="center" vertical="center"/>
    </xf>
    <xf numFmtId="0" fontId="9" fillId="0" borderId="39" xfId="0" applyFont="1" applyBorder="1" applyAlignment="1">
      <alignment horizontal="center" vertical="center"/>
    </xf>
    <xf numFmtId="0" fontId="14" fillId="12" borderId="91" xfId="0" applyFont="1" applyFill="1" applyBorder="1" applyAlignment="1">
      <alignment horizontal="center" vertical="center"/>
    </xf>
    <xf numFmtId="0" fontId="15" fillId="12" borderId="91" xfId="0" applyFont="1" applyFill="1" applyBorder="1" applyAlignment="1">
      <alignment horizontal="center" vertical="center"/>
    </xf>
    <xf numFmtId="0" fontId="0" fillId="0" borderId="91" xfId="0" applyBorder="1" applyAlignment="1">
      <alignment vertical="center"/>
    </xf>
    <xf numFmtId="0" fontId="25" fillId="12" borderId="13" xfId="0" applyFont="1" applyFill="1" applyBorder="1" applyAlignment="1" applyProtection="1">
      <alignment horizontal="left" vertical="center" indent="1"/>
      <protection hidden="1"/>
    </xf>
    <xf numFmtId="0" fontId="21" fillId="12" borderId="13" xfId="0" applyFont="1" applyFill="1" applyBorder="1" applyAlignment="1" applyProtection="1">
      <alignment horizontal="left" vertical="center" indent="1"/>
      <protection hidden="1"/>
    </xf>
    <xf numFmtId="0" fontId="21" fillId="12" borderId="124" xfId="0" applyFont="1" applyFill="1" applyBorder="1" applyAlignment="1" applyProtection="1">
      <alignment horizontal="left" vertical="center" indent="1"/>
      <protection hidden="1"/>
    </xf>
    <xf numFmtId="0" fontId="31" fillId="53" borderId="104" xfId="0" applyFont="1" applyFill="1" applyBorder="1" applyAlignment="1">
      <alignment vertical="center"/>
    </xf>
    <xf numFmtId="0" fontId="31" fillId="53" borderId="101" xfId="0" applyFont="1" applyFill="1" applyBorder="1" applyAlignment="1">
      <alignment vertical="center"/>
    </xf>
    <xf numFmtId="0" fontId="39" fillId="12" borderId="104" xfId="0" applyFont="1" applyFill="1" applyBorder="1" applyAlignment="1">
      <alignment horizontal="center" vertical="center"/>
    </xf>
    <xf numFmtId="0" fontId="9" fillId="12" borderId="98" xfId="0" applyFont="1" applyFill="1" applyBorder="1" applyAlignment="1">
      <alignment horizontal="center" vertical="center"/>
    </xf>
    <xf numFmtId="0" fontId="25" fillId="12" borderId="27" xfId="0" applyFont="1" applyFill="1" applyBorder="1" applyAlignment="1">
      <alignment horizontal="left" vertical="center" indent="1"/>
    </xf>
    <xf numFmtId="0" fontId="25" fillId="12" borderId="17" xfId="0" applyFont="1" applyFill="1" applyBorder="1" applyAlignment="1">
      <alignment horizontal="left" vertical="center" indent="1"/>
    </xf>
    <xf numFmtId="0" fontId="25" fillId="12" borderId="13" xfId="0" applyFont="1" applyFill="1" applyBorder="1" applyAlignment="1">
      <alignment horizontal="left" vertical="center" indent="1"/>
    </xf>
    <xf numFmtId="166" fontId="2" fillId="28" borderId="124" xfId="0" applyNumberFormat="1" applyFont="1" applyFill="1" applyBorder="1" applyAlignment="1">
      <alignment horizontal="center"/>
    </xf>
    <xf numFmtId="166" fontId="2" fillId="28" borderId="125" xfId="0" applyNumberFormat="1" applyFont="1" applyFill="1" applyBorder="1" applyAlignment="1">
      <alignment horizontal="center"/>
    </xf>
    <xf numFmtId="166" fontId="2" fillId="28" borderId="108" xfId="0" applyNumberFormat="1" applyFont="1" applyFill="1" applyBorder="1" applyAlignment="1">
      <alignment horizontal="center"/>
    </xf>
    <xf numFmtId="165" fontId="2" fillId="0" borderId="0" xfId="0" applyNumberFormat="1" applyFont="1"/>
    <xf numFmtId="166" fontId="2" fillId="0" borderId="19" xfId="0" applyNumberFormat="1" applyFont="1" applyBorder="1" applyAlignment="1">
      <alignment horizontal="center" vertical="center"/>
    </xf>
    <xf numFmtId="166" fontId="2" fillId="0" borderId="27" xfId="0" applyNumberFormat="1" applyFont="1" applyBorder="1" applyAlignment="1">
      <alignment horizontal="center" vertical="center"/>
    </xf>
    <xf numFmtId="165" fontId="2" fillId="0" borderId="23" xfId="0" applyNumberFormat="1" applyFont="1" applyBorder="1" applyAlignment="1">
      <alignment horizontal="center" vertical="center"/>
    </xf>
    <xf numFmtId="0" fontId="0" fillId="0" borderId="20" xfId="0" applyBorder="1"/>
    <xf numFmtId="166" fontId="2" fillId="0" borderId="13" xfId="0" applyNumberFormat="1" applyFont="1" applyBorder="1" applyAlignment="1" applyProtection="1">
      <alignment horizontal="center"/>
      <protection hidden="1"/>
    </xf>
    <xf numFmtId="0" fontId="0" fillId="0" borderId="13" xfId="0" applyBorder="1" applyAlignment="1">
      <alignment horizontal="center"/>
    </xf>
    <xf numFmtId="165" fontId="2" fillId="0" borderId="13" xfId="0" applyNumberFormat="1" applyFont="1" applyBorder="1" applyAlignment="1">
      <alignment horizontal="center"/>
    </xf>
    <xf numFmtId="2" fontId="0" fillId="0" borderId="18" xfId="0" applyNumberFormat="1" applyBorder="1"/>
    <xf numFmtId="2" fontId="0" fillId="0" borderId="27" xfId="0" applyNumberFormat="1" applyBorder="1"/>
    <xf numFmtId="165" fontId="2" fillId="0" borderId="13" xfId="0" applyNumberFormat="1" applyFont="1" applyBorder="1" applyAlignment="1">
      <alignment wrapText="1"/>
    </xf>
    <xf numFmtId="0" fontId="0" fillId="0" borderId="13" xfId="0" applyBorder="1" applyAlignment="1">
      <alignment wrapText="1"/>
    </xf>
    <xf numFmtId="0" fontId="0" fillId="0" borderId="13" xfId="0" applyBorder="1" applyAlignment="1">
      <alignment horizontal="center" vertical="center"/>
    </xf>
    <xf numFmtId="0" fontId="0" fillId="0" borderId="19" xfId="0" applyBorder="1" applyAlignment="1">
      <alignment horizontal="center" vertical="center" wrapText="1"/>
    </xf>
    <xf numFmtId="0" fontId="0" fillId="0" borderId="27" xfId="0" applyBorder="1" applyAlignment="1">
      <alignment horizontal="center" vertical="center" wrapText="1"/>
    </xf>
    <xf numFmtId="0" fontId="0" fillId="0" borderId="13" xfId="0" applyBorder="1" applyAlignment="1">
      <alignment horizontal="center" vertical="center" wrapText="1"/>
    </xf>
    <xf numFmtId="0" fontId="2" fillId="0" borderId="19" xfId="0" applyFont="1" applyBorder="1" applyAlignment="1">
      <alignment horizontal="center" vertical="center"/>
    </xf>
    <xf numFmtId="0" fontId="2" fillId="0" borderId="18" xfId="0" applyFont="1" applyBorder="1" applyAlignment="1">
      <alignment horizontal="center" vertical="center"/>
    </xf>
    <xf numFmtId="0" fontId="0" fillId="0" borderId="27" xfId="0" applyBorder="1"/>
    <xf numFmtId="0" fontId="61" fillId="17" borderId="8" xfId="0" applyFont="1" applyFill="1" applyBorder="1" applyAlignment="1">
      <alignment horizontal="center" shrinkToFit="1"/>
    </xf>
    <xf numFmtId="0" fontId="61" fillId="17" borderId="60" xfId="0" applyFont="1" applyFill="1" applyBorder="1" applyAlignment="1">
      <alignment horizontal="center" shrinkToFit="1"/>
    </xf>
    <xf numFmtId="0" fontId="61" fillId="17" borderId="61" xfId="0" applyFont="1" applyFill="1" applyBorder="1" applyAlignment="1">
      <alignment horizontal="center" shrinkToFit="1"/>
    </xf>
    <xf numFmtId="0" fontId="62" fillId="17" borderId="22" xfId="0" applyFont="1" applyFill="1" applyBorder="1" applyAlignment="1">
      <alignment horizontal="left" shrinkToFit="1"/>
    </xf>
    <xf numFmtId="0" fontId="62" fillId="0" borderId="28" xfId="0" applyFont="1" applyBorder="1" applyAlignment="1">
      <alignment shrinkToFit="1"/>
    </xf>
    <xf numFmtId="0" fontId="62" fillId="0" borderId="14" xfId="0" applyFont="1" applyBorder="1" applyAlignment="1">
      <alignment shrinkToFit="1"/>
    </xf>
    <xf numFmtId="0" fontId="62" fillId="17" borderId="62" xfId="0" applyFont="1" applyFill="1" applyBorder="1" applyAlignment="1">
      <alignment horizontal="center" vertical="center" wrapText="1" shrinkToFit="1"/>
    </xf>
    <xf numFmtId="0" fontId="62" fillId="0" borderId="32" xfId="0" applyFont="1" applyBorder="1" applyAlignment="1">
      <alignment horizontal="center" vertical="center" wrapText="1" shrinkToFit="1"/>
    </xf>
    <xf numFmtId="0" fontId="62" fillId="0" borderId="63" xfId="0" applyFont="1" applyBorder="1" applyAlignment="1">
      <alignment horizontal="center" vertical="center" wrapText="1" shrinkToFit="1"/>
    </xf>
    <xf numFmtId="0" fontId="62" fillId="0" borderId="109" xfId="0" applyFont="1" applyBorder="1" applyAlignment="1">
      <alignment horizontal="center" vertical="center" wrapText="1" shrinkToFit="1"/>
    </xf>
    <xf numFmtId="0" fontId="62" fillId="0" borderId="103" xfId="0" applyFont="1" applyBorder="1" applyAlignment="1">
      <alignment horizontal="center" vertical="center" wrapText="1" shrinkToFit="1"/>
    </xf>
    <xf numFmtId="0" fontId="62" fillId="0" borderId="93" xfId="0" applyFont="1" applyBorder="1" applyAlignment="1">
      <alignment horizontal="center" vertical="center" wrapText="1" shrinkToFit="1"/>
    </xf>
    <xf numFmtId="0" fontId="62" fillId="17" borderId="106" xfId="0" applyFont="1" applyFill="1" applyBorder="1" applyAlignment="1">
      <alignment shrinkToFit="1"/>
    </xf>
    <xf numFmtId="0" fontId="0" fillId="0" borderId="107" xfId="0" applyBorder="1" applyAlignment="1">
      <alignment shrinkToFit="1"/>
    </xf>
    <xf numFmtId="0" fontId="0" fillId="0" borderId="108" xfId="0" applyBorder="1" applyAlignment="1">
      <alignment shrinkToFit="1"/>
    </xf>
    <xf numFmtId="0" fontId="21" fillId="14" borderId="22" xfId="0" applyFont="1" applyFill="1" applyBorder="1" applyAlignment="1">
      <alignment horizontal="left" shrinkToFit="1"/>
    </xf>
    <xf numFmtId="0" fontId="21" fillId="0" borderId="28" xfId="0" applyFont="1" applyBorder="1" applyAlignment="1">
      <alignment shrinkToFit="1"/>
    </xf>
    <xf numFmtId="0" fontId="21" fillId="0" borderId="14" xfId="0" applyFont="1" applyBorder="1" applyAlignment="1">
      <alignment shrinkToFit="1"/>
    </xf>
    <xf numFmtId="0" fontId="58" fillId="14" borderId="31" xfId="0" applyFont="1" applyFill="1" applyBorder="1" applyAlignment="1">
      <alignment horizontal="center" shrinkToFit="1"/>
    </xf>
    <xf numFmtId="0" fontId="58" fillId="14" borderId="32" xfId="0" applyFont="1" applyFill="1" applyBorder="1" applyAlignment="1">
      <alignment horizontal="center" shrinkToFit="1"/>
    </xf>
    <xf numFmtId="0" fontId="58" fillId="14" borderId="33" xfId="0" applyFont="1" applyFill="1" applyBorder="1" applyAlignment="1">
      <alignment horizontal="center" shrinkToFit="1"/>
    </xf>
    <xf numFmtId="0" fontId="21" fillId="14" borderId="62" xfId="0" applyFont="1" applyFill="1" applyBorder="1" applyAlignment="1">
      <alignment horizontal="center" vertical="center" shrinkToFit="1"/>
    </xf>
    <xf numFmtId="0" fontId="21" fillId="0" borderId="32" xfId="0" applyFont="1" applyBorder="1" applyAlignment="1">
      <alignment horizontal="center" vertical="center" shrinkToFit="1"/>
    </xf>
    <xf numFmtId="0" fontId="21" fillId="0" borderId="63" xfId="0" applyFont="1" applyBorder="1" applyAlignment="1">
      <alignment horizontal="center" vertical="center" shrinkToFit="1"/>
    </xf>
    <xf numFmtId="0" fontId="21" fillId="0" borderId="17" xfId="0" applyFont="1" applyBorder="1" applyAlignment="1">
      <alignment horizontal="center" vertical="center" shrinkToFit="1"/>
    </xf>
    <xf numFmtId="0" fontId="21" fillId="0" borderId="15" xfId="0" applyFont="1" applyBorder="1" applyAlignment="1">
      <alignment horizontal="center" vertical="center" shrinkToFit="1"/>
    </xf>
    <xf numFmtId="0" fontId="21" fillId="0" borderId="16" xfId="0" applyFont="1" applyBorder="1" applyAlignment="1">
      <alignment horizontal="center" vertical="center" shrinkToFit="1"/>
    </xf>
    <xf numFmtId="0" fontId="21" fillId="14" borderId="106" xfId="0" applyFont="1" applyFill="1" applyBorder="1" applyAlignment="1">
      <alignment shrinkToFit="1"/>
    </xf>
    <xf numFmtId="165" fontId="2" fillId="0" borderId="0" xfId="0" applyNumberFormat="1" applyFont="1" applyAlignment="1">
      <alignment horizontal="center" vertical="center"/>
    </xf>
    <xf numFmtId="166" fontId="2" fillId="0" borderId="22" xfId="0" applyNumberFormat="1" applyFont="1" applyBorder="1" applyAlignment="1">
      <alignment horizontal="center" vertical="center"/>
    </xf>
    <xf numFmtId="0" fontId="0" fillId="0" borderId="14" xfId="0" applyBorder="1" applyAlignment="1">
      <alignment horizontal="center" vertical="center"/>
    </xf>
    <xf numFmtId="2" fontId="2" fillId="0" borderId="23" xfId="0" applyNumberFormat="1" applyFont="1" applyBorder="1" applyAlignment="1" applyProtection="1">
      <alignment horizontal="center"/>
      <protection hidden="1"/>
    </xf>
    <xf numFmtId="2" fontId="0" fillId="0" borderId="23" xfId="0" applyNumberFormat="1" applyBorder="1"/>
    <xf numFmtId="164" fontId="58" fillId="14" borderId="22" xfId="0" applyNumberFormat="1" applyFont="1" applyFill="1" applyBorder="1" applyAlignment="1">
      <alignment vertical="center" shrinkToFit="1"/>
    </xf>
    <xf numFmtId="164" fontId="58" fillId="14" borderId="14" xfId="0" applyNumberFormat="1" applyFont="1" applyFill="1" applyBorder="1" applyAlignment="1">
      <alignment vertical="center" shrinkToFit="1"/>
    </xf>
    <xf numFmtId="164" fontId="58" fillId="14" borderId="73" xfId="0" applyNumberFormat="1" applyFont="1" applyFill="1" applyBorder="1" applyAlignment="1">
      <alignment vertical="center" shrinkToFit="1"/>
    </xf>
    <xf numFmtId="164" fontId="58" fillId="14" borderId="74" xfId="0" applyNumberFormat="1" applyFont="1" applyFill="1" applyBorder="1" applyAlignment="1">
      <alignment vertical="center" shrinkToFit="1"/>
    </xf>
    <xf numFmtId="0" fontId="58" fillId="14" borderId="27" xfId="0" applyFont="1" applyFill="1" applyBorder="1" applyAlignment="1">
      <alignment horizontal="center" vertical="center" shrinkToFit="1"/>
    </xf>
    <xf numFmtId="0" fontId="21" fillId="14" borderId="27" xfId="0" applyFont="1" applyFill="1" applyBorder="1" applyAlignment="1">
      <alignment shrinkToFit="1"/>
    </xf>
    <xf numFmtId="0" fontId="58" fillId="14" borderId="22" xfId="0" applyFont="1" applyFill="1" applyBorder="1" applyAlignment="1">
      <alignment horizontal="center" vertical="center" shrinkToFit="1"/>
    </xf>
    <xf numFmtId="0" fontId="58" fillId="14" borderId="14" xfId="0" applyFont="1" applyFill="1" applyBorder="1" applyAlignment="1">
      <alignment horizontal="center" vertical="center" shrinkToFit="1"/>
    </xf>
    <xf numFmtId="0" fontId="58" fillId="14" borderId="73" xfId="0" applyFont="1" applyFill="1" applyBorder="1" applyAlignment="1">
      <alignment horizontal="center" vertical="center" shrinkToFit="1"/>
    </xf>
    <xf numFmtId="0" fontId="58" fillId="14" borderId="74" xfId="0" applyFont="1" applyFill="1" applyBorder="1" applyAlignment="1">
      <alignment horizontal="center" vertical="center" shrinkToFit="1"/>
    </xf>
    <xf numFmtId="0" fontId="21" fillId="14" borderId="106" xfId="0" applyFont="1" applyFill="1" applyBorder="1" applyAlignment="1">
      <alignment horizontal="left" shrinkToFit="1"/>
    </xf>
    <xf numFmtId="0" fontId="21" fillId="14" borderId="106" xfId="0" applyFont="1" applyFill="1" applyBorder="1" applyAlignment="1">
      <alignment vertical="center" shrinkToFit="1"/>
    </xf>
    <xf numFmtId="0" fontId="0" fillId="0" borderId="107" xfId="0" applyBorder="1" applyAlignment="1">
      <alignment vertical="center" shrinkToFit="1"/>
    </xf>
    <xf numFmtId="0" fontId="0" fillId="0" borderId="108" xfId="0" applyBorder="1" applyAlignment="1">
      <alignment vertical="center" shrinkToFit="1"/>
    </xf>
    <xf numFmtId="0" fontId="6" fillId="0" borderId="67" xfId="0" applyFont="1" applyBorder="1" applyAlignment="1">
      <alignment horizontal="center"/>
    </xf>
    <xf numFmtId="0" fontId="6" fillId="0" borderId="47" xfId="0" applyFon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6" xfId="0" applyBorder="1" applyAlignment="1">
      <alignment horizontal="center"/>
    </xf>
    <xf numFmtId="0" fontId="6" fillId="0" borderId="7" xfId="0" applyFont="1" applyBorder="1" applyAlignment="1">
      <alignment horizontal="center"/>
    </xf>
    <xf numFmtId="0" fontId="1" fillId="47" borderId="77" xfId="8" applyBorder="1" applyAlignment="1">
      <alignment horizontal="center" vertical="center"/>
    </xf>
    <xf numFmtId="0" fontId="1" fillId="47" borderId="79" xfId="8" applyBorder="1" applyAlignment="1">
      <alignment horizontal="center" vertical="center"/>
    </xf>
    <xf numFmtId="164" fontId="0" fillId="0" borderId="0" xfId="0" applyNumberFormat="1" applyAlignment="1">
      <alignment horizontal="center"/>
    </xf>
    <xf numFmtId="0" fontId="25" fillId="15" borderId="19" xfId="0" applyFont="1" applyFill="1" applyBorder="1" applyAlignment="1">
      <alignment horizontal="left" vertical="center" wrapText="1"/>
    </xf>
    <xf numFmtId="0" fontId="0" fillId="0" borderId="27" xfId="0" applyBorder="1" applyAlignment="1">
      <alignment horizontal="left" vertical="center" wrapText="1"/>
    </xf>
    <xf numFmtId="164" fontId="55" fillId="0" borderId="0" xfId="0" applyNumberFormat="1" applyFont="1" applyAlignment="1">
      <alignment horizontal="center" vertical="center" wrapText="1"/>
    </xf>
    <xf numFmtId="0" fontId="55" fillId="0" borderId="0" xfId="0" applyFont="1" applyAlignment="1">
      <alignment horizontal="center" vertical="center" wrapText="1"/>
    </xf>
    <xf numFmtId="0" fontId="66" fillId="46" borderId="73" xfId="7" applyFont="1" applyBorder="1" applyAlignment="1">
      <alignment horizontal="center" vertical="center" wrapText="1"/>
    </xf>
    <xf numFmtId="0" fontId="66" fillId="46" borderId="28" xfId="7" applyFont="1" applyBorder="1" applyAlignment="1">
      <alignment horizontal="center" vertical="center" wrapText="1"/>
    </xf>
    <xf numFmtId="0" fontId="66" fillId="46" borderId="74" xfId="7" applyFont="1" applyBorder="1" applyAlignment="1">
      <alignment horizontal="center"/>
    </xf>
    <xf numFmtId="0" fontId="63" fillId="49" borderId="64" xfId="10" applyFont="1" applyBorder="1" applyAlignment="1">
      <alignment horizontal="center" vertical="center" wrapText="1"/>
    </xf>
    <xf numFmtId="0" fontId="63" fillId="49" borderId="39" xfId="10" applyFont="1" applyBorder="1" applyAlignment="1">
      <alignment horizontal="center" vertical="center" wrapText="1"/>
    </xf>
    <xf numFmtId="0" fontId="63" fillId="49" borderId="24" xfId="10" applyFont="1" applyBorder="1" applyAlignment="1">
      <alignment horizontal="center" vertical="center" wrapText="1"/>
    </xf>
    <xf numFmtId="0" fontId="63" fillId="49" borderId="17" xfId="10" applyFont="1" applyBorder="1" applyAlignment="1">
      <alignment horizontal="center" vertical="center" wrapText="1"/>
    </xf>
    <xf numFmtId="0" fontId="63" fillId="49" borderId="70" xfId="10" applyFont="1" applyBorder="1" applyAlignment="1">
      <alignment horizontal="center" vertical="center" wrapText="1"/>
    </xf>
    <xf numFmtId="0" fontId="63" fillId="49" borderId="83" xfId="10" applyFont="1" applyBorder="1" applyAlignment="1">
      <alignment horizontal="center" vertical="center" wrapText="1"/>
    </xf>
    <xf numFmtId="0" fontId="65" fillId="47" borderId="76" xfId="8" applyFont="1" applyBorder="1" applyAlignment="1">
      <alignment horizontal="center" vertical="center"/>
    </xf>
    <xf numFmtId="0" fontId="65" fillId="47" borderId="0" xfId="8" applyFont="1" applyAlignment="1">
      <alignment horizontal="center" vertical="center"/>
    </xf>
    <xf numFmtId="0" fontId="1" fillId="47" borderId="76" xfId="8" applyBorder="1" applyAlignment="1">
      <alignment horizontal="center" vertical="center"/>
    </xf>
    <xf numFmtId="0" fontId="1" fillId="47" borderId="0" xfId="8" applyAlignment="1">
      <alignment horizontal="center" vertical="center"/>
    </xf>
    <xf numFmtId="0" fontId="63" fillId="49" borderId="106" xfId="10" applyFont="1" applyBorder="1" applyAlignment="1">
      <alignment horizontal="center" vertical="center" wrapText="1"/>
    </xf>
    <xf numFmtId="0" fontId="63" fillId="49" borderId="107" xfId="10" applyFont="1" applyBorder="1" applyAlignment="1">
      <alignment horizontal="center" vertical="center" wrapText="1"/>
    </xf>
    <xf numFmtId="0" fontId="63" fillId="49" borderId="108" xfId="10" applyFont="1" applyBorder="1" applyAlignment="1">
      <alignment horizontal="center" vertical="center" wrapText="1"/>
    </xf>
    <xf numFmtId="0" fontId="34" fillId="0" borderId="0" xfId="0" applyFont="1" applyAlignment="1">
      <alignment horizontal="center" vertical="center" textRotation="90"/>
    </xf>
    <xf numFmtId="0" fontId="55" fillId="0" borderId="23" xfId="0" applyFont="1" applyBorder="1" applyAlignment="1">
      <alignment horizontal="center" vertical="center" wrapText="1"/>
    </xf>
    <xf numFmtId="0" fontId="9" fillId="0" borderId="0" xfId="0" applyFont="1" applyAlignment="1">
      <alignment horizontal="center" vertical="center"/>
    </xf>
    <xf numFmtId="0" fontId="66" fillId="46" borderId="74" xfId="7" applyFont="1" applyBorder="1" applyAlignment="1">
      <alignment horizontal="center" vertical="center" wrapText="1"/>
    </xf>
    <xf numFmtId="0" fontId="2" fillId="0" borderId="19" xfId="0" applyFont="1" applyBorder="1" applyAlignment="1" applyProtection="1">
      <alignment horizontal="center" vertical="center"/>
      <protection locked="0"/>
    </xf>
    <xf numFmtId="0" fontId="2" fillId="0" borderId="27" xfId="0" applyFont="1" applyBorder="1" applyAlignment="1" applyProtection="1">
      <alignment horizontal="center" vertical="center"/>
      <protection locked="0"/>
    </xf>
    <xf numFmtId="0" fontId="63" fillId="49" borderId="19" xfId="10" applyFont="1" applyBorder="1" applyAlignment="1">
      <alignment horizontal="center" vertical="center"/>
    </xf>
    <xf numFmtId="0" fontId="63" fillId="49" borderId="27" xfId="10" applyFont="1" applyBorder="1" applyAlignment="1">
      <alignment horizontal="center" vertical="center"/>
    </xf>
    <xf numFmtId="0" fontId="63" fillId="49" borderId="19" xfId="10" applyFont="1" applyBorder="1" applyAlignment="1">
      <alignment horizontal="center" vertical="center" wrapText="1"/>
    </xf>
    <xf numFmtId="0" fontId="63" fillId="49" borderId="27" xfId="10" applyFont="1" applyBorder="1" applyAlignment="1">
      <alignment horizontal="center" vertical="center" wrapText="1"/>
    </xf>
    <xf numFmtId="2" fontId="2" fillId="0" borderId="19" xfId="0" applyNumberFormat="1" applyFont="1" applyBorder="1" applyAlignment="1">
      <alignment horizontal="center" vertical="center"/>
    </xf>
    <xf numFmtId="2" fontId="2" fillId="0" borderId="27" xfId="0" applyNumberFormat="1" applyFont="1" applyBorder="1" applyAlignment="1">
      <alignment horizontal="center" vertical="center"/>
    </xf>
    <xf numFmtId="165" fontId="2" fillId="0" borderId="18" xfId="0" applyNumberFormat="1" applyFont="1" applyBorder="1"/>
    <xf numFmtId="0" fontId="34" fillId="35" borderId="0" xfId="0" applyFont="1" applyFill="1" applyAlignment="1">
      <alignment horizontal="center" vertical="center" textRotation="90"/>
    </xf>
    <xf numFmtId="0" fontId="71" fillId="40" borderId="0" xfId="5" applyFont="1" applyAlignment="1">
      <alignment horizontal="center" vertical="center" wrapText="1"/>
    </xf>
    <xf numFmtId="0" fontId="54" fillId="35" borderId="0" xfId="0" applyFont="1" applyFill="1" applyAlignment="1">
      <alignment horizontal="center" vertical="center" wrapText="1"/>
    </xf>
    <xf numFmtId="0" fontId="54" fillId="0" borderId="0" xfId="0" applyFont="1" applyAlignment="1">
      <alignment horizontal="center" vertical="center" wrapText="1"/>
    </xf>
    <xf numFmtId="0" fontId="48" fillId="35" borderId="0" xfId="1" applyFont="1" applyFill="1" applyAlignment="1">
      <alignment horizontal="center" wrapText="1"/>
    </xf>
    <xf numFmtId="0" fontId="72" fillId="35" borderId="0" xfId="0" applyFont="1" applyFill="1" applyAlignment="1">
      <alignment horizontal="center" wrapText="1"/>
    </xf>
    <xf numFmtId="167" fontId="46" fillId="33" borderId="87" xfId="3" applyNumberFormat="1" applyFont="1" applyBorder="1" applyAlignment="1">
      <alignment horizontal="center" vertical="center"/>
    </xf>
    <xf numFmtId="167" fontId="9" fillId="0" borderId="88" xfId="0" applyNumberFormat="1" applyFont="1" applyBorder="1" applyAlignment="1">
      <alignment horizontal="center" vertical="center"/>
    </xf>
    <xf numFmtId="173" fontId="46" fillId="33" borderId="87" xfId="3" applyNumberFormat="1" applyFont="1" applyBorder="1" applyAlignment="1">
      <alignment horizontal="center" vertical="center"/>
    </xf>
    <xf numFmtId="173" fontId="9" fillId="0" borderId="88" xfId="0" applyNumberFormat="1" applyFont="1" applyBorder="1" applyAlignment="1">
      <alignment horizontal="center" vertical="center"/>
    </xf>
    <xf numFmtId="0" fontId="45" fillId="34" borderId="86" xfId="4" applyFont="1" applyAlignment="1">
      <alignment vertical="center"/>
    </xf>
    <xf numFmtId="0" fontId="48" fillId="38" borderId="0" xfId="1" applyFont="1" applyFill="1" applyAlignment="1">
      <alignment horizontal="center" wrapText="1"/>
    </xf>
    <xf numFmtId="0" fontId="2" fillId="38" borderId="0" xfId="0" applyFont="1" applyFill="1" applyAlignment="1">
      <alignment horizontal="left" vertical="top" wrapText="1"/>
    </xf>
    <xf numFmtId="0" fontId="0" fillId="0" borderId="0" xfId="0" applyAlignment="1">
      <alignment horizontal="left" vertical="top" wrapText="1"/>
    </xf>
    <xf numFmtId="0" fontId="24" fillId="45" borderId="31" xfId="0" applyFont="1" applyFill="1" applyBorder="1" applyAlignment="1" applyProtection="1">
      <alignment horizontal="center" vertical="center" shrinkToFit="1"/>
      <protection hidden="1"/>
    </xf>
    <xf numFmtId="0" fontId="24" fillId="45" borderId="32" xfId="0" applyFont="1" applyFill="1" applyBorder="1" applyAlignment="1" applyProtection="1">
      <alignment horizontal="center" vertical="center" shrinkToFit="1"/>
      <protection hidden="1"/>
    </xf>
    <xf numFmtId="0" fontId="24" fillId="45" borderId="33" xfId="0" applyFont="1" applyFill="1" applyBorder="1" applyAlignment="1" applyProtection="1">
      <alignment horizontal="center" vertical="center" shrinkToFit="1"/>
      <protection hidden="1"/>
    </xf>
    <xf numFmtId="0" fontId="24" fillId="44" borderId="114" xfId="0" applyFont="1" applyFill="1" applyBorder="1" applyAlignment="1" applyProtection="1">
      <alignment horizontal="center" vertical="center" shrinkToFit="1"/>
      <protection hidden="1"/>
    </xf>
    <xf numFmtId="0" fontId="24" fillId="44" borderId="115" xfId="0" applyFont="1" applyFill="1" applyBorder="1" applyAlignment="1" applyProtection="1">
      <alignment horizontal="center" vertical="center" shrinkToFit="1"/>
      <protection hidden="1"/>
    </xf>
    <xf numFmtId="0" fontId="24" fillId="44" borderId="116" xfId="0" applyFont="1" applyFill="1" applyBorder="1" applyAlignment="1" applyProtection="1">
      <alignment horizontal="center" vertical="center" shrinkToFit="1"/>
      <protection hidden="1"/>
    </xf>
    <xf numFmtId="0" fontId="24" fillId="43" borderId="114" xfId="0" applyFont="1" applyFill="1" applyBorder="1" applyAlignment="1" applyProtection="1">
      <alignment horizontal="center" vertical="center" shrinkToFit="1"/>
      <protection hidden="1"/>
    </xf>
    <xf numFmtId="0" fontId="24" fillId="43" borderId="115" xfId="0" applyFont="1" applyFill="1" applyBorder="1" applyAlignment="1" applyProtection="1">
      <alignment horizontal="center" vertical="center" shrinkToFit="1"/>
      <protection hidden="1"/>
    </xf>
    <xf numFmtId="0" fontId="24" fillId="43" borderId="116" xfId="0" applyFont="1" applyFill="1" applyBorder="1" applyAlignment="1" applyProtection="1">
      <alignment horizontal="center" vertical="center" shrinkToFit="1"/>
      <protection hidden="1"/>
    </xf>
    <xf numFmtId="0" fontId="24" fillId="42" borderId="114" xfId="0" applyFont="1" applyFill="1" applyBorder="1" applyAlignment="1" applyProtection="1">
      <alignment horizontal="center" vertical="center" shrinkToFit="1"/>
      <protection hidden="1"/>
    </xf>
    <xf numFmtId="0" fontId="24" fillId="42" borderId="115" xfId="0" applyFont="1" applyFill="1" applyBorder="1" applyAlignment="1" applyProtection="1">
      <alignment horizontal="center" vertical="center" shrinkToFit="1"/>
      <protection hidden="1"/>
    </xf>
    <xf numFmtId="0" fontId="24" fillId="42" borderId="116" xfId="0" applyFont="1" applyFill="1" applyBorder="1" applyAlignment="1" applyProtection="1">
      <alignment horizontal="center" vertical="center" shrinkToFit="1"/>
      <protection hidden="1"/>
    </xf>
  </cellXfs>
  <cellStyles count="11">
    <cellStyle name="20% - Accent3" xfId="8" builtinId="38"/>
    <cellStyle name="40% - Accent3" xfId="9" builtinId="39"/>
    <cellStyle name="60% - Accent3" xfId="10" builtinId="40"/>
    <cellStyle name="Accent1" xfId="6" builtinId="29"/>
    <cellStyle name="Accent3" xfId="7" builtinId="37"/>
    <cellStyle name="Check Cell" xfId="4" builtinId="23"/>
    <cellStyle name="Good" xfId="5" builtinId="26"/>
    <cellStyle name="Input" xfId="2" builtinId="20"/>
    <cellStyle name="Normal" xfId="0" builtinId="0"/>
    <cellStyle name="Output" xfId="3" builtinId="21"/>
    <cellStyle name="Title" xfId="1" builtinId="15"/>
  </cellStyles>
  <dxfs count="102">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theme="6" tint="-0.24994659260841701"/>
        </patternFill>
      </fill>
    </dxf>
    <dxf>
      <font>
        <color theme="0"/>
      </font>
      <fill>
        <patternFill patternType="solid">
          <bgColor rgb="FFFFC000"/>
        </patternFill>
      </fill>
    </dxf>
    <dxf>
      <border>
        <left/>
        <right/>
        <vertical/>
        <horizontal/>
      </border>
    </dxf>
    <dxf>
      <fill>
        <patternFill patternType="solid">
          <bgColor auto="1"/>
        </patternFill>
      </fill>
      <border>
        <right/>
        <top/>
        <bottom/>
        <vertical/>
        <horizontal/>
      </border>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font>
        <condense val="0"/>
        <extend val="0"/>
        <color auto="1"/>
      </font>
      <fill>
        <patternFill>
          <bgColor indexed="1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ndense val="0"/>
        <extend val="0"/>
        <color auto="1"/>
      </font>
      <fill>
        <patternFill>
          <bgColor indexed="11"/>
        </patternFill>
      </fill>
    </dxf>
    <dxf>
      <font>
        <b/>
        <i val="0"/>
        <condense val="0"/>
        <extend val="0"/>
      </font>
      <fill>
        <patternFill>
          <bgColor indexed="40"/>
        </patternFill>
      </fill>
    </dxf>
    <dxf>
      <fill>
        <patternFill patternType="gray125">
          <fgColor indexed="51"/>
          <bgColor indexed="9"/>
        </patternFill>
      </fill>
    </dxf>
    <dxf>
      <fill>
        <patternFill patternType="gray125">
          <fgColor indexed="51"/>
          <bgColor indexed="9"/>
        </patternFill>
      </fill>
    </dxf>
    <dxf>
      <fill>
        <patternFill patternType="gray125">
          <fgColor indexed="51"/>
          <bgColor indexed="9"/>
        </patternFill>
      </fill>
    </dxf>
    <dxf>
      <font>
        <condense val="0"/>
        <extend val="0"/>
        <color indexed="9"/>
      </font>
    </dxf>
    <dxf>
      <font>
        <condense val="0"/>
        <extend val="0"/>
        <color indexed="9"/>
      </font>
    </dxf>
    <dxf>
      <fill>
        <patternFill>
          <bgColor indexed="10"/>
        </patternFill>
      </fill>
    </dxf>
    <dxf>
      <fill>
        <patternFill>
          <bgColor indexed="10"/>
        </patternFill>
      </fill>
    </dxf>
    <dxf>
      <fill>
        <patternFill patternType="lightUp">
          <fgColor indexed="11"/>
          <bgColor indexed="9"/>
        </patternFill>
      </fill>
      <border>
        <left/>
        <right/>
        <top/>
        <bottom/>
      </border>
    </dxf>
    <dxf>
      <fill>
        <patternFill>
          <bgColor indexed="47"/>
        </patternFill>
      </fill>
    </dxf>
    <dxf>
      <fill>
        <patternFill>
          <bgColor indexed="45"/>
        </patternFill>
      </fill>
    </dxf>
    <dxf>
      <fill>
        <patternFill>
          <bgColor indexed="47"/>
        </patternFill>
      </fill>
    </dxf>
    <dxf>
      <fill>
        <patternFill>
          <bgColor indexed="47"/>
        </patternFill>
      </fill>
    </dxf>
    <dxf>
      <fill>
        <patternFill patternType="gray125">
          <fgColor rgb="FF00FF00"/>
          <bgColor auto="1"/>
        </patternFill>
      </fill>
      <border>
        <left/>
        <right/>
        <top/>
        <bottom/>
      </border>
    </dxf>
    <dxf>
      <fill>
        <patternFill>
          <bgColor indexed="47"/>
        </patternFill>
      </fill>
    </dxf>
    <dxf>
      <fill>
        <patternFill>
          <bgColor indexed="47"/>
        </patternFill>
      </fill>
    </dxf>
    <dxf>
      <fill>
        <patternFill patternType="lightUp">
          <fgColor indexed="11"/>
          <bgColor indexed="47"/>
        </patternFill>
      </fill>
      <border>
        <left/>
        <right/>
        <top style="thin">
          <color indexed="64"/>
        </top>
        <bottom/>
      </border>
    </dxf>
    <dxf>
      <fill>
        <patternFill patternType="lightUp">
          <fgColor indexed="11"/>
          <bgColor indexed="9"/>
        </patternFill>
      </fill>
      <border>
        <left/>
        <right/>
        <top style="thin">
          <color indexed="64"/>
        </top>
        <bottom/>
      </border>
    </dxf>
    <dxf>
      <border>
        <right style="thin">
          <color auto="1"/>
        </right>
        <vertical/>
        <horizontal/>
      </border>
    </dxf>
    <dxf>
      <border>
        <left style="thin">
          <color auto="1"/>
        </left>
        <right style="thin">
          <color auto="1"/>
        </right>
        <top style="thin">
          <color auto="1"/>
        </top>
        <bottom/>
      </border>
    </dxf>
    <dxf>
      <fill>
        <patternFill>
          <bgColor indexed="47"/>
        </patternFill>
      </fill>
    </dxf>
    <dxf>
      <border>
        <right style="thin">
          <color auto="1"/>
        </right>
        <vertical/>
        <horizontal/>
      </border>
    </dxf>
    <dxf>
      <border>
        <right style="thin">
          <color auto="1"/>
        </right>
        <vertical/>
        <horizontal/>
      </border>
    </dxf>
    <dxf>
      <border>
        <left style="thin">
          <color auto="1"/>
        </left>
        <vertical/>
        <horizontal/>
      </border>
    </dxf>
    <dxf>
      <border>
        <left style="thin">
          <color auto="1"/>
        </left>
        <right style="thin">
          <color auto="1"/>
        </right>
        <vertical/>
        <horizontal/>
      </border>
    </dxf>
    <dxf>
      <border>
        <left style="thin">
          <color auto="1"/>
        </left>
        <vertical/>
        <horizontal/>
      </border>
    </dxf>
    <dxf>
      <border>
        <left style="thin">
          <color auto="1"/>
        </left>
        <vertical/>
        <horizontal/>
      </border>
    </dxf>
    <dxf>
      <border>
        <left style="thin">
          <color auto="1"/>
        </left>
        <right style="thin">
          <color auto="1"/>
        </right>
        <vertical/>
        <horizontal/>
      </border>
    </dxf>
    <dxf>
      <border>
        <left style="thin">
          <color auto="1"/>
        </left>
        <right style="thin">
          <color auto="1"/>
        </right>
        <top style="thin">
          <color auto="1"/>
        </top>
        <bottom style="thin">
          <color auto="1"/>
        </bottom>
        <vertical/>
        <horizontal/>
      </border>
    </dxf>
    <dxf>
      <fill>
        <patternFill>
          <bgColor rgb="FFFFCC99"/>
        </patternFill>
      </fill>
      <border>
        <left style="thin">
          <color auto="1"/>
        </left>
        <vertical/>
        <horizontal/>
      </border>
    </dxf>
    <dxf>
      <border>
        <left style="thin">
          <color auto="1"/>
        </left>
        <vertical/>
        <horizontal/>
      </border>
    </dxf>
    <dxf>
      <fill>
        <patternFill>
          <bgColor rgb="FFFF99CC"/>
        </patternFill>
      </fill>
      <border>
        <right style="thin">
          <color auto="1"/>
        </right>
      </border>
    </dxf>
    <dxf>
      <fill>
        <patternFill>
          <bgColor rgb="FFFFCC99"/>
        </patternFill>
      </fill>
    </dxf>
    <dxf>
      <fill>
        <patternFill>
          <bgColor rgb="FFFFCC99"/>
        </patternFill>
      </fill>
      <border>
        <left/>
        <right/>
        <top/>
        <bottom/>
      </border>
    </dxf>
    <dxf>
      <border>
        <top style="thin">
          <color auto="1"/>
        </top>
        <vertical/>
        <horizontal/>
      </border>
    </dxf>
    <dxf>
      <border>
        <left style="thin">
          <color auto="1"/>
        </left>
        <right style="thin">
          <color auto="1"/>
        </right>
        <vertical/>
        <horizontal/>
      </border>
    </dxf>
    <dxf>
      <border>
        <bottom style="thin">
          <color auto="1"/>
        </bottom>
        <vertical/>
        <horizontal/>
      </border>
    </dxf>
    <dxf>
      <fill>
        <patternFill>
          <bgColor indexed="47"/>
        </patternFill>
      </fill>
    </dxf>
    <dxf>
      <fill>
        <patternFill>
          <bgColor indexed="47"/>
        </patternFill>
      </fill>
    </dxf>
    <dxf>
      <font>
        <condense val="0"/>
        <extend val="0"/>
        <color indexed="9"/>
      </font>
      <fill>
        <patternFill patternType="lightUp">
          <fgColor indexed="11"/>
        </patternFill>
      </fill>
      <border>
        <left/>
        <right/>
        <top/>
        <bottom/>
      </border>
    </dxf>
    <dxf>
      <fill>
        <patternFill patternType="lightUp">
          <fgColor indexed="11"/>
          <bgColor indexed="9"/>
        </patternFill>
      </fill>
      <border>
        <left/>
        <right/>
        <top/>
        <bottom/>
      </border>
    </dxf>
    <dxf>
      <font>
        <condense val="0"/>
        <extend val="0"/>
        <color indexed="11"/>
      </font>
      <fill>
        <patternFill patternType="lightUp">
          <fgColor indexed="11"/>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patternType="lightUp">
          <fgColor indexed="11"/>
          <bgColor indexed="47"/>
        </patternFill>
      </fill>
      <border>
        <left/>
        <right/>
        <top/>
        <bottom/>
      </border>
    </dxf>
    <dxf>
      <fill>
        <patternFill patternType="lightUp">
          <fgColor indexed="11"/>
          <bgColor indexed="9"/>
        </patternFill>
      </fill>
      <border>
        <left/>
        <right/>
        <top/>
        <bottom/>
      </border>
    </dxf>
    <dxf>
      <fill>
        <patternFill>
          <bgColor indexed="47"/>
        </patternFill>
      </fill>
      <border>
        <bottom/>
      </border>
    </dxf>
    <dxf>
      <font>
        <b val="0"/>
        <i val="0"/>
        <condense val="0"/>
        <extend val="0"/>
        <color indexed="47"/>
      </font>
      <fill>
        <patternFill patternType="lightUp">
          <fgColor indexed="11"/>
          <bgColor indexed="47"/>
        </patternFill>
      </fill>
      <border>
        <left/>
        <right/>
        <top/>
        <bottom/>
      </border>
    </dxf>
    <dxf>
      <font>
        <color theme="0"/>
      </font>
    </dxf>
    <dxf>
      <fill>
        <patternFill patternType="gray125">
          <fgColor indexed="11"/>
          <bgColor indexed="47"/>
        </patternFill>
      </fill>
      <border>
        <left/>
        <right/>
        <top/>
        <bottom/>
      </border>
    </dxf>
    <dxf>
      <fill>
        <patternFill>
          <bgColor indexed="47"/>
        </patternFill>
      </fill>
    </dxf>
    <dxf>
      <fill>
        <patternFill patternType="lightDown">
          <fgColor indexed="11"/>
          <bgColor indexed="47"/>
        </patternFill>
      </fill>
      <border>
        <left/>
        <right style="thin">
          <color indexed="57"/>
        </right>
        <top/>
        <bottom style="thin">
          <color indexed="57"/>
        </bottom>
      </border>
    </dxf>
    <dxf>
      <fill>
        <patternFill patternType="lightDown">
          <fgColor indexed="11"/>
          <bgColor indexed="47"/>
        </patternFill>
      </fill>
      <border>
        <left style="thin">
          <color indexed="57"/>
        </left>
        <right/>
        <top/>
        <bottom style="thin">
          <color indexed="57"/>
        </bottom>
      </border>
    </dxf>
    <dxf>
      <fill>
        <patternFill patternType="lightDown">
          <fgColor indexed="11"/>
          <bgColor indexed="47"/>
        </patternFill>
      </fill>
      <border>
        <left/>
        <right style="thin">
          <color indexed="57"/>
        </right>
        <top/>
        <bottom/>
      </border>
    </dxf>
    <dxf>
      <fill>
        <patternFill patternType="lightDown">
          <fgColor indexed="11"/>
          <bgColor indexed="47"/>
        </patternFill>
      </fill>
      <border>
        <left style="thin">
          <color indexed="57"/>
        </left>
        <right/>
        <top/>
        <bottom/>
      </border>
    </dxf>
    <dxf>
      <font>
        <condense val="0"/>
        <extend val="0"/>
        <color indexed="9"/>
      </font>
      <fill>
        <patternFill patternType="gray125">
          <fgColor indexed="11"/>
          <bgColor indexed="9"/>
        </patternFill>
      </fill>
      <border>
        <left/>
        <right/>
        <top/>
        <bottom/>
      </border>
    </dxf>
    <dxf>
      <fill>
        <patternFill patternType="lightUp">
          <fgColor indexed="11"/>
          <bgColor indexed="9"/>
        </patternFill>
      </fill>
      <border>
        <left/>
        <right/>
        <top style="thin">
          <color auto="1"/>
        </top>
        <bottom/>
      </border>
    </dxf>
    <dxf>
      <fill>
        <patternFill patternType="gray125">
          <fgColor indexed="11"/>
          <bgColor indexed="9"/>
        </patternFill>
      </fill>
      <border>
        <left/>
        <right/>
        <top/>
        <bottom/>
      </border>
    </dxf>
    <dxf>
      <fill>
        <patternFill patternType="lightUp">
          <fgColor indexed="11"/>
          <bgColor indexed="47"/>
        </patternFill>
      </fill>
      <border>
        <left/>
        <right/>
        <top/>
        <bottom/>
      </border>
    </dxf>
    <dxf>
      <fill>
        <patternFill>
          <bgColor indexed="45"/>
        </patternFill>
      </fill>
    </dxf>
    <dxf>
      <font>
        <b val="0"/>
        <i val="0"/>
        <condense val="0"/>
        <extend val="0"/>
        <color indexed="8"/>
      </font>
      <fill>
        <patternFill patternType="solid">
          <bgColor indexed="47"/>
        </patternFill>
      </fill>
      <border>
        <left style="thin">
          <color indexed="64"/>
        </left>
        <right style="thin">
          <color indexed="64"/>
        </right>
        <top style="thin">
          <color indexed="64"/>
        </top>
        <bottom style="thin">
          <color indexed="64"/>
        </bottom>
      </border>
    </dxf>
    <dxf>
      <fill>
        <patternFill>
          <bgColor indexed="45"/>
        </patternFill>
      </fill>
    </dxf>
    <dxf>
      <fill>
        <patternFill>
          <bgColor indexed="45"/>
        </patternFill>
      </fill>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patternType="lightUp">
          <fgColor indexed="11"/>
          <bgColor indexed="47"/>
        </patternFill>
      </fill>
      <border>
        <left/>
        <right/>
        <top/>
        <bottom/>
      </border>
    </dxf>
    <dxf>
      <fill>
        <patternFill>
          <bgColor indexed="47"/>
        </patternFill>
      </fill>
    </dxf>
    <dxf>
      <font>
        <b val="0"/>
        <i val="0"/>
        <condense val="0"/>
        <extend val="0"/>
        <color auto="1"/>
      </font>
      <fill>
        <patternFill>
          <bgColor indexed="47"/>
        </patternFill>
      </fill>
    </dxf>
    <dxf>
      <fill>
        <patternFill>
          <bgColor indexed="10"/>
        </patternFill>
      </fill>
    </dxf>
    <dxf>
      <font>
        <condense val="0"/>
        <extend val="0"/>
        <color indexed="47"/>
      </font>
      <fill>
        <patternFill>
          <bgColor indexed="47"/>
        </patternFill>
      </fill>
    </dxf>
    <dxf>
      <fill>
        <patternFill>
          <bgColor indexed="45"/>
        </patternFill>
      </fill>
    </dxf>
    <dxf>
      <fill>
        <patternFill>
          <bgColor indexed="47"/>
        </patternFill>
      </fill>
    </dxf>
    <dxf>
      <fill>
        <patternFill>
          <bgColor indexed="47"/>
        </patternFill>
      </fill>
    </dxf>
  </dxfs>
  <tableStyles count="0" defaultTableStyle="TableStyleMedium9" defaultPivotStyle="PivotStyleLight16"/>
  <colors>
    <mruColors>
      <color rgb="FFFFCC99"/>
      <color rgb="FF00FF00"/>
      <color rgb="FF339966"/>
      <color rgb="FF00CC66"/>
      <color rgb="FFCCCCFF"/>
      <color rgb="FFFF99CC"/>
      <color rgb="FFFFFF99"/>
      <color rgb="FF37BB5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Real exchange rate</a:t>
            </a:r>
          </a:p>
        </c:rich>
      </c:tx>
      <c:layout>
        <c:manualLayout>
          <c:xMode val="edge"/>
          <c:yMode val="edge"/>
          <c:x val="0.35794253906181728"/>
          <c:y val="3.4700315457414373E-2"/>
        </c:manualLayout>
      </c:layout>
      <c:overlay val="0"/>
      <c:spPr>
        <a:noFill/>
        <a:ln w="25400">
          <a:noFill/>
        </a:ln>
      </c:spPr>
    </c:title>
    <c:autoTitleDeleted val="0"/>
    <c:plotArea>
      <c:layout>
        <c:manualLayout>
          <c:layoutTarget val="inner"/>
          <c:xMode val="edge"/>
          <c:yMode val="edge"/>
          <c:x val="0.1163313503463855"/>
          <c:y val="0.19558359621450788"/>
          <c:w val="0.85011371406974023"/>
          <c:h val="0.58990536277602457"/>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case'!$AJ$3:$AJ$22</c:f>
              <c:numCache>
                <c:formatCode>0.00</c:formatCode>
                <c:ptCount val="20"/>
                <c:pt idx="0">
                  <c:v>1</c:v>
                </c:pt>
                <c:pt idx="1">
                  <c:v>1</c:v>
                </c:pt>
                <c:pt idx="2">
                  <c:v>1</c:v>
                </c:pt>
                <c:pt idx="3">
                  <c:v>1</c:v>
                </c:pt>
                <c:pt idx="4">
                  <c:v>1.0636767426669742</c:v>
                </c:pt>
                <c:pt idx="5">
                  <c:v>1.0571307287958711</c:v>
                </c:pt>
                <c:pt idx="6">
                  <c:v>1.0538728442943968</c:v>
                </c:pt>
                <c:pt idx="7">
                  <c:v>1.0522476690574327</c:v>
                </c:pt>
                <c:pt idx="8">
                  <c:v>1.051436021497963</c:v>
                </c:pt>
                <c:pt idx="9">
                  <c:v>1.0510304325214839</c:v>
                </c:pt>
                <c:pt idx="10">
                  <c:v>1.05082769670764</c:v>
                </c:pt>
                <c:pt idx="11">
                  <c:v>1.0507263434660159</c:v>
                </c:pt>
                <c:pt idx="12">
                  <c:v>1.0506756705111158</c:v>
                </c:pt>
                <c:pt idx="13">
                  <c:v>1.0506503349500922</c:v>
                </c:pt>
                <c:pt idx="14">
                  <c:v>1.0506376673986806</c:v>
                </c:pt>
                <c:pt idx="15">
                  <c:v>1.0506313336802489</c:v>
                </c:pt>
                <c:pt idx="16">
                  <c:v>1.0506281668353517</c:v>
                </c:pt>
                <c:pt idx="17">
                  <c:v>1.0506265834164825</c:v>
                </c:pt>
                <c:pt idx="18">
                  <c:v>1.0506257917079429</c:v>
                </c:pt>
                <c:pt idx="19">
                  <c:v>1.0506253958538967</c:v>
                </c:pt>
              </c:numCache>
            </c:numRef>
          </c:val>
          <c:smooth val="0"/>
          <c:extLst>
            <c:ext xmlns:c16="http://schemas.microsoft.com/office/drawing/2014/chart" uri="{C3380CC4-5D6E-409C-BE32-E72D297353CC}">
              <c16:uniqueId val="{00000000-3112-48E9-9C04-E3B091A740A4}"/>
            </c:ext>
          </c:extLst>
        </c:ser>
        <c:dLbls>
          <c:showLegendKey val="0"/>
          <c:showVal val="0"/>
          <c:showCatName val="0"/>
          <c:showSerName val="0"/>
          <c:showPercent val="0"/>
          <c:showBubbleSize val="0"/>
        </c:dLbls>
        <c:marker val="1"/>
        <c:smooth val="0"/>
        <c:axId val="427287376"/>
        <c:axId val="427285808"/>
      </c:lineChart>
      <c:catAx>
        <c:axId val="42728737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006828844381069"/>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5808"/>
        <c:crosses val="autoZero"/>
        <c:auto val="1"/>
        <c:lblAlgn val="ctr"/>
        <c:lblOffset val="100"/>
        <c:tickLblSkip val="1"/>
        <c:tickMarkSkip val="1"/>
        <c:noMultiLvlLbl val="0"/>
      </c:catAx>
      <c:valAx>
        <c:axId val="4272858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7376"/>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Nominal exchange rate</a:t>
            </a:r>
          </a:p>
        </c:rich>
      </c:tx>
      <c:layout>
        <c:manualLayout>
          <c:xMode val="edge"/>
          <c:yMode val="edge"/>
          <c:x val="0.32727272727273665"/>
          <c:y val="3.4810126582278486E-2"/>
        </c:manualLayout>
      </c:layout>
      <c:overlay val="0"/>
      <c:spPr>
        <a:noFill/>
        <a:ln w="25400">
          <a:noFill/>
        </a:ln>
      </c:spPr>
    </c:title>
    <c:autoTitleDeleted val="0"/>
    <c:plotArea>
      <c:layout>
        <c:manualLayout>
          <c:layoutTarget val="inner"/>
          <c:xMode val="edge"/>
          <c:yMode val="edge"/>
          <c:x val="0.13409090909090909"/>
          <c:y val="0.19620283481698209"/>
          <c:w val="0.83181818181818179"/>
          <c:h val="0.58860850445093749"/>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case'!$AM$3:$AM$22</c:f>
              <c:numCache>
                <c:formatCode>0.000</c:formatCode>
                <c:ptCount val="20"/>
                <c:pt idx="0">
                  <c:v>1</c:v>
                </c:pt>
                <c:pt idx="1">
                  <c:v>1.02</c:v>
                </c:pt>
                <c:pt idx="2">
                  <c:v>1.0404</c:v>
                </c:pt>
                <c:pt idx="3">
                  <c:v>1.0612079999999999</c:v>
                </c:pt>
                <c:pt idx="4">
                  <c:v>1.1400700914194557</c:v>
                </c:pt>
                <c:pt idx="5">
                  <c:v>1.1500497514430754</c:v>
                </c:pt>
                <c:pt idx="6">
                  <c:v>1.1665693538056188</c:v>
                </c:pt>
                <c:pt idx="7">
                  <c:v>1.1866098343065477</c:v>
                </c:pt>
                <c:pt idx="8">
                  <c:v>1.2086673788081876</c:v>
                </c:pt>
                <c:pt idx="9">
                  <c:v>1.2319875981132189</c:v>
                </c:pt>
                <c:pt idx="10">
                  <c:v>1.2561924952418821</c:v>
                </c:pt>
                <c:pt idx="11">
                  <c:v>1.2810946305022948</c:v>
                </c:pt>
                <c:pt idx="12">
                  <c:v>1.306603464276848</c:v>
                </c:pt>
                <c:pt idx="13">
                  <c:v>1.3326778775422796</c:v>
                </c:pt>
                <c:pt idx="14">
                  <c:v>1.3593020315392417</c:v>
                </c:pt>
                <c:pt idx="15">
                  <c:v>1.3864730766167126</c:v>
                </c:pt>
                <c:pt idx="16">
                  <c:v>1.4141948904829436</c:v>
                </c:pt>
                <c:pt idx="17">
                  <c:v>1.4424748879997416</c:v>
                </c:pt>
                <c:pt idx="18">
                  <c:v>1.4713223966146745</c:v>
                </c:pt>
                <c:pt idx="19">
                  <c:v>1.500747830084082</c:v>
                </c:pt>
              </c:numCache>
            </c:numRef>
          </c:val>
          <c:smooth val="0"/>
          <c:extLst>
            <c:ext xmlns:c16="http://schemas.microsoft.com/office/drawing/2014/chart" uri="{C3380CC4-5D6E-409C-BE32-E72D297353CC}">
              <c16:uniqueId val="{00000000-3C93-4440-831F-10FD7F8CAF02}"/>
            </c:ext>
          </c:extLst>
        </c:ser>
        <c:dLbls>
          <c:showLegendKey val="0"/>
          <c:showVal val="0"/>
          <c:showCatName val="0"/>
          <c:showSerName val="0"/>
          <c:showPercent val="0"/>
          <c:showBubbleSize val="0"/>
        </c:dLbls>
        <c:marker val="1"/>
        <c:smooth val="0"/>
        <c:axId val="427280320"/>
        <c:axId val="427281104"/>
      </c:lineChart>
      <c:catAx>
        <c:axId val="4272803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818181818181863"/>
              <c:y val="0.8797481643908554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1104"/>
        <c:crosses val="autoZero"/>
        <c:auto val="1"/>
        <c:lblAlgn val="ctr"/>
        <c:lblOffset val="100"/>
        <c:tickLblSkip val="1"/>
        <c:tickMarkSkip val="1"/>
        <c:noMultiLvlLbl val="0"/>
      </c:catAx>
      <c:valAx>
        <c:axId val="4272811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4272803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Current account/GDP</a:t>
            </a:r>
          </a:p>
        </c:rich>
      </c:tx>
      <c:layout>
        <c:manualLayout>
          <c:xMode val="edge"/>
          <c:yMode val="edge"/>
          <c:x val="0.33033755050281632"/>
          <c:y val="3.7037037037037056E-2"/>
        </c:manualLayout>
      </c:layout>
      <c:overlay val="0"/>
      <c:spPr>
        <a:noFill/>
        <a:ln w="25400">
          <a:noFill/>
        </a:ln>
      </c:spPr>
    </c:title>
    <c:autoTitleDeleted val="0"/>
    <c:plotArea>
      <c:layout>
        <c:manualLayout>
          <c:layoutTarget val="inner"/>
          <c:xMode val="edge"/>
          <c:yMode val="edge"/>
          <c:x val="0.15056196295861438"/>
          <c:y val="0.22222302598027335"/>
          <c:w val="0.63595575398939075"/>
          <c:h val="0.62222447274478176"/>
        </c:manualLayout>
      </c:layout>
      <c:lineChart>
        <c:grouping val="standard"/>
        <c:varyColors val="0"/>
        <c:ser>
          <c:idx val="0"/>
          <c:order val="0"/>
          <c:tx>
            <c:v>current account/GDP</c:v>
          </c:tx>
          <c:spPr>
            <a:ln w="25400">
              <a:solidFill>
                <a:srgbClr val="000080"/>
              </a:solidFill>
              <a:prstDash val="solid"/>
            </a:ln>
          </c:spPr>
          <c:marker>
            <c:symbol val="none"/>
          </c:marker>
          <c:cat>
            <c:numRef>
              <c:f>[0]!currentaccountxaxis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[0]!currentaccount</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98F2-49BE-BD30-5484B002B85A}"/>
            </c:ext>
          </c:extLst>
        </c:ser>
        <c:dLbls>
          <c:showLegendKey val="0"/>
          <c:showVal val="0"/>
          <c:showCatName val="0"/>
          <c:showSerName val="0"/>
          <c:showPercent val="0"/>
          <c:showBubbleSize val="0"/>
        </c:dLbls>
        <c:smooth val="0"/>
        <c:axId val="427285024"/>
        <c:axId val="427283848"/>
      </c:lineChart>
      <c:catAx>
        <c:axId val="42728502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27283848"/>
        <c:crosses val="autoZero"/>
        <c:auto val="1"/>
        <c:lblAlgn val="ctr"/>
        <c:lblOffset val="100"/>
        <c:tickMarkSkip val="1"/>
        <c:noMultiLvlLbl val="0"/>
      </c:catAx>
      <c:valAx>
        <c:axId val="4272838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728502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Trade balance/GDP</a:t>
            </a:r>
          </a:p>
        </c:rich>
      </c:tx>
      <c:layout>
        <c:manualLayout>
          <c:xMode val="edge"/>
          <c:yMode val="edge"/>
          <c:x val="0.35033305980876556"/>
          <c:y val="3.7313432835820892E-2"/>
        </c:manualLayout>
      </c:layout>
      <c:overlay val="0"/>
      <c:spPr>
        <a:noFill/>
        <a:ln w="25400">
          <a:noFill/>
        </a:ln>
      </c:spPr>
    </c:title>
    <c:autoTitleDeleted val="0"/>
    <c:plotArea>
      <c:layout>
        <c:manualLayout>
          <c:layoutTarget val="inner"/>
          <c:xMode val="edge"/>
          <c:yMode val="edge"/>
          <c:x val="0.13747243265013892"/>
          <c:y val="0.22014965483189794"/>
          <c:w val="0.68071027134825313"/>
          <c:h val="0.62313546367673966"/>
        </c:manualLayout>
      </c:layout>
      <c:lineChart>
        <c:grouping val="standard"/>
        <c:varyColors val="0"/>
        <c:ser>
          <c:idx val="0"/>
          <c:order val="0"/>
          <c:tx>
            <c:v>trade balance/GDP</c:v>
          </c:tx>
          <c:spPr>
            <a:ln w="25400">
              <a:solidFill>
                <a:srgbClr val="000080"/>
              </a:solidFill>
              <a:prstDash val="solid"/>
            </a:ln>
          </c:spPr>
          <c:marker>
            <c:symbol val="none"/>
          </c:marker>
          <c:cat>
            <c:numRef>
              <c:f>[0]!tradebalancexaxis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[0]!tradebalance</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406-4875-8F86-3B7B1018C52D}"/>
            </c:ext>
          </c:extLst>
        </c:ser>
        <c:dLbls>
          <c:showLegendKey val="0"/>
          <c:showVal val="0"/>
          <c:showCatName val="0"/>
          <c:showSerName val="0"/>
          <c:showPercent val="0"/>
          <c:showBubbleSize val="0"/>
        </c:dLbls>
        <c:smooth val="0"/>
        <c:axId val="454271152"/>
        <c:axId val="454271544"/>
      </c:lineChart>
      <c:catAx>
        <c:axId val="454271152"/>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54271544"/>
        <c:crosses val="autoZero"/>
        <c:auto val="1"/>
        <c:lblAlgn val="ctr"/>
        <c:lblOffset val="100"/>
        <c:tickMarkSkip val="1"/>
        <c:noMultiLvlLbl val="0"/>
      </c:catAx>
      <c:valAx>
        <c:axId val="454271544"/>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71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54226125137213"/>
          <c:y val="3.8327526132404179E-2"/>
        </c:manualLayout>
      </c:layout>
      <c:overlay val="0"/>
      <c:spPr>
        <a:noFill/>
        <a:ln w="25400">
          <a:noFill/>
        </a:ln>
      </c:spPr>
      <c:txPr>
        <a:bodyPr/>
        <a:lstStyle/>
        <a:p>
          <a:pPr>
            <a:defRPr sz="1200" b="1" i="0" u="none" strike="noStrike" baseline="0">
              <a:solidFill>
                <a:srgbClr val="000000"/>
              </a:solidFill>
              <a:latin typeface="+mn-lt"/>
              <a:ea typeface="Arial"/>
              <a:cs typeface="Arial"/>
            </a:defRPr>
          </a:pPr>
          <a:endParaRPr lang="en-US"/>
        </a:p>
      </c:txPr>
    </c:title>
    <c:autoTitleDeleted val="0"/>
    <c:plotArea>
      <c:layout>
        <c:manualLayout>
          <c:layoutTarget val="inner"/>
          <c:xMode val="edge"/>
          <c:yMode val="edge"/>
          <c:x val="7.3545554335894617E-2"/>
          <c:y val="0.20557491289198609"/>
          <c:w val="0.72118551042811796"/>
          <c:h val="0.62369337979094053"/>
        </c:manualLayout>
      </c:layout>
      <c:lineChart>
        <c:grouping val="standard"/>
        <c:varyColors val="0"/>
        <c:ser>
          <c:idx val="0"/>
          <c:order val="0"/>
          <c:tx>
            <c:v>NIIP/GDP</c:v>
          </c:tx>
          <c:spPr>
            <a:ln w="25400">
              <a:solidFill>
                <a:srgbClr val="000080"/>
              </a:solidFill>
              <a:prstDash val="solid"/>
            </a:ln>
          </c:spPr>
          <c:marker>
            <c:symbol val="none"/>
          </c:marker>
          <c:cat>
            <c:numRef>
              <c:f>[0]!niipxaxis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[0]!niip</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0-CC81-4854-B64A-C6AB34132560}"/>
            </c:ext>
          </c:extLst>
        </c:ser>
        <c:dLbls>
          <c:showLegendKey val="0"/>
          <c:showVal val="0"/>
          <c:showCatName val="0"/>
          <c:showSerName val="0"/>
          <c:showPercent val="0"/>
          <c:showBubbleSize val="0"/>
        </c:dLbls>
        <c:smooth val="0"/>
        <c:axId val="454265664"/>
        <c:axId val="454271936"/>
      </c:lineChart>
      <c:catAx>
        <c:axId val="454265664"/>
        <c:scaling>
          <c:orientation val="minMax"/>
        </c:scaling>
        <c:delete val="0"/>
        <c:axPos val="b"/>
        <c:title>
          <c:tx>
            <c:rich>
              <a:bodyPr/>
              <a:lstStyle/>
              <a:p>
                <a:pPr>
                  <a:defRPr sz="1000" b="1">
                    <a:latin typeface="+mn-lt"/>
                  </a:defRPr>
                </a:pPr>
                <a:r>
                  <a:rPr lang="en-US" sz="1000" b="1">
                    <a:latin typeface="+mn-lt"/>
                  </a:rPr>
                  <a:t>time</a:t>
                </a:r>
              </a:p>
            </c:rich>
          </c:tx>
          <c:overlay val="0"/>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54271936"/>
        <c:crosses val="autoZero"/>
        <c:auto val="1"/>
        <c:lblAlgn val="ctr"/>
        <c:lblOffset val="100"/>
        <c:tickMarkSkip val="1"/>
        <c:noMultiLvlLbl val="0"/>
      </c:catAx>
      <c:valAx>
        <c:axId val="454271936"/>
        <c:scaling>
          <c:orientation val="minMax"/>
        </c:scaling>
        <c:delete val="0"/>
        <c:axPos val="l"/>
        <c:numFmt formatCode="0.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54265664"/>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2700">
              <a:solidFill>
                <a:schemeClr val="tx1"/>
              </a:solidFill>
              <a:prstDash val="sysDot"/>
            </a:ln>
          </c:spPr>
          <c:marker>
            <c:symbol val="diamond"/>
            <c:size val="4"/>
          </c:marker>
          <c:dPt>
            <c:idx val="0"/>
            <c:marker>
              <c:symbol val="circle"/>
              <c:size val="8"/>
            </c:marker>
            <c:bubble3D val="0"/>
            <c:spPr>
              <a:ln w="12700">
                <a:solidFill>
                  <a:schemeClr val="tx1"/>
                </a:solidFill>
                <a:prstDash val="sysDot"/>
                <a:headEnd type="arrow"/>
                <a:tailEnd type="arrow"/>
              </a:ln>
            </c:spPr>
            <c:extLst>
              <c:ext xmlns:c16="http://schemas.microsoft.com/office/drawing/2014/chart" uri="{C3380CC4-5D6E-409C-BE32-E72D297353CC}">
                <c16:uniqueId val="{00000001-CB5A-4E16-AA9B-55010EC524EF}"/>
              </c:ext>
            </c:extLst>
          </c:dPt>
          <c:dPt>
            <c:idx val="4"/>
            <c:bubble3D val="0"/>
            <c:spPr>
              <a:ln w="12700">
                <a:solidFill>
                  <a:schemeClr val="tx1"/>
                </a:solidFill>
                <a:prstDash val="sysDot"/>
                <a:headEnd type="none"/>
                <a:tailEnd type="none"/>
              </a:ln>
            </c:spPr>
            <c:extLst>
              <c:ext xmlns:c16="http://schemas.microsoft.com/office/drawing/2014/chart" uri="{C3380CC4-5D6E-409C-BE32-E72D297353CC}">
                <c16:uniqueId val="{00000003-CB5A-4E16-AA9B-55010EC524EF}"/>
              </c:ext>
            </c:extLst>
          </c:dPt>
          <c:dPt>
            <c:idx val="5"/>
            <c:bubble3D val="0"/>
            <c:spPr>
              <a:ln w="12700">
                <a:solidFill>
                  <a:schemeClr val="tx1"/>
                </a:solidFill>
                <a:prstDash val="sysDot"/>
                <a:tailEnd type="none"/>
              </a:ln>
            </c:spPr>
            <c:extLst>
              <c:ext xmlns:c16="http://schemas.microsoft.com/office/drawing/2014/chart" uri="{C3380CC4-5D6E-409C-BE32-E72D297353CC}">
                <c16:uniqueId val="{00000005-CB5A-4E16-AA9B-55010EC524EF}"/>
              </c:ext>
            </c:extLst>
          </c:dPt>
          <c:dPt>
            <c:idx val="6"/>
            <c:bubble3D val="0"/>
            <c:spPr>
              <a:ln w="12700">
                <a:solidFill>
                  <a:schemeClr val="tx1"/>
                </a:solidFill>
                <a:prstDash val="sysDot"/>
                <a:headEnd type="none"/>
                <a:tailEnd type="none"/>
              </a:ln>
            </c:spPr>
            <c:extLst>
              <c:ext xmlns:c16="http://schemas.microsoft.com/office/drawing/2014/chart" uri="{C3380CC4-5D6E-409C-BE32-E72D297353CC}">
                <c16:uniqueId val="{00000007-CB5A-4E16-AA9B-55010EC524EF}"/>
              </c:ext>
            </c:extLst>
          </c:dPt>
          <c:dPt>
            <c:idx val="7"/>
            <c:bubble3D val="0"/>
            <c:spPr>
              <a:ln w="12700">
                <a:solidFill>
                  <a:schemeClr val="tx1"/>
                </a:solidFill>
                <a:prstDash val="sysDot"/>
                <a:headEnd type="none"/>
                <a:tailEnd type="none"/>
              </a:ln>
            </c:spPr>
            <c:extLst>
              <c:ext xmlns:c16="http://schemas.microsoft.com/office/drawing/2014/chart" uri="{C3380CC4-5D6E-409C-BE32-E72D297353CC}">
                <c16:uniqueId val="{00000009-CB5A-4E16-AA9B-55010EC524EF}"/>
              </c:ext>
            </c:extLst>
          </c:dPt>
          <c:xVal>
            <c:numRef>
              <c:f>'numerical results'!$C$7:$C$34</c:f>
              <c:numCache>
                <c:formatCode>0.00</c:formatCode>
                <c:ptCount val="28"/>
                <c:pt idx="0">
                  <c:v>100</c:v>
                </c:pt>
                <c:pt idx="1">
                  <c:v>100</c:v>
                </c:pt>
                <c:pt idx="2">
                  <c:v>101.5</c:v>
                </c:pt>
                <c:pt idx="3">
                  <c:v>101.25</c:v>
                </c:pt>
                <c:pt idx="4">
                  <c:v>101.125</c:v>
                </c:pt>
                <c:pt idx="5">
                  <c:v>101.0625</c:v>
                </c:pt>
                <c:pt idx="6">
                  <c:v>101.03125</c:v>
                </c:pt>
                <c:pt idx="7">
                  <c:v>101.015625</c:v>
                </c:pt>
                <c:pt idx="8">
                  <c:v>101.0078125</c:v>
                </c:pt>
                <c:pt idx="9">
                  <c:v>101.00390625</c:v>
                </c:pt>
                <c:pt idx="10">
                  <c:v>101.001953125</c:v>
                </c:pt>
                <c:pt idx="11">
                  <c:v>101.0009765625</c:v>
                </c:pt>
                <c:pt idx="12">
                  <c:v>101.00048828125</c:v>
                </c:pt>
                <c:pt idx="13">
                  <c:v>101.000244140625</c:v>
                </c:pt>
                <c:pt idx="14">
                  <c:v>101.0001220703125</c:v>
                </c:pt>
                <c:pt idx="15">
                  <c:v>101.00006103515625</c:v>
                </c:pt>
                <c:pt idx="16">
                  <c:v>101.00003051757813</c:v>
                </c:pt>
                <c:pt idx="17">
                  <c:v>101.00001525878906</c:v>
                </c:pt>
                <c:pt idx="18">
                  <c:v>101.00000762939453</c:v>
                </c:pt>
                <c:pt idx="19">
                  <c:v>101.00000381469727</c:v>
                </c:pt>
                <c:pt idx="20">
                  <c:v>101.00000190734863</c:v>
                </c:pt>
                <c:pt idx="21">
                  <c:v>101.00000095367432</c:v>
                </c:pt>
                <c:pt idx="22">
                  <c:v>101.00000047683716</c:v>
                </c:pt>
                <c:pt idx="23">
                  <c:v>101.00000023841858</c:v>
                </c:pt>
                <c:pt idx="24">
                  <c:v>101.00000011920929</c:v>
                </c:pt>
                <c:pt idx="25">
                  <c:v>101.00000005960464</c:v>
                </c:pt>
                <c:pt idx="26">
                  <c:v>101.00000005960464</c:v>
                </c:pt>
                <c:pt idx="27">
                  <c:v>101.00000005960464</c:v>
                </c:pt>
              </c:numCache>
            </c:numRef>
          </c:xVal>
          <c:yVal>
            <c:numRef>
              <c:f>'numerical results'!$E$7:$E$34</c:f>
              <c:numCache>
                <c:formatCode>0.00%</c:formatCode>
                <c:ptCount val="28"/>
                <c:pt idx="0">
                  <c:v>0.02</c:v>
                </c:pt>
                <c:pt idx="1">
                  <c:v>0.01</c:v>
                </c:pt>
                <c:pt idx="2">
                  <c:v>1.4999999999999999E-2</c:v>
                </c:pt>
                <c:pt idx="3">
                  <c:v>1.7500000000000002E-2</c:v>
                </c:pt>
                <c:pt idx="4">
                  <c:v>1.8749999999999999E-2</c:v>
                </c:pt>
                <c:pt idx="5">
                  <c:v>1.9375E-2</c:v>
                </c:pt>
                <c:pt idx="6">
                  <c:v>1.96875E-2</c:v>
                </c:pt>
                <c:pt idx="7">
                  <c:v>1.984375E-2</c:v>
                </c:pt>
                <c:pt idx="8">
                  <c:v>1.9921874999999999E-2</c:v>
                </c:pt>
                <c:pt idx="9">
                  <c:v>1.9960937500000001E-2</c:v>
                </c:pt>
                <c:pt idx="10">
                  <c:v>1.9980468750000001E-2</c:v>
                </c:pt>
                <c:pt idx="11">
                  <c:v>1.9990234374999999E-2</c:v>
                </c:pt>
                <c:pt idx="12">
                  <c:v>1.9995117187500001E-2</c:v>
                </c:pt>
                <c:pt idx="13">
                  <c:v>1.9997558593749999E-2</c:v>
                </c:pt>
                <c:pt idx="14">
                  <c:v>1.9998779296875002E-2</c:v>
                </c:pt>
                <c:pt idx="15">
                  <c:v>1.9999389648437501E-2</c:v>
                </c:pt>
                <c:pt idx="16">
                  <c:v>1.9999694824218751E-2</c:v>
                </c:pt>
                <c:pt idx="17">
                  <c:v>1.9999847412109376E-2</c:v>
                </c:pt>
                <c:pt idx="18">
                  <c:v>1.9999923706054686E-2</c:v>
                </c:pt>
                <c:pt idx="19">
                  <c:v>1.9999961853027343E-2</c:v>
                </c:pt>
                <c:pt idx="20">
                  <c:v>1.9999980926513672E-2</c:v>
                </c:pt>
                <c:pt idx="21">
                  <c:v>1.9999990463256834E-2</c:v>
                </c:pt>
                <c:pt idx="22">
                  <c:v>1.9999995231628417E-2</c:v>
                </c:pt>
                <c:pt idx="23">
                  <c:v>1.9999997615814211E-2</c:v>
                </c:pt>
                <c:pt idx="24">
                  <c:v>1.9999998807907104E-2</c:v>
                </c:pt>
                <c:pt idx="25">
                  <c:v>1.9999998807907104E-2</c:v>
                </c:pt>
                <c:pt idx="26">
                  <c:v>1.9999998807907104E-2</c:v>
                </c:pt>
                <c:pt idx="27">
                  <c:v>1.9999998807907104E-2</c:v>
                </c:pt>
              </c:numCache>
            </c:numRef>
          </c:yVal>
          <c:smooth val="0"/>
          <c:extLst>
            <c:ext xmlns:c16="http://schemas.microsoft.com/office/drawing/2014/chart" uri="{C3380CC4-5D6E-409C-BE32-E72D297353CC}">
              <c16:uniqueId val="{0000000A-CB5A-4E16-AA9B-55010EC524EF}"/>
            </c:ext>
          </c:extLst>
        </c:ser>
        <c:dLbls>
          <c:showLegendKey val="0"/>
          <c:showVal val="0"/>
          <c:showCatName val="0"/>
          <c:showSerName val="0"/>
          <c:showPercent val="0"/>
          <c:showBubbleSize val="0"/>
        </c:dLbls>
        <c:axId val="454272328"/>
        <c:axId val="454272720"/>
      </c:scatterChart>
      <c:valAx>
        <c:axId val="454272328"/>
        <c:scaling>
          <c:orientation val="minMax"/>
        </c:scaling>
        <c:delete val="0"/>
        <c:axPos val="b"/>
        <c:numFmt formatCode="0.00" sourceLinked="1"/>
        <c:majorTickMark val="out"/>
        <c:minorTickMark val="none"/>
        <c:tickLblPos val="nextTo"/>
        <c:crossAx val="454272720"/>
        <c:crosses val="autoZero"/>
        <c:crossBetween val="midCat"/>
      </c:valAx>
      <c:valAx>
        <c:axId val="454272720"/>
        <c:scaling>
          <c:orientation val="minMax"/>
        </c:scaling>
        <c:delete val="0"/>
        <c:axPos val="l"/>
        <c:numFmt formatCode="0.00%" sourceLinked="1"/>
        <c:majorTickMark val="out"/>
        <c:minorTickMark val="none"/>
        <c:tickLblPos val="nextTo"/>
        <c:crossAx val="454272328"/>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3224628171483498E-2"/>
          <c:y val="0.19480351414406533"/>
          <c:w val="0.83903237095363059"/>
          <c:h val="0.68921660834062359"/>
        </c:manualLayout>
      </c:layout>
      <c:scatterChart>
        <c:scatterStyle val="lineMarker"/>
        <c:varyColors val="0"/>
        <c:ser>
          <c:idx val="0"/>
          <c:order val="0"/>
          <c:tx>
            <c:v>IS</c:v>
          </c:tx>
          <c:spPr>
            <a:ln w="12700">
              <a:prstDash val="sysDot"/>
            </a:ln>
          </c:spPr>
          <c:marker>
            <c:symbol val="diamond"/>
            <c:size val="3"/>
          </c:marker>
          <c:dPt>
            <c:idx val="0"/>
            <c:marker>
              <c:symbol val="circle"/>
              <c:size val="8"/>
            </c:marker>
            <c:bubble3D val="0"/>
            <c:extLst>
              <c:ext xmlns:c16="http://schemas.microsoft.com/office/drawing/2014/chart" uri="{C3380CC4-5D6E-409C-BE32-E72D297353CC}">
                <c16:uniqueId val="{00000000-0655-4A75-A534-A38EC51B539E}"/>
              </c:ext>
            </c:extLst>
          </c:dPt>
          <c:xVal>
            <c:numRef>
              <c:f>'numerical results'!$C$7:$C$34</c:f>
              <c:numCache>
                <c:formatCode>0.00</c:formatCode>
                <c:ptCount val="28"/>
                <c:pt idx="0">
                  <c:v>100</c:v>
                </c:pt>
                <c:pt idx="1">
                  <c:v>100</c:v>
                </c:pt>
                <c:pt idx="2">
                  <c:v>101.5</c:v>
                </c:pt>
                <c:pt idx="3">
                  <c:v>101.25</c:v>
                </c:pt>
                <c:pt idx="4">
                  <c:v>101.125</c:v>
                </c:pt>
                <c:pt idx="5">
                  <c:v>101.0625</c:v>
                </c:pt>
                <c:pt idx="6">
                  <c:v>101.03125</c:v>
                </c:pt>
                <c:pt idx="7">
                  <c:v>101.015625</c:v>
                </c:pt>
                <c:pt idx="8">
                  <c:v>101.0078125</c:v>
                </c:pt>
                <c:pt idx="9">
                  <c:v>101.00390625</c:v>
                </c:pt>
                <c:pt idx="10">
                  <c:v>101.001953125</c:v>
                </c:pt>
                <c:pt idx="11">
                  <c:v>101.0009765625</c:v>
                </c:pt>
                <c:pt idx="12">
                  <c:v>101.00048828125</c:v>
                </c:pt>
                <c:pt idx="13">
                  <c:v>101.000244140625</c:v>
                </c:pt>
                <c:pt idx="14">
                  <c:v>101.0001220703125</c:v>
                </c:pt>
                <c:pt idx="15">
                  <c:v>101.00006103515625</c:v>
                </c:pt>
                <c:pt idx="16">
                  <c:v>101.00003051757813</c:v>
                </c:pt>
                <c:pt idx="17">
                  <c:v>101.00001525878906</c:v>
                </c:pt>
                <c:pt idx="18">
                  <c:v>101.00000762939453</c:v>
                </c:pt>
                <c:pt idx="19">
                  <c:v>101.00000381469727</c:v>
                </c:pt>
                <c:pt idx="20">
                  <c:v>101.00000190734863</c:v>
                </c:pt>
                <c:pt idx="21">
                  <c:v>101.00000095367432</c:v>
                </c:pt>
                <c:pt idx="22">
                  <c:v>101.00000047683716</c:v>
                </c:pt>
                <c:pt idx="23">
                  <c:v>101.00000023841858</c:v>
                </c:pt>
                <c:pt idx="24">
                  <c:v>101.00000011920929</c:v>
                </c:pt>
                <c:pt idx="25">
                  <c:v>101.00000005960464</c:v>
                </c:pt>
                <c:pt idx="26">
                  <c:v>101.00000005960464</c:v>
                </c:pt>
                <c:pt idx="27">
                  <c:v>101.00000005960464</c:v>
                </c:pt>
              </c:numCache>
            </c:numRef>
          </c:xVal>
          <c:yVal>
            <c:numRef>
              <c:f>'numerical results'!$G$7:$G$34</c:f>
              <c:numCache>
                <c:formatCode>0.0%</c:formatCode>
                <c:ptCount val="28"/>
                <c:pt idx="0">
                  <c:v>0.04</c:v>
                </c:pt>
                <c:pt idx="1">
                  <c:v>3.2500000000000001E-2</c:v>
                </c:pt>
                <c:pt idx="2">
                  <c:v>3.3750000000000002E-2</c:v>
                </c:pt>
                <c:pt idx="3">
                  <c:v>3.4375000000000003E-2</c:v>
                </c:pt>
                <c:pt idx="4">
                  <c:v>3.4687500000000003E-2</c:v>
                </c:pt>
                <c:pt idx="5">
                  <c:v>3.484375E-2</c:v>
                </c:pt>
                <c:pt idx="6">
                  <c:v>3.4921874999999998E-2</c:v>
                </c:pt>
                <c:pt idx="7">
                  <c:v>3.4960937499999997E-2</c:v>
                </c:pt>
                <c:pt idx="8">
                  <c:v>3.498046875E-2</c:v>
                </c:pt>
                <c:pt idx="9">
                  <c:v>3.4990234374999998E-2</c:v>
                </c:pt>
                <c:pt idx="10">
                  <c:v>3.4995117187500001E-2</c:v>
                </c:pt>
                <c:pt idx="11">
                  <c:v>3.4997558593749999E-2</c:v>
                </c:pt>
                <c:pt idx="12">
                  <c:v>3.4998779296874998E-2</c:v>
                </c:pt>
                <c:pt idx="13">
                  <c:v>3.4999389648437497E-2</c:v>
                </c:pt>
                <c:pt idx="14">
                  <c:v>3.4999694824218747E-2</c:v>
                </c:pt>
                <c:pt idx="15">
                  <c:v>3.4999847412109375E-2</c:v>
                </c:pt>
                <c:pt idx="16">
                  <c:v>3.4999923706054689E-2</c:v>
                </c:pt>
                <c:pt idx="17">
                  <c:v>3.4999961853027346E-2</c:v>
                </c:pt>
                <c:pt idx="18">
                  <c:v>3.4999980926513671E-2</c:v>
                </c:pt>
                <c:pt idx="19">
                  <c:v>3.4999990463256837E-2</c:v>
                </c:pt>
                <c:pt idx="20">
                  <c:v>3.4999995231628417E-2</c:v>
                </c:pt>
                <c:pt idx="21">
                  <c:v>3.499999761581421E-2</c:v>
                </c:pt>
                <c:pt idx="22">
                  <c:v>3.4999998807907107E-2</c:v>
                </c:pt>
                <c:pt idx="23">
                  <c:v>3.4999999403953555E-2</c:v>
                </c:pt>
                <c:pt idx="24">
                  <c:v>3.4999999701976779E-2</c:v>
                </c:pt>
                <c:pt idx="25">
                  <c:v>3.4999999701976779E-2</c:v>
                </c:pt>
                <c:pt idx="26">
                  <c:v>3.4999999701976779E-2</c:v>
                </c:pt>
                <c:pt idx="27">
                  <c:v>3.4999999701976779E-2</c:v>
                </c:pt>
              </c:numCache>
            </c:numRef>
          </c:yVal>
          <c:smooth val="0"/>
          <c:extLst>
            <c:ext xmlns:c16="http://schemas.microsoft.com/office/drawing/2014/chart" uri="{C3380CC4-5D6E-409C-BE32-E72D297353CC}">
              <c16:uniqueId val="{00000001-0655-4A75-A534-A38EC51B539E}"/>
            </c:ext>
          </c:extLst>
        </c:ser>
        <c:dLbls>
          <c:showLegendKey val="0"/>
          <c:showVal val="0"/>
          <c:showCatName val="0"/>
          <c:showSerName val="0"/>
          <c:showPercent val="0"/>
          <c:showBubbleSize val="0"/>
        </c:dLbls>
        <c:axId val="454266840"/>
        <c:axId val="454267232"/>
      </c:scatterChart>
      <c:valAx>
        <c:axId val="454266840"/>
        <c:scaling>
          <c:orientation val="minMax"/>
        </c:scaling>
        <c:delete val="0"/>
        <c:axPos val="b"/>
        <c:numFmt formatCode="0.00" sourceLinked="1"/>
        <c:majorTickMark val="out"/>
        <c:minorTickMark val="none"/>
        <c:tickLblPos val="nextTo"/>
        <c:crossAx val="454267232"/>
        <c:crosses val="autoZero"/>
        <c:crossBetween val="midCat"/>
      </c:valAx>
      <c:valAx>
        <c:axId val="454267232"/>
        <c:scaling>
          <c:orientation val="minMax"/>
        </c:scaling>
        <c:delete val="0"/>
        <c:axPos val="l"/>
        <c:numFmt formatCode="0.0%" sourceLinked="1"/>
        <c:majorTickMark val="out"/>
        <c:minorTickMark val="none"/>
        <c:tickLblPos val="nextTo"/>
        <c:crossAx val="454266840"/>
        <c:crosses val="autoZero"/>
        <c:crossBetween val="midCat"/>
      </c:valAx>
    </c:plotArea>
    <c:plotVisOnly val="1"/>
    <c:dispBlanksAs val="gap"/>
    <c:showDLblsOverMax val="0"/>
  </c:chart>
  <c:printSettings>
    <c:headerFooter/>
    <c:pageMargins b="0.75000000000001044" l="0.70000000000000062" r="0.70000000000000062" t="0.75000000000001044"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101.5</c:v>
                </c:pt>
                <c:pt idx="6">
                  <c:v>101.25</c:v>
                </c:pt>
                <c:pt idx="7">
                  <c:v>101.125</c:v>
                </c:pt>
                <c:pt idx="8">
                  <c:v>101.0625</c:v>
                </c:pt>
                <c:pt idx="9">
                  <c:v>101.03125</c:v>
                </c:pt>
                <c:pt idx="10">
                  <c:v>101.015625</c:v>
                </c:pt>
                <c:pt idx="11">
                  <c:v>101.0078125</c:v>
                </c:pt>
                <c:pt idx="12">
                  <c:v>101.00390625</c:v>
                </c:pt>
                <c:pt idx="13">
                  <c:v>101.001953125</c:v>
                </c:pt>
                <c:pt idx="14">
                  <c:v>101.0009765625</c:v>
                </c:pt>
                <c:pt idx="15">
                  <c:v>101.00048828125</c:v>
                </c:pt>
                <c:pt idx="16">
                  <c:v>101.000244140625</c:v>
                </c:pt>
                <c:pt idx="17">
                  <c:v>101.0001220703125</c:v>
                </c:pt>
                <c:pt idx="18">
                  <c:v>101.00006103515625</c:v>
                </c:pt>
                <c:pt idx="19">
                  <c:v>101.00003051757813</c:v>
                </c:pt>
              </c:numCache>
            </c:numRef>
          </c:val>
          <c:smooth val="0"/>
          <c:extLst>
            <c:ext xmlns:c16="http://schemas.microsoft.com/office/drawing/2014/chart" uri="{C3380CC4-5D6E-409C-BE32-E72D297353CC}">
              <c16:uniqueId val="{00000000-113D-48B4-AD58-17208211287C}"/>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'normal case'!$B$3:$B$22</c:f>
              <c:numCache>
                <c:formatCode>0.0</c:formatCode>
                <c:ptCount val="20"/>
                <c:pt idx="0">
                  <c:v>100</c:v>
                </c:pt>
                <c:pt idx="1">
                  <c:v>100</c:v>
                </c:pt>
                <c:pt idx="2">
                  <c:v>100</c:v>
                </c:pt>
                <c:pt idx="3">
                  <c:v>100</c:v>
                </c:pt>
                <c:pt idx="4">
                  <c:v>101</c:v>
                </c:pt>
                <c:pt idx="5">
                  <c:v>101</c:v>
                </c:pt>
                <c:pt idx="6">
                  <c:v>101</c:v>
                </c:pt>
                <c:pt idx="7">
                  <c:v>101</c:v>
                </c:pt>
                <c:pt idx="8">
                  <c:v>101</c:v>
                </c:pt>
                <c:pt idx="9">
                  <c:v>101</c:v>
                </c:pt>
                <c:pt idx="10">
                  <c:v>101</c:v>
                </c:pt>
                <c:pt idx="11">
                  <c:v>101</c:v>
                </c:pt>
                <c:pt idx="12">
                  <c:v>101</c:v>
                </c:pt>
                <c:pt idx="13">
                  <c:v>101</c:v>
                </c:pt>
                <c:pt idx="14">
                  <c:v>101</c:v>
                </c:pt>
                <c:pt idx="15">
                  <c:v>101</c:v>
                </c:pt>
                <c:pt idx="16">
                  <c:v>101</c:v>
                </c:pt>
                <c:pt idx="17">
                  <c:v>101</c:v>
                </c:pt>
                <c:pt idx="18">
                  <c:v>101</c:v>
                </c:pt>
                <c:pt idx="19">
                  <c:v>101</c:v>
                </c:pt>
              </c:numCache>
            </c:numRef>
          </c:val>
          <c:smooth val="0"/>
          <c:extLst>
            <c:ext xmlns:c16="http://schemas.microsoft.com/office/drawing/2014/chart" uri="{C3380CC4-5D6E-409C-BE32-E72D297353CC}">
              <c16:uniqueId val="{00000001-113D-48B4-AD58-17208211287C}"/>
            </c:ext>
          </c:extLst>
        </c:ser>
        <c:dLbls>
          <c:showLegendKey val="0"/>
          <c:showVal val="0"/>
          <c:showCatName val="0"/>
          <c:showSerName val="0"/>
          <c:showPercent val="0"/>
          <c:showBubbleSize val="0"/>
        </c:dLbls>
        <c:marker val="1"/>
        <c:smooth val="0"/>
        <c:axId val="454268016"/>
        <c:axId val="454268408"/>
      </c:lineChart>
      <c:catAx>
        <c:axId val="454268016"/>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4268408"/>
        <c:crosses val="autoZero"/>
        <c:auto val="1"/>
        <c:lblAlgn val="ctr"/>
        <c:lblOffset val="100"/>
        <c:tickLblSkip val="1"/>
        <c:tickMarkSkip val="1"/>
        <c:noMultiLvlLbl val="0"/>
      </c:catAx>
      <c:valAx>
        <c:axId val="454268408"/>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8016"/>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Output gap (actual-potential GDP) as % of potential</a:t>
            </a:r>
            <a:r>
              <a:rPr lang="es-ES" sz="1200" baseline="0">
                <a:latin typeface="+mn-lt"/>
              </a:rPr>
              <a:t> GDP</a:t>
            </a:r>
            <a:endParaRPr lang="es-ES" sz="1200">
              <a:latin typeface="+mn-lt"/>
            </a:endParaRPr>
          </a:p>
        </c:rich>
      </c:tx>
      <c:layout>
        <c:manualLayout>
          <c:xMode val="edge"/>
          <c:yMode val="edge"/>
          <c:x val="0.17229159522806659"/>
          <c:y val="4.2934268527731329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results'!$B$4:$B$23</c:f>
              <c:numCache>
                <c:formatCode>0.0%</c:formatCode>
                <c:ptCount val="20"/>
                <c:pt idx="0">
                  <c:v>0</c:v>
                </c:pt>
                <c:pt idx="1">
                  <c:v>0</c:v>
                </c:pt>
                <c:pt idx="2">
                  <c:v>0</c:v>
                </c:pt>
                <c:pt idx="3">
                  <c:v>0</c:v>
                </c:pt>
                <c:pt idx="4">
                  <c:v>-9.9009900990099011E-3</c:v>
                </c:pt>
                <c:pt idx="5">
                  <c:v>4.9504950495049506E-3</c:v>
                </c:pt>
                <c:pt idx="6">
                  <c:v>2.4752475247524753E-3</c:v>
                </c:pt>
                <c:pt idx="7">
                  <c:v>1.2376237623762376E-3</c:v>
                </c:pt>
                <c:pt idx="8">
                  <c:v>6.1881188118811882E-4</c:v>
                </c:pt>
                <c:pt idx="9">
                  <c:v>3.0940594059405941E-4</c:v>
                </c:pt>
                <c:pt idx="10">
                  <c:v>1.547029702970297E-4</c:v>
                </c:pt>
                <c:pt idx="11">
                  <c:v>7.7351485148514852E-5</c:v>
                </c:pt>
                <c:pt idx="12">
                  <c:v>3.8675742574257426E-5</c:v>
                </c:pt>
                <c:pt idx="13">
                  <c:v>1.9337871287128713E-5</c:v>
                </c:pt>
                <c:pt idx="14">
                  <c:v>9.6689356435643566E-6</c:v>
                </c:pt>
                <c:pt idx="15">
                  <c:v>4.8344678217821783E-6</c:v>
                </c:pt>
                <c:pt idx="16">
                  <c:v>2.4172339108910891E-6</c:v>
                </c:pt>
                <c:pt idx="17">
                  <c:v>1.2086169554455446E-6</c:v>
                </c:pt>
                <c:pt idx="18">
                  <c:v>6.0430847772277228E-7</c:v>
                </c:pt>
                <c:pt idx="19">
                  <c:v>3.0215423886138614E-7</c:v>
                </c:pt>
              </c:numCache>
            </c:numRef>
          </c:val>
          <c:smooth val="0"/>
          <c:extLst>
            <c:ext xmlns:c16="http://schemas.microsoft.com/office/drawing/2014/chart" uri="{C3380CC4-5D6E-409C-BE32-E72D297353CC}">
              <c16:uniqueId val="{00000000-B218-4CC1-9E7C-0C8717284184}"/>
            </c:ext>
          </c:extLst>
        </c:ser>
        <c:dLbls>
          <c:showLegendKey val="0"/>
          <c:showVal val="0"/>
          <c:showCatName val="0"/>
          <c:showSerName val="0"/>
          <c:showPercent val="0"/>
          <c:showBubbleSize val="0"/>
        </c:dLbls>
        <c:marker val="1"/>
        <c:smooth val="0"/>
        <c:axId val="454268800"/>
        <c:axId val="454269192"/>
      </c:lineChart>
      <c:catAx>
        <c:axId val="454268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9192"/>
        <c:crosses val="autoZero"/>
        <c:auto val="1"/>
        <c:lblAlgn val="ctr"/>
        <c:lblOffset val="100"/>
        <c:tickLblSkip val="1"/>
        <c:tickMarkSkip val="1"/>
        <c:noMultiLvlLbl val="0"/>
      </c:catAx>
      <c:valAx>
        <c:axId val="454269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42688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 (with hysteresis)</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tx>
            <c:v>Actual GDP</c:v>
          </c:tx>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hystere!$E$4:$E$22</c:f>
              <c:numCache>
                <c:formatCode>0.0</c:formatCode>
                <c:ptCount val="19"/>
                <c:pt idx="0">
                  <c:v>100</c:v>
                </c:pt>
                <c:pt idx="1">
                  <c:v>100</c:v>
                </c:pt>
                <c:pt idx="2">
                  <c:v>100</c:v>
                </c:pt>
                <c:pt idx="3">
                  <c:v>100</c:v>
                </c:pt>
                <c:pt idx="4">
                  <c:v>100</c:v>
                </c:pt>
                <c:pt idx="5">
                  <c:v>101.5</c:v>
                </c:pt>
                <c:pt idx="6">
                  <c:v>101.25</c:v>
                </c:pt>
                <c:pt idx="7">
                  <c:v>101.6875</c:v>
                </c:pt>
                <c:pt idx="8">
                  <c:v>102</c:v>
                </c:pt>
                <c:pt idx="9">
                  <c:v>102.4765625</c:v>
                </c:pt>
                <c:pt idx="10">
                  <c:v>103.04296875</c:v>
                </c:pt>
                <c:pt idx="11">
                  <c:v>103.1923828125</c:v>
                </c:pt>
                <c:pt idx="12">
                  <c:v>103.6953125</c:v>
                </c:pt>
                <c:pt idx="13">
                  <c:v>104.0628662109375</c:v>
                </c:pt>
                <c:pt idx="14">
                  <c:v>104.50616455078125</c:v>
                </c:pt>
                <c:pt idx="15">
                  <c:v>104.89884948730469</c:v>
                </c:pt>
                <c:pt idx="16">
                  <c:v>105.247314453125</c:v>
                </c:pt>
                <c:pt idx="17">
                  <c:v>105.6956729888916</c:v>
                </c:pt>
                <c:pt idx="18">
                  <c:v>106.07523632049561</c:v>
                </c:pt>
              </c:numCache>
            </c:numRef>
          </c:val>
          <c:smooth val="0"/>
          <c:extLst>
            <c:ext xmlns:c16="http://schemas.microsoft.com/office/drawing/2014/chart" uri="{C3380CC4-5D6E-409C-BE32-E72D297353CC}">
              <c16:uniqueId val="{00000000-B165-425F-98F2-4AFF9DF7870A}"/>
            </c:ext>
          </c:extLst>
        </c:ser>
        <c:ser>
          <c:idx val="2"/>
          <c:order val="1"/>
          <c:tx>
            <c:v>Potential GDP</c:v>
          </c:tx>
          <c:spPr>
            <a:ln w="25400">
              <a:solidFill>
                <a:srgbClr val="C00000"/>
              </a:solidFill>
              <a:prstDash val="sysDot"/>
            </a:ln>
          </c:spPr>
          <c:marker>
            <c:symbol val="triangle"/>
            <c:size val="2"/>
            <c:spPr>
              <a:solidFill>
                <a:srgbClr val="C00000"/>
              </a:solidFill>
              <a:ln>
                <a:solidFill>
                  <a:srgbClr val="C00000"/>
                </a:solidFill>
              </a:ln>
            </c:spPr>
          </c:marker>
          <c:val>
            <c:numRef>
              <c:f>hystere!$B$4:$B$23</c:f>
              <c:numCache>
                <c:formatCode>0.0</c:formatCode>
                <c:ptCount val="20"/>
                <c:pt idx="0">
                  <c:v>100</c:v>
                </c:pt>
                <c:pt idx="1">
                  <c:v>100</c:v>
                </c:pt>
                <c:pt idx="2">
                  <c:v>100</c:v>
                </c:pt>
                <c:pt idx="3">
                  <c:v>100</c:v>
                </c:pt>
                <c:pt idx="4">
                  <c:v>101</c:v>
                </c:pt>
                <c:pt idx="5">
                  <c:v>101</c:v>
                </c:pt>
                <c:pt idx="6">
                  <c:v>101.375</c:v>
                </c:pt>
                <c:pt idx="7">
                  <c:v>101.6875</c:v>
                </c:pt>
                <c:pt idx="8">
                  <c:v>102.109375</c:v>
                </c:pt>
                <c:pt idx="9">
                  <c:v>102.609375</c:v>
                </c:pt>
                <c:pt idx="10">
                  <c:v>102.853515625</c:v>
                </c:pt>
                <c:pt idx="11">
                  <c:v>103.3017578125</c:v>
                </c:pt>
                <c:pt idx="12">
                  <c:v>103.677978515625</c:v>
                </c:pt>
                <c:pt idx="13">
                  <c:v>104.101806640625</c:v>
                </c:pt>
                <c:pt idx="14">
                  <c:v>104.49838256835938</c:v>
                </c:pt>
                <c:pt idx="15">
                  <c:v>104.86418151855469</c:v>
                </c:pt>
                <c:pt idx="16">
                  <c:v>105.29079818725586</c:v>
                </c:pt>
                <c:pt idx="17">
                  <c:v>105.67879867553711</c:v>
                </c:pt>
                <c:pt idx="18">
                  <c:v>106.08700037002563</c:v>
                </c:pt>
                <c:pt idx="19">
                  <c:v>106.47926831245422</c:v>
                </c:pt>
              </c:numCache>
            </c:numRef>
          </c:val>
          <c:smooth val="0"/>
          <c:extLst>
            <c:ext xmlns:c16="http://schemas.microsoft.com/office/drawing/2014/chart" uri="{C3380CC4-5D6E-409C-BE32-E72D297353CC}">
              <c16:uniqueId val="{00000001-B165-425F-98F2-4AFF9DF7870A}"/>
            </c:ext>
          </c:extLst>
        </c:ser>
        <c:dLbls>
          <c:showLegendKey val="0"/>
          <c:showVal val="0"/>
          <c:showCatName val="0"/>
          <c:showSerName val="0"/>
          <c:showPercent val="0"/>
          <c:showBubbleSize val="0"/>
        </c:dLbls>
        <c:marker val="1"/>
        <c:smooth val="0"/>
        <c:axId val="454269584"/>
        <c:axId val="427284632"/>
      </c:lineChart>
      <c:catAx>
        <c:axId val="454269584"/>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27284632"/>
        <c:crosses val="autoZero"/>
        <c:auto val="1"/>
        <c:lblAlgn val="ctr"/>
        <c:lblOffset val="100"/>
        <c:tickLblSkip val="1"/>
        <c:tickMarkSkip val="1"/>
        <c:noMultiLvlLbl val="0"/>
      </c:catAx>
      <c:valAx>
        <c:axId val="427284632"/>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4269584"/>
        <c:crosses val="autoZero"/>
        <c:crossBetween val="between"/>
      </c:valAx>
      <c:spPr>
        <a:noFill/>
        <a:ln w="25400">
          <a:noFill/>
        </a:ln>
      </c:spPr>
    </c:plotArea>
    <c:legend>
      <c:legendPos val="r"/>
      <c:layout>
        <c:manualLayout>
          <c:xMode val="edge"/>
          <c:yMode val="edge"/>
          <c:x val="0.66326617633839569"/>
          <c:y val="0.10848356143751495"/>
          <c:w val="0.27671063640491494"/>
          <c:h val="0.12426982070787398"/>
        </c:manualLayout>
      </c:layout>
      <c:overlay val="0"/>
    </c:legend>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Output gap (actual-potential GDP) </a:t>
            </a:r>
            <a:r>
              <a:rPr lang="es-ES" sz="1200" b="1" i="0" baseline="0">
                <a:effectLst/>
              </a:rPr>
              <a:t>as % of potential GDP</a:t>
            </a:r>
            <a:endParaRPr lang="es-ES" sz="1200">
              <a:latin typeface="+mn-lt"/>
            </a:endParaRPr>
          </a:p>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baseline="0">
                <a:solidFill>
                  <a:srgbClr val="000000"/>
                </a:solidFill>
                <a:latin typeface="+mn-lt"/>
                <a:ea typeface="Arial"/>
                <a:cs typeface="Arial"/>
              </a:defRPr>
            </a:pPr>
            <a:r>
              <a:rPr lang="es-ES" sz="1200">
                <a:latin typeface="+mn-lt"/>
              </a:rPr>
              <a:t>(with hysteresis)</a:t>
            </a:r>
          </a:p>
        </c:rich>
      </c:tx>
      <c:layout>
        <c:manualLayout>
          <c:xMode val="edge"/>
          <c:yMode val="edge"/>
          <c:x val="0.23176574111411286"/>
          <c:y val="4.682954867505266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'numerical results'!$Y$4:$Y$23</c:f>
              <c:numCache>
                <c:formatCode>0.00%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41A0-4F4C-A550-107D2C60B876}"/>
            </c:ext>
          </c:extLst>
        </c:ser>
        <c:dLbls>
          <c:showLegendKey val="0"/>
          <c:showVal val="0"/>
          <c:showCatName val="0"/>
          <c:showSerName val="0"/>
          <c:showPercent val="0"/>
          <c:showBubbleSize val="0"/>
        </c:dLbls>
        <c:marker val="1"/>
        <c:smooth val="0"/>
        <c:axId val="339004200"/>
        <c:axId val="455542896"/>
      </c:lineChart>
      <c:catAx>
        <c:axId val="3390042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2896"/>
        <c:crosses val="autoZero"/>
        <c:auto val="1"/>
        <c:lblAlgn val="ctr"/>
        <c:lblOffset val="100"/>
        <c:tickLblSkip val="1"/>
        <c:tickMarkSkip val="1"/>
        <c:noMultiLvlLbl val="0"/>
      </c:catAx>
      <c:valAx>
        <c:axId val="455542896"/>
        <c:scaling>
          <c:orientation val="minMax"/>
        </c:scaling>
        <c:delete val="0"/>
        <c:axPos val="l"/>
        <c:numFmt formatCode="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33900420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Lending interest rates (%)</a:t>
            </a:r>
          </a:p>
        </c:rich>
      </c:tx>
      <c:layout>
        <c:manualLayout>
          <c:xMode val="edge"/>
          <c:yMode val="edge"/>
          <c:x val="0.23906089240015005"/>
          <c:y val="3.4482881579701974E-2"/>
        </c:manualLayout>
      </c:layout>
      <c:overlay val="0"/>
      <c:spPr>
        <a:noFill/>
        <a:ln w="25400">
          <a:noFill/>
        </a:ln>
      </c:spPr>
    </c:title>
    <c:autoTitleDeleted val="0"/>
    <c:plotArea>
      <c:layout>
        <c:manualLayout>
          <c:layoutTarget val="inner"/>
          <c:xMode val="edge"/>
          <c:yMode val="edge"/>
          <c:x val="0.10103092783505156"/>
          <c:y val="0.19252927591054717"/>
          <c:w val="0.65773195876290003"/>
          <c:h val="0.62069139696536424"/>
        </c:manualLayout>
      </c:layout>
      <c:lineChart>
        <c:grouping val="standard"/>
        <c:varyColors val="0"/>
        <c:ser>
          <c:idx val="1"/>
          <c:order val="0"/>
          <c:tx>
            <c:v>nominal</c:v>
          </c:tx>
          <c:spPr>
            <a:ln w="28575">
              <a:solidFill>
                <a:srgbClr val="FF00FF"/>
              </a:solidFill>
              <a:prstDash val="solid"/>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case'!$U$3:$U$22</c:f>
              <c:numCache>
                <c:formatCode>0.0000</c:formatCode>
                <c:ptCount val="20"/>
                <c:pt idx="0">
                  <c:v>6</c:v>
                </c:pt>
                <c:pt idx="1">
                  <c:v>6</c:v>
                </c:pt>
                <c:pt idx="2">
                  <c:v>6</c:v>
                </c:pt>
                <c:pt idx="3">
                  <c:v>6</c:v>
                </c:pt>
                <c:pt idx="4">
                  <c:v>4.25</c:v>
                </c:pt>
                <c:pt idx="5">
                  <c:v>4.875</c:v>
                </c:pt>
                <c:pt idx="6">
                  <c:v>5.1875</c:v>
                </c:pt>
                <c:pt idx="7">
                  <c:v>5.34375</c:v>
                </c:pt>
                <c:pt idx="8">
                  <c:v>5.421875</c:v>
                </c:pt>
                <c:pt idx="9">
                  <c:v>5.4609375</c:v>
                </c:pt>
                <c:pt idx="10">
                  <c:v>5.48046875</c:v>
                </c:pt>
                <c:pt idx="11">
                  <c:v>5.490234375</c:v>
                </c:pt>
                <c:pt idx="12">
                  <c:v>5.4951171875</c:v>
                </c:pt>
                <c:pt idx="13">
                  <c:v>5.49755859375</c:v>
                </c:pt>
                <c:pt idx="14">
                  <c:v>5.498779296875</c:v>
                </c:pt>
                <c:pt idx="15">
                  <c:v>5.4993896484375</c:v>
                </c:pt>
                <c:pt idx="16">
                  <c:v>5.49969482421875</c:v>
                </c:pt>
                <c:pt idx="17">
                  <c:v>5.499847412109375</c:v>
                </c:pt>
                <c:pt idx="18">
                  <c:v>5.4999237060546875</c:v>
                </c:pt>
                <c:pt idx="19">
                  <c:v>5.4999618530273438</c:v>
                </c:pt>
              </c:numCache>
            </c:numRef>
          </c:val>
          <c:smooth val="0"/>
          <c:extLst>
            <c:ext xmlns:c16="http://schemas.microsoft.com/office/drawing/2014/chart" uri="{C3380CC4-5D6E-409C-BE32-E72D297353CC}">
              <c16:uniqueId val="{00000000-3D7D-4063-B13F-79F2FCC20664}"/>
            </c:ext>
          </c:extLst>
        </c:ser>
        <c:ser>
          <c:idx val="0"/>
          <c:order val="1"/>
          <c:tx>
            <c:v>real</c:v>
          </c:tx>
          <c:spPr>
            <a:ln w="25400">
              <a:solidFill>
                <a:srgbClr val="339966"/>
              </a:solidFill>
              <a:prstDash val="solid"/>
            </a:ln>
          </c:spPr>
          <c:marker>
            <c:symbol val="diamond"/>
            <c:size val="3"/>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case'!$T$3:$T$22</c:f>
              <c:numCache>
                <c:formatCode>0.00</c:formatCode>
                <c:ptCount val="20"/>
                <c:pt idx="0">
                  <c:v>4</c:v>
                </c:pt>
                <c:pt idx="1">
                  <c:v>4</c:v>
                </c:pt>
                <c:pt idx="2">
                  <c:v>4</c:v>
                </c:pt>
                <c:pt idx="3">
                  <c:v>4</c:v>
                </c:pt>
                <c:pt idx="4">
                  <c:v>3.25</c:v>
                </c:pt>
                <c:pt idx="5">
                  <c:v>3.375</c:v>
                </c:pt>
                <c:pt idx="6">
                  <c:v>3.4375</c:v>
                </c:pt>
                <c:pt idx="7">
                  <c:v>3.46875</c:v>
                </c:pt>
                <c:pt idx="8">
                  <c:v>3.484375</c:v>
                </c:pt>
                <c:pt idx="9">
                  <c:v>3.4921875</c:v>
                </c:pt>
                <c:pt idx="10">
                  <c:v>3.49609375</c:v>
                </c:pt>
                <c:pt idx="11">
                  <c:v>3.498046875</c:v>
                </c:pt>
                <c:pt idx="12">
                  <c:v>3.4990234375</c:v>
                </c:pt>
                <c:pt idx="13">
                  <c:v>3.49951171875</c:v>
                </c:pt>
                <c:pt idx="14">
                  <c:v>3.499755859375</c:v>
                </c:pt>
                <c:pt idx="15">
                  <c:v>3.4998779296875</c:v>
                </c:pt>
                <c:pt idx="16">
                  <c:v>3.49993896484375</c:v>
                </c:pt>
                <c:pt idx="17">
                  <c:v>3.499969482421875</c:v>
                </c:pt>
                <c:pt idx="18">
                  <c:v>3.4999847412109375</c:v>
                </c:pt>
                <c:pt idx="19">
                  <c:v>3.4999923706054688</c:v>
                </c:pt>
              </c:numCache>
            </c:numRef>
          </c:val>
          <c:smooth val="0"/>
          <c:extLst>
            <c:ext xmlns:c16="http://schemas.microsoft.com/office/drawing/2014/chart" uri="{C3380CC4-5D6E-409C-BE32-E72D297353CC}">
              <c16:uniqueId val="{00000001-3D7D-4063-B13F-79F2FCC20664}"/>
            </c:ext>
          </c:extLst>
        </c:ser>
        <c:ser>
          <c:idx val="3"/>
          <c:order val="2"/>
          <c:tx>
            <c:v>randomshocksnominal</c:v>
          </c:tx>
          <c:marker>
            <c:symbol val="square"/>
            <c:size val="7"/>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[0]!bullets_random_shocks_nominalir</c:f>
              <c:numCache>
                <c:formatCode>General</c:formatCode>
                <c:ptCount val="20"/>
              </c:numCache>
            </c:numRef>
          </c:val>
          <c:smooth val="0"/>
          <c:extLst>
            <c:ext xmlns:c16="http://schemas.microsoft.com/office/drawing/2014/chart" uri="{C3380CC4-5D6E-409C-BE32-E72D297353CC}">
              <c16:uniqueId val="{00000002-3D7D-4063-B13F-79F2FCC20664}"/>
            </c:ext>
          </c:extLst>
        </c:ser>
        <c:ser>
          <c:idx val="5"/>
          <c:order val="3"/>
          <c:tx>
            <c:v>nominal hysteresis</c:v>
          </c:tx>
          <c:spPr>
            <a:ln w="28575">
              <a:solidFill>
                <a:srgbClr val="FF00FF"/>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hystere!$O$4:$O$23</c:f>
            </c:numRef>
          </c:val>
          <c:smooth val="0"/>
          <c:extLst>
            <c:ext xmlns:c16="http://schemas.microsoft.com/office/drawing/2014/chart" uri="{C3380CC4-5D6E-409C-BE32-E72D297353CC}">
              <c16:uniqueId val="{00000003-3D7D-4063-B13F-79F2FCC20664}"/>
            </c:ext>
          </c:extLst>
        </c:ser>
        <c:ser>
          <c:idx val="7"/>
          <c:order val="4"/>
          <c:tx>
            <c:v>nominal delay perception</c:v>
          </c:tx>
          <c:spPr>
            <a:ln w="28575">
              <a:solidFill>
                <a:srgbClr val="FF00FF"/>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perception'!$M$4:$M$23</c:f>
            </c:numRef>
          </c:val>
          <c:smooth val="0"/>
          <c:extLst>
            <c:ext xmlns:c16="http://schemas.microsoft.com/office/drawing/2014/chart" uri="{C3380CC4-5D6E-409C-BE32-E72D297353CC}">
              <c16:uniqueId val="{00000004-3D7D-4063-B13F-79F2FCC20664}"/>
            </c:ext>
          </c:extLst>
        </c:ser>
        <c:ser>
          <c:idx val="4"/>
          <c:order val="5"/>
          <c:tx>
            <c:v>real hysteresis</c:v>
          </c:tx>
          <c:spPr>
            <a:ln w="25400">
              <a:solidFill>
                <a:srgbClr val="339966"/>
              </a:solidFill>
              <a:prstDash val="sys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hystere!$N$4:$N$23</c:f>
            </c:numRef>
          </c:val>
          <c:smooth val="0"/>
          <c:extLst>
            <c:ext xmlns:c16="http://schemas.microsoft.com/office/drawing/2014/chart" uri="{C3380CC4-5D6E-409C-BE32-E72D297353CC}">
              <c16:uniqueId val="{00000005-3D7D-4063-B13F-79F2FCC20664}"/>
            </c:ext>
          </c:extLst>
        </c:ser>
        <c:ser>
          <c:idx val="2"/>
          <c:order val="6"/>
          <c:tx>
            <c:v>randomshocksreal</c:v>
          </c:tx>
          <c:marker>
            <c:symbol val="square"/>
            <c:size val="7"/>
            <c:spPr>
              <a:solidFill>
                <a:srgbClr val="37BB59"/>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[0]!bullets_random_shocks_realir</c:f>
              <c:numCache>
                <c:formatCode>General</c:formatCode>
                <c:ptCount val="20"/>
              </c:numCache>
            </c:numRef>
          </c:val>
          <c:smooth val="0"/>
          <c:extLst>
            <c:ext xmlns:c16="http://schemas.microsoft.com/office/drawing/2014/chart" uri="{C3380CC4-5D6E-409C-BE32-E72D297353CC}">
              <c16:uniqueId val="{00000006-3D7D-4063-B13F-79F2FCC20664}"/>
            </c:ext>
          </c:extLst>
        </c:ser>
        <c:ser>
          <c:idx val="6"/>
          <c:order val="7"/>
          <c:tx>
            <c:v>real delay perception</c:v>
          </c:tx>
          <c:spPr>
            <a:ln w="25400">
              <a:solidFill>
                <a:srgbClr val="339966"/>
              </a:solidFill>
              <a:prstDash val="lgDash"/>
            </a:ln>
          </c:spPr>
          <c:marker>
            <c:symbol val="diamond"/>
            <c:size val="3"/>
            <c:spPr>
              <a:solidFill>
                <a:srgbClr val="00206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'delay in perception'!$L$4:$L$23</c:f>
            </c:numRef>
          </c:val>
          <c:smooth val="0"/>
          <c:extLst>
            <c:ext xmlns:c16="http://schemas.microsoft.com/office/drawing/2014/chart" uri="{C3380CC4-5D6E-409C-BE32-E72D297353CC}">
              <c16:uniqueId val="{00000007-3D7D-4063-B13F-79F2FCC20664}"/>
            </c:ext>
          </c:extLst>
        </c:ser>
        <c:dLbls>
          <c:showLegendKey val="0"/>
          <c:showVal val="0"/>
          <c:showCatName val="0"/>
          <c:showSerName val="0"/>
          <c:showPercent val="0"/>
          <c:showBubbleSize val="0"/>
        </c:dLbls>
        <c:smooth val="0"/>
        <c:axId val="455544072"/>
        <c:axId val="455538192"/>
      </c:lineChart>
      <c:catAx>
        <c:axId val="45554407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a:latin typeface="+mn-lt"/>
                  </a:rPr>
                  <a:t>time</a:t>
                </a:r>
              </a:p>
            </c:rich>
          </c:tx>
          <c:layout>
            <c:manualLayout>
              <c:xMode val="edge"/>
              <c:yMode val="edge"/>
              <c:x val="0.39587628865980751"/>
              <c:y val="0.890807011192566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8192"/>
        <c:crosses val="autoZero"/>
        <c:auto val="1"/>
        <c:lblAlgn val="ctr"/>
        <c:lblOffset val="100"/>
        <c:tickLblSkip val="1"/>
        <c:tickMarkSkip val="1"/>
        <c:noMultiLvlLbl val="0"/>
      </c:catAx>
      <c:valAx>
        <c:axId val="4555381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5544072"/>
        <c:crosses val="autoZero"/>
        <c:crossBetween val="between"/>
      </c:valAx>
      <c:spPr>
        <a:noFill/>
        <a:ln w="25400">
          <a:noFill/>
        </a:ln>
      </c:spPr>
    </c:plotArea>
    <c:legend>
      <c:legendPos val="r"/>
      <c:legendEntry>
        <c:idx val="2"/>
        <c:delete val="1"/>
      </c:legendEntry>
      <c:legendEntry>
        <c:idx val="3"/>
        <c:delete val="1"/>
      </c:legendEntry>
      <c:layout>
        <c:manualLayout>
          <c:xMode val="edge"/>
          <c:yMode val="edge"/>
          <c:x val="0.75584565817721394"/>
          <c:y val="1.0874626707525509E-2"/>
          <c:w val="0.24123718323178894"/>
          <c:h val="0.52045994404059615"/>
        </c:manualLayout>
      </c:layout>
      <c:overlay val="0"/>
      <c:spPr>
        <a:solidFill>
          <a:srgbClr val="FFFFFF"/>
        </a:solidFill>
        <a:ln w="3175">
          <a:solidFill>
            <a:srgbClr val="000000"/>
          </a:solidFill>
          <a:prstDash val="sysDash"/>
        </a:ln>
      </c:spPr>
      <c:txPr>
        <a:bodyPr/>
        <a:lstStyle/>
        <a:p>
          <a:pPr>
            <a:defRPr sz="1000" b="0" i="0" u="none" strike="noStrike" baseline="0">
              <a:solidFill>
                <a:srgbClr val="000000"/>
              </a:solidFill>
              <a:latin typeface="+mn-lt"/>
              <a:ea typeface="Times New Roman"/>
              <a:cs typeface="Times New Roman"/>
            </a:defRPr>
          </a:pPr>
          <a:endParaRPr lang="en-US"/>
        </a:p>
      </c:txPr>
    </c:legend>
    <c:plotVisOnly val="1"/>
    <c:dispBlanksAs val="gap"/>
    <c:showDLblsOverMax val="0"/>
  </c:chart>
  <c:spPr>
    <a:solidFill>
      <a:srgbClr val="FFFFFF"/>
    </a:solidFill>
    <a:ln w="25400">
      <a:solidFill>
        <a:srgbClr val="3366FF"/>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GDP</a:t>
            </a:r>
          </a:p>
        </c:rich>
      </c:tx>
      <c:layout>
        <c:manualLayout>
          <c:xMode val="edge"/>
          <c:yMode val="edge"/>
          <c:x val="0.45637677840606056"/>
          <c:y val="3.4700315457414373E-2"/>
        </c:manualLayout>
      </c:layout>
      <c:overlay val="0"/>
      <c:spPr>
        <a:noFill/>
        <a:ln w="25400">
          <a:noFill/>
        </a:ln>
      </c:spPr>
    </c:title>
    <c:autoTitleDeleted val="0"/>
    <c:plotArea>
      <c:layout>
        <c:manualLayout>
          <c:layoutTarget val="inner"/>
          <c:xMode val="edge"/>
          <c:yMode val="edge"/>
          <c:x val="9.3959936818234543E-2"/>
          <c:y val="0.21451104100946844"/>
          <c:w val="0.87248512759789165"/>
          <c:h val="0.57097791798108344"/>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case'!$D$3:$D$22</c:f>
              <c:numCache>
                <c:formatCode>0.0</c:formatCode>
                <c:ptCount val="20"/>
                <c:pt idx="0">
                  <c:v>100</c:v>
                </c:pt>
                <c:pt idx="1">
                  <c:v>100</c:v>
                </c:pt>
                <c:pt idx="2">
                  <c:v>100</c:v>
                </c:pt>
                <c:pt idx="3">
                  <c:v>100</c:v>
                </c:pt>
                <c:pt idx="4">
                  <c:v>100</c:v>
                </c:pt>
                <c:pt idx="5">
                  <c:v>101.5</c:v>
                </c:pt>
                <c:pt idx="6">
                  <c:v>101.25</c:v>
                </c:pt>
                <c:pt idx="7">
                  <c:v>101.125</c:v>
                </c:pt>
                <c:pt idx="8">
                  <c:v>101.0625</c:v>
                </c:pt>
                <c:pt idx="9">
                  <c:v>101.03125</c:v>
                </c:pt>
                <c:pt idx="10">
                  <c:v>101.015625</c:v>
                </c:pt>
                <c:pt idx="11">
                  <c:v>101.0078125</c:v>
                </c:pt>
                <c:pt idx="12">
                  <c:v>101.00390625</c:v>
                </c:pt>
                <c:pt idx="13">
                  <c:v>101.001953125</c:v>
                </c:pt>
                <c:pt idx="14">
                  <c:v>101.0009765625</c:v>
                </c:pt>
                <c:pt idx="15">
                  <c:v>101.00048828125</c:v>
                </c:pt>
                <c:pt idx="16">
                  <c:v>101.000244140625</c:v>
                </c:pt>
                <c:pt idx="17">
                  <c:v>101.0001220703125</c:v>
                </c:pt>
                <c:pt idx="18">
                  <c:v>101.00006103515625</c:v>
                </c:pt>
                <c:pt idx="19">
                  <c:v>101.00003051757813</c:v>
                </c:pt>
              </c:numCache>
            </c:numRef>
          </c:val>
          <c:smooth val="0"/>
          <c:extLst>
            <c:ext xmlns:c16="http://schemas.microsoft.com/office/drawing/2014/chart" uri="{C3380CC4-5D6E-409C-BE32-E72D297353CC}">
              <c16:uniqueId val="{00000000-5B22-4CB8-AE2D-547B58A837C4}"/>
            </c:ext>
          </c:extLst>
        </c:ser>
        <c:ser>
          <c:idx val="4"/>
          <c:order val="1"/>
          <c:tx>
            <c:v>randomshocksgdp</c:v>
          </c:tx>
          <c:marker>
            <c:symbol val="square"/>
            <c:size val="3"/>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0</c:v>
                </c:pt>
              </c:numCache>
            </c:numRef>
          </c:val>
          <c:smooth val="0"/>
          <c:extLst>
            <c:ext xmlns:c16="http://schemas.microsoft.com/office/drawing/2014/chart" uri="{C3380CC4-5D6E-409C-BE32-E72D297353CC}">
              <c16:uniqueId val="{00000001-5B22-4CB8-AE2D-547B58A837C4}"/>
            </c:ext>
          </c:extLst>
        </c:ser>
        <c:ser>
          <c:idx val="1"/>
          <c:order val="2"/>
          <c:tx>
            <c:v>randomshocksgdp</c:v>
          </c:tx>
          <c:marker>
            <c:spPr>
              <a:solidFill>
                <a:srgbClr val="C00000"/>
              </a:solidFill>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[0]!bullets_random_shocks_gdp</c:f>
              <c:numCache>
                <c:formatCode>General</c:formatCode>
                <c:ptCount val="1"/>
                <c:pt idx="0">
                  <c:v>0</c:v>
                </c:pt>
              </c:numCache>
            </c:numRef>
          </c:val>
          <c:smooth val="0"/>
          <c:extLst>
            <c:ext xmlns:c16="http://schemas.microsoft.com/office/drawing/2014/chart" uri="{C3380CC4-5D6E-409C-BE32-E72D297353CC}">
              <c16:uniqueId val="{00000002-5B22-4CB8-AE2D-547B58A837C4}"/>
            </c:ext>
          </c:extLst>
        </c:ser>
        <c:ser>
          <c:idx val="2"/>
          <c:order val="3"/>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[0]!hysteresis_GDP</c:f>
              <c:numCache>
                <c:formatCode>General</c:formatCode>
                <c:ptCount val="20"/>
              </c:numCache>
            </c:numRef>
          </c:val>
          <c:smooth val="0"/>
          <c:extLst>
            <c:ext xmlns:c16="http://schemas.microsoft.com/office/drawing/2014/chart" uri="{C3380CC4-5D6E-409C-BE32-E72D297353CC}">
              <c16:uniqueId val="{00000003-5B22-4CB8-AE2D-547B58A837C4}"/>
            </c:ext>
          </c:extLst>
        </c:ser>
        <c:ser>
          <c:idx val="3"/>
          <c:order val="4"/>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[0]!delay_GDP</c:f>
              <c:numCache>
                <c:formatCode>General</c:formatCode>
                <c:ptCount val="20"/>
              </c:numCache>
            </c:numRef>
          </c:val>
          <c:smooth val="0"/>
          <c:extLst>
            <c:ext xmlns:c16="http://schemas.microsoft.com/office/drawing/2014/chart" uri="{C3380CC4-5D6E-409C-BE32-E72D297353CC}">
              <c16:uniqueId val="{00000004-5B22-4CB8-AE2D-547B58A837C4}"/>
            </c:ext>
          </c:extLst>
        </c:ser>
        <c:dLbls>
          <c:showLegendKey val="0"/>
          <c:showVal val="0"/>
          <c:showCatName val="0"/>
          <c:showSerName val="0"/>
          <c:showPercent val="0"/>
          <c:showBubbleSize val="0"/>
        </c:dLbls>
        <c:marker val="1"/>
        <c:smooth val="0"/>
        <c:axId val="455540152"/>
        <c:axId val="455539760"/>
      </c:lineChart>
      <c:catAx>
        <c:axId val="45554015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49888260611719776"/>
              <c:y val="0.8801261829652888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60000" vert="horz"/>
          <a:lstStyle/>
          <a:p>
            <a:pPr>
              <a:defRPr sz="900" b="0" i="0" u="none" strike="noStrike" baseline="0">
                <a:solidFill>
                  <a:srgbClr val="000000"/>
                </a:solidFill>
                <a:latin typeface="Arial"/>
                <a:ea typeface="Arial"/>
                <a:cs typeface="Arial"/>
              </a:defRPr>
            </a:pPr>
            <a:endParaRPr lang="en-US"/>
          </a:p>
        </c:txPr>
        <c:crossAx val="455539760"/>
        <c:crosses val="autoZero"/>
        <c:auto val="1"/>
        <c:lblAlgn val="ctr"/>
        <c:lblOffset val="100"/>
        <c:tickLblSkip val="1"/>
        <c:tickMarkSkip val="1"/>
        <c:noMultiLvlLbl val="0"/>
      </c:catAx>
      <c:valAx>
        <c:axId val="455539760"/>
        <c:scaling>
          <c:orientation val="minMax"/>
        </c:scaling>
        <c:delete val="0"/>
        <c:axPos val="l"/>
        <c:numFmt formatCode="0.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5540152"/>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Economic growth</a:t>
            </a:r>
          </a:p>
        </c:rich>
      </c:tx>
      <c:layout>
        <c:manualLayout>
          <c:xMode val="edge"/>
          <c:yMode val="edge"/>
          <c:x val="0.35610831254788838"/>
          <c:y val="3.5143769968051145E-2"/>
        </c:manualLayout>
      </c:layout>
      <c:overlay val="0"/>
      <c:spPr>
        <a:noFill/>
        <a:ln w="25400">
          <a:noFill/>
        </a:ln>
      </c:spPr>
    </c:title>
    <c:autoTitleDeleted val="0"/>
    <c:plotArea>
      <c:layout>
        <c:manualLayout>
          <c:layoutTarget val="inner"/>
          <c:xMode val="edge"/>
          <c:yMode val="edge"/>
          <c:x val="0.16356140730421703"/>
          <c:y val="0.21725273508127296"/>
          <c:w val="0.8053846511562075"/>
          <c:h val="0.55910630351797053"/>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case'!$C$3:$C$22</c:f>
              <c:numCache>
                <c:formatCode>0.00%</c:formatCode>
                <c:ptCount val="20"/>
                <c:pt idx="1">
                  <c:v>0</c:v>
                </c:pt>
                <c:pt idx="2">
                  <c:v>0</c:v>
                </c:pt>
                <c:pt idx="3">
                  <c:v>0</c:v>
                </c:pt>
                <c:pt idx="4">
                  <c:v>0</c:v>
                </c:pt>
                <c:pt idx="5">
                  <c:v>1.4999999999999902E-2</c:v>
                </c:pt>
                <c:pt idx="6">
                  <c:v>-2.4630541871921707E-3</c:v>
                </c:pt>
                <c:pt idx="7">
                  <c:v>-1.2345679012345512E-3</c:v>
                </c:pt>
                <c:pt idx="8">
                  <c:v>-6.1804697156986332E-4</c:v>
                </c:pt>
                <c:pt idx="9">
                  <c:v>-3.0921459492883052E-4</c:v>
                </c:pt>
                <c:pt idx="10">
                  <c:v>-1.5465511908441254E-4</c:v>
                </c:pt>
                <c:pt idx="11">
                  <c:v>-7.7339520494934533E-5</c:v>
                </c:pt>
                <c:pt idx="12">
                  <c:v>-3.8672751179524845E-5</c:v>
                </c:pt>
                <c:pt idx="13">
                  <c:v>-1.9337123409512991E-5</c:v>
                </c:pt>
                <c:pt idx="14">
                  <c:v>-9.6687486705882009E-6</c:v>
                </c:pt>
                <c:pt idx="15">
                  <c:v>-4.8344210781259278E-6</c:v>
                </c:pt>
                <c:pt idx="16">
                  <c:v>-2.4172222249374542E-6</c:v>
                </c:pt>
                <c:pt idx="17">
                  <c:v>-1.2086140339651052E-6</c:v>
                </c:pt>
                <c:pt idx="18">
                  <c:v>-1.2086140339651052E-6</c:v>
                </c:pt>
                <c:pt idx="19">
                  <c:v>-1.2086140339651052E-6</c:v>
                </c:pt>
              </c:numCache>
            </c:numRef>
          </c:val>
          <c:smooth val="0"/>
          <c:extLst>
            <c:ext xmlns:c16="http://schemas.microsoft.com/office/drawing/2014/chart" uri="{C3380CC4-5D6E-409C-BE32-E72D297353CC}">
              <c16:uniqueId val="{00000000-4668-4611-8FA7-E7A323CB6C28}"/>
            </c:ext>
          </c:extLst>
        </c:ser>
        <c:ser>
          <c:idx val="1"/>
          <c:order val="1"/>
          <c:tx>
            <c:v>randomshocksgrowth</c:v>
          </c:tx>
          <c:marker>
            <c:symbol val="square"/>
            <c:size val="7"/>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[0]!bullets_random_shocks_growth</c:f>
              <c:numCache>
                <c:formatCode>General</c:formatCode>
                <c:ptCount val="20"/>
              </c:numCache>
            </c:numRef>
          </c:val>
          <c:smooth val="0"/>
          <c:extLst>
            <c:ext xmlns:c16="http://schemas.microsoft.com/office/drawing/2014/chart" uri="{C3380CC4-5D6E-409C-BE32-E72D297353CC}">
              <c16:uniqueId val="{00000001-4668-4611-8FA7-E7A323CB6C28}"/>
            </c:ext>
          </c:extLst>
        </c:ser>
        <c:ser>
          <c:idx val="2"/>
          <c:order val="2"/>
          <c:tx>
            <c:v>HISTÉRESIS</c:v>
          </c:tx>
          <c:spPr>
            <a:ln w="25400">
              <a:solidFill>
                <a:srgbClr val="339966"/>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[0]!hysteresis_growth</c:f>
              <c:numCache>
                <c:formatCode>General</c:formatCode>
                <c:ptCount val="20"/>
              </c:numCache>
            </c:numRef>
          </c:val>
          <c:smooth val="0"/>
          <c:extLst>
            <c:ext xmlns:c16="http://schemas.microsoft.com/office/drawing/2014/chart" uri="{C3380CC4-5D6E-409C-BE32-E72D297353CC}">
              <c16:uniqueId val="{00000002-4668-4611-8FA7-E7A323CB6C28}"/>
            </c:ext>
          </c:extLst>
        </c:ser>
        <c:ser>
          <c:idx val="3"/>
          <c:order val="3"/>
          <c:tx>
            <c:v>RETRASO PERCEPCIÓN</c:v>
          </c:tx>
          <c:spPr>
            <a:ln w="25400">
              <a:solidFill>
                <a:srgbClr val="339966"/>
              </a:solidFill>
              <a:prstDash val="lg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[0]!delay_growth</c:f>
              <c:numCache>
                <c:formatCode>General</c:formatCode>
                <c:ptCount val="20"/>
              </c:numCache>
            </c:numRef>
          </c:val>
          <c:smooth val="0"/>
          <c:extLst>
            <c:ext xmlns:c16="http://schemas.microsoft.com/office/drawing/2014/chart" uri="{C3380CC4-5D6E-409C-BE32-E72D297353CC}">
              <c16:uniqueId val="{00000003-4668-4611-8FA7-E7A323CB6C28}"/>
            </c:ext>
          </c:extLst>
        </c:ser>
        <c:dLbls>
          <c:showLegendKey val="0"/>
          <c:showVal val="0"/>
          <c:showCatName val="0"/>
          <c:showSerName val="0"/>
          <c:showPercent val="0"/>
          <c:showBubbleSize val="0"/>
        </c:dLbls>
        <c:marker val="1"/>
        <c:smooth val="0"/>
        <c:axId val="455541720"/>
        <c:axId val="455538584"/>
      </c:lineChart>
      <c:catAx>
        <c:axId val="45554172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3209218412915749"/>
              <c:y val="0.8754007027076886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38584"/>
        <c:crosses val="autoZero"/>
        <c:auto val="1"/>
        <c:lblAlgn val="ctr"/>
        <c:lblOffset val="100"/>
        <c:tickLblSkip val="1"/>
        <c:tickMarkSkip val="1"/>
        <c:noMultiLvlLbl val="0"/>
      </c:catAx>
      <c:valAx>
        <c:axId val="45553858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55541720"/>
        <c:crosses val="autoZero"/>
        <c:crossBetween val="between"/>
      </c:valAx>
      <c:spPr>
        <a:noFill/>
        <a:ln w="25400">
          <a:noFill/>
        </a:ln>
      </c:spPr>
    </c:plotArea>
    <c:plotVisOnly val="1"/>
    <c:dispBlanksAs val="gap"/>
    <c:showDLblsOverMax val="0"/>
  </c:chart>
  <c:spPr>
    <a:solidFill>
      <a:srgbClr val="FFFFFF"/>
    </a:solidFill>
    <a:ln w="25400">
      <a:solidFill>
        <a:srgbClr val="3366FF"/>
      </a:solidFill>
      <a:prstDash val="solid"/>
    </a:ln>
  </c:spPr>
  <c:txPr>
    <a:bodyPr/>
    <a:lstStyle/>
    <a:p>
      <a:pPr>
        <a:defRPr sz="9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s-ES" sz="1200"/>
              <a:t>Inflation (%)</a:t>
            </a:r>
          </a:p>
        </c:rich>
      </c:tx>
      <c:overlay val="0"/>
    </c:title>
    <c:autoTitleDeleted val="0"/>
    <c:plotArea>
      <c:layout/>
      <c:lineChart>
        <c:grouping val="standard"/>
        <c:varyColors val="0"/>
        <c:ser>
          <c:idx val="0"/>
          <c:order val="0"/>
          <c:spPr>
            <a:ln w="25400">
              <a:solidFill>
                <a:schemeClr val="accent3"/>
              </a:solidFill>
            </a:ln>
          </c:spPr>
          <c:marker>
            <c:symbol val="square"/>
            <c:size val="3"/>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'normal case'!$L$3:$L$22</c:f>
              <c:numCache>
                <c:formatCode>0.0</c:formatCode>
                <c:ptCount val="20"/>
                <c:pt idx="0">
                  <c:v>2</c:v>
                </c:pt>
                <c:pt idx="1">
                  <c:v>2</c:v>
                </c:pt>
                <c:pt idx="2">
                  <c:v>2</c:v>
                </c:pt>
                <c:pt idx="3">
                  <c:v>2</c:v>
                </c:pt>
                <c:pt idx="4">
                  <c:v>1</c:v>
                </c:pt>
                <c:pt idx="5">
                  <c:v>1.5</c:v>
                </c:pt>
                <c:pt idx="6">
                  <c:v>1.75</c:v>
                </c:pt>
                <c:pt idx="7">
                  <c:v>1.875</c:v>
                </c:pt>
                <c:pt idx="8">
                  <c:v>1.9375</c:v>
                </c:pt>
                <c:pt idx="9">
                  <c:v>1.96875</c:v>
                </c:pt>
                <c:pt idx="10">
                  <c:v>1.984375</c:v>
                </c:pt>
                <c:pt idx="11">
                  <c:v>1.9921875</c:v>
                </c:pt>
                <c:pt idx="12">
                  <c:v>1.99609375</c:v>
                </c:pt>
                <c:pt idx="13">
                  <c:v>1.998046875</c:v>
                </c:pt>
                <c:pt idx="14">
                  <c:v>1.9990234375</c:v>
                </c:pt>
                <c:pt idx="15">
                  <c:v>1.99951171875</c:v>
                </c:pt>
                <c:pt idx="16">
                  <c:v>1.999755859375</c:v>
                </c:pt>
                <c:pt idx="17">
                  <c:v>1.9998779296875</c:v>
                </c:pt>
                <c:pt idx="18">
                  <c:v>1.99993896484375</c:v>
                </c:pt>
                <c:pt idx="19">
                  <c:v>1.999969482421875</c:v>
                </c:pt>
              </c:numCache>
            </c:numRef>
          </c:val>
          <c:smooth val="0"/>
          <c:extLst>
            <c:ext xmlns:c16="http://schemas.microsoft.com/office/drawing/2014/chart" uri="{C3380CC4-5D6E-409C-BE32-E72D297353CC}">
              <c16:uniqueId val="{00000000-9019-4AB8-AC15-BB9FD49F45E3}"/>
            </c:ext>
          </c:extLst>
        </c:ser>
        <c:ser>
          <c:idx val="2"/>
          <c:order val="1"/>
          <c:tx>
            <c:v>HISTÉRESIS</c:v>
          </c:tx>
          <c:spPr>
            <a:ln w="25400">
              <a:solidFill>
                <a:srgbClr val="37BB59"/>
              </a:solidFill>
              <a:prstDash val="sys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[0]!hysteresis_inflation</c:f>
              <c:numCache>
                <c:formatCode>General</c:formatCode>
                <c:ptCount val="20"/>
              </c:numCache>
            </c:numRef>
          </c:val>
          <c:smooth val="0"/>
          <c:extLst>
            <c:ext xmlns:c16="http://schemas.microsoft.com/office/drawing/2014/chart" uri="{C3380CC4-5D6E-409C-BE32-E72D297353CC}">
              <c16:uniqueId val="{00000001-9019-4AB8-AC15-BB9FD49F45E3}"/>
            </c:ext>
          </c:extLst>
        </c:ser>
        <c:ser>
          <c:idx val="3"/>
          <c:order val="2"/>
          <c:tx>
            <c:v>RETRASO PERCEPCIÓN</c:v>
          </c:tx>
          <c:spPr>
            <a:ln w="25400">
              <a:solidFill>
                <a:srgbClr val="339966"/>
              </a:solidFill>
              <a:prstDash val="dash"/>
            </a:ln>
          </c:spPr>
          <c:marker>
            <c:symbol val="none"/>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[0]!delay_inflation</c:f>
              <c:numCache>
                <c:formatCode>General</c:formatCode>
                <c:ptCount val="20"/>
              </c:numCache>
            </c:numRef>
          </c:val>
          <c:smooth val="0"/>
          <c:extLst>
            <c:ext xmlns:c16="http://schemas.microsoft.com/office/drawing/2014/chart" uri="{C3380CC4-5D6E-409C-BE32-E72D297353CC}">
              <c16:uniqueId val="{00000002-9019-4AB8-AC15-BB9FD49F45E3}"/>
            </c:ext>
          </c:extLst>
        </c:ser>
        <c:ser>
          <c:idx val="1"/>
          <c:order val="3"/>
          <c:tx>
            <c:v>randomshocks</c:v>
          </c:tx>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[0]!bullets_random_shocks_inflation</c:f>
              <c:numCache>
                <c:formatCode>General</c:formatCode>
                <c:ptCount val="20"/>
              </c:numCache>
            </c:numRef>
          </c:val>
          <c:smooth val="0"/>
          <c:extLst>
            <c:ext xmlns:c16="http://schemas.microsoft.com/office/drawing/2014/chart" uri="{C3380CC4-5D6E-409C-BE32-E72D297353CC}">
              <c16:uniqueId val="{00000003-9019-4AB8-AC15-BB9FD49F45E3}"/>
            </c:ext>
          </c:extLst>
        </c:ser>
        <c:dLbls>
          <c:showLegendKey val="0"/>
          <c:showVal val="0"/>
          <c:showCatName val="0"/>
          <c:showSerName val="0"/>
          <c:showPercent val="0"/>
          <c:showBubbleSize val="0"/>
        </c:dLbls>
        <c:marker val="1"/>
        <c:smooth val="0"/>
        <c:axId val="455541328"/>
        <c:axId val="455537408"/>
      </c:lineChart>
      <c:catAx>
        <c:axId val="455541328"/>
        <c:scaling>
          <c:orientation val="minMax"/>
        </c:scaling>
        <c:delete val="0"/>
        <c:axPos val="b"/>
        <c:title>
          <c:tx>
            <c:rich>
              <a:bodyPr/>
              <a:lstStyle/>
              <a:p>
                <a:pPr>
                  <a:defRPr/>
                </a:pPr>
                <a:r>
                  <a:rPr lang="es-ES"/>
                  <a:t>time</a:t>
                </a:r>
              </a:p>
            </c:rich>
          </c:tx>
          <c:overlay val="0"/>
        </c:title>
        <c:numFmt formatCode="General" sourceLinked="1"/>
        <c:majorTickMark val="out"/>
        <c:minorTickMark val="none"/>
        <c:tickLblPos val="nextTo"/>
        <c:txPr>
          <a:bodyPr rot="0" vert="horz"/>
          <a:lstStyle/>
          <a:p>
            <a:pPr>
              <a:defRPr/>
            </a:pPr>
            <a:endParaRPr lang="en-US"/>
          </a:p>
        </c:txPr>
        <c:crossAx val="455537408"/>
        <c:crosses val="autoZero"/>
        <c:auto val="1"/>
        <c:lblAlgn val="ctr"/>
        <c:lblOffset val="100"/>
        <c:noMultiLvlLbl val="0"/>
      </c:catAx>
      <c:valAx>
        <c:axId val="455537408"/>
        <c:scaling>
          <c:orientation val="minMax"/>
        </c:scaling>
        <c:delete val="0"/>
        <c:axPos val="l"/>
        <c:numFmt formatCode="0.0" sourceLinked="0"/>
        <c:majorTickMark val="out"/>
        <c:minorTickMark val="none"/>
        <c:tickLblPos val="nextTo"/>
        <c:crossAx val="455541328"/>
        <c:crosses val="autoZero"/>
        <c:crossBetween val="between"/>
      </c:valAx>
    </c:plotArea>
    <c:plotVisOnly val="1"/>
    <c:dispBlanksAs val="gap"/>
    <c:showDLblsOverMax val="0"/>
  </c:chart>
  <c:spPr>
    <a:ln w="25400">
      <a:solidFill>
        <a:schemeClr val="tx2">
          <a:lumMod val="60000"/>
          <a:lumOff val="40000"/>
        </a:schemeClr>
      </a:solidFill>
    </a:ln>
  </c:spPr>
  <c:printSettings>
    <c:headerFooter/>
    <c:pageMargins b="0.75000000000001044" l="0.70000000000000062" r="0.70000000000000062" t="0.75000000000001044"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Primary budget/GDP
</a:t>
            </a:r>
          </a:p>
        </c:rich>
      </c:tx>
      <c:layout>
        <c:manualLayout>
          <c:xMode val="edge"/>
          <c:yMode val="edge"/>
          <c:x val="0.35396039603961343"/>
          <c:y val="5.9859154929577482E-2"/>
        </c:manualLayout>
      </c:layout>
      <c:overlay val="0"/>
      <c:spPr>
        <a:noFill/>
        <a:ln w="25400">
          <a:noFill/>
        </a:ln>
      </c:spPr>
    </c:title>
    <c:autoTitleDeleted val="0"/>
    <c:plotArea>
      <c:layout>
        <c:manualLayout>
          <c:layoutTarget val="inner"/>
          <c:xMode val="edge"/>
          <c:yMode val="edge"/>
          <c:x val="0.15594059405941052"/>
          <c:y val="0.26760563380281688"/>
          <c:w val="0.80445544554455461"/>
          <c:h val="0.48239436619718901"/>
        </c:manualLayout>
      </c:layout>
      <c:lineChart>
        <c:grouping val="standard"/>
        <c:varyColors val="0"/>
        <c:ser>
          <c:idx val="1"/>
          <c:order val="0"/>
          <c:marker>
            <c:symbol val="none"/>
          </c:marker>
          <c:cat>
            <c:numRef>
              <c:f>[0]!primarybudgetxaxis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[0]!primarybudget</c:f>
              <c:numCache>
                <c:formatCode>0.0%</c:formatCode>
                <c:ptCount val="19"/>
                <c:pt idx="0">
                  <c:v>0</c:v>
                </c:pt>
                <c:pt idx="1">
                  <c:v>0</c:v>
                </c:pt>
                <c:pt idx="2">
                  <c:v>0</c:v>
                </c:pt>
                <c:pt idx="3">
                  <c:v>0</c:v>
                </c:pt>
                <c:pt idx="4">
                  <c:v>0</c:v>
                </c:pt>
                <c:pt idx="5">
                  <c:v>2.955665024630549E-3</c:v>
                </c:pt>
                <c:pt idx="6">
                  <c:v>2.4691358024691358E-3</c:v>
                </c:pt>
                <c:pt idx="7">
                  <c:v>2.2249690976514354E-3</c:v>
                </c:pt>
                <c:pt idx="8">
                  <c:v>2.1026592455164095E-3</c:v>
                </c:pt>
                <c:pt idx="9">
                  <c:v>2.0414475719146372E-3</c:v>
                </c:pt>
                <c:pt idx="10">
                  <c:v>2.0108275328692962E-3</c:v>
                </c:pt>
                <c:pt idx="11">
                  <c:v>1.9955139608631898E-3</c:v>
                </c:pt>
                <c:pt idx="12">
                  <c:v>1.9878562864988417E-3</c:v>
                </c:pt>
                <c:pt idx="13">
                  <c:v>1.9840272271962633E-3</c:v>
                </c:pt>
                <c:pt idx="14">
                  <c:v>1.982112642011119E-3</c:v>
                </c:pt>
                <c:pt idx="15">
                  <c:v>1.981155335534631E-3</c:v>
                </c:pt>
                <c:pt idx="16">
                  <c:v>1.9806766788253451E-3</c:v>
                </c:pt>
                <c:pt idx="17">
                  <c:v>1.9804373496029163E-3</c:v>
                </c:pt>
                <c:pt idx="18">
                  <c:v>1.9803176847747591E-3</c:v>
                </c:pt>
              </c:numCache>
            </c:numRef>
          </c:val>
          <c:smooth val="0"/>
          <c:extLst>
            <c:ext xmlns:c16="http://schemas.microsoft.com/office/drawing/2014/chart" uri="{C3380CC4-5D6E-409C-BE32-E72D297353CC}">
              <c16:uniqueId val="{00000000-C456-482E-808F-4F8BE40AE878}"/>
            </c:ext>
          </c:extLst>
        </c:ser>
        <c:dLbls>
          <c:showLegendKey val="0"/>
          <c:showVal val="0"/>
          <c:showCatName val="0"/>
          <c:showSerName val="0"/>
          <c:showPercent val="0"/>
          <c:showBubbleSize val="0"/>
        </c:dLbls>
        <c:smooth val="0"/>
        <c:axId val="455537800"/>
        <c:axId val="455542504"/>
      </c:lineChart>
      <c:catAx>
        <c:axId val="45553780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732673267326734"/>
              <c:y val="0.87323943661974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25" b="0" i="0" u="none" strike="noStrike" baseline="0">
                <a:solidFill>
                  <a:srgbClr val="000000"/>
                </a:solidFill>
                <a:latin typeface="Arial"/>
                <a:ea typeface="Arial"/>
                <a:cs typeface="Arial"/>
              </a:defRPr>
            </a:pPr>
            <a:endParaRPr lang="en-US"/>
          </a:p>
        </c:txPr>
        <c:crossAx val="455542504"/>
        <c:crosses val="autoZero"/>
        <c:auto val="1"/>
        <c:lblAlgn val="ctr"/>
        <c:lblOffset val="100"/>
        <c:tickMarkSkip val="1"/>
        <c:noMultiLvlLbl val="0"/>
      </c:catAx>
      <c:valAx>
        <c:axId val="4555425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5553780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82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Public Debt/GDP </a:t>
            </a:r>
          </a:p>
        </c:rich>
      </c:tx>
      <c:layout>
        <c:manualLayout>
          <c:xMode val="edge"/>
          <c:yMode val="edge"/>
          <c:x val="0.43728043373242703"/>
          <c:y val="3.5087719298245612E-2"/>
        </c:manualLayout>
      </c:layout>
      <c:overlay val="0"/>
      <c:spPr>
        <a:noFill/>
        <a:ln w="25400">
          <a:noFill/>
        </a:ln>
      </c:spPr>
    </c:title>
    <c:autoTitleDeleted val="0"/>
    <c:plotArea>
      <c:layout>
        <c:manualLayout>
          <c:layoutTarget val="inner"/>
          <c:xMode val="edge"/>
          <c:yMode val="edge"/>
          <c:x val="0.10082069077239497"/>
          <c:y val="0.19005902223542076"/>
          <c:w val="0.88159487745163978"/>
          <c:h val="0.53801323217412589"/>
        </c:manualLayout>
      </c:layout>
      <c:lineChart>
        <c:grouping val="standard"/>
        <c:varyColors val="0"/>
        <c:ser>
          <c:idx val="1"/>
          <c:order val="0"/>
          <c:marker>
            <c:symbol val="none"/>
          </c:marker>
          <c:cat>
            <c:numRef>
              <c:f>[0]!publicdebtxaxis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[0]!publicdebt</c:f>
              <c:numCache>
                <c:formatCode>0.0%</c:formatCode>
                <c:ptCount val="19"/>
                <c:pt idx="0">
                  <c:v>0</c:v>
                </c:pt>
                <c:pt idx="1">
                  <c:v>0</c:v>
                </c:pt>
                <c:pt idx="2">
                  <c:v>0</c:v>
                </c:pt>
                <c:pt idx="3">
                  <c:v>0</c:v>
                </c:pt>
                <c:pt idx="4">
                  <c:v>0</c:v>
                </c:pt>
                <c:pt idx="5">
                  <c:v>-2.955665024630549E-3</c:v>
                </c:pt>
                <c:pt idx="6">
                  <c:v>-5.5320987654321049E-3</c:v>
                </c:pt>
                <c:pt idx="7">
                  <c:v>-7.9543070148331476E-3</c:v>
                </c:pt>
                <c:pt idx="8">
                  <c:v>-1.0337971094474764E-2</c:v>
                </c:pt>
                <c:pt idx="9">
                  <c:v>-1.2742941404793175E-2</c:v>
                </c:pt>
                <c:pt idx="10">
                  <c:v>-1.5200816243807794E-2</c:v>
                </c:pt>
                <c:pt idx="11">
                  <c:v>-1.7728981810178922E-2</c:v>
                </c:pt>
                <c:pt idx="12">
                  <c:v>-2.0337715830410365E-2</c:v>
                </c:pt>
                <c:pt idx="13">
                  <c:v>-2.3033771542668398E-2</c:v>
                </c:pt>
                <c:pt idx="14">
                  <c:v>-2.5822184222745705E-2</c:v>
                </c:pt>
                <c:pt idx="15">
                  <c:v>-2.8707182168501943E-2</c:v>
                </c:pt>
                <c:pt idx="16">
                  <c:v>-3.1692647000712879E-2</c:v>
                </c:pt>
                <c:pt idx="17">
                  <c:v>-3.4782347296532831E-2</c:v>
                </c:pt>
                <c:pt idx="18">
                  <c:v>-3.7980058276878378E-2</c:v>
                </c:pt>
              </c:numCache>
            </c:numRef>
          </c:val>
          <c:smooth val="0"/>
          <c:extLst>
            <c:ext xmlns:c16="http://schemas.microsoft.com/office/drawing/2014/chart" uri="{C3380CC4-5D6E-409C-BE32-E72D297353CC}">
              <c16:uniqueId val="{00000000-9207-475F-BB8C-45DF25353562}"/>
            </c:ext>
          </c:extLst>
        </c:ser>
        <c:dLbls>
          <c:showLegendKey val="0"/>
          <c:showVal val="0"/>
          <c:showCatName val="0"/>
          <c:showSerName val="0"/>
          <c:showPercent val="0"/>
          <c:showBubbleSize val="0"/>
        </c:dLbls>
        <c:smooth val="0"/>
        <c:axId val="455542112"/>
        <c:axId val="427283456"/>
      </c:lineChart>
      <c:catAx>
        <c:axId val="455542112"/>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193437397113051"/>
              <c:y val="0.871347485073137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1200" b="0" i="0" u="none" strike="noStrike" baseline="0">
                <a:solidFill>
                  <a:srgbClr val="000000"/>
                </a:solidFill>
                <a:latin typeface="Arial"/>
                <a:ea typeface="Arial"/>
                <a:cs typeface="Arial"/>
              </a:defRPr>
            </a:pPr>
            <a:endParaRPr lang="en-US"/>
          </a:p>
        </c:txPr>
        <c:crossAx val="427283456"/>
        <c:crosses val="autoZero"/>
        <c:auto val="1"/>
        <c:lblAlgn val="ctr"/>
        <c:lblOffset val="100"/>
        <c:tickMarkSkip val="1"/>
        <c:noMultiLvlLbl val="0"/>
      </c:catAx>
      <c:valAx>
        <c:axId val="42728345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55542112"/>
        <c:crosses val="autoZero"/>
        <c:crossBetween val="between"/>
      </c:valAx>
      <c:spPr>
        <a:noFill/>
        <a:ln w="25400">
          <a:noFill/>
        </a:ln>
      </c:spPr>
    </c:plotArea>
    <c:plotVisOnly val="1"/>
    <c:dispBlanksAs val="gap"/>
    <c:showDLblsOverMax val="0"/>
  </c:chart>
  <c:spPr>
    <a:solidFill>
      <a:srgbClr val="FFFFFF"/>
    </a:solidFill>
    <a:ln w="25400">
      <a:solidFill>
        <a:srgbClr val="008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mn-lt"/>
                <a:ea typeface="Arial"/>
                <a:cs typeface="Arial"/>
              </a:defRPr>
            </a:pPr>
            <a:r>
              <a:rPr lang="es-ES" sz="1200">
                <a:latin typeface="+mn-lt"/>
              </a:rPr>
              <a:t>Total budget/GDP</a:t>
            </a:r>
          </a:p>
        </c:rich>
      </c:tx>
      <c:layout>
        <c:manualLayout>
          <c:xMode val="edge"/>
          <c:yMode val="edge"/>
          <c:x val="0.38789237668162113"/>
          <c:y val="3.8596491228070177E-2"/>
        </c:manualLayout>
      </c:layout>
      <c:overlay val="0"/>
      <c:spPr>
        <a:noFill/>
        <a:ln w="25400">
          <a:noFill/>
        </a:ln>
      </c:spPr>
    </c:title>
    <c:autoTitleDeleted val="0"/>
    <c:plotArea>
      <c:layout>
        <c:manualLayout>
          <c:layoutTarget val="inner"/>
          <c:xMode val="edge"/>
          <c:yMode val="edge"/>
          <c:x val="0.15470852017937514"/>
          <c:y val="0.20701825321495756"/>
          <c:w val="0.81390134529147984"/>
          <c:h val="0.52280880896659065"/>
        </c:manualLayout>
      </c:layout>
      <c:lineChart>
        <c:grouping val="standard"/>
        <c:varyColors val="0"/>
        <c:ser>
          <c:idx val="1"/>
          <c:order val="0"/>
          <c:marker>
            <c:symbol val="none"/>
          </c:marker>
          <c:cat>
            <c:numRef>
              <c:f>[0]!totalbudgetxaxis</c:f>
              <c:numCache>
                <c:formatCode>General</c:formatCod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numCache>
            </c:numRef>
          </c:cat>
          <c:val>
            <c:numRef>
              <c:f>[0]!totalbudget</c:f>
              <c:numCache>
                <c:formatCode>0.0%</c:formatCode>
                <c:ptCount val="19"/>
                <c:pt idx="0">
                  <c:v>0</c:v>
                </c:pt>
                <c:pt idx="1">
                  <c:v>0</c:v>
                </c:pt>
                <c:pt idx="2">
                  <c:v>0</c:v>
                </c:pt>
                <c:pt idx="3">
                  <c:v>0</c:v>
                </c:pt>
                <c:pt idx="4">
                  <c:v>0</c:v>
                </c:pt>
                <c:pt idx="5">
                  <c:v>3.0554187192118301E-3</c:v>
                </c:pt>
                <c:pt idx="6">
                  <c:v>2.6593016975308644E-3</c:v>
                </c:pt>
                <c:pt idx="7">
                  <c:v>2.5008841222284601E-3</c:v>
                </c:pt>
                <c:pt idx="8">
                  <c:v>2.4628729258395145E-3</c:v>
                </c:pt>
                <c:pt idx="9">
                  <c:v>2.4864549787851488E-3</c:v>
                </c:pt>
                <c:pt idx="10">
                  <c:v>2.5422623195180453E-3</c:v>
                </c:pt>
                <c:pt idx="11">
                  <c:v>2.6156820550434718E-3</c:v>
                </c:pt>
                <c:pt idx="12">
                  <c:v>2.6994777300570483E-3</c:v>
                </c:pt>
                <c:pt idx="13">
                  <c:v>2.7900967616020468E-3</c:v>
                </c:pt>
                <c:pt idx="14">
                  <c:v>2.8858260473652686E-3</c:v>
                </c:pt>
                <c:pt idx="15">
                  <c:v>2.9858716684852162E-3</c:v>
                </c:pt>
                <c:pt idx="16">
                  <c:v>3.0898999801936789E-3</c:v>
                </c:pt>
                <c:pt idx="17">
                  <c:v>3.1978088902515555E-3</c:v>
                </c:pt>
                <c:pt idx="18">
                  <c:v>3.3096139291685241E-3</c:v>
                </c:pt>
              </c:numCache>
            </c:numRef>
          </c:val>
          <c:smooth val="0"/>
          <c:extLst>
            <c:ext xmlns:c16="http://schemas.microsoft.com/office/drawing/2014/chart" uri="{C3380CC4-5D6E-409C-BE32-E72D297353CC}">
              <c16:uniqueId val="{00000000-27EE-4145-A544-6F0E8D268DEB}"/>
            </c:ext>
          </c:extLst>
        </c:ser>
        <c:dLbls>
          <c:showLegendKey val="0"/>
          <c:showVal val="0"/>
          <c:showCatName val="0"/>
          <c:showSerName val="0"/>
          <c:showPercent val="0"/>
          <c:showBubbleSize val="0"/>
        </c:dLbls>
        <c:smooth val="0"/>
        <c:axId val="457697840"/>
        <c:axId val="457693920"/>
      </c:lineChart>
      <c:catAx>
        <c:axId val="457697840"/>
        <c:scaling>
          <c:orientation val="minMax"/>
        </c:scaling>
        <c:delete val="0"/>
        <c:axPos val="b"/>
        <c:title>
          <c:tx>
            <c:rich>
              <a:bodyPr/>
              <a:lstStyle/>
              <a:p>
                <a:pPr>
                  <a:defRPr sz="1000" b="1" i="0" u="none" strike="noStrike" baseline="0">
                    <a:solidFill>
                      <a:srgbClr val="000000"/>
                    </a:solidFill>
                    <a:latin typeface="+mn-lt"/>
                    <a:ea typeface="Arial"/>
                    <a:cs typeface="Arial"/>
                  </a:defRPr>
                </a:pPr>
                <a:r>
                  <a:rPr lang="es-ES" sz="1000">
                    <a:latin typeface="+mn-lt"/>
                  </a:rPr>
                  <a:t>Time</a:t>
                </a:r>
              </a:p>
            </c:rich>
          </c:tx>
          <c:layout>
            <c:manualLayout>
              <c:xMode val="edge"/>
              <c:yMode val="edge"/>
              <c:x val="0.5246636771300448"/>
              <c:y val="0.87017838559653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3920"/>
        <c:crosses val="autoZero"/>
        <c:auto val="1"/>
        <c:lblAlgn val="ctr"/>
        <c:lblOffset val="100"/>
        <c:tickMarkSkip val="1"/>
        <c:noMultiLvlLbl val="0"/>
      </c:catAx>
      <c:valAx>
        <c:axId val="45769392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7840"/>
        <c:crosses val="autoZero"/>
        <c:crossBetween val="between"/>
      </c:valAx>
      <c:spPr>
        <a:noFill/>
        <a:ln w="25400">
          <a:noFill/>
        </a:ln>
      </c:spPr>
    </c:plotArea>
    <c:plotVisOnly val="1"/>
    <c:dispBlanksAs val="gap"/>
    <c:showDLblsOverMax val="0"/>
  </c:chart>
  <c:spPr>
    <a:solidFill>
      <a:srgbClr val="FFFFFF"/>
    </a:solidFill>
    <a:ln w="25400">
      <a:solidFill>
        <a:srgbClr val="339966"/>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712168835130471"/>
          <c:y val="0.10465155891003119"/>
          <c:w val="0.82089637703264196"/>
          <c:h val="0.62790935346020593"/>
        </c:manualLayout>
      </c:layout>
      <c:lineChart>
        <c:grouping val="standard"/>
        <c:varyColors val="0"/>
        <c:ser>
          <c:idx val="0"/>
          <c:order val="0"/>
          <c:spPr>
            <a:ln w="25400">
              <a:solidFill>
                <a:srgbClr val="339966"/>
              </a:solidFill>
              <a:prstDash val="solid"/>
            </a:ln>
          </c:spPr>
          <c:marker>
            <c:symbol val="diamond"/>
            <c:size val="2"/>
            <c:spPr>
              <a:solidFill>
                <a:srgbClr val="339966"/>
              </a:solidFill>
              <a:ln>
                <a:solidFill>
                  <a:srgbClr val="339966"/>
                </a:solidFill>
                <a:prstDash val="solid"/>
              </a:ln>
            </c:spPr>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[0]!inflacion</c:f>
              <c:numCache>
                <c:formatCode>0.0</c:formatCode>
                <c:ptCount val="9"/>
                <c:pt idx="0">
                  <c:v>2</c:v>
                </c:pt>
                <c:pt idx="1">
                  <c:v>3.5</c:v>
                </c:pt>
                <c:pt idx="2">
                  <c:v>6.125</c:v>
                </c:pt>
                <c:pt idx="3">
                  <c:v>10.71875</c:v>
                </c:pt>
                <c:pt idx="4">
                  <c:v>17.787812500000001</c:v>
                </c:pt>
                <c:pt idx="5">
                  <c:v>31.128671875000002</c:v>
                </c:pt>
                <c:pt idx="6">
                  <c:v>54.475175781250009</c:v>
                </c:pt>
                <c:pt idx="7">
                  <c:v>95.331557617187514</c:v>
                </c:pt>
                <c:pt idx="8">
                  <c:v>166.83022583007815</c:v>
                </c:pt>
              </c:numCache>
            </c:numRef>
          </c:val>
          <c:smooth val="0"/>
          <c:extLst>
            <c:ext xmlns:c16="http://schemas.microsoft.com/office/drawing/2014/chart" uri="{C3380CC4-5D6E-409C-BE32-E72D297353CC}">
              <c16:uniqueId val="{00000000-DD9B-494F-B37B-68EA7E5AB984}"/>
            </c:ext>
          </c:extLst>
        </c:ser>
        <c:ser>
          <c:idx val="1"/>
          <c:order val="1"/>
          <c:spPr>
            <a:ln w="12700">
              <a:solidFill>
                <a:srgbClr val="FF00FF"/>
              </a:solidFill>
              <a:prstDash val="solid"/>
            </a:ln>
          </c:spPr>
          <c:marker>
            <c:symbol val="none"/>
          </c:marker>
          <c:cat>
            <c:numRef>
              <c:f>'choose m.p.'!$A$3:$A$22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'choose m.p.'!$AN$3:$AN$22</c:f>
              <c:numCache>
                <c:formatCode>General</c:formatCode>
                <c:ptCount val="20"/>
              </c:numCache>
            </c:numRef>
          </c:val>
          <c:smooth val="0"/>
          <c:extLst>
            <c:ext xmlns:c16="http://schemas.microsoft.com/office/drawing/2014/chart" uri="{C3380CC4-5D6E-409C-BE32-E72D297353CC}">
              <c16:uniqueId val="{00000001-DD9B-494F-B37B-68EA7E5AB984}"/>
            </c:ext>
          </c:extLst>
        </c:ser>
        <c:dLbls>
          <c:showLegendKey val="0"/>
          <c:showVal val="0"/>
          <c:showCatName val="0"/>
          <c:showSerName val="0"/>
          <c:showPercent val="0"/>
          <c:showBubbleSize val="0"/>
        </c:dLbls>
        <c:marker val="1"/>
        <c:smooth val="0"/>
        <c:axId val="457695880"/>
        <c:axId val="457695096"/>
      </c:lineChart>
      <c:catAx>
        <c:axId val="4576958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238850740672338"/>
              <c:y val="0.8488404647093531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5096"/>
        <c:crosses val="autoZero"/>
        <c:auto val="1"/>
        <c:lblAlgn val="ctr"/>
        <c:lblOffset val="100"/>
        <c:tickLblSkip val="1"/>
        <c:tickMarkSkip val="1"/>
        <c:noMultiLvlLbl val="0"/>
      </c:catAx>
      <c:valAx>
        <c:axId val="457695096"/>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inflation (%)</a:t>
                </a:r>
              </a:p>
            </c:rich>
          </c:tx>
          <c:layout>
            <c:manualLayout>
              <c:xMode val="edge"/>
              <c:yMode val="edge"/>
              <c:x val="3.6247334754797446E-2"/>
              <c:y val="0.267442674316879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588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407470557366251"/>
          <c:y val="0.10796289508049708"/>
          <c:w val="0.64957400502054363"/>
          <c:h val="0.61264940373604782"/>
        </c:manualLayout>
      </c:layout>
      <c:lineChart>
        <c:grouping val="standard"/>
        <c:varyColors val="0"/>
        <c:ser>
          <c:idx val="0"/>
          <c:order val="0"/>
          <c:tx>
            <c:v>real</c:v>
          </c:tx>
          <c:spPr>
            <a:ln w="25400">
              <a:solidFill>
                <a:srgbClr val="000080"/>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[0]!real_interest_rate</c:f>
              <c:numCache>
                <c:formatCode>0.0</c:formatCode>
                <c:ptCount val="8"/>
                <c:pt idx="0">
                  <c:v>0</c:v>
                </c:pt>
                <c:pt idx="1">
                  <c:v>-1.5</c:v>
                </c:pt>
                <c:pt idx="2">
                  <c:v>-4.125</c:v>
                </c:pt>
                <c:pt idx="3">
                  <c:v>-8.71875</c:v>
                </c:pt>
                <c:pt idx="4">
                  <c:v>-15.787812500000001</c:v>
                </c:pt>
                <c:pt idx="5">
                  <c:v>-29.128671875000002</c:v>
                </c:pt>
                <c:pt idx="6">
                  <c:v>-52.475175781250009</c:v>
                </c:pt>
                <c:pt idx="7">
                  <c:v>-93.331557617187514</c:v>
                </c:pt>
              </c:numCache>
            </c:numRef>
          </c:val>
          <c:smooth val="0"/>
          <c:extLst>
            <c:ext xmlns:c16="http://schemas.microsoft.com/office/drawing/2014/chart" uri="{C3380CC4-5D6E-409C-BE32-E72D297353CC}">
              <c16:uniqueId val="{00000000-309B-482B-8048-C6F3F5504453}"/>
            </c:ext>
          </c:extLst>
        </c:ser>
        <c:ser>
          <c:idx val="1"/>
          <c:order val="1"/>
          <c:tx>
            <c:v>nominal</c:v>
          </c:tx>
          <c:spPr>
            <a:ln w="25400">
              <a:solidFill>
                <a:srgbClr val="FF00FF"/>
              </a:solidFill>
              <a:prstDash val="solid"/>
            </a:ln>
          </c:spPr>
          <c:marker>
            <c:symbol val="square"/>
            <c:size val="2"/>
            <c:spPr>
              <a:solidFill>
                <a:srgbClr val="FF00FF"/>
              </a:solidFill>
              <a:ln>
                <a:solidFill>
                  <a:srgbClr val="FF00FF"/>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[0]!nominal_interest_rate</c:f>
              <c:numCache>
                <c:formatCode>0.0000</c:formatCode>
                <c:ptCount val="8"/>
                <c:pt idx="0">
                  <c:v>2</c:v>
                </c:pt>
                <c:pt idx="1">
                  <c:v>2</c:v>
                </c:pt>
                <c:pt idx="2" formatCode="General">
                  <c:v>2</c:v>
                </c:pt>
                <c:pt idx="3" formatCode="General">
                  <c:v>2</c:v>
                </c:pt>
                <c:pt idx="4" formatCode="General">
                  <c:v>2</c:v>
                </c:pt>
                <c:pt idx="5" formatCode="General">
                  <c:v>2</c:v>
                </c:pt>
                <c:pt idx="6" formatCode="General">
                  <c:v>2</c:v>
                </c:pt>
                <c:pt idx="7" formatCode="General">
                  <c:v>2</c:v>
                </c:pt>
              </c:numCache>
            </c:numRef>
          </c:val>
          <c:smooth val="0"/>
          <c:extLst>
            <c:ext xmlns:c16="http://schemas.microsoft.com/office/drawing/2014/chart" uri="{C3380CC4-5D6E-409C-BE32-E72D297353CC}">
              <c16:uniqueId val="{00000001-309B-482B-8048-C6F3F5504453}"/>
            </c:ext>
          </c:extLst>
        </c:ser>
        <c:dLbls>
          <c:showLegendKey val="0"/>
          <c:showVal val="0"/>
          <c:showCatName val="0"/>
          <c:showSerName val="0"/>
          <c:showPercent val="0"/>
          <c:showBubbleSize val="0"/>
        </c:dLbls>
        <c:marker val="1"/>
        <c:smooth val="0"/>
        <c:axId val="457699016"/>
        <c:axId val="457693136"/>
      </c:lineChart>
      <c:catAx>
        <c:axId val="457699016"/>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es-ES"/>
                  <a:t>time</a:t>
                </a:r>
              </a:p>
            </c:rich>
          </c:tx>
          <c:layout>
            <c:manualLayout>
              <c:xMode val="edge"/>
              <c:yMode val="edge"/>
              <c:x val="0.44017183749467231"/>
              <c:y val="0.8379463239031995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457693136"/>
        <c:crosses val="autoZero"/>
        <c:auto val="1"/>
        <c:lblAlgn val="ctr"/>
        <c:lblOffset val="100"/>
        <c:tickLblSkip val="1"/>
        <c:tickMarkSkip val="1"/>
        <c:noMultiLvlLbl val="0"/>
      </c:catAx>
      <c:valAx>
        <c:axId val="457693136"/>
        <c:scaling>
          <c:orientation val="minMax"/>
        </c:scaling>
        <c:delete val="0"/>
        <c:axPos val="l"/>
        <c:title>
          <c:tx>
            <c:rich>
              <a:bodyPr/>
              <a:lstStyle/>
              <a:p>
                <a:pPr>
                  <a:defRPr sz="1050" b="1" i="0" u="none" strike="noStrike" baseline="0">
                    <a:solidFill>
                      <a:srgbClr val="000000"/>
                    </a:solidFill>
                    <a:latin typeface="Arial"/>
                    <a:ea typeface="Arial"/>
                    <a:cs typeface="Arial"/>
                  </a:defRPr>
                </a:pPr>
                <a:r>
                  <a:rPr lang="es-ES"/>
                  <a:t>interest rates (%)</a:t>
                </a:r>
              </a:p>
            </c:rich>
          </c:tx>
          <c:layout>
            <c:manualLayout>
              <c:xMode val="edge"/>
              <c:yMode val="edge"/>
              <c:x val="3.6324786324786328E-2"/>
              <c:y val="0.1660083201062350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457699016"/>
        <c:crosses val="autoZero"/>
        <c:crossBetween val="between"/>
      </c:valAx>
      <c:spPr>
        <a:noFill/>
        <a:ln w="25400">
          <a:noFill/>
        </a:ln>
      </c:spPr>
    </c:plotArea>
    <c:legend>
      <c:legendPos val="r"/>
      <c:layout>
        <c:manualLayout>
          <c:xMode val="edge"/>
          <c:yMode val="edge"/>
          <c:x val="0.80342037373533437"/>
          <c:y val="0.10276679841897508"/>
          <c:w val="0.18589788455930747"/>
          <c:h val="0.58893405122778619"/>
        </c:manualLayout>
      </c:layout>
      <c:overlay val="0"/>
      <c:spPr>
        <a:noFill/>
        <a:ln w="3175">
          <a:solidFill>
            <a:srgbClr val="000000"/>
          </a:solidFill>
          <a:prstDash val="sysDash"/>
        </a:ln>
      </c:spPr>
      <c:txPr>
        <a:bodyPr/>
        <a:lstStyle/>
        <a:p>
          <a:pPr>
            <a:defRPr sz="825" b="0" i="0" u="none" strike="noStrike" baseline="0">
              <a:solidFill>
                <a:srgbClr val="000000"/>
              </a:solidFill>
              <a:latin typeface="Arial"/>
              <a:ea typeface="Arial"/>
              <a:cs typeface="Arial"/>
            </a:defRPr>
          </a:pPr>
          <a:endParaRPr lang="en-US"/>
        </a:p>
      </c:txPr>
    </c:legend>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072509320559576"/>
          <c:y val="0.11020408163265306"/>
          <c:w val="0.82729297217835085"/>
          <c:h val="0.60816326530612241"/>
        </c:manualLayout>
      </c:layout>
      <c:lineChart>
        <c:grouping val="standard"/>
        <c:varyColors val="0"/>
        <c:ser>
          <c:idx val="0"/>
          <c:order val="0"/>
          <c:spPr>
            <a:ln w="25400">
              <a:solidFill>
                <a:srgbClr val="339966"/>
              </a:solidFill>
              <a:prstDash val="solid"/>
            </a:ln>
          </c:spPr>
          <c:marker>
            <c:symbol val="square"/>
            <c:size val="2"/>
            <c:spPr>
              <a:solidFill>
                <a:srgbClr val="339966"/>
              </a:solidFill>
              <a:ln>
                <a:solidFill>
                  <a:srgbClr val="339966"/>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[0]!GDP</c:f>
              <c:numCache>
                <c:formatCode>0.0</c:formatCode>
                <c:ptCount val="9"/>
                <c:pt idx="0">
                  <c:v>50</c:v>
                </c:pt>
                <c:pt idx="1">
                  <c:v>51.5</c:v>
                </c:pt>
                <c:pt idx="2">
                  <c:v>52.625</c:v>
                </c:pt>
                <c:pt idx="3">
                  <c:v>54.59375</c:v>
                </c:pt>
                <c:pt idx="4">
                  <c:v>59.069062500000001</c:v>
                </c:pt>
                <c:pt idx="5">
                  <c:v>63.340859375000001</c:v>
                </c:pt>
                <c:pt idx="6">
                  <c:v>73.346503906250007</c:v>
                </c:pt>
                <c:pt idx="7">
                  <c:v>90.856381835937498</c:v>
                </c:pt>
                <c:pt idx="8">
                  <c:v>121.49866821289064</c:v>
                </c:pt>
              </c:numCache>
            </c:numRef>
          </c:val>
          <c:smooth val="0"/>
          <c:extLst>
            <c:ext xmlns:c16="http://schemas.microsoft.com/office/drawing/2014/chart" uri="{C3380CC4-5D6E-409C-BE32-E72D297353CC}">
              <c16:uniqueId val="{00000000-53E3-48ED-99E0-5B8592A51346}"/>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53E3-48ED-99E0-5B8592A51346}"/>
            </c:ext>
          </c:extLst>
        </c:ser>
        <c:dLbls>
          <c:showLegendKey val="0"/>
          <c:showVal val="0"/>
          <c:showCatName val="0"/>
          <c:showSerName val="0"/>
          <c:showPercent val="0"/>
          <c:showBubbleSize val="0"/>
        </c:dLbls>
        <c:marker val="1"/>
        <c:smooth val="0"/>
        <c:axId val="457691960"/>
        <c:axId val="457697448"/>
      </c:lineChart>
      <c:catAx>
        <c:axId val="4576919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s-ES"/>
                  <a:t>time</a:t>
                </a:r>
              </a:p>
            </c:rich>
          </c:tx>
          <c:layout>
            <c:manualLayout>
              <c:xMode val="edge"/>
              <c:yMode val="edge"/>
              <c:x val="0.52025631124467653"/>
              <c:y val="0.8408163265306122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457697448"/>
        <c:crosses val="autoZero"/>
        <c:auto val="1"/>
        <c:lblAlgn val="ctr"/>
        <c:lblOffset val="100"/>
        <c:tickLblSkip val="1"/>
        <c:tickMarkSkip val="1"/>
        <c:noMultiLvlLbl val="0"/>
      </c:catAx>
      <c:valAx>
        <c:axId val="457697448"/>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s-ES"/>
                  <a:t>GDP</a:t>
                </a:r>
              </a:p>
            </c:rich>
          </c:tx>
          <c:layout>
            <c:manualLayout>
              <c:xMode val="edge"/>
              <c:yMode val="edge"/>
              <c:x val="3.6247334754797446E-2"/>
              <c:y val="0.34693877551021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57691960"/>
        <c:crosses val="autoZero"/>
        <c:crossBetween val="between"/>
      </c:valAx>
      <c:spPr>
        <a:noFill/>
        <a:ln w="25400">
          <a:noFill/>
        </a:ln>
      </c:spPr>
    </c:plotArea>
    <c:plotVisOnly val="1"/>
    <c:dispBlanksAs val="gap"/>
    <c:showDLblsOverMax val="0"/>
  </c:chart>
  <c:spPr>
    <a:noFill/>
    <a:ln w="25400">
      <a:noFill/>
      <a:prstDash val="solid"/>
    </a:ln>
    <a:effectLst/>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6297622285937688"/>
          <c:y val="7.9861381908442594E-2"/>
          <c:w val="0.68512226481783856"/>
          <c:h val="0.75000254314013381"/>
        </c:manualLayout>
      </c:layout>
      <c:lineChart>
        <c:grouping val="standard"/>
        <c:varyColors val="0"/>
        <c:ser>
          <c:idx val="0"/>
          <c:order val="0"/>
          <c:spPr>
            <a:ln w="25400">
              <a:solidFill>
                <a:srgbClr val="339966"/>
              </a:solidFill>
              <a:prstDash val="solid"/>
            </a:ln>
          </c:spPr>
          <c:marker>
            <c:symbol val="diamond"/>
            <c:size val="2"/>
            <c:spPr>
              <a:solidFill>
                <a:srgbClr val="000080"/>
              </a:solidFill>
              <a:ln>
                <a:solidFill>
                  <a:srgbClr val="000080"/>
                </a:solidFill>
                <a:prstDash val="solid"/>
              </a:ln>
            </c:spPr>
          </c:marker>
          <c:cat>
            <c:numRef>
              <c:f>'normal case'!$A$3:$A$22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[0]!growth</c:f>
              <c:numCache>
                <c:formatCode>0.00%</c:formatCode>
                <c:ptCount val="9"/>
                <c:pt idx="1">
                  <c:v>3.0000000000000027E-2</c:v>
                </c:pt>
                <c:pt idx="2">
                  <c:v>2.1844660194174859E-2</c:v>
                </c:pt>
                <c:pt idx="3">
                  <c:v>3.7410926365795794E-2</c:v>
                </c:pt>
                <c:pt idx="4">
                  <c:v>8.1974813966800175E-2</c:v>
                </c:pt>
                <c:pt idx="5">
                  <c:v>7.2318684167367531E-2</c:v>
                </c:pt>
                <c:pt idx="6">
                  <c:v>0.15796508967478795</c:v>
                </c:pt>
                <c:pt idx="7">
                  <c:v>0.23872818740029178</c:v>
                </c:pt>
                <c:pt idx="8">
                  <c:v>0.33726069383089641</c:v>
                </c:pt>
              </c:numCache>
            </c:numRef>
          </c:val>
          <c:smooth val="0"/>
          <c:extLst>
            <c:ext xmlns:c16="http://schemas.microsoft.com/office/drawing/2014/chart" uri="{C3380CC4-5D6E-409C-BE32-E72D297353CC}">
              <c16:uniqueId val="{00000000-99E4-4453-8466-B9117FA95F74}"/>
            </c:ext>
          </c:extLst>
        </c:ser>
        <c:ser>
          <c:idx val="1"/>
          <c:order val="1"/>
          <c:spPr>
            <a:ln w="12700">
              <a:solidFill>
                <a:srgbClr val="FF00FF"/>
              </a:solidFill>
              <a:prstDash val="solid"/>
            </a:ln>
          </c:spPr>
          <c:marker>
            <c:symbol val="none"/>
          </c:marker>
          <c:val>
            <c:numRef>
              <c:f>'choose m.p.'!$AD$3:$AD$22</c:f>
              <c:numCache>
                <c:formatCode>General</c:formatCode>
                <c:ptCount val="20"/>
              </c:numCache>
            </c:numRef>
          </c:val>
          <c:smooth val="0"/>
          <c:extLst>
            <c:ext xmlns:c16="http://schemas.microsoft.com/office/drawing/2014/chart" uri="{C3380CC4-5D6E-409C-BE32-E72D297353CC}">
              <c16:uniqueId val="{00000001-99E4-4453-8466-B9117FA95F74}"/>
            </c:ext>
          </c:extLst>
        </c:ser>
        <c:dLbls>
          <c:showLegendKey val="0"/>
          <c:showVal val="0"/>
          <c:showCatName val="0"/>
          <c:showSerName val="0"/>
          <c:showPercent val="0"/>
          <c:showBubbleSize val="0"/>
        </c:dLbls>
        <c:marker val="1"/>
        <c:smooth val="0"/>
        <c:axId val="457698232"/>
        <c:axId val="457695488"/>
      </c:lineChart>
      <c:catAx>
        <c:axId val="457698232"/>
        <c:scaling>
          <c:orientation val="minMax"/>
        </c:scaling>
        <c:delete val="0"/>
        <c:axPos val="b"/>
        <c:title>
          <c:tx>
            <c:rich>
              <a:bodyPr/>
              <a:lstStyle/>
              <a:p>
                <a:pPr>
                  <a:defRPr sz="575" b="1" i="0" u="none" strike="noStrike" baseline="0">
                    <a:solidFill>
                      <a:srgbClr val="000000"/>
                    </a:solidFill>
                    <a:latin typeface="Arial"/>
                    <a:ea typeface="Arial"/>
                    <a:cs typeface="Arial"/>
                  </a:defRPr>
                </a:pPr>
                <a:r>
                  <a:rPr lang="es-ES"/>
                  <a:t>time</a:t>
                </a:r>
              </a:p>
            </c:rich>
          </c:tx>
          <c:layout>
            <c:manualLayout>
              <c:xMode val="edge"/>
              <c:yMode val="edge"/>
              <c:x val="0.56401493065961961"/>
              <c:y val="0.8923640274132400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400000" vert="horz"/>
          <a:lstStyle/>
          <a:p>
            <a:pPr>
              <a:defRPr sz="575" b="0" i="0" u="none" strike="noStrike" baseline="0">
                <a:solidFill>
                  <a:srgbClr val="000000"/>
                </a:solidFill>
                <a:latin typeface="Arial"/>
                <a:ea typeface="Arial"/>
                <a:cs typeface="Arial"/>
              </a:defRPr>
            </a:pPr>
            <a:endParaRPr lang="en-US"/>
          </a:p>
        </c:txPr>
        <c:crossAx val="457695488"/>
        <c:crossesAt val="0"/>
        <c:auto val="1"/>
        <c:lblAlgn val="ctr"/>
        <c:lblOffset val="100"/>
        <c:tickLblSkip val="1"/>
        <c:tickMarkSkip val="1"/>
        <c:noMultiLvlLbl val="0"/>
      </c:catAx>
      <c:valAx>
        <c:axId val="457695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s-ES"/>
                  <a:t>Economic growth</a:t>
                </a:r>
              </a:p>
            </c:rich>
          </c:tx>
          <c:layout>
            <c:manualLayout>
              <c:xMode val="edge"/>
              <c:yMode val="edge"/>
              <c:x val="5.8823529411764705E-2"/>
              <c:y val="0.28125109361329825"/>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575" b="0" i="0" u="none" strike="noStrike" baseline="0">
                <a:solidFill>
                  <a:srgbClr val="000000"/>
                </a:solidFill>
                <a:latin typeface="Arial"/>
                <a:ea typeface="Arial"/>
                <a:cs typeface="Arial"/>
              </a:defRPr>
            </a:pPr>
            <a:endParaRPr lang="en-US"/>
          </a:p>
        </c:txPr>
        <c:crossAx val="457698232"/>
        <c:crosses val="autoZero"/>
        <c:crossBetween val="between"/>
        <c:majorUnit val="0.05"/>
        <c:minorUnit val="1.0000000000000005E-2"/>
      </c:valAx>
      <c:spPr>
        <a:noFill/>
        <a:ln w="25400">
          <a:noFill/>
        </a:ln>
      </c:spPr>
    </c:plotArea>
    <c:plotVisOnly val="1"/>
    <c:dispBlanksAs val="gap"/>
    <c:showDLblsOverMax val="0"/>
  </c:chart>
  <c:spPr>
    <a:solidFill>
      <a:srgbClr val="FFFFFF"/>
    </a:solidFill>
    <a:ln w="25400">
      <a:solidFill>
        <a:srgbClr val="3366FF"/>
      </a:solidFill>
      <a:prstDash val="solid"/>
    </a:ln>
    <a:effectLst>
      <a:outerShdw dist="35921" dir="2700000" algn="br">
        <a:srgbClr val="000000"/>
      </a:outerShdw>
    </a:effectLst>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1"/>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sz="1000"/>
              <a:t>Inflation gap,</a:t>
            </a:r>
            <a:r>
              <a:rPr lang="es-ES" sz="1000" baseline="0"/>
              <a:t> </a:t>
            </a:r>
            <a:r>
              <a:rPr lang="es-ES" sz="1000"/>
              <a:t>output gap and estimated MR (excludes shock periods)</a:t>
            </a:r>
          </a:p>
        </c:rich>
      </c:tx>
      <c:overlay val="0"/>
    </c:title>
    <c:autoTitleDeleted val="0"/>
    <c:plotArea>
      <c:layout/>
      <c:scatterChart>
        <c:scatterStyle val="lineMarker"/>
        <c:varyColors val="0"/>
        <c:ser>
          <c:idx val="0"/>
          <c:order val="0"/>
          <c:spPr>
            <a:ln w="28575">
              <a:noFill/>
            </a:ln>
          </c:spPr>
          <c:trendline>
            <c:trendlineType val="linear"/>
            <c:intercept val="0"/>
            <c:dispRSqr val="0"/>
            <c:dispEq val="0"/>
          </c:trendline>
          <c:xVal>
            <c:numRef>
              <c:f>[0]!gdpestlin</c:f>
              <c:numCache>
                <c:formatCode>General</c:formatCode>
                <c:ptCount val="1"/>
                <c:pt idx="0">
                  <c:v>0</c:v>
                </c:pt>
              </c:numCache>
            </c:numRef>
          </c:xVal>
          <c:yVal>
            <c:numRef>
              <c:f>[0]!inflacionestlin</c:f>
              <c:numCache>
                <c:formatCode>General</c:formatCode>
                <c:ptCount val="1"/>
                <c:pt idx="0">
                  <c:v>0</c:v>
                </c:pt>
              </c:numCache>
            </c:numRef>
          </c:yVal>
          <c:smooth val="0"/>
          <c:extLst>
            <c:ext xmlns:c16="http://schemas.microsoft.com/office/drawing/2014/chart" uri="{C3380CC4-5D6E-409C-BE32-E72D297353CC}">
              <c16:uniqueId val="{00000001-2642-46D2-A75D-E1B8E43FD30D}"/>
            </c:ext>
          </c:extLst>
        </c:ser>
        <c:dLbls>
          <c:showLegendKey val="0"/>
          <c:showVal val="0"/>
          <c:showCatName val="0"/>
          <c:showSerName val="0"/>
          <c:showPercent val="0"/>
          <c:showBubbleSize val="0"/>
        </c:dLbls>
        <c:axId val="462148384"/>
        <c:axId val="462148776"/>
      </c:scatterChart>
      <c:valAx>
        <c:axId val="462148384"/>
        <c:scaling>
          <c:orientation val="minMax"/>
        </c:scaling>
        <c:delete val="0"/>
        <c:axPos val="b"/>
        <c:title>
          <c:tx>
            <c:rich>
              <a:bodyPr/>
              <a:lstStyle/>
              <a:p>
                <a:pPr>
                  <a:defRPr sz="800"/>
                </a:pPr>
                <a:r>
                  <a:rPr lang="es-ES" sz="800"/>
                  <a:t>output gap</a:t>
                </a:r>
              </a:p>
            </c:rich>
          </c:tx>
          <c:layout>
            <c:manualLayout>
              <c:xMode val="edge"/>
              <c:yMode val="edge"/>
              <c:x val="0.80653463652071233"/>
              <c:y val="0.84168443546326632"/>
            </c:manualLayout>
          </c:layout>
          <c:overlay val="0"/>
        </c:title>
        <c:numFmt formatCode="General" sourceLinked="1"/>
        <c:majorTickMark val="out"/>
        <c:minorTickMark val="none"/>
        <c:tickLblPos val="nextTo"/>
        <c:crossAx val="462148776"/>
        <c:crosses val="autoZero"/>
        <c:crossBetween val="midCat"/>
      </c:valAx>
      <c:valAx>
        <c:axId val="462148776"/>
        <c:scaling>
          <c:orientation val="minMax"/>
        </c:scaling>
        <c:delete val="0"/>
        <c:axPos val="l"/>
        <c:title>
          <c:tx>
            <c:rich>
              <a:bodyPr rot="-5400000" vert="horz"/>
              <a:lstStyle/>
              <a:p>
                <a:pPr>
                  <a:defRPr sz="800"/>
                </a:pPr>
                <a:r>
                  <a:rPr lang="es-ES" sz="800"/>
                  <a:t>deviation</a:t>
                </a:r>
                <a:r>
                  <a:rPr lang="es-ES" sz="800" baseline="0"/>
                  <a:t> wrt inflation target</a:t>
                </a:r>
                <a:endParaRPr lang="es-ES" sz="800"/>
              </a:p>
            </c:rich>
          </c:tx>
          <c:overlay val="0"/>
        </c:title>
        <c:numFmt formatCode="General" sourceLinked="1"/>
        <c:majorTickMark val="out"/>
        <c:minorTickMark val="none"/>
        <c:tickLblPos val="nextTo"/>
        <c:crossAx val="462148384"/>
        <c:crosses val="autoZero"/>
        <c:crossBetween val="midCat"/>
      </c:valAx>
    </c:plotArea>
    <c:plotVisOnly val="1"/>
    <c:dispBlanksAs val="gap"/>
    <c:showDLblsOverMax val="0"/>
  </c:chart>
  <c:printSettings>
    <c:headerFooter/>
    <c:pageMargins b="0.75000000000000577" l="0.70000000000000062" r="0.70000000000000062" t="0.75000000000000577"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a:t>
            </a:r>
          </a:p>
        </c:rich>
      </c:tx>
      <c:layout>
        <c:manualLayout>
          <c:xMode val="edge"/>
          <c:yMode val="edge"/>
          <c:x val="0.47336065573771202"/>
          <c:y val="3.6912751677852351E-2"/>
        </c:manualLayout>
      </c:layout>
      <c:overlay val="0"/>
      <c:spPr>
        <a:noFill/>
        <a:ln w="25400">
          <a:noFill/>
        </a:ln>
      </c:spPr>
    </c:title>
    <c:autoTitleDeleted val="0"/>
    <c:plotArea>
      <c:layout>
        <c:manualLayout>
          <c:layoutTarget val="inner"/>
          <c:xMode val="edge"/>
          <c:yMode val="edge"/>
          <c:x val="0.10655737704918032"/>
          <c:y val="0.19463119139181684"/>
          <c:w val="0.67418032786885262"/>
          <c:h val="0.6677863290857164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results'!$Q$3:$Q$22</c:f>
              <c:numCache>
                <c:formatCode>0.00</c:formatCode>
                <c:ptCount val="20"/>
              </c:numCache>
            </c:numRef>
          </c:val>
          <c:smooth val="0"/>
          <c:extLst>
            <c:ext xmlns:c16="http://schemas.microsoft.com/office/drawing/2014/chart" uri="{C3380CC4-5D6E-409C-BE32-E72D297353CC}">
              <c16:uniqueId val="{00000000-6E0D-447A-B27D-AE7463022B78}"/>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results'!$AF$3:$AF$22</c:f>
              <c:numCache>
                <c:formatCode>0.00</c:formatCode>
                <c:ptCount val="20"/>
              </c:numCache>
            </c:numRef>
          </c:val>
          <c:smooth val="0"/>
          <c:extLst>
            <c:ext xmlns:c16="http://schemas.microsoft.com/office/drawing/2014/chart" uri="{C3380CC4-5D6E-409C-BE32-E72D297353CC}">
              <c16:uniqueId val="{00000001-6E0D-447A-B27D-AE7463022B78}"/>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results'!$AU$3:$AU$22</c:f>
              <c:numCache>
                <c:formatCode>0.00</c:formatCode>
                <c:ptCount val="20"/>
              </c:numCache>
            </c:numRef>
          </c:val>
          <c:smooth val="0"/>
          <c:extLst>
            <c:ext xmlns:c16="http://schemas.microsoft.com/office/drawing/2014/chart" uri="{C3380CC4-5D6E-409C-BE32-E72D297353CC}">
              <c16:uniqueId val="{00000002-6E0D-447A-B27D-AE7463022B78}"/>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results'!$BJ$3:$BJ$22</c:f>
              <c:numCache>
                <c:formatCode>0.00</c:formatCode>
                <c:ptCount val="20"/>
              </c:numCache>
            </c:numRef>
          </c:val>
          <c:smooth val="0"/>
          <c:extLst>
            <c:ext xmlns:c16="http://schemas.microsoft.com/office/drawing/2014/chart" uri="{C3380CC4-5D6E-409C-BE32-E72D297353CC}">
              <c16:uniqueId val="{00000003-6E0D-447A-B27D-AE7463022B78}"/>
            </c:ext>
          </c:extLst>
        </c:ser>
        <c:dLbls>
          <c:showLegendKey val="0"/>
          <c:showVal val="0"/>
          <c:showCatName val="0"/>
          <c:showSerName val="0"/>
          <c:showPercent val="0"/>
          <c:showBubbleSize val="0"/>
        </c:dLbls>
        <c:smooth val="0"/>
        <c:axId val="462150736"/>
        <c:axId val="462149560"/>
      </c:lineChart>
      <c:catAx>
        <c:axId val="46215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9560"/>
        <c:crosses val="autoZero"/>
        <c:auto val="1"/>
        <c:lblAlgn val="ctr"/>
        <c:lblOffset val="100"/>
        <c:tickLblSkip val="1"/>
        <c:tickMarkSkip val="1"/>
        <c:noMultiLvlLbl val="0"/>
      </c:catAx>
      <c:valAx>
        <c:axId val="46214956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0736"/>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GDP growth</a:t>
            </a:r>
          </a:p>
        </c:rich>
      </c:tx>
      <c:layout>
        <c:manualLayout>
          <c:xMode val="edge"/>
          <c:yMode val="edge"/>
          <c:x val="0.43006263048016702"/>
          <c:y val="3.6666666666666681E-2"/>
        </c:manualLayout>
      </c:layout>
      <c:overlay val="0"/>
      <c:spPr>
        <a:noFill/>
        <a:ln w="25400">
          <a:noFill/>
        </a:ln>
      </c:spPr>
    </c:title>
    <c:autoTitleDeleted val="0"/>
    <c:plotArea>
      <c:layout>
        <c:manualLayout>
          <c:layoutTarget val="inner"/>
          <c:xMode val="edge"/>
          <c:yMode val="edge"/>
          <c:x val="0.11273486430062632"/>
          <c:y val="0.19333396267565967"/>
          <c:w val="0.67223382045930358"/>
          <c:h val="0.7266690321257712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results'!$R$3:$R$22</c:f>
              <c:numCache>
                <c:formatCode>0.00%</c:formatCode>
                <c:ptCount val="20"/>
              </c:numCache>
            </c:numRef>
          </c:val>
          <c:smooth val="0"/>
          <c:extLst>
            <c:ext xmlns:c16="http://schemas.microsoft.com/office/drawing/2014/chart" uri="{C3380CC4-5D6E-409C-BE32-E72D297353CC}">
              <c16:uniqueId val="{00000000-48B6-40D9-826C-F2E946B46D06}"/>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results'!$AG$3:$AG$22</c:f>
              <c:numCache>
                <c:formatCode>0.00%</c:formatCode>
                <c:ptCount val="20"/>
              </c:numCache>
            </c:numRef>
          </c:val>
          <c:smooth val="0"/>
          <c:extLst>
            <c:ext xmlns:c16="http://schemas.microsoft.com/office/drawing/2014/chart" uri="{C3380CC4-5D6E-409C-BE32-E72D297353CC}">
              <c16:uniqueId val="{00000001-48B6-40D9-826C-F2E946B46D06}"/>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results'!$AV$3:$AV$22</c:f>
              <c:numCache>
                <c:formatCode>0.00%</c:formatCode>
                <c:ptCount val="20"/>
              </c:numCache>
            </c:numRef>
          </c:val>
          <c:smooth val="0"/>
          <c:extLst>
            <c:ext xmlns:c16="http://schemas.microsoft.com/office/drawing/2014/chart" uri="{C3380CC4-5D6E-409C-BE32-E72D297353CC}">
              <c16:uniqueId val="{00000002-48B6-40D9-826C-F2E946B46D06}"/>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results'!$BK$3:$BK$22</c:f>
              <c:numCache>
                <c:formatCode>0.00%</c:formatCode>
                <c:ptCount val="20"/>
              </c:numCache>
            </c:numRef>
          </c:val>
          <c:smooth val="0"/>
          <c:extLst>
            <c:ext xmlns:c16="http://schemas.microsoft.com/office/drawing/2014/chart" uri="{C3380CC4-5D6E-409C-BE32-E72D297353CC}">
              <c16:uniqueId val="{00000003-48B6-40D9-826C-F2E946B46D06}"/>
            </c:ext>
          </c:extLst>
        </c:ser>
        <c:dLbls>
          <c:showLegendKey val="0"/>
          <c:showVal val="0"/>
          <c:showCatName val="0"/>
          <c:showSerName val="0"/>
          <c:showPercent val="0"/>
          <c:showBubbleSize val="0"/>
        </c:dLbls>
        <c:smooth val="0"/>
        <c:axId val="462145248"/>
        <c:axId val="462146816"/>
      </c:lineChart>
      <c:catAx>
        <c:axId val="46214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816"/>
        <c:crosses val="autoZero"/>
        <c:auto val="1"/>
        <c:lblAlgn val="ctr"/>
        <c:lblOffset val="100"/>
        <c:tickLblSkip val="1"/>
        <c:tickMarkSkip val="1"/>
        <c:noMultiLvlLbl val="0"/>
      </c:catAx>
      <c:valAx>
        <c:axId val="4621468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24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Primary budget/GDP</a:t>
            </a:r>
          </a:p>
        </c:rich>
      </c:tx>
      <c:layout>
        <c:manualLayout>
          <c:xMode val="edge"/>
          <c:yMode val="edge"/>
          <c:x val="0.38367389790563039"/>
          <c:y val="3.5460992907801435E-2"/>
        </c:manualLayout>
      </c:layout>
      <c:overlay val="0"/>
      <c:spPr>
        <a:noFill/>
        <a:ln w="25400">
          <a:noFill/>
        </a:ln>
      </c:spPr>
    </c:title>
    <c:autoTitleDeleted val="0"/>
    <c:plotArea>
      <c:layout>
        <c:manualLayout>
          <c:layoutTarget val="inner"/>
          <c:xMode val="edge"/>
          <c:yMode val="edge"/>
          <c:x val="0.12244910161142952"/>
          <c:y val="0.20212835954247294"/>
          <c:w val="0.66734760378229063"/>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results'!$V$3:$V$22</c:f>
              <c:numCache>
                <c:formatCode>0.00%</c:formatCode>
                <c:ptCount val="20"/>
              </c:numCache>
            </c:numRef>
          </c:val>
          <c:smooth val="0"/>
          <c:extLst>
            <c:ext xmlns:c16="http://schemas.microsoft.com/office/drawing/2014/chart" uri="{C3380CC4-5D6E-409C-BE32-E72D297353CC}">
              <c16:uniqueId val="{00000000-C80C-4473-9205-78869F94698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results'!$AK$3:$AK$22</c:f>
              <c:numCache>
                <c:formatCode>0.00%</c:formatCode>
                <c:ptCount val="20"/>
              </c:numCache>
            </c:numRef>
          </c:val>
          <c:smooth val="0"/>
          <c:extLst>
            <c:ext xmlns:c16="http://schemas.microsoft.com/office/drawing/2014/chart" uri="{C3380CC4-5D6E-409C-BE32-E72D297353CC}">
              <c16:uniqueId val="{00000001-C80C-4473-9205-78869F94698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results'!$AZ$3:$AZ$22</c:f>
              <c:numCache>
                <c:formatCode>0.00%</c:formatCode>
                <c:ptCount val="20"/>
              </c:numCache>
            </c:numRef>
          </c:val>
          <c:smooth val="0"/>
          <c:extLst>
            <c:ext xmlns:c16="http://schemas.microsoft.com/office/drawing/2014/chart" uri="{C3380CC4-5D6E-409C-BE32-E72D297353CC}">
              <c16:uniqueId val="{00000002-C80C-4473-9205-78869F94698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results'!$BO$3:$BO$22</c:f>
              <c:numCache>
                <c:formatCode>0.00%</c:formatCode>
                <c:ptCount val="20"/>
              </c:numCache>
            </c:numRef>
          </c:val>
          <c:smooth val="0"/>
          <c:extLst>
            <c:ext xmlns:c16="http://schemas.microsoft.com/office/drawing/2014/chart" uri="{C3380CC4-5D6E-409C-BE32-E72D297353CC}">
              <c16:uniqueId val="{00000003-C80C-4473-9205-78869F946984}"/>
            </c:ext>
          </c:extLst>
        </c:ser>
        <c:dLbls>
          <c:showLegendKey val="0"/>
          <c:showVal val="0"/>
          <c:showCatName val="0"/>
          <c:showSerName val="0"/>
          <c:showPercent val="0"/>
          <c:showBubbleSize val="0"/>
        </c:dLbls>
        <c:smooth val="0"/>
        <c:axId val="462147208"/>
        <c:axId val="462147600"/>
      </c:lineChart>
      <c:catAx>
        <c:axId val="462147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600"/>
        <c:crosses val="autoZero"/>
        <c:auto val="1"/>
        <c:lblAlgn val="ctr"/>
        <c:lblOffset val="100"/>
        <c:tickLblSkip val="1"/>
        <c:tickMarkSkip val="1"/>
        <c:noMultiLvlLbl val="0"/>
      </c:catAx>
      <c:valAx>
        <c:axId val="46214760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7208"/>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Total budget/GDP</a:t>
            </a:r>
          </a:p>
        </c:rich>
      </c:tx>
      <c:layout>
        <c:manualLayout>
          <c:xMode val="edge"/>
          <c:yMode val="edge"/>
          <c:x val="0.39789517889211806"/>
          <c:y val="3.873239436619718E-2"/>
        </c:manualLayout>
      </c:layout>
      <c:overlay val="0"/>
      <c:spPr>
        <a:noFill/>
        <a:ln w="25400">
          <a:noFill/>
        </a:ln>
      </c:spPr>
    </c:title>
    <c:autoTitleDeleted val="0"/>
    <c:plotArea>
      <c:layout>
        <c:manualLayout>
          <c:layoutTarget val="inner"/>
          <c:xMode val="edge"/>
          <c:yMode val="edge"/>
          <c:x val="0.11789485803336558"/>
          <c:y val="0.19366197183098588"/>
          <c:w val="0.66526384175970577"/>
          <c:h val="0.7147887323943861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results'!$W$3:$W$22</c:f>
              <c:numCache>
                <c:formatCode>0.00%</c:formatCode>
                <c:ptCount val="20"/>
              </c:numCache>
            </c:numRef>
          </c:val>
          <c:smooth val="0"/>
          <c:extLst>
            <c:ext xmlns:c16="http://schemas.microsoft.com/office/drawing/2014/chart" uri="{C3380CC4-5D6E-409C-BE32-E72D297353CC}">
              <c16:uniqueId val="{00000000-2EA6-458D-B11A-62291720862B}"/>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results'!$AL$3:$AL$22</c:f>
              <c:numCache>
                <c:formatCode>0.00%</c:formatCode>
                <c:ptCount val="20"/>
              </c:numCache>
            </c:numRef>
          </c:val>
          <c:smooth val="0"/>
          <c:extLst>
            <c:ext xmlns:c16="http://schemas.microsoft.com/office/drawing/2014/chart" uri="{C3380CC4-5D6E-409C-BE32-E72D297353CC}">
              <c16:uniqueId val="{00000001-2EA6-458D-B11A-62291720862B}"/>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results'!$BA$3:$BA$22</c:f>
              <c:numCache>
                <c:formatCode>0.00%</c:formatCode>
                <c:ptCount val="20"/>
              </c:numCache>
            </c:numRef>
          </c:val>
          <c:smooth val="0"/>
          <c:extLst>
            <c:ext xmlns:c16="http://schemas.microsoft.com/office/drawing/2014/chart" uri="{C3380CC4-5D6E-409C-BE32-E72D297353CC}">
              <c16:uniqueId val="{00000002-2EA6-458D-B11A-62291720862B}"/>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results'!$BP$3:$BP$22</c:f>
              <c:numCache>
                <c:formatCode>0.00%</c:formatCode>
                <c:ptCount val="20"/>
              </c:numCache>
            </c:numRef>
          </c:val>
          <c:smooth val="0"/>
          <c:extLst>
            <c:ext xmlns:c16="http://schemas.microsoft.com/office/drawing/2014/chart" uri="{C3380CC4-5D6E-409C-BE32-E72D297353CC}">
              <c16:uniqueId val="{00000003-2EA6-458D-B11A-62291720862B}"/>
            </c:ext>
          </c:extLst>
        </c:ser>
        <c:dLbls>
          <c:showLegendKey val="0"/>
          <c:showVal val="0"/>
          <c:showCatName val="0"/>
          <c:showSerName val="0"/>
          <c:showPercent val="0"/>
          <c:showBubbleSize val="0"/>
        </c:dLbls>
        <c:smooth val="0"/>
        <c:axId val="462151520"/>
        <c:axId val="462151912"/>
      </c:lineChart>
      <c:catAx>
        <c:axId val="462151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2151912"/>
        <c:crosses val="autoZero"/>
        <c:auto val="1"/>
        <c:lblAlgn val="ctr"/>
        <c:lblOffset val="100"/>
        <c:tickLblSkip val="2"/>
        <c:tickMarkSkip val="1"/>
        <c:noMultiLvlLbl val="0"/>
      </c:catAx>
      <c:valAx>
        <c:axId val="46215191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5152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Public debt/GDP</a:t>
            </a:r>
          </a:p>
        </c:rich>
      </c:tx>
      <c:layout>
        <c:manualLayout>
          <c:xMode val="edge"/>
          <c:yMode val="edge"/>
          <c:x val="0.41257367387033922"/>
          <c:y val="3.5460992907801435E-2"/>
        </c:manualLayout>
      </c:layout>
      <c:overlay val="0"/>
      <c:spPr>
        <a:noFill/>
        <a:ln w="25400">
          <a:noFill/>
        </a:ln>
      </c:spPr>
    </c:title>
    <c:autoTitleDeleted val="0"/>
    <c:plotArea>
      <c:layout>
        <c:manualLayout>
          <c:layoutTarget val="inner"/>
          <c:xMode val="edge"/>
          <c:yMode val="edge"/>
          <c:x val="0.12180746561885998"/>
          <c:y val="0.20212835954247294"/>
          <c:w val="0.76031434184674507"/>
          <c:h val="0.71276842575502053"/>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results'!$X$3:$X$22</c:f>
              <c:numCache>
                <c:formatCode>0.00%</c:formatCode>
                <c:ptCount val="20"/>
              </c:numCache>
            </c:numRef>
          </c:val>
          <c:smooth val="0"/>
          <c:extLst>
            <c:ext xmlns:c16="http://schemas.microsoft.com/office/drawing/2014/chart" uri="{C3380CC4-5D6E-409C-BE32-E72D297353CC}">
              <c16:uniqueId val="{00000000-384D-4526-9638-E346F3C878EE}"/>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results'!$AM$3:$AM$22</c:f>
              <c:numCache>
                <c:formatCode>0.00%</c:formatCode>
                <c:ptCount val="20"/>
              </c:numCache>
            </c:numRef>
          </c:val>
          <c:smooth val="0"/>
          <c:extLst>
            <c:ext xmlns:c16="http://schemas.microsoft.com/office/drawing/2014/chart" uri="{C3380CC4-5D6E-409C-BE32-E72D297353CC}">
              <c16:uniqueId val="{00000001-384D-4526-9638-E346F3C878EE}"/>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results'!$BB$3:$BB$22</c:f>
              <c:numCache>
                <c:formatCode>0.00%</c:formatCode>
                <c:ptCount val="20"/>
              </c:numCache>
            </c:numRef>
          </c:val>
          <c:smooth val="0"/>
          <c:extLst>
            <c:ext xmlns:c16="http://schemas.microsoft.com/office/drawing/2014/chart" uri="{C3380CC4-5D6E-409C-BE32-E72D297353CC}">
              <c16:uniqueId val="{00000002-384D-4526-9638-E346F3C878EE}"/>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results'!$BQ$3:$BQ$22</c:f>
              <c:numCache>
                <c:formatCode>0.00%</c:formatCode>
                <c:ptCount val="20"/>
              </c:numCache>
            </c:numRef>
          </c:val>
          <c:smooth val="0"/>
          <c:extLst>
            <c:ext xmlns:c16="http://schemas.microsoft.com/office/drawing/2014/chart" uri="{C3380CC4-5D6E-409C-BE32-E72D297353CC}">
              <c16:uniqueId val="{00000003-384D-4526-9638-E346F3C878EE}"/>
            </c:ext>
          </c:extLst>
        </c:ser>
        <c:dLbls>
          <c:showLegendKey val="0"/>
          <c:showVal val="0"/>
          <c:showCatName val="0"/>
          <c:showSerName val="0"/>
          <c:showPercent val="0"/>
          <c:showBubbleSize val="0"/>
        </c:dLbls>
        <c:smooth val="0"/>
        <c:axId val="462145640"/>
        <c:axId val="462146424"/>
      </c:lineChart>
      <c:catAx>
        <c:axId val="462145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6424"/>
        <c:crosses val="autoZero"/>
        <c:auto val="1"/>
        <c:lblAlgn val="ctr"/>
        <c:lblOffset val="100"/>
        <c:tickLblSkip val="1"/>
        <c:tickMarkSkip val="1"/>
        <c:noMultiLvlLbl val="0"/>
      </c:catAx>
      <c:valAx>
        <c:axId val="46214642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14564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Inflation</a:t>
            </a:r>
          </a:p>
        </c:rich>
      </c:tx>
      <c:layout>
        <c:manualLayout>
          <c:xMode val="edge"/>
          <c:yMode val="edge"/>
          <c:x val="0.45122036574696972"/>
          <c:y val="3.7037037037037056E-2"/>
        </c:manualLayout>
      </c:layout>
      <c:overlay val="0"/>
      <c:spPr>
        <a:noFill/>
        <a:ln w="25400">
          <a:noFill/>
        </a:ln>
      </c:spPr>
    </c:title>
    <c:autoTitleDeleted val="0"/>
    <c:plotArea>
      <c:layout>
        <c:manualLayout>
          <c:layoutTarget val="inner"/>
          <c:xMode val="edge"/>
          <c:yMode val="edge"/>
          <c:x val="0.11382136413348758"/>
          <c:y val="0.19528683740674141"/>
          <c:w val="0.67276556300330626"/>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results'!$S$3:$S$22</c:f>
              <c:numCache>
                <c:formatCode>0.00%</c:formatCode>
                <c:ptCount val="20"/>
              </c:numCache>
            </c:numRef>
          </c:val>
          <c:smooth val="0"/>
          <c:extLst>
            <c:ext xmlns:c16="http://schemas.microsoft.com/office/drawing/2014/chart" uri="{C3380CC4-5D6E-409C-BE32-E72D297353CC}">
              <c16:uniqueId val="{00000000-67D7-49E0-8B8D-BE0FB72B68E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results'!$AH$3:$AH$22</c:f>
              <c:numCache>
                <c:formatCode>0.00%</c:formatCode>
                <c:ptCount val="20"/>
              </c:numCache>
            </c:numRef>
          </c:val>
          <c:smooth val="0"/>
          <c:extLst>
            <c:ext xmlns:c16="http://schemas.microsoft.com/office/drawing/2014/chart" uri="{C3380CC4-5D6E-409C-BE32-E72D297353CC}">
              <c16:uniqueId val="{00000001-67D7-49E0-8B8D-BE0FB72B68E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results'!$AW$3:$AW$22</c:f>
              <c:numCache>
                <c:formatCode>0.00%</c:formatCode>
                <c:ptCount val="20"/>
              </c:numCache>
            </c:numRef>
          </c:val>
          <c:smooth val="0"/>
          <c:extLst>
            <c:ext xmlns:c16="http://schemas.microsoft.com/office/drawing/2014/chart" uri="{C3380CC4-5D6E-409C-BE32-E72D297353CC}">
              <c16:uniqueId val="{00000002-67D7-49E0-8B8D-BE0FB72B68E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results'!$BL$3:$BL$22</c:f>
              <c:numCache>
                <c:formatCode>0.00%</c:formatCode>
                <c:ptCount val="20"/>
              </c:numCache>
            </c:numRef>
          </c:val>
          <c:smooth val="0"/>
          <c:extLst>
            <c:ext xmlns:c16="http://schemas.microsoft.com/office/drawing/2014/chart" uri="{C3380CC4-5D6E-409C-BE32-E72D297353CC}">
              <c16:uniqueId val="{00000003-67D7-49E0-8B8D-BE0FB72B68E9}"/>
            </c:ext>
          </c:extLst>
        </c:ser>
        <c:dLbls>
          <c:showLegendKey val="0"/>
          <c:showVal val="0"/>
          <c:showCatName val="0"/>
          <c:showSerName val="0"/>
          <c:showPercent val="0"/>
          <c:showBubbleSize val="0"/>
        </c:dLbls>
        <c:smooth val="0"/>
        <c:axId val="463107144"/>
        <c:axId val="463103616"/>
      </c:lineChart>
      <c:catAx>
        <c:axId val="46310714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3616"/>
        <c:crosses val="autoZero"/>
        <c:auto val="1"/>
        <c:lblAlgn val="ctr"/>
        <c:lblOffset val="100"/>
        <c:tickLblSkip val="1"/>
        <c:tickMarkSkip val="1"/>
        <c:noMultiLvlLbl val="0"/>
      </c:catAx>
      <c:valAx>
        <c:axId val="46310361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144"/>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paperSize="9" orientation="landscape" horizontalDpi="300" verticalDpi="300"/>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Interest rates (dashed is real)</a:t>
            </a:r>
          </a:p>
        </c:rich>
      </c:tx>
      <c:layout>
        <c:manualLayout>
          <c:xMode val="edge"/>
          <c:yMode val="edge"/>
          <c:x val="0.32346723044397468"/>
          <c:y val="3.7037037037037056E-2"/>
        </c:manualLayout>
      </c:layout>
      <c:overlay val="0"/>
      <c:spPr>
        <a:noFill/>
        <a:ln w="25400">
          <a:noFill/>
        </a:ln>
      </c:spPr>
    </c:title>
    <c:autoTitleDeleted val="0"/>
    <c:plotArea>
      <c:layout>
        <c:manualLayout>
          <c:layoutTarget val="inner"/>
          <c:xMode val="edge"/>
          <c:yMode val="edge"/>
          <c:x val="9.7251585623678652E-2"/>
          <c:y val="0.20202086628283578"/>
          <c:w val="0.74207188160676563"/>
          <c:h val="0.6666688587333699"/>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results'!$T$3:$T$22</c:f>
              <c:numCache>
                <c:formatCode>0.00%</c:formatCode>
                <c:ptCount val="20"/>
              </c:numCache>
            </c:numRef>
          </c:val>
          <c:smooth val="0"/>
          <c:extLst>
            <c:ext xmlns:c16="http://schemas.microsoft.com/office/drawing/2014/chart" uri="{C3380CC4-5D6E-409C-BE32-E72D297353CC}">
              <c16:uniqueId val="{00000000-0C23-4B34-80F6-3074762A921A}"/>
            </c:ext>
          </c:extLst>
        </c:ser>
        <c:ser>
          <c:idx val="1"/>
          <c:order val="1"/>
          <c:tx>
            <c:strRef>
              <c:f>'compare results'!$Q$1:$X$1</c:f>
              <c:strCache>
                <c:ptCount val="1"/>
              </c:strCache>
            </c:strRef>
          </c:tx>
          <c:spPr>
            <a:ln w="25400">
              <a:solidFill>
                <a:srgbClr val="000080"/>
              </a:solidFill>
              <a:prstDash val="lgDash"/>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results'!$U$3:$U$22</c:f>
              <c:numCache>
                <c:formatCode>0.00%</c:formatCode>
                <c:ptCount val="20"/>
              </c:numCache>
            </c:numRef>
          </c:val>
          <c:smooth val="0"/>
          <c:extLst>
            <c:ext xmlns:c16="http://schemas.microsoft.com/office/drawing/2014/chart" uri="{C3380CC4-5D6E-409C-BE32-E72D297353CC}">
              <c16:uniqueId val="{00000001-0C23-4B34-80F6-3074762A921A}"/>
            </c:ext>
          </c:extLst>
        </c:ser>
        <c:ser>
          <c:idx val="2"/>
          <c:order val="2"/>
          <c:tx>
            <c:strRef>
              <c:f>'compare results'!$AF$1:$AM$1</c:f>
              <c:strCache>
                <c:ptCount val="1"/>
              </c:strCache>
            </c:strRef>
          </c:tx>
          <c:spPr>
            <a:ln w="25400">
              <a:solidFill>
                <a:srgbClr val="FF00FF"/>
              </a:solidFill>
              <a:prstDash val="solid"/>
            </a:ln>
          </c:spPr>
          <c:marker>
            <c:symbol val="none"/>
          </c:marker>
          <c:val>
            <c:numRef>
              <c:f>'compare results'!$AI$3:$AI$22</c:f>
              <c:numCache>
                <c:formatCode>0.00%</c:formatCode>
                <c:ptCount val="20"/>
              </c:numCache>
            </c:numRef>
          </c:val>
          <c:smooth val="0"/>
          <c:extLst>
            <c:ext xmlns:c16="http://schemas.microsoft.com/office/drawing/2014/chart" uri="{C3380CC4-5D6E-409C-BE32-E72D297353CC}">
              <c16:uniqueId val="{00000002-0C23-4B34-80F6-3074762A921A}"/>
            </c:ext>
          </c:extLst>
        </c:ser>
        <c:ser>
          <c:idx val="3"/>
          <c:order val="3"/>
          <c:tx>
            <c:strRef>
              <c:f>'compare results'!$AF$1:$AM$1</c:f>
              <c:strCache>
                <c:ptCount val="1"/>
              </c:strCache>
            </c:strRef>
          </c:tx>
          <c:spPr>
            <a:ln w="25400">
              <a:solidFill>
                <a:srgbClr val="FF00FF"/>
              </a:solidFill>
              <a:prstDash val="lgDash"/>
            </a:ln>
          </c:spPr>
          <c:marker>
            <c:symbol val="none"/>
          </c:marker>
          <c:val>
            <c:numRef>
              <c:f>'compare results'!$AJ$3:$AJ$22</c:f>
              <c:numCache>
                <c:formatCode>0.00%</c:formatCode>
                <c:ptCount val="20"/>
              </c:numCache>
            </c:numRef>
          </c:val>
          <c:smooth val="0"/>
          <c:extLst>
            <c:ext xmlns:c16="http://schemas.microsoft.com/office/drawing/2014/chart" uri="{C3380CC4-5D6E-409C-BE32-E72D297353CC}">
              <c16:uniqueId val="{00000003-0C23-4B34-80F6-3074762A921A}"/>
            </c:ext>
          </c:extLst>
        </c:ser>
        <c:ser>
          <c:idx val="4"/>
          <c:order val="4"/>
          <c:tx>
            <c:strRef>
              <c:f>'compare results'!$AU$1:$BB$1</c:f>
              <c:strCache>
                <c:ptCount val="1"/>
              </c:strCache>
            </c:strRef>
          </c:tx>
          <c:spPr>
            <a:ln w="25400">
              <a:solidFill>
                <a:srgbClr val="FFFF00"/>
              </a:solidFill>
              <a:prstDash val="solid"/>
            </a:ln>
          </c:spPr>
          <c:marker>
            <c:symbol val="none"/>
          </c:marker>
          <c:val>
            <c:numRef>
              <c:f>'compare results'!$AX$3:$AX$22</c:f>
              <c:numCache>
                <c:formatCode>0.00%</c:formatCode>
                <c:ptCount val="20"/>
              </c:numCache>
            </c:numRef>
          </c:val>
          <c:smooth val="0"/>
          <c:extLst>
            <c:ext xmlns:c16="http://schemas.microsoft.com/office/drawing/2014/chart" uri="{C3380CC4-5D6E-409C-BE32-E72D297353CC}">
              <c16:uniqueId val="{00000004-0C23-4B34-80F6-3074762A921A}"/>
            </c:ext>
          </c:extLst>
        </c:ser>
        <c:ser>
          <c:idx val="5"/>
          <c:order val="5"/>
          <c:tx>
            <c:strRef>
              <c:f>'compare results'!$AU$1:$BB$1</c:f>
              <c:strCache>
                <c:ptCount val="1"/>
              </c:strCache>
            </c:strRef>
          </c:tx>
          <c:spPr>
            <a:ln w="25400">
              <a:solidFill>
                <a:srgbClr val="FFFF00"/>
              </a:solidFill>
              <a:prstDash val="lgDash"/>
            </a:ln>
          </c:spPr>
          <c:marker>
            <c:symbol val="none"/>
          </c:marker>
          <c:val>
            <c:numRef>
              <c:f>'compare results'!$AY$3:$AY$22</c:f>
              <c:numCache>
                <c:formatCode>0.00%</c:formatCode>
                <c:ptCount val="20"/>
              </c:numCache>
            </c:numRef>
          </c:val>
          <c:smooth val="0"/>
          <c:extLst>
            <c:ext xmlns:c16="http://schemas.microsoft.com/office/drawing/2014/chart" uri="{C3380CC4-5D6E-409C-BE32-E72D297353CC}">
              <c16:uniqueId val="{00000005-0C23-4B34-80F6-3074762A921A}"/>
            </c:ext>
          </c:extLst>
        </c:ser>
        <c:ser>
          <c:idx val="6"/>
          <c:order val="6"/>
          <c:tx>
            <c:strRef>
              <c:f>'compare results'!$BJ$1:$BQ$1</c:f>
              <c:strCache>
                <c:ptCount val="1"/>
              </c:strCache>
            </c:strRef>
          </c:tx>
          <c:spPr>
            <a:ln w="25400">
              <a:solidFill>
                <a:srgbClr val="008000"/>
              </a:solidFill>
              <a:prstDash val="solid"/>
            </a:ln>
          </c:spPr>
          <c:marker>
            <c:symbol val="none"/>
          </c:marker>
          <c:val>
            <c:numRef>
              <c:f>'compare results'!$BM$3:$BM$22</c:f>
              <c:numCache>
                <c:formatCode>0.00%</c:formatCode>
                <c:ptCount val="20"/>
              </c:numCache>
            </c:numRef>
          </c:val>
          <c:smooth val="0"/>
          <c:extLst>
            <c:ext xmlns:c16="http://schemas.microsoft.com/office/drawing/2014/chart" uri="{C3380CC4-5D6E-409C-BE32-E72D297353CC}">
              <c16:uniqueId val="{00000006-0C23-4B34-80F6-3074762A921A}"/>
            </c:ext>
          </c:extLst>
        </c:ser>
        <c:ser>
          <c:idx val="7"/>
          <c:order val="7"/>
          <c:tx>
            <c:strRef>
              <c:f>'compare results'!$BJ$1:$BQ$1</c:f>
              <c:strCache>
                <c:ptCount val="1"/>
              </c:strCache>
            </c:strRef>
          </c:tx>
          <c:spPr>
            <a:ln w="25400">
              <a:solidFill>
                <a:srgbClr val="008000"/>
              </a:solidFill>
              <a:prstDash val="lgDash"/>
            </a:ln>
          </c:spPr>
          <c:marker>
            <c:symbol val="none"/>
          </c:marker>
          <c:val>
            <c:numRef>
              <c:f>'compare results'!$BN$3:$BN$22</c:f>
              <c:numCache>
                <c:formatCode>0.00%</c:formatCode>
                <c:ptCount val="20"/>
              </c:numCache>
            </c:numRef>
          </c:val>
          <c:smooth val="0"/>
          <c:extLst>
            <c:ext xmlns:c16="http://schemas.microsoft.com/office/drawing/2014/chart" uri="{C3380CC4-5D6E-409C-BE32-E72D297353CC}">
              <c16:uniqueId val="{00000007-0C23-4B34-80F6-3074762A921A}"/>
            </c:ext>
          </c:extLst>
        </c:ser>
        <c:dLbls>
          <c:showLegendKey val="0"/>
          <c:showVal val="0"/>
          <c:showCatName val="0"/>
          <c:showSerName val="0"/>
          <c:showPercent val="0"/>
          <c:showBubbleSize val="0"/>
        </c:dLbls>
        <c:smooth val="0"/>
        <c:axId val="463108320"/>
        <c:axId val="463104008"/>
      </c:lineChart>
      <c:catAx>
        <c:axId val="4631083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4008"/>
        <c:crosses val="autoZero"/>
        <c:auto val="1"/>
        <c:lblAlgn val="ctr"/>
        <c:lblOffset val="100"/>
        <c:tickLblSkip val="1"/>
        <c:tickMarkSkip val="1"/>
        <c:noMultiLvlLbl val="0"/>
      </c:catAx>
      <c:valAx>
        <c:axId val="46310400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8320"/>
        <c:crosses val="autoZero"/>
        <c:crossBetween val="between"/>
      </c:valAx>
      <c:spPr>
        <a:noFill/>
        <a:ln w="25400">
          <a:noFill/>
        </a:ln>
      </c:spPr>
    </c:plotArea>
    <c:legend>
      <c:legendPos val="tr"/>
      <c:overlay val="0"/>
      <c:spPr>
        <a:solidFill>
          <a:srgbClr val="FFFFFF">
            <a:alpha val="80000"/>
          </a:srgbClr>
        </a:solidFill>
        <a:ln w="3175" cap="rnd">
          <a:solidFill>
            <a:srgbClr val="000000">
              <a:alpha val="50000"/>
            </a:srgbClr>
          </a:solidFill>
          <a:prstDash val="sysDash"/>
          <a:bevel/>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Real exchange rate</a:t>
            </a:r>
          </a:p>
        </c:rich>
      </c:tx>
      <c:layout>
        <c:manualLayout>
          <c:xMode val="edge"/>
          <c:yMode val="edge"/>
          <c:x val="0.38494713967206312"/>
          <c:y val="3.6900369003690051E-2"/>
        </c:manualLayout>
      </c:layout>
      <c:overlay val="0"/>
      <c:spPr>
        <a:noFill/>
        <a:ln w="25400">
          <a:noFill/>
        </a:ln>
      </c:spPr>
    </c:title>
    <c:autoTitleDeleted val="0"/>
    <c:plotArea>
      <c:layout>
        <c:manualLayout>
          <c:layoutTarget val="inner"/>
          <c:xMode val="edge"/>
          <c:yMode val="edge"/>
          <c:x val="9.8924938938467821E-2"/>
          <c:y val="0.20664243874401594"/>
          <c:w val="0.67742077751341712"/>
          <c:h val="0.62730740333004864"/>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results'!$AA$3:$AA$22</c:f>
              <c:numCache>
                <c:formatCode>0.00</c:formatCode>
                <c:ptCount val="20"/>
              </c:numCache>
            </c:numRef>
          </c:val>
          <c:smooth val="0"/>
          <c:extLst>
            <c:ext xmlns:c16="http://schemas.microsoft.com/office/drawing/2014/chart" uri="{C3380CC4-5D6E-409C-BE32-E72D297353CC}">
              <c16:uniqueId val="{00000000-410A-4708-8A94-7D03F783F4E4}"/>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results'!$AP$3:$AP$22</c:f>
              <c:numCache>
                <c:formatCode>0.00</c:formatCode>
                <c:ptCount val="20"/>
              </c:numCache>
            </c:numRef>
          </c:val>
          <c:smooth val="0"/>
          <c:extLst>
            <c:ext xmlns:c16="http://schemas.microsoft.com/office/drawing/2014/chart" uri="{C3380CC4-5D6E-409C-BE32-E72D297353CC}">
              <c16:uniqueId val="{00000001-410A-4708-8A94-7D03F783F4E4}"/>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results'!$BE$3:$BE$22</c:f>
              <c:numCache>
                <c:formatCode>0.00</c:formatCode>
                <c:ptCount val="20"/>
              </c:numCache>
            </c:numRef>
          </c:val>
          <c:smooth val="0"/>
          <c:extLst>
            <c:ext xmlns:c16="http://schemas.microsoft.com/office/drawing/2014/chart" uri="{C3380CC4-5D6E-409C-BE32-E72D297353CC}">
              <c16:uniqueId val="{00000002-410A-4708-8A94-7D03F783F4E4}"/>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results'!$BT$3:$BT$22</c:f>
              <c:numCache>
                <c:formatCode>0.00</c:formatCode>
                <c:ptCount val="20"/>
              </c:numCache>
            </c:numRef>
          </c:val>
          <c:smooth val="0"/>
          <c:extLst>
            <c:ext xmlns:c16="http://schemas.microsoft.com/office/drawing/2014/chart" uri="{C3380CC4-5D6E-409C-BE32-E72D297353CC}">
              <c16:uniqueId val="{00000003-410A-4708-8A94-7D03F783F4E4}"/>
            </c:ext>
          </c:extLst>
        </c:ser>
        <c:dLbls>
          <c:showLegendKey val="0"/>
          <c:showVal val="0"/>
          <c:showCatName val="0"/>
          <c:showSerName val="0"/>
          <c:showPercent val="0"/>
          <c:showBubbleSize val="0"/>
        </c:dLbls>
        <c:smooth val="0"/>
        <c:axId val="463107536"/>
        <c:axId val="463105968"/>
      </c:lineChart>
      <c:catAx>
        <c:axId val="46310753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968"/>
        <c:crosses val="autoZero"/>
        <c:auto val="1"/>
        <c:lblAlgn val="ctr"/>
        <c:lblOffset val="100"/>
        <c:tickLblSkip val="2"/>
        <c:tickMarkSkip val="1"/>
        <c:noMultiLvlLbl val="0"/>
      </c:catAx>
      <c:valAx>
        <c:axId val="46310596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7536"/>
        <c:crosses val="autoZero"/>
        <c:crossBetween val="between"/>
      </c:valAx>
      <c:spPr>
        <a:noFill/>
        <a:ln w="25400">
          <a:noFill/>
        </a:ln>
      </c:spPr>
    </c:plotArea>
    <c:legend>
      <c:legendPos val="tr"/>
      <c:overlay val="0"/>
      <c:spPr>
        <a:solidFill>
          <a:srgbClr val="FFFFFF">
            <a:alpha val="80000"/>
          </a:srgbClr>
        </a:solidFill>
        <a:ln w="3175">
          <a:solidFill>
            <a:srgbClr val="000000">
              <a:alpha val="80000"/>
            </a:srgbClr>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Nominal exchange rate</a:t>
            </a:r>
          </a:p>
        </c:rich>
      </c:tx>
      <c:layout>
        <c:manualLayout>
          <c:xMode val="edge"/>
          <c:yMode val="edge"/>
          <c:x val="0.35794253906181728"/>
          <c:y val="3.6764705882352942E-2"/>
        </c:manualLayout>
      </c:layout>
      <c:overlay val="0"/>
      <c:spPr>
        <a:noFill/>
        <a:ln w="25400">
          <a:noFill/>
        </a:ln>
      </c:spPr>
    </c:title>
    <c:autoTitleDeleted val="0"/>
    <c:plotArea>
      <c:layout>
        <c:manualLayout>
          <c:layoutTarget val="inner"/>
          <c:xMode val="edge"/>
          <c:yMode val="edge"/>
          <c:x val="8.0537088701343865E-2"/>
          <c:y val="0.20955882352941191"/>
          <c:w val="0.70917380884238868"/>
          <c:h val="0.62500000000001055"/>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results'!$AB$3:$AB$22</c:f>
              <c:numCache>
                <c:formatCode>0.00</c:formatCode>
                <c:ptCount val="20"/>
              </c:numCache>
            </c:numRef>
          </c:val>
          <c:smooth val="0"/>
          <c:extLst>
            <c:ext xmlns:c16="http://schemas.microsoft.com/office/drawing/2014/chart" uri="{C3380CC4-5D6E-409C-BE32-E72D297353CC}">
              <c16:uniqueId val="{00000000-D8F9-408A-B249-B73E5C5F0CA9}"/>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results'!$AQ$3:$AQ$22</c:f>
              <c:numCache>
                <c:formatCode>0.00</c:formatCode>
                <c:ptCount val="20"/>
              </c:numCache>
            </c:numRef>
          </c:val>
          <c:smooth val="0"/>
          <c:extLst>
            <c:ext xmlns:c16="http://schemas.microsoft.com/office/drawing/2014/chart" uri="{C3380CC4-5D6E-409C-BE32-E72D297353CC}">
              <c16:uniqueId val="{00000001-D8F9-408A-B249-B73E5C5F0CA9}"/>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results'!$BF$3:$BF$22</c:f>
              <c:numCache>
                <c:formatCode>0.00</c:formatCode>
                <c:ptCount val="20"/>
              </c:numCache>
            </c:numRef>
          </c:val>
          <c:smooth val="0"/>
          <c:extLst>
            <c:ext xmlns:c16="http://schemas.microsoft.com/office/drawing/2014/chart" uri="{C3380CC4-5D6E-409C-BE32-E72D297353CC}">
              <c16:uniqueId val="{00000002-D8F9-408A-B249-B73E5C5F0CA9}"/>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results'!$BU$3:$BU$22</c:f>
              <c:numCache>
                <c:formatCode>0.00</c:formatCode>
                <c:ptCount val="20"/>
              </c:numCache>
            </c:numRef>
          </c:val>
          <c:smooth val="0"/>
          <c:extLst>
            <c:ext xmlns:c16="http://schemas.microsoft.com/office/drawing/2014/chart" uri="{C3380CC4-5D6E-409C-BE32-E72D297353CC}">
              <c16:uniqueId val="{00000003-D8F9-408A-B249-B73E5C5F0CA9}"/>
            </c:ext>
          </c:extLst>
        </c:ser>
        <c:dLbls>
          <c:showLegendKey val="0"/>
          <c:showVal val="0"/>
          <c:showCatName val="0"/>
          <c:showSerName val="0"/>
          <c:showPercent val="0"/>
          <c:showBubbleSize val="0"/>
        </c:dLbls>
        <c:smooth val="0"/>
        <c:axId val="463106360"/>
        <c:axId val="463104792"/>
      </c:lineChart>
      <c:catAx>
        <c:axId val="46310636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4792"/>
        <c:crosses val="autoZero"/>
        <c:auto val="1"/>
        <c:lblAlgn val="ctr"/>
        <c:lblOffset val="100"/>
        <c:tickLblSkip val="2"/>
        <c:tickMarkSkip val="1"/>
        <c:noMultiLvlLbl val="0"/>
      </c:catAx>
      <c:valAx>
        <c:axId val="463104792"/>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6360"/>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Trade balance/GDP</a:t>
            </a:r>
          </a:p>
        </c:rich>
      </c:tx>
      <c:layout>
        <c:manualLayout>
          <c:xMode val="edge"/>
          <c:yMode val="edge"/>
          <c:x val="0.38274336283186361"/>
          <c:y val="3.7878787878788012E-2"/>
        </c:manualLayout>
      </c:layout>
      <c:overlay val="0"/>
      <c:spPr>
        <a:noFill/>
        <a:ln w="25400">
          <a:noFill/>
        </a:ln>
      </c:spPr>
    </c:title>
    <c:autoTitleDeleted val="0"/>
    <c:plotArea>
      <c:layout>
        <c:manualLayout>
          <c:layoutTarget val="inner"/>
          <c:xMode val="edge"/>
          <c:yMode val="edge"/>
          <c:x val="0.11061946902654785"/>
          <c:y val="0.21212199678177079"/>
          <c:w val="0.6991150442477877"/>
          <c:h val="0.69697227514010462"/>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results'!$AC$3:$AC$22</c:f>
              <c:numCache>
                <c:formatCode>0.00%</c:formatCode>
                <c:ptCount val="20"/>
              </c:numCache>
            </c:numRef>
          </c:val>
          <c:smooth val="0"/>
          <c:extLst>
            <c:ext xmlns:c16="http://schemas.microsoft.com/office/drawing/2014/chart" uri="{C3380CC4-5D6E-409C-BE32-E72D297353CC}">
              <c16:uniqueId val="{00000000-8E3D-4F67-AA04-64BB793B18F7}"/>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results'!$AR$3:$AR$22</c:f>
              <c:numCache>
                <c:formatCode>0.00%</c:formatCode>
                <c:ptCount val="20"/>
              </c:numCache>
            </c:numRef>
          </c:val>
          <c:smooth val="0"/>
          <c:extLst>
            <c:ext xmlns:c16="http://schemas.microsoft.com/office/drawing/2014/chart" uri="{C3380CC4-5D6E-409C-BE32-E72D297353CC}">
              <c16:uniqueId val="{00000001-8E3D-4F67-AA04-64BB793B18F7}"/>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results'!$BG$3:$BG$22</c:f>
              <c:numCache>
                <c:formatCode>0.00%</c:formatCode>
                <c:ptCount val="20"/>
              </c:numCache>
            </c:numRef>
          </c:val>
          <c:smooth val="0"/>
          <c:extLst>
            <c:ext xmlns:c16="http://schemas.microsoft.com/office/drawing/2014/chart" uri="{C3380CC4-5D6E-409C-BE32-E72D297353CC}">
              <c16:uniqueId val="{00000002-8E3D-4F67-AA04-64BB793B18F7}"/>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results'!$BV$3:$BV$22</c:f>
              <c:numCache>
                <c:formatCode>0.00%</c:formatCode>
                <c:ptCount val="20"/>
              </c:numCache>
            </c:numRef>
          </c:val>
          <c:smooth val="0"/>
          <c:extLst>
            <c:ext xmlns:c16="http://schemas.microsoft.com/office/drawing/2014/chart" uri="{C3380CC4-5D6E-409C-BE32-E72D297353CC}">
              <c16:uniqueId val="{00000003-8E3D-4F67-AA04-64BB793B18F7}"/>
            </c:ext>
          </c:extLst>
        </c:ser>
        <c:dLbls>
          <c:showLegendKey val="0"/>
          <c:showVal val="0"/>
          <c:showCatName val="0"/>
          <c:showSerName val="0"/>
          <c:showPercent val="0"/>
          <c:showBubbleSize val="0"/>
        </c:dLbls>
        <c:smooth val="0"/>
        <c:axId val="463105184"/>
        <c:axId val="463102440"/>
      </c:lineChart>
      <c:catAx>
        <c:axId val="463105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2440"/>
        <c:crosses val="autoZero"/>
        <c:auto val="1"/>
        <c:lblAlgn val="ctr"/>
        <c:lblOffset val="100"/>
        <c:tickLblSkip val="2"/>
        <c:tickMarkSkip val="1"/>
        <c:noMultiLvlLbl val="0"/>
      </c:catAx>
      <c:valAx>
        <c:axId val="463102440"/>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518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Current account/GDP</a:t>
            </a:r>
          </a:p>
        </c:rich>
      </c:tx>
      <c:layout>
        <c:manualLayout>
          <c:xMode val="edge"/>
          <c:yMode val="edge"/>
          <c:x val="0.37117903930131002"/>
          <c:y val="3.7735849056604771E-2"/>
        </c:manualLayout>
      </c:layout>
      <c:overlay val="0"/>
      <c:spPr>
        <a:noFill/>
        <a:ln w="25400">
          <a:noFill/>
        </a:ln>
      </c:spPr>
    </c:title>
    <c:autoTitleDeleted val="0"/>
    <c:plotArea>
      <c:layout>
        <c:manualLayout>
          <c:layoutTarget val="inner"/>
          <c:xMode val="edge"/>
          <c:yMode val="edge"/>
          <c:x val="0.10917030567685602"/>
          <c:y val="0.21132114409114144"/>
          <c:w val="0.68558951965065507"/>
          <c:h val="0.69811449387251967"/>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results'!$AD$3:$AD$22</c:f>
              <c:numCache>
                <c:formatCode>0.00%</c:formatCode>
                <c:ptCount val="20"/>
              </c:numCache>
            </c:numRef>
          </c:val>
          <c:smooth val="0"/>
          <c:extLst>
            <c:ext xmlns:c16="http://schemas.microsoft.com/office/drawing/2014/chart" uri="{C3380CC4-5D6E-409C-BE32-E72D297353CC}">
              <c16:uniqueId val="{00000000-78BE-4640-8415-6122AD71ED1F}"/>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results'!$AS$3:$AS$22</c:f>
              <c:numCache>
                <c:formatCode>0.00%</c:formatCode>
                <c:ptCount val="20"/>
              </c:numCache>
            </c:numRef>
          </c:val>
          <c:smooth val="0"/>
          <c:extLst>
            <c:ext xmlns:c16="http://schemas.microsoft.com/office/drawing/2014/chart" uri="{C3380CC4-5D6E-409C-BE32-E72D297353CC}">
              <c16:uniqueId val="{00000001-78BE-4640-8415-6122AD71ED1F}"/>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results'!$BH$3:$BH$22</c:f>
              <c:numCache>
                <c:formatCode>0.00%</c:formatCode>
                <c:ptCount val="20"/>
              </c:numCache>
            </c:numRef>
          </c:val>
          <c:smooth val="0"/>
          <c:extLst>
            <c:ext xmlns:c16="http://schemas.microsoft.com/office/drawing/2014/chart" uri="{C3380CC4-5D6E-409C-BE32-E72D297353CC}">
              <c16:uniqueId val="{00000002-78BE-4640-8415-6122AD71ED1F}"/>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results'!$BW$3:$BW$22</c:f>
              <c:numCache>
                <c:formatCode>0.00%</c:formatCode>
                <c:ptCount val="20"/>
              </c:numCache>
            </c:numRef>
          </c:val>
          <c:smooth val="0"/>
          <c:extLst>
            <c:ext xmlns:c16="http://schemas.microsoft.com/office/drawing/2014/chart" uri="{C3380CC4-5D6E-409C-BE32-E72D297353CC}">
              <c16:uniqueId val="{00000003-78BE-4640-8415-6122AD71ED1F}"/>
            </c:ext>
          </c:extLst>
        </c:ser>
        <c:dLbls>
          <c:showLegendKey val="0"/>
          <c:showVal val="0"/>
          <c:showCatName val="0"/>
          <c:showSerName val="0"/>
          <c:showPercent val="0"/>
          <c:showBubbleSize val="0"/>
        </c:dLbls>
        <c:smooth val="0"/>
        <c:axId val="463102832"/>
        <c:axId val="463105576"/>
      </c:lineChart>
      <c:catAx>
        <c:axId val="463102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63105576"/>
        <c:crosses val="autoZero"/>
        <c:auto val="1"/>
        <c:lblAlgn val="ctr"/>
        <c:lblOffset val="100"/>
        <c:tickLblSkip val="2"/>
        <c:tickMarkSkip val="1"/>
        <c:noMultiLvlLbl val="0"/>
      </c:catAx>
      <c:valAx>
        <c:axId val="46310557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832"/>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mn-lt"/>
                <a:ea typeface="Arial"/>
                <a:cs typeface="Arial"/>
              </a:defRPr>
            </a:pPr>
            <a:r>
              <a:rPr lang="es-ES" sz="1000">
                <a:latin typeface="+mn-lt"/>
              </a:rPr>
              <a:t>NIIP/GDP</a:t>
            </a:r>
          </a:p>
        </c:rich>
      </c:tx>
      <c:layout>
        <c:manualLayout>
          <c:xMode val="edge"/>
          <c:yMode val="edge"/>
          <c:x val="0.45052675783948937"/>
          <c:y val="3.7453183520600161E-2"/>
        </c:manualLayout>
      </c:layout>
      <c:overlay val="0"/>
      <c:spPr>
        <a:noFill/>
        <a:ln w="25400">
          <a:noFill/>
        </a:ln>
      </c:spPr>
    </c:title>
    <c:autoTitleDeleted val="0"/>
    <c:plotArea>
      <c:layout>
        <c:manualLayout>
          <c:layoutTarget val="inner"/>
          <c:xMode val="edge"/>
          <c:yMode val="edge"/>
          <c:x val="0.11789485803336558"/>
          <c:y val="0.21348392689287768"/>
          <c:w val="0.67789543369188798"/>
          <c:h val="0.7003770934906568"/>
        </c:manualLayout>
      </c:layout>
      <c:lineChart>
        <c:grouping val="standard"/>
        <c:varyColors val="0"/>
        <c:ser>
          <c:idx val="0"/>
          <c:order val="0"/>
          <c:tx>
            <c:strRef>
              <c:f>'compare results'!$Q$1:$X$1</c:f>
              <c:strCache>
                <c:ptCount val="1"/>
              </c:strCache>
            </c:strRef>
          </c:tx>
          <c:spPr>
            <a:ln w="25400">
              <a:solidFill>
                <a:srgbClr val="00008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results'!$AE$3:$AE$22</c:f>
              <c:numCache>
                <c:formatCode>0.00%</c:formatCode>
                <c:ptCount val="20"/>
              </c:numCache>
            </c:numRef>
          </c:val>
          <c:smooth val="0"/>
          <c:extLst>
            <c:ext xmlns:c16="http://schemas.microsoft.com/office/drawing/2014/chart" uri="{C3380CC4-5D6E-409C-BE32-E72D297353CC}">
              <c16:uniqueId val="{00000000-C12E-47B4-9D1D-73D386F30C61}"/>
            </c:ext>
          </c:extLst>
        </c:ser>
        <c:ser>
          <c:idx val="1"/>
          <c:order val="1"/>
          <c:tx>
            <c:strRef>
              <c:f>'compare results'!$AF$1:$AM$1</c:f>
              <c:strCache>
                <c:ptCount val="1"/>
              </c:strCache>
            </c:strRef>
          </c:tx>
          <c:spPr>
            <a:ln w="25400">
              <a:solidFill>
                <a:srgbClr val="FF00FF"/>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results'!$AT$3:$AT$22</c:f>
              <c:numCache>
                <c:formatCode>0.00%</c:formatCode>
                <c:ptCount val="20"/>
              </c:numCache>
            </c:numRef>
          </c:val>
          <c:smooth val="0"/>
          <c:extLst>
            <c:ext xmlns:c16="http://schemas.microsoft.com/office/drawing/2014/chart" uri="{C3380CC4-5D6E-409C-BE32-E72D297353CC}">
              <c16:uniqueId val="{00000001-C12E-47B4-9D1D-73D386F30C61}"/>
            </c:ext>
          </c:extLst>
        </c:ser>
        <c:ser>
          <c:idx val="2"/>
          <c:order val="2"/>
          <c:tx>
            <c:strRef>
              <c:f>'compare results'!$AU$1:$BB$1</c:f>
              <c:strCache>
                <c:ptCount val="1"/>
              </c:strCache>
            </c:strRef>
          </c:tx>
          <c:spPr>
            <a:ln w="25400">
              <a:solidFill>
                <a:srgbClr val="FFFF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results'!$BI$3:$BI$22</c:f>
              <c:numCache>
                <c:formatCode>0.00%</c:formatCode>
                <c:ptCount val="20"/>
              </c:numCache>
            </c:numRef>
          </c:val>
          <c:smooth val="0"/>
          <c:extLst>
            <c:ext xmlns:c16="http://schemas.microsoft.com/office/drawing/2014/chart" uri="{C3380CC4-5D6E-409C-BE32-E72D297353CC}">
              <c16:uniqueId val="{00000002-C12E-47B4-9D1D-73D386F30C61}"/>
            </c:ext>
          </c:extLst>
        </c:ser>
        <c:ser>
          <c:idx val="3"/>
          <c:order val="3"/>
          <c:tx>
            <c:strRef>
              <c:f>'compare results'!$BJ$1:$BQ$1</c:f>
              <c:strCache>
                <c:ptCount val="1"/>
              </c:strCache>
            </c:strRef>
          </c:tx>
          <c:spPr>
            <a:ln w="25400">
              <a:solidFill>
                <a:srgbClr val="008000"/>
              </a:solidFill>
              <a:prstDash val="solid"/>
            </a:ln>
          </c:spPr>
          <c:marker>
            <c:symbol val="none"/>
          </c:marker>
          <c:cat>
            <c:numRef>
              <c:f>'compare results'!$P$3:$P$22</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'compare results'!$BX$3:$BX$22</c:f>
              <c:numCache>
                <c:formatCode>0.00%</c:formatCode>
                <c:ptCount val="20"/>
              </c:numCache>
            </c:numRef>
          </c:val>
          <c:smooth val="0"/>
          <c:extLst>
            <c:ext xmlns:c16="http://schemas.microsoft.com/office/drawing/2014/chart" uri="{C3380CC4-5D6E-409C-BE32-E72D297353CC}">
              <c16:uniqueId val="{00000003-C12E-47B4-9D1D-73D386F30C61}"/>
            </c:ext>
          </c:extLst>
        </c:ser>
        <c:dLbls>
          <c:showLegendKey val="0"/>
          <c:showVal val="0"/>
          <c:showCatName val="0"/>
          <c:showSerName val="0"/>
          <c:showPercent val="0"/>
          <c:showBubbleSize val="0"/>
        </c:dLbls>
        <c:smooth val="0"/>
        <c:axId val="463109104"/>
        <c:axId val="463102048"/>
      </c:lineChart>
      <c:catAx>
        <c:axId val="4631091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2048"/>
        <c:crosses val="autoZero"/>
        <c:auto val="1"/>
        <c:lblAlgn val="ctr"/>
        <c:lblOffset val="100"/>
        <c:tickLblSkip val="1"/>
        <c:tickMarkSkip val="1"/>
        <c:noMultiLvlLbl val="0"/>
      </c:catAx>
      <c:valAx>
        <c:axId val="463102048"/>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3109104"/>
        <c:crosses val="autoZero"/>
        <c:crossBetween val="between"/>
      </c:valAx>
      <c:spPr>
        <a:noFill/>
        <a:ln w="25400">
          <a:noFill/>
        </a:ln>
      </c:spPr>
    </c:plotArea>
    <c:legend>
      <c:legendPos val="tr"/>
      <c:overlay val="0"/>
      <c:spPr>
        <a:solidFill>
          <a:srgbClr val="FFFFFF">
            <a:alpha val="80000"/>
          </a:srgbClr>
        </a:solidFill>
        <a:ln w="3175">
          <a:solidFill>
            <a:srgbClr val="000000"/>
          </a:solidFill>
          <a:prstDash val="sysDash"/>
        </a:ln>
      </c:spPr>
      <c:txPr>
        <a:bodyPr/>
        <a:lstStyle/>
        <a:p>
          <a:pPr>
            <a:defRPr sz="900" b="0" i="0" u="none" strike="noStrike" baseline="0">
              <a:solidFill>
                <a:srgbClr val="000000"/>
              </a:solidFill>
              <a:latin typeface="+mn-lt"/>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1055" r="0.75000000000001055" t="1" header="0" footer="0"/>
    <c:pageSetup/>
  </c:printSettings>
</c:chartSpace>
</file>

<file path=xl/ctrlProps/ctrlProp1.xml><?xml version="1.0" encoding="utf-8"?>
<formControlPr xmlns="http://schemas.microsoft.com/office/spreadsheetml/2009/9/main" objectType="Drop" dropLines="2" dropStyle="combo" dx="16" fmlaLink="controls!$B$33" fmlaRange="controls!$B$11:$B$12" noThreeD="1" sel="2" val="0"/>
</file>

<file path=xl/ctrlProps/ctrlProp2.xml><?xml version="1.0" encoding="utf-8"?>
<formControlPr xmlns="http://schemas.microsoft.com/office/spreadsheetml/2009/9/main" objectType="Scroll" dx="16" fmlaLink="controls!$B$32" horiz="1" max="10" page="10" val="10"/>
</file>

<file path=xl/ctrlProps/ctrlProp3.xml><?xml version="1.0" encoding="utf-8"?>
<formControlPr xmlns="http://schemas.microsoft.com/office/spreadsheetml/2009/9/main" objectType="Drop" dropLines="2" dropStyle="combo" dx="16" fmlaLink="controls!$B$6" fmlaRange="controls!$B$13:$B$14" noThreeD="1" sel="2" val="0"/>
</file>

<file path=xl/ctrlProps/ctrlProp4.xml><?xml version="1.0" encoding="utf-8"?>
<formControlPr xmlns="http://schemas.microsoft.com/office/spreadsheetml/2009/9/main" objectType="Drop" dropLines="2" dropStyle="combo" dx="16" fmlaLink="controls!$B$7" fmlaRange="controls!$B$13:$B$14" noThreeD="1" sel="2" val="0"/>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Drop" dropLines="2" dropStyle="combo" dx="16" fmlaLink="controls!$B$4" fmlaRange="controls!$B$11:$B$12" noThreeD="1" sel="2" val="0"/>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CheckBox" fmlaLink="controls!$B$8" lockText="1"/>
</file>

<file path=xl/ctrlProps/ctrlProp17.xml><?xml version="1.0" encoding="utf-8"?>
<formControlPr xmlns="http://schemas.microsoft.com/office/spreadsheetml/2009/9/main" objectType="Drop" dropStyle="combo" dx="16" fmlaLink="$C$34" fmlaRange="controls!$B$70:$B$77" noThreeD="1" sel="1" val="0"/>
</file>

<file path=xl/ctrlProps/ctrlProp18.xml><?xml version="1.0" encoding="utf-8"?>
<formControlPr xmlns="http://schemas.microsoft.com/office/spreadsheetml/2009/9/main" objectType="Drop" dropStyle="combo" dx="16" fmlaLink="$B$34" fmlaRange="controls!$B$78:$B$79" noThreeD="1" sel="1" val="0"/>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Drop" dropStyle="combo" dx="16" fmlaLink="'inflation, income and interest'!$B$38" fmlaRange="controls!$B$66:$B$67" noThreeD="1" sel="2" val="0"/>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Drop" dropStyle="combo" dx="16" fmlaLink="$A$38" fmlaRange="controls!$B$68:$B$69" noThreeD="1" sel="2" val="0"/>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Scroll" dx="16" fmlaLink="controls!$B$49" horiz="1" max="10" page="10" val="10"/>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0</xdr:col>
      <xdr:colOff>420873</xdr:colOff>
      <xdr:row>32</xdr:row>
      <xdr:rowOff>276890</xdr:rowOff>
    </xdr:from>
    <xdr:to>
      <xdr:col>3</xdr:col>
      <xdr:colOff>22152</xdr:colOff>
      <xdr:row>37</xdr:row>
      <xdr:rowOff>155059</xdr:rowOff>
    </xdr:to>
    <xdr:sp macro="" textlink="">
      <xdr:nvSpPr>
        <xdr:cNvPr id="4" name="3 Rectangle">
          <a:extLst>
            <a:ext uri="{FF2B5EF4-FFF2-40B4-BE49-F238E27FC236}">
              <a16:creationId xmlns:a16="http://schemas.microsoft.com/office/drawing/2014/main" id="{00000000-0008-0000-0000-000004000000}"/>
            </a:ext>
          </a:extLst>
        </xdr:cNvPr>
        <xdr:cNvSpPr/>
      </xdr:nvSpPr>
      <xdr:spPr>
        <a:xfrm>
          <a:off x="420873" y="6733954"/>
          <a:ext cx="1417674" cy="1107558"/>
        </a:xfrm>
        <a:prstGeom prst="rect">
          <a:avLst/>
        </a:prstGeom>
        <a:solidFill>
          <a:srgbClr val="CCCC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10</xdr:col>
          <xdr:colOff>0</xdr:colOff>
          <xdr:row>33</xdr:row>
          <xdr:rowOff>0</xdr:rowOff>
        </xdr:from>
        <xdr:to>
          <xdr:col>12</xdr:col>
          <xdr:colOff>0</xdr:colOff>
          <xdr:row>34</xdr:row>
          <xdr:rowOff>0</xdr:rowOff>
        </xdr:to>
        <xdr:sp macro="" textlink="">
          <xdr:nvSpPr>
            <xdr:cNvPr id="2083" name="Drop Down 35" hidden="1">
              <a:extLst>
                <a:ext uri="{63B3BB69-23CF-44E3-9099-C40C66FF867C}">
                  <a14:compatExt spid="_x0000_s2083"/>
                </a:ext>
                <a:ext uri="{FF2B5EF4-FFF2-40B4-BE49-F238E27FC236}">
                  <a16:creationId xmlns:a16="http://schemas.microsoft.com/office/drawing/2014/main" id="{00000000-0008-0000-0000-00002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29</xdr:row>
          <xdr:rowOff>0</xdr:rowOff>
        </xdr:from>
        <xdr:to>
          <xdr:col>10</xdr:col>
          <xdr:colOff>571500</xdr:colOff>
          <xdr:row>29</xdr:row>
          <xdr:rowOff>171450</xdr:rowOff>
        </xdr:to>
        <xdr:sp macro="" textlink="">
          <xdr:nvSpPr>
            <xdr:cNvPr id="2094" name="Scroll Bar 46" hidden="1">
              <a:extLst>
                <a:ext uri="{63B3BB69-23CF-44E3-9099-C40C66FF867C}">
                  <a14:compatExt spid="_x0000_s2094"/>
                </a:ext>
                <a:ext uri="{FF2B5EF4-FFF2-40B4-BE49-F238E27FC236}">
                  <a16:creationId xmlns:a16="http://schemas.microsoft.com/office/drawing/2014/main" id="{00000000-0008-0000-0000-00002E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12700</xdr:colOff>
          <xdr:row>8</xdr:row>
          <xdr:rowOff>12700</xdr:rowOff>
        </xdr:from>
        <xdr:to>
          <xdr:col>7</xdr:col>
          <xdr:colOff>304800</xdr:colOff>
          <xdr:row>9</xdr:row>
          <xdr:rowOff>0</xdr:rowOff>
        </xdr:to>
        <xdr:sp macro="" textlink="">
          <xdr:nvSpPr>
            <xdr:cNvPr id="2115" name="permanency_supply"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8</xdr:row>
          <xdr:rowOff>12700</xdr:rowOff>
        </xdr:from>
        <xdr:to>
          <xdr:col>11</xdr:col>
          <xdr:colOff>304800</xdr:colOff>
          <xdr:row>9</xdr:row>
          <xdr:rowOff>0</xdr:rowOff>
        </xdr:to>
        <xdr:sp macro="" textlink="">
          <xdr:nvSpPr>
            <xdr:cNvPr id="2116" name="Drop Down 68" hidden="1">
              <a:extLst>
                <a:ext uri="{63B3BB69-23CF-44E3-9099-C40C66FF867C}">
                  <a14:compatExt spid="_x0000_s2116"/>
                </a:ext>
                <a:ext uri="{FF2B5EF4-FFF2-40B4-BE49-F238E27FC236}">
                  <a16:creationId xmlns:a16="http://schemas.microsoft.com/office/drawing/2014/main" id="{00000000-0008-0000-0000-00004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76200</xdr:colOff>
          <xdr:row>6</xdr:row>
          <xdr:rowOff>88900</xdr:rowOff>
        </xdr:from>
        <xdr:to>
          <xdr:col>2</xdr:col>
          <xdr:colOff>793750</xdr:colOff>
          <xdr:row>8</xdr:row>
          <xdr:rowOff>107950</xdr:rowOff>
        </xdr:to>
        <xdr:sp macro="" textlink="">
          <xdr:nvSpPr>
            <xdr:cNvPr id="2117" name="Button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69850</xdr:colOff>
          <xdr:row>8</xdr:row>
          <xdr:rowOff>228600</xdr:rowOff>
        </xdr:from>
        <xdr:to>
          <xdr:col>2</xdr:col>
          <xdr:colOff>781050</xdr:colOff>
          <xdr:row>9</xdr:row>
          <xdr:rowOff>323850</xdr:rowOff>
        </xdr:to>
        <xdr:sp macro="" textlink="">
          <xdr:nvSpPr>
            <xdr:cNvPr id="2118" name="Button 70" hidden="1">
              <a:extLst>
                <a:ext uri="{63B3BB69-23CF-44E3-9099-C40C66FF867C}">
                  <a14:compatExt spid="_x0000_s2118"/>
                </a:ext>
                <a:ext uri="{FF2B5EF4-FFF2-40B4-BE49-F238E27FC236}">
                  <a16:creationId xmlns:a16="http://schemas.microsoft.com/office/drawing/2014/main" id="{00000000-0008-0000-0000-000046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3</xdr:row>
          <xdr:rowOff>76200</xdr:rowOff>
        </xdr:from>
        <xdr:to>
          <xdr:col>2</xdr:col>
          <xdr:colOff>793750</xdr:colOff>
          <xdr:row>5</xdr:row>
          <xdr:rowOff>12700</xdr:rowOff>
        </xdr:to>
        <xdr:sp macro="" textlink="">
          <xdr:nvSpPr>
            <xdr:cNvPr id="2120" name="Button 72"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27</xdr:row>
          <xdr:rowOff>171450</xdr:rowOff>
        </xdr:from>
        <xdr:to>
          <xdr:col>2</xdr:col>
          <xdr:colOff>781050</xdr:colOff>
          <xdr:row>28</xdr:row>
          <xdr:rowOff>190500</xdr:rowOff>
        </xdr:to>
        <xdr:sp macro="" textlink="">
          <xdr:nvSpPr>
            <xdr:cNvPr id="2137" name="Button 89" hidden="1">
              <a:extLst>
                <a:ext uri="{63B3BB69-23CF-44E3-9099-C40C66FF867C}">
                  <a14:compatExt spid="_x0000_s2137"/>
                </a:ext>
                <a:ext uri="{FF2B5EF4-FFF2-40B4-BE49-F238E27FC236}">
                  <a16:creationId xmlns:a16="http://schemas.microsoft.com/office/drawing/2014/main" id="{00000000-0008-0000-0000-000059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21</xdr:row>
          <xdr:rowOff>31750</xdr:rowOff>
        </xdr:from>
        <xdr:to>
          <xdr:col>2</xdr:col>
          <xdr:colOff>774700</xdr:colOff>
          <xdr:row>22</xdr:row>
          <xdr:rowOff>69850</xdr:rowOff>
        </xdr:to>
        <xdr:sp macro="" textlink="">
          <xdr:nvSpPr>
            <xdr:cNvPr id="2138" name="Button 90" hidden="1">
              <a:extLst>
                <a:ext uri="{63B3BB69-23CF-44E3-9099-C40C66FF867C}">
                  <a14:compatExt spid="_x0000_s2138"/>
                </a:ext>
                <a:ext uri="{FF2B5EF4-FFF2-40B4-BE49-F238E27FC236}">
                  <a16:creationId xmlns:a16="http://schemas.microsoft.com/office/drawing/2014/main" id="{00000000-0008-0000-0000-00005A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Save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50800</xdr:colOff>
          <xdr:row>22</xdr:row>
          <xdr:rowOff>133350</xdr:rowOff>
        </xdr:from>
        <xdr:to>
          <xdr:col>2</xdr:col>
          <xdr:colOff>774700</xdr:colOff>
          <xdr:row>22</xdr:row>
          <xdr:rowOff>323850</xdr:rowOff>
        </xdr:to>
        <xdr:sp macro="" textlink="">
          <xdr:nvSpPr>
            <xdr:cNvPr id="2140" name="Button 92" hidden="1">
              <a:extLst>
                <a:ext uri="{63B3BB69-23CF-44E3-9099-C40C66FF867C}">
                  <a14:compatExt spid="_x0000_s2140"/>
                </a:ext>
                <a:ext uri="{FF2B5EF4-FFF2-40B4-BE49-F238E27FC236}">
                  <a16:creationId xmlns:a16="http://schemas.microsoft.com/office/drawing/2014/main" id="{00000000-0008-0000-0000-00005C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 to saved data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69850</xdr:colOff>
          <xdr:row>15</xdr:row>
          <xdr:rowOff>0</xdr:rowOff>
        </xdr:from>
        <xdr:to>
          <xdr:col>9</xdr:col>
          <xdr:colOff>12700</xdr:colOff>
          <xdr:row>17</xdr:row>
          <xdr:rowOff>12700</xdr:rowOff>
        </xdr:to>
        <xdr:sp macro="" textlink="">
          <xdr:nvSpPr>
            <xdr:cNvPr id="2163" name="Drop Down 115" hidden="1">
              <a:extLst>
                <a:ext uri="{63B3BB69-23CF-44E3-9099-C40C66FF867C}">
                  <a14:compatExt spid="_x0000_s2163"/>
                </a:ext>
                <a:ext uri="{FF2B5EF4-FFF2-40B4-BE49-F238E27FC236}">
                  <a16:creationId xmlns:a16="http://schemas.microsoft.com/office/drawing/2014/main" id="{00000000-0008-0000-0000-00007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69850</xdr:colOff>
          <xdr:row>10</xdr:row>
          <xdr:rowOff>69850</xdr:rowOff>
        </xdr:from>
        <xdr:to>
          <xdr:col>2</xdr:col>
          <xdr:colOff>793750</xdr:colOff>
          <xdr:row>12</xdr:row>
          <xdr:rowOff>107950</xdr:rowOff>
        </xdr:to>
        <xdr:sp macro="" textlink="">
          <xdr:nvSpPr>
            <xdr:cNvPr id="62754" name="Button 1314" hidden="1">
              <a:extLst>
                <a:ext uri="{63B3BB69-23CF-44E3-9099-C40C66FF867C}">
                  <a14:compatExt spid="_x0000_s62754"/>
                </a:ext>
                <a:ext uri="{FF2B5EF4-FFF2-40B4-BE49-F238E27FC236}">
                  <a16:creationId xmlns:a16="http://schemas.microsoft.com/office/drawing/2014/main" id="{00000000-0008-0000-0000-000022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1</xdr:col>
      <xdr:colOff>49561</xdr:colOff>
      <xdr:row>10</xdr:row>
      <xdr:rowOff>33228</xdr:rowOff>
    </xdr:from>
    <xdr:to>
      <xdr:col>2</xdr:col>
      <xdr:colOff>809637</xdr:colOff>
      <xdr:row>12</xdr:row>
      <xdr:rowOff>187167</xdr:rowOff>
    </xdr:to>
    <xdr:sp macro="" textlink="">
      <xdr:nvSpPr>
        <xdr:cNvPr id="2" name="1 Rectangle">
          <a:extLst>
            <a:ext uri="{FF2B5EF4-FFF2-40B4-BE49-F238E27FC236}">
              <a16:creationId xmlns:a16="http://schemas.microsoft.com/office/drawing/2014/main" id="{00000000-0008-0000-0000-000002000000}"/>
            </a:ext>
          </a:extLst>
        </xdr:cNvPr>
        <xdr:cNvSpPr/>
      </xdr:nvSpPr>
      <xdr:spPr>
        <a:xfrm>
          <a:off x="492584" y="2192966"/>
          <a:ext cx="1280629" cy="497282"/>
        </a:xfrm>
        <a:prstGeom prst="rect">
          <a:avLst/>
        </a:prstGeom>
        <a:pattFill prst="pct2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76200</xdr:colOff>
          <xdr:row>31</xdr:row>
          <xdr:rowOff>50800</xdr:rowOff>
        </xdr:from>
        <xdr:to>
          <xdr:col>2</xdr:col>
          <xdr:colOff>793750</xdr:colOff>
          <xdr:row>31</xdr:row>
          <xdr:rowOff>260350</xdr:rowOff>
        </xdr:to>
        <xdr:sp macro="" textlink="">
          <xdr:nvSpPr>
            <xdr:cNvPr id="62918" name="Button 1478" hidden="1">
              <a:extLst>
                <a:ext uri="{63B3BB69-23CF-44E3-9099-C40C66FF867C}">
                  <a14:compatExt spid="_x0000_s62918"/>
                </a:ext>
                <a:ext uri="{FF2B5EF4-FFF2-40B4-BE49-F238E27FC236}">
                  <a16:creationId xmlns:a16="http://schemas.microsoft.com/office/drawing/2014/main" id="{00000000-0008-0000-0000-0000C6F5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0</xdr:col>
      <xdr:colOff>387645</xdr:colOff>
      <xdr:row>29</xdr:row>
      <xdr:rowOff>132907</xdr:rowOff>
    </xdr:from>
    <xdr:to>
      <xdr:col>3</xdr:col>
      <xdr:colOff>44303</xdr:colOff>
      <xdr:row>32</xdr:row>
      <xdr:rowOff>66453</xdr:rowOff>
    </xdr:to>
    <xdr:sp macro="" textlink="">
      <xdr:nvSpPr>
        <xdr:cNvPr id="3" name="2 Rectangle">
          <a:extLst>
            <a:ext uri="{FF2B5EF4-FFF2-40B4-BE49-F238E27FC236}">
              <a16:creationId xmlns:a16="http://schemas.microsoft.com/office/drawing/2014/main" id="{00000000-0008-0000-0000-000003000000}"/>
            </a:ext>
          </a:extLst>
        </xdr:cNvPr>
        <xdr:cNvSpPr/>
      </xdr:nvSpPr>
      <xdr:spPr>
        <a:xfrm>
          <a:off x="387645" y="5748227"/>
          <a:ext cx="1473053" cy="775290"/>
        </a:xfrm>
        <a:prstGeom prst="rect">
          <a:avLst/>
        </a:prstGeom>
        <a:noFill/>
        <a:ln>
          <a:noFill/>
        </a:ln>
        <a:extLst>
          <a:ext uri="{909E8E84-426E-40DD-AFC4-6F175D3DCCD1}">
            <a14:hiddenFill xmlns:a14="http://schemas.microsoft.com/office/drawing/2010/main">
              <a:pattFill prst="pct20">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xdr:col>
          <xdr:colOff>38100</xdr:colOff>
          <xdr:row>33</xdr:row>
          <xdr:rowOff>57150</xdr:rowOff>
        </xdr:from>
        <xdr:to>
          <xdr:col>2</xdr:col>
          <xdr:colOff>812800</xdr:colOff>
          <xdr:row>35</xdr:row>
          <xdr:rowOff>38100</xdr:rowOff>
        </xdr:to>
        <xdr:sp macro="" textlink="">
          <xdr:nvSpPr>
            <xdr:cNvPr id="63001" name="Button 1561" hidden="1">
              <a:extLst>
                <a:ext uri="{63B3BB69-23CF-44E3-9099-C40C66FF867C}">
                  <a14:compatExt spid="_x0000_s63001"/>
                </a:ext>
                <a:ext uri="{FF2B5EF4-FFF2-40B4-BE49-F238E27FC236}">
                  <a16:creationId xmlns:a16="http://schemas.microsoft.com/office/drawing/2014/main" id="{00000000-0008-0000-0000-000019F6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1" i="0" u="none" strike="noStrike" baseline="0">
                  <a:solidFill>
                    <a:srgbClr val="0066CC"/>
                  </a:solidFill>
                  <a:latin typeface="Calibri"/>
                  <a:cs typeface="Calibri"/>
                </a:rPr>
                <a:t>Change simulator version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57150</xdr:colOff>
          <xdr:row>35</xdr:row>
          <xdr:rowOff>127000</xdr:rowOff>
        </xdr:from>
        <xdr:to>
          <xdr:col>2</xdr:col>
          <xdr:colOff>812800</xdr:colOff>
          <xdr:row>37</xdr:row>
          <xdr:rowOff>57150</xdr:rowOff>
        </xdr:to>
        <xdr:sp macro="" textlink="">
          <xdr:nvSpPr>
            <xdr:cNvPr id="63002" name="Button 1562" hidden="1">
              <a:extLst>
                <a:ext uri="{63B3BB69-23CF-44E3-9099-C40C66FF867C}">
                  <a14:compatExt spid="_x0000_s63002"/>
                </a:ext>
                <a:ext uri="{FF2B5EF4-FFF2-40B4-BE49-F238E27FC236}">
                  <a16:creationId xmlns:a16="http://schemas.microsoft.com/office/drawing/2014/main" id="{00000000-0008-0000-0000-00001AF6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n-GB" sz="1200" b="1" i="0" u="none" strike="noStrike" baseline="0">
                  <a:solidFill>
                    <a:srgbClr val="0066CC"/>
                  </a:solidFill>
                  <a:latin typeface="Arial"/>
                  <a:cs typeface="Arial"/>
                </a:rPr>
                <a:t>Save/Close</a:t>
              </a:r>
            </a:p>
          </xdr:txBody>
        </xdr:sp>
        <xdr:clientData fPrintsWithSheet="0"/>
      </xdr:twoCellAnchor>
    </mc:Choice>
    <mc:Fallback/>
  </mc:AlternateContent>
  <xdr:twoCellAnchor>
    <xdr:from>
      <xdr:col>16</xdr:col>
      <xdr:colOff>697759</xdr:colOff>
      <xdr:row>7</xdr:row>
      <xdr:rowOff>251636</xdr:rowOff>
    </xdr:from>
    <xdr:to>
      <xdr:col>20</xdr:col>
      <xdr:colOff>487327</xdr:colOff>
      <xdr:row>9</xdr:row>
      <xdr:rowOff>22151</xdr:rowOff>
    </xdr:to>
    <xdr:grpSp>
      <xdr:nvGrpSpPr>
        <xdr:cNvPr id="8" name="7 Grupo">
          <a:extLst>
            <a:ext uri="{FF2B5EF4-FFF2-40B4-BE49-F238E27FC236}">
              <a16:creationId xmlns:a16="http://schemas.microsoft.com/office/drawing/2014/main" id="{00000000-0008-0000-0000-000008000000}"/>
            </a:ext>
          </a:extLst>
        </xdr:cNvPr>
        <xdr:cNvGrpSpPr/>
      </xdr:nvGrpSpPr>
      <xdr:grpSpPr>
        <a:xfrm>
          <a:off x="7438528" y="1423944"/>
          <a:ext cx="4146645" cy="376207"/>
          <a:chOff x="6944388" y="1425613"/>
          <a:chExt cx="3953996" cy="368599"/>
        </a:xfrm>
      </xdr:grpSpPr>
      <mc:AlternateContent xmlns:mc="http://schemas.openxmlformats.org/markup-compatibility/2006">
        <mc:Choice xmlns:a14="http://schemas.microsoft.com/office/drawing/2010/main" Requires="a14">
          <xdr:sp macro="" textlink="">
            <xdr:nvSpPr>
              <xdr:cNvPr id="63080" name="Check Box 1640" hidden="1">
                <a:extLst>
                  <a:ext uri="{63B3BB69-23CF-44E3-9099-C40C66FF867C}">
                    <a14:compatExt spid="_x0000_s63080"/>
                  </a:ext>
                  <a:ext uri="{FF2B5EF4-FFF2-40B4-BE49-F238E27FC236}">
                    <a16:creationId xmlns:a16="http://schemas.microsoft.com/office/drawing/2014/main" id="{00000000-0008-0000-0000-000068F60000}"/>
                  </a:ext>
                </a:extLst>
              </xdr:cNvPr>
              <xdr:cNvSpPr/>
            </xdr:nvSpPr>
            <xdr:spPr bwMode="auto">
              <a:xfrm>
                <a:off x="10555041" y="1425613"/>
                <a:ext cx="343343" cy="368599"/>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mc:Choice>
        <mc:Fallback/>
      </mc:AlternateContent>
      <xdr:sp macro="" textlink="">
        <xdr:nvSpPr>
          <xdr:cNvPr id="5" name="4 CuadroTexto">
            <a:extLst>
              <a:ext uri="{FF2B5EF4-FFF2-40B4-BE49-F238E27FC236}">
                <a16:creationId xmlns:a16="http://schemas.microsoft.com/office/drawing/2014/main" id="{00000000-0008-0000-0000-000005000000}"/>
              </a:ext>
            </a:extLst>
          </xdr:cNvPr>
          <xdr:cNvSpPr txBox="1"/>
        </xdr:nvSpPr>
        <xdr:spPr>
          <a:xfrm>
            <a:off x="6944388" y="1473053"/>
            <a:ext cx="3211919" cy="287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In period 10 there is a change in inflation</a:t>
            </a:r>
            <a:r>
              <a:rPr lang="es-ES" sz="1200" baseline="0"/>
              <a:t> target</a:t>
            </a:r>
            <a:endParaRPr lang="es-ES" sz="1200"/>
          </a:p>
        </xdr:txBody>
      </xdr:sp>
    </xdr:grpSp>
    <xdr:clientData/>
  </xdr:twoCellAnchor>
  <xdr:twoCellAnchor>
    <xdr:from>
      <xdr:col>16</xdr:col>
      <xdr:colOff>730988</xdr:colOff>
      <xdr:row>8</xdr:row>
      <xdr:rowOff>55378</xdr:rowOff>
    </xdr:from>
    <xdr:to>
      <xdr:col>20</xdr:col>
      <xdr:colOff>376570</xdr:colOff>
      <xdr:row>8</xdr:row>
      <xdr:rowOff>221512</xdr:rowOff>
    </xdr:to>
    <xdr:sp macro="" textlink="">
      <xdr:nvSpPr>
        <xdr:cNvPr id="9" name="8 Rectangle">
          <a:extLst>
            <a:ext uri="{FF2B5EF4-FFF2-40B4-BE49-F238E27FC236}">
              <a16:creationId xmlns:a16="http://schemas.microsoft.com/office/drawing/2014/main" id="{00000000-0008-0000-0000-000009000000}"/>
            </a:ext>
          </a:extLst>
        </xdr:cNvPr>
        <xdr:cNvSpPr/>
      </xdr:nvSpPr>
      <xdr:spPr>
        <a:xfrm>
          <a:off x="7165901" y="1539506"/>
          <a:ext cx="3810000" cy="166134"/>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editAs="oneCell">
        <xdr:from>
          <xdr:col>20</xdr:col>
          <xdr:colOff>0</xdr:colOff>
          <xdr:row>23</xdr:row>
          <xdr:rowOff>0</xdr:rowOff>
        </xdr:from>
        <xdr:to>
          <xdr:col>22</xdr:col>
          <xdr:colOff>19050</xdr:colOff>
          <xdr:row>24</xdr:row>
          <xdr:rowOff>184150</xdr:rowOff>
        </xdr:to>
        <xdr:sp macro="" textlink="">
          <xdr:nvSpPr>
            <xdr:cNvPr id="81929" name="Drop Down 2057" hidden="1">
              <a:extLst>
                <a:ext uri="{63B3BB69-23CF-44E3-9099-C40C66FF867C}">
                  <a14:compatExt spid="_x0000_s81929"/>
                </a:ext>
                <a:ext uri="{FF2B5EF4-FFF2-40B4-BE49-F238E27FC236}">
                  <a16:creationId xmlns:a16="http://schemas.microsoft.com/office/drawing/2014/main" id="{00000000-0008-0000-0000-000009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25</xdr:row>
          <xdr:rowOff>0</xdr:rowOff>
        </xdr:from>
        <xdr:to>
          <xdr:col>22</xdr:col>
          <xdr:colOff>19050</xdr:colOff>
          <xdr:row>26</xdr:row>
          <xdr:rowOff>0</xdr:rowOff>
        </xdr:to>
        <xdr:sp macro="" textlink="">
          <xdr:nvSpPr>
            <xdr:cNvPr id="81936" name="Drop Down 2064" hidden="1">
              <a:extLst>
                <a:ext uri="{63B3BB69-23CF-44E3-9099-C40C66FF867C}">
                  <a14:compatExt spid="_x0000_s81936"/>
                </a:ext>
                <a:ext uri="{FF2B5EF4-FFF2-40B4-BE49-F238E27FC236}">
                  <a16:creationId xmlns:a16="http://schemas.microsoft.com/office/drawing/2014/main" id="{00000000-0008-0000-0000-000010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114300</xdr:colOff>
          <xdr:row>36</xdr:row>
          <xdr:rowOff>88900</xdr:rowOff>
        </xdr:from>
        <xdr:to>
          <xdr:col>9</xdr:col>
          <xdr:colOff>279400</xdr:colOff>
          <xdr:row>37</xdr:row>
          <xdr:rowOff>107950</xdr:rowOff>
        </xdr:to>
        <xdr:sp macro="" textlink="">
          <xdr:nvSpPr>
            <xdr:cNvPr id="82736" name="Button 2864" hidden="1">
              <a:extLst>
                <a:ext uri="{63B3BB69-23CF-44E3-9099-C40C66FF867C}">
                  <a14:compatExt spid="_x0000_s82736"/>
                </a:ext>
                <a:ext uri="{FF2B5EF4-FFF2-40B4-BE49-F238E27FC236}">
                  <a16:creationId xmlns:a16="http://schemas.microsoft.com/office/drawing/2014/main" id="{00000000-0008-0000-0000-0000304301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12700</xdr:colOff>
          <xdr:row>37</xdr:row>
          <xdr:rowOff>222250</xdr:rowOff>
        </xdr:from>
        <xdr:to>
          <xdr:col>11</xdr:col>
          <xdr:colOff>285750</xdr:colOff>
          <xdr:row>40</xdr:row>
          <xdr:rowOff>0</xdr:rowOff>
        </xdr:to>
        <xdr:sp macro="" textlink="">
          <xdr:nvSpPr>
            <xdr:cNvPr id="82737" name="Drop Down 2865" hidden="1">
              <a:extLst>
                <a:ext uri="{63B3BB69-23CF-44E3-9099-C40C66FF867C}">
                  <a14:compatExt spid="_x0000_s82737"/>
                </a:ext>
                <a:ext uri="{FF2B5EF4-FFF2-40B4-BE49-F238E27FC236}">
                  <a16:creationId xmlns:a16="http://schemas.microsoft.com/office/drawing/2014/main" id="{00000000-0008-0000-0000-00003143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59531</xdr:colOff>
      <xdr:row>37</xdr:row>
      <xdr:rowOff>214312</xdr:rowOff>
    </xdr:from>
    <xdr:to>
      <xdr:col>12</xdr:col>
      <xdr:colOff>59531</xdr:colOff>
      <xdr:row>40</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1954711" y="7922688"/>
          <a:ext cx="4143866" cy="461767"/>
        </a:xfrm>
        <a:prstGeom prst="rect">
          <a:avLst/>
        </a:prstGeom>
        <a:noFill/>
        <a:ln>
          <a:noFill/>
        </a:ln>
        <a:extLst>
          <a:ext uri="{909E8E84-426E-40DD-AFC4-6F175D3DCCD1}">
            <a14:hiddenFill xmlns:a14="http://schemas.microsoft.com/office/drawing/2010/main">
              <a:pattFill prst="ltUpDiag">
                <a:fgClr>
                  <a:srgbClr val="00FF00"/>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1976437</xdr:colOff>
      <xdr:row>22</xdr:row>
      <xdr:rowOff>345281</xdr:rowOff>
    </xdr:from>
    <xdr:to>
      <xdr:col>22</xdr:col>
      <xdr:colOff>51126</xdr:colOff>
      <xdr:row>26</xdr:row>
      <xdr:rowOff>65135</xdr:rowOff>
    </xdr:to>
    <xdr:sp macro="" textlink="">
      <xdr:nvSpPr>
        <xdr:cNvPr id="30" name="5 Rectangle">
          <a:extLst>
            <a:ext uri="{FF2B5EF4-FFF2-40B4-BE49-F238E27FC236}">
              <a16:creationId xmlns:a16="http://schemas.microsoft.com/office/drawing/2014/main" id="{00000000-0008-0000-0000-00001E000000}"/>
            </a:ext>
          </a:extLst>
        </xdr:cNvPr>
        <xdr:cNvSpPr/>
      </xdr:nvSpPr>
      <xdr:spPr>
        <a:xfrm>
          <a:off x="10572750" y="4357687"/>
          <a:ext cx="1015532" cy="779511"/>
        </a:xfrm>
        <a:prstGeom prst="rect">
          <a:avLst/>
        </a:prstGeom>
        <a:noFill/>
        <a:ln>
          <a:noFill/>
        </a:ln>
        <a:extLst>
          <a:ext uri="{909E8E84-426E-40DD-AFC4-6F175D3DCCD1}">
            <a14:hiddenFill xmlns:a14="http://schemas.microsoft.com/office/drawing/2010/main">
              <a:pattFill prst="ltUpDiag">
                <a:fgClr>
                  <a:srgbClr val="00FF00"/>
                </a:fgClr>
                <a:bgClr>
                  <a:srgbClr val="FFCC99"/>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53368</xdr:colOff>
      <xdr:row>0</xdr:row>
      <xdr:rowOff>38099</xdr:rowOff>
    </xdr:from>
    <xdr:to>
      <xdr:col>9</xdr:col>
      <xdr:colOff>581368</xdr:colOff>
      <xdr:row>18</xdr:row>
      <xdr:rowOff>85818</xdr:rowOff>
    </xdr:to>
    <xdr:graphicFrame macro="">
      <xdr:nvGraphicFramePr>
        <xdr:cNvPr id="23598" name="inflation">
          <a:extLst>
            <a:ext uri="{FF2B5EF4-FFF2-40B4-BE49-F238E27FC236}">
              <a16:creationId xmlns:a16="http://schemas.microsoft.com/office/drawing/2014/main" id="{00000000-0008-0000-0500-00002E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657225</xdr:colOff>
      <xdr:row>0</xdr:row>
      <xdr:rowOff>47625</xdr:rowOff>
    </xdr:from>
    <xdr:to>
      <xdr:col>15</xdr:col>
      <xdr:colOff>423225</xdr:colOff>
      <xdr:row>18</xdr:row>
      <xdr:rowOff>95344</xdr:rowOff>
    </xdr:to>
    <xdr:graphicFrame macro="">
      <xdr:nvGraphicFramePr>
        <xdr:cNvPr id="23599" name="Chart 16">
          <a:extLst>
            <a:ext uri="{FF2B5EF4-FFF2-40B4-BE49-F238E27FC236}">
              <a16:creationId xmlns:a16="http://schemas.microsoft.com/office/drawing/2014/main" id="{00000000-0008-0000-0500-00002F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657225</xdr:colOff>
      <xdr:row>19</xdr:row>
      <xdr:rowOff>18353</xdr:rowOff>
    </xdr:from>
    <xdr:to>
      <xdr:col>15</xdr:col>
      <xdr:colOff>423225</xdr:colOff>
      <xdr:row>37</xdr:row>
      <xdr:rowOff>77978</xdr:rowOff>
    </xdr:to>
    <xdr:graphicFrame macro="">
      <xdr:nvGraphicFramePr>
        <xdr:cNvPr id="23600" name="Chart 18">
          <a:extLst>
            <a:ext uri="{FF2B5EF4-FFF2-40B4-BE49-F238E27FC236}">
              <a16:creationId xmlns:a16="http://schemas.microsoft.com/office/drawing/2014/main" id="{00000000-0008-0000-0500-000030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53368</xdr:colOff>
      <xdr:row>19</xdr:row>
      <xdr:rowOff>18352</xdr:rowOff>
    </xdr:from>
    <xdr:to>
      <xdr:col>9</xdr:col>
      <xdr:colOff>581368</xdr:colOff>
      <xdr:row>37</xdr:row>
      <xdr:rowOff>77977</xdr:rowOff>
    </xdr:to>
    <xdr:graphicFrame macro="">
      <xdr:nvGraphicFramePr>
        <xdr:cNvPr id="23601" name="Chart 19">
          <a:extLst>
            <a:ext uri="{FF2B5EF4-FFF2-40B4-BE49-F238E27FC236}">
              <a16:creationId xmlns:a16="http://schemas.microsoft.com/office/drawing/2014/main" id="{00000000-0008-0000-0500-000031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62707</xdr:colOff>
      <xdr:row>37</xdr:row>
      <xdr:rowOff>157867</xdr:rowOff>
    </xdr:from>
    <xdr:to>
      <xdr:col>15</xdr:col>
      <xdr:colOff>420220</xdr:colOff>
      <xdr:row>56</xdr:row>
      <xdr:rowOff>58742</xdr:rowOff>
    </xdr:to>
    <xdr:graphicFrame macro="">
      <xdr:nvGraphicFramePr>
        <xdr:cNvPr id="23602" name="Chart 20">
          <a:extLst>
            <a:ext uri="{FF2B5EF4-FFF2-40B4-BE49-F238E27FC236}">
              <a16:creationId xmlns:a16="http://schemas.microsoft.com/office/drawing/2014/main" id="{00000000-0008-0000-0500-0000325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xdr:from>
          <xdr:col>0</xdr:col>
          <xdr:colOff>76200</xdr:colOff>
          <xdr:row>0</xdr:row>
          <xdr:rowOff>50800</xdr:rowOff>
        </xdr:from>
        <xdr:to>
          <xdr:col>0</xdr:col>
          <xdr:colOff>1447800</xdr:colOff>
          <xdr:row>3</xdr:row>
          <xdr:rowOff>31750</xdr:rowOff>
        </xdr:to>
        <xdr:sp macro="" textlink="">
          <xdr:nvSpPr>
            <xdr:cNvPr id="23557" name="Button 5" hidden="1">
              <a:extLst>
                <a:ext uri="{63B3BB69-23CF-44E3-9099-C40C66FF867C}">
                  <a14:compatExt spid="_x0000_s23557"/>
                </a:ext>
                <a:ext uri="{FF2B5EF4-FFF2-40B4-BE49-F238E27FC236}">
                  <a16:creationId xmlns:a16="http://schemas.microsoft.com/office/drawing/2014/main" id="{00000000-0008-0000-0500-0000055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152400</xdr:rowOff>
        </xdr:from>
        <xdr:to>
          <xdr:col>0</xdr:col>
          <xdr:colOff>1447800</xdr:colOff>
          <xdr:row>10</xdr:row>
          <xdr:rowOff>0</xdr:rowOff>
        </xdr:to>
        <xdr:sp macro="" textlink="">
          <xdr:nvSpPr>
            <xdr:cNvPr id="23558" name="Button 6" hidden="1">
              <a:extLst>
                <a:ext uri="{63B3BB69-23CF-44E3-9099-C40C66FF867C}">
                  <a14:compatExt spid="_x0000_s23558"/>
                </a:ext>
                <a:ext uri="{FF2B5EF4-FFF2-40B4-BE49-F238E27FC236}">
                  <a16:creationId xmlns:a16="http://schemas.microsoft.com/office/drawing/2014/main" id="{00000000-0008-0000-0500-000006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69850</xdr:rowOff>
        </xdr:from>
        <xdr:to>
          <xdr:col>0</xdr:col>
          <xdr:colOff>1447800</xdr:colOff>
          <xdr:row>13</xdr:row>
          <xdr:rowOff>38100</xdr:rowOff>
        </xdr:to>
        <xdr:sp macro="" textlink="">
          <xdr:nvSpPr>
            <xdr:cNvPr id="23559" name="Button 7" hidden="1">
              <a:extLst>
                <a:ext uri="{63B3BB69-23CF-44E3-9099-C40C66FF867C}">
                  <a14:compatExt spid="_x0000_s23559"/>
                </a:ext>
                <a:ext uri="{FF2B5EF4-FFF2-40B4-BE49-F238E27FC236}">
                  <a16:creationId xmlns:a16="http://schemas.microsoft.com/office/drawing/2014/main" id="{00000000-0008-0000-0500-000007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1447800</xdr:colOff>
          <xdr:row>6</xdr:row>
          <xdr:rowOff>76200</xdr:rowOff>
        </xdr:to>
        <xdr:sp macro="" textlink="">
          <xdr:nvSpPr>
            <xdr:cNvPr id="23569" name="Button 17" hidden="1">
              <a:extLst>
                <a:ext uri="{63B3BB69-23CF-44E3-9099-C40C66FF867C}">
                  <a14:compatExt spid="_x0000_s23569"/>
                </a:ext>
                <a:ext uri="{FF2B5EF4-FFF2-40B4-BE49-F238E27FC236}">
                  <a16:creationId xmlns:a16="http://schemas.microsoft.com/office/drawing/2014/main" id="{00000000-0008-0000-0500-000011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25</xdr:row>
          <xdr:rowOff>12700</xdr:rowOff>
        </xdr:from>
        <xdr:to>
          <xdr:col>0</xdr:col>
          <xdr:colOff>1371600</xdr:colOff>
          <xdr:row>28</xdr:row>
          <xdr:rowOff>50800</xdr:rowOff>
        </xdr:to>
        <xdr:sp macro="" textlink="">
          <xdr:nvSpPr>
            <xdr:cNvPr id="23572" name="Button 20" hidden="1">
              <a:extLst>
                <a:ext uri="{63B3BB69-23CF-44E3-9099-C40C66FF867C}">
                  <a14:compatExt spid="_x0000_s23572"/>
                </a:ext>
                <a:ext uri="{FF2B5EF4-FFF2-40B4-BE49-F238E27FC236}">
                  <a16:creationId xmlns:a16="http://schemas.microsoft.com/office/drawing/2014/main" id="{00000000-0008-0000-0500-0000145C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336550</xdr:colOff>
          <xdr:row>38</xdr:row>
          <xdr:rowOff>95250</xdr:rowOff>
        </xdr:from>
        <xdr:to>
          <xdr:col>10</xdr:col>
          <xdr:colOff>495300</xdr:colOff>
          <xdr:row>39</xdr:row>
          <xdr:rowOff>76200</xdr:rowOff>
        </xdr:to>
        <xdr:sp macro="" textlink="">
          <xdr:nvSpPr>
            <xdr:cNvPr id="23573" name="Button 21" hidden="1">
              <a:extLst>
                <a:ext uri="{63B3BB69-23CF-44E3-9099-C40C66FF867C}">
                  <a14:compatExt spid="_x0000_s23573"/>
                </a:ext>
                <a:ext uri="{FF2B5EF4-FFF2-40B4-BE49-F238E27FC236}">
                  <a16:creationId xmlns:a16="http://schemas.microsoft.com/office/drawing/2014/main" id="{00000000-0008-0000-0500-0000155C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114300</xdr:colOff>
      <xdr:row>93</xdr:row>
      <xdr:rowOff>157162</xdr:rowOff>
    </xdr:from>
    <xdr:to>
      <xdr:col>7</xdr:col>
      <xdr:colOff>114300</xdr:colOff>
      <xdr:row>110</xdr:row>
      <xdr:rowOff>147637</xdr:rowOff>
    </xdr:to>
    <xdr:graphicFrame macro="">
      <xdr:nvGraphicFramePr>
        <xdr:cNvPr id="2" name="1 Gráfico">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123825</xdr:colOff>
      <xdr:row>76</xdr:row>
      <xdr:rowOff>109537</xdr:rowOff>
    </xdr:from>
    <xdr:to>
      <xdr:col>7</xdr:col>
      <xdr:colOff>123825</xdr:colOff>
      <xdr:row>93</xdr:row>
      <xdr:rowOff>100012</xdr:rowOff>
    </xdr:to>
    <xdr:graphicFrame macro="">
      <xdr:nvGraphicFramePr>
        <xdr:cNvPr id="3" name="2 Gráfico">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28575</xdr:rowOff>
    </xdr:from>
    <xdr:to>
      <xdr:col>6</xdr:col>
      <xdr:colOff>24782</xdr:colOff>
      <xdr:row>34</xdr:row>
      <xdr:rowOff>83159</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cstate="print"/>
        <a:stretch>
          <a:fillRect/>
        </a:stretch>
      </xdr:blipFill>
      <xdr:spPr>
        <a:xfrm>
          <a:off x="0" y="28575"/>
          <a:ext cx="4596782" cy="5560034"/>
        </a:xfrm>
        <a:prstGeom prst="rect">
          <a:avLst/>
        </a:prstGeom>
      </xdr:spPr>
    </xdr:pic>
    <xdr:clientData/>
  </xdr:twoCellAnchor>
  <xdr:twoCellAnchor editAs="oneCell">
    <xdr:from>
      <xdr:col>6</xdr:col>
      <xdr:colOff>314325</xdr:colOff>
      <xdr:row>0</xdr:row>
      <xdr:rowOff>0</xdr:rowOff>
    </xdr:from>
    <xdr:to>
      <xdr:col>12</xdr:col>
      <xdr:colOff>339107</xdr:colOff>
      <xdr:row>34</xdr:row>
      <xdr:rowOff>48487</xdr:rowOff>
    </xdr:to>
    <xdr:pic>
      <xdr:nvPicPr>
        <xdr:cNvPr id="7" name="6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cstate="print"/>
        <a:stretch>
          <a:fillRect/>
        </a:stretch>
      </xdr:blipFill>
      <xdr:spPr>
        <a:xfrm>
          <a:off x="4886325" y="0"/>
          <a:ext cx="4596782" cy="5553937"/>
        </a:xfrm>
        <a:prstGeom prst="rect">
          <a:avLst/>
        </a:prstGeom>
      </xdr:spPr>
    </xdr:pic>
    <xdr:clientData/>
  </xdr:twoCellAnchor>
  <xdr:twoCellAnchor editAs="oneCell">
    <xdr:from>
      <xdr:col>12</xdr:col>
      <xdr:colOff>295275</xdr:colOff>
      <xdr:row>0</xdr:row>
      <xdr:rowOff>0</xdr:rowOff>
    </xdr:from>
    <xdr:to>
      <xdr:col>18</xdr:col>
      <xdr:colOff>320057</xdr:colOff>
      <xdr:row>34</xdr:row>
      <xdr:rowOff>48487</xdr:rowOff>
    </xdr:to>
    <xdr:pic>
      <xdr:nvPicPr>
        <xdr:cNvPr id="8" name="7 Imagen">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cstate="print"/>
        <a:stretch>
          <a:fillRect/>
        </a:stretch>
      </xdr:blipFill>
      <xdr:spPr>
        <a:xfrm>
          <a:off x="9439275" y="0"/>
          <a:ext cx="4596782" cy="5553937"/>
        </a:xfrm>
        <a:prstGeom prst="rect">
          <a:avLst/>
        </a:prstGeom>
      </xdr:spPr>
    </xdr:pic>
    <xdr:clientData/>
  </xdr:twoCellAnchor>
  <xdr:twoCellAnchor editAs="oneCell">
    <xdr:from>
      <xdr:col>0</xdr:col>
      <xdr:colOff>647700</xdr:colOff>
      <xdr:row>34</xdr:row>
      <xdr:rowOff>133350</xdr:rowOff>
    </xdr:from>
    <xdr:to>
      <xdr:col>6</xdr:col>
      <xdr:colOff>672482</xdr:colOff>
      <xdr:row>69</xdr:row>
      <xdr:rowOff>19912</xdr:rowOff>
    </xdr:to>
    <xdr:pic>
      <xdr:nvPicPr>
        <xdr:cNvPr id="9" name="8 Imagen">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6" cstate="print"/>
        <a:stretch>
          <a:fillRect/>
        </a:stretch>
      </xdr:blipFill>
      <xdr:spPr>
        <a:xfrm>
          <a:off x="647700" y="5638800"/>
          <a:ext cx="4596782" cy="5553937"/>
        </a:xfrm>
        <a:prstGeom prst="rect">
          <a:avLst/>
        </a:prstGeom>
      </xdr:spPr>
    </xdr:pic>
    <xdr:clientData/>
  </xdr:twoCellAnchor>
  <xdr:twoCellAnchor editAs="oneCell">
    <xdr:from>
      <xdr:col>7</xdr:col>
      <xdr:colOff>19050</xdr:colOff>
      <xdr:row>35</xdr:row>
      <xdr:rowOff>0</xdr:rowOff>
    </xdr:from>
    <xdr:to>
      <xdr:col>13</xdr:col>
      <xdr:colOff>43832</xdr:colOff>
      <xdr:row>69</xdr:row>
      <xdr:rowOff>48487</xdr:rowOff>
    </xdr:to>
    <xdr:pic>
      <xdr:nvPicPr>
        <xdr:cNvPr id="10" name="9 Imagen">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7" cstate="print"/>
        <a:stretch>
          <a:fillRect/>
        </a:stretch>
      </xdr:blipFill>
      <xdr:spPr>
        <a:xfrm>
          <a:off x="5353050" y="5667375"/>
          <a:ext cx="4596782" cy="555393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93845</xdr:colOff>
      <xdr:row>0</xdr:row>
      <xdr:rowOff>141962</xdr:rowOff>
    </xdr:from>
    <xdr:to>
      <xdr:col>9</xdr:col>
      <xdr:colOff>613004</xdr:colOff>
      <xdr:row>20</xdr:row>
      <xdr:rowOff>158160</xdr:rowOff>
    </xdr:to>
    <xdr:graphicFrame macro="">
      <xdr:nvGraphicFramePr>
        <xdr:cNvPr id="4" name="GDP">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41210</xdr:colOff>
      <xdr:row>1</xdr:row>
      <xdr:rowOff>316</xdr:rowOff>
    </xdr:from>
    <xdr:to>
      <xdr:col>15</xdr:col>
      <xdr:colOff>564086</xdr:colOff>
      <xdr:row>21</xdr:row>
      <xdr:rowOff>16514</xdr:rowOff>
    </xdr:to>
    <xdr:graphicFrame macro="">
      <xdr:nvGraphicFramePr>
        <xdr:cNvPr id="5" name="growth">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3</xdr:row>
          <xdr:rowOff>57150</xdr:rowOff>
        </xdr:from>
        <xdr:to>
          <xdr:col>0</xdr:col>
          <xdr:colOff>1460500</xdr:colOff>
          <xdr:row>6</xdr:row>
          <xdr:rowOff>0</xdr:rowOff>
        </xdr:to>
        <xdr:sp macro="" textlink="">
          <xdr:nvSpPr>
            <xdr:cNvPr id="98305" name="Button 1" hidden="1">
              <a:extLst>
                <a:ext uri="{63B3BB69-23CF-44E3-9099-C40C66FF867C}">
                  <a14:compatExt spid="_x0000_s98305"/>
                </a:ext>
                <a:ext uri="{FF2B5EF4-FFF2-40B4-BE49-F238E27FC236}">
                  <a16:creationId xmlns:a16="http://schemas.microsoft.com/office/drawing/2014/main" id="{00000000-0008-0000-0800-0000018001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Back</a:t>
              </a:r>
            </a:p>
          </xdr:txBody>
        </xdr:sp>
        <xdr:clientData fPrintsWithSheet="0"/>
      </xdr:twoCellAnchor>
    </mc:Choice>
    <mc:Fallback/>
  </mc:AlternateContent>
  <xdr:twoCellAnchor>
    <xdr:from>
      <xdr:col>0</xdr:col>
      <xdr:colOff>1321707</xdr:colOff>
      <xdr:row>20</xdr:row>
      <xdr:rowOff>113729</xdr:rowOff>
    </xdr:from>
    <xdr:to>
      <xdr:col>4</xdr:col>
      <xdr:colOff>34066</xdr:colOff>
      <xdr:row>34</xdr:row>
      <xdr:rowOff>84875</xdr:rowOff>
    </xdr:to>
    <xdr:sp macro="" textlink="">
      <xdr:nvSpPr>
        <xdr:cNvPr id="13" name="2 Rectangle">
          <a:extLst>
            <a:ext uri="{FF2B5EF4-FFF2-40B4-BE49-F238E27FC236}">
              <a16:creationId xmlns:a16="http://schemas.microsoft.com/office/drawing/2014/main" id="{00000000-0008-0000-0800-00000D000000}"/>
            </a:ext>
          </a:extLst>
        </xdr:cNvPr>
        <xdr:cNvSpPr/>
      </xdr:nvSpPr>
      <xdr:spPr>
        <a:xfrm>
          <a:off x="1321707" y="4523804"/>
          <a:ext cx="1074559" cy="2238096"/>
        </a:xfrm>
        <a:prstGeom prst="rect">
          <a:avLst/>
        </a:prstGeom>
        <a:noFill/>
        <a:ln>
          <a:noFill/>
        </a:ln>
        <a:extLst>
          <a:ext uri="{909E8E84-426E-40DD-AFC4-6F175D3DCCD1}">
            <a14:hiddenFill xmlns:a14="http://schemas.microsoft.com/office/drawing/2010/main">
              <a:pattFill prst="pct10">
                <a:fgClr>
                  <a:srgbClr val="00FF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4</xdr:col>
      <xdr:colOff>94308</xdr:colOff>
      <xdr:row>22</xdr:row>
      <xdr:rowOff>18861</xdr:rowOff>
    </xdr:from>
    <xdr:to>
      <xdr:col>9</xdr:col>
      <xdr:colOff>613467</xdr:colOff>
      <xdr:row>42</xdr:row>
      <xdr:rowOff>72781</xdr:rowOff>
    </xdr:to>
    <xdr:graphicFrame macro="">
      <xdr:nvGraphicFramePr>
        <xdr:cNvPr id="6" name="GDP">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41673</xdr:colOff>
      <xdr:row>22</xdr:row>
      <xdr:rowOff>37537</xdr:rowOff>
    </xdr:from>
    <xdr:to>
      <xdr:col>15</xdr:col>
      <xdr:colOff>564549</xdr:colOff>
      <xdr:row>42</xdr:row>
      <xdr:rowOff>91457</xdr:rowOff>
    </xdr:to>
    <xdr:graphicFrame macro="">
      <xdr:nvGraphicFramePr>
        <xdr:cNvPr id="7" name="growth">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198044</xdr:colOff>
      <xdr:row>21</xdr:row>
      <xdr:rowOff>132026</xdr:rowOff>
    </xdr:from>
    <xdr:to>
      <xdr:col>15</xdr:col>
      <xdr:colOff>612995</xdr:colOff>
      <xdr:row>42</xdr:row>
      <xdr:rowOff>160318</xdr:rowOff>
    </xdr:to>
    <xdr:sp macro="" textlink="">
      <xdr:nvSpPr>
        <xdr:cNvPr id="2" name="Rectángulo 1">
          <a:extLst>
            <a:ext uri="{FF2B5EF4-FFF2-40B4-BE49-F238E27FC236}">
              <a16:creationId xmlns:a16="http://schemas.microsoft.com/office/drawing/2014/main" id="{00000000-0008-0000-0800-000002000000}"/>
            </a:ext>
          </a:extLst>
        </xdr:cNvPr>
        <xdr:cNvSpPr/>
      </xdr:nvSpPr>
      <xdr:spPr>
        <a:xfrm>
          <a:off x="2291658" y="3536506"/>
          <a:ext cx="9081758" cy="3395050"/>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683236</xdr:colOff>
      <xdr:row>0</xdr:row>
      <xdr:rowOff>154511</xdr:rowOff>
    </xdr:from>
    <xdr:to>
      <xdr:col>15</xdr:col>
      <xdr:colOff>442226</xdr:colOff>
      <xdr:row>21</xdr:row>
      <xdr:rowOff>11105</xdr:rowOff>
    </xdr:to>
    <xdr:graphicFrame macro="">
      <xdr:nvGraphicFramePr>
        <xdr:cNvPr id="12376" name="interest_rates">
          <a:extLst>
            <a:ext uri="{FF2B5EF4-FFF2-40B4-BE49-F238E27FC236}">
              <a16:creationId xmlns:a16="http://schemas.microsoft.com/office/drawing/2014/main" id="{00000000-0008-0000-0900-000058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107706</xdr:colOff>
      <xdr:row>25</xdr:row>
      <xdr:rowOff>9840</xdr:rowOff>
    </xdr:from>
    <xdr:to>
      <xdr:col>9</xdr:col>
      <xdr:colOff>626865</xdr:colOff>
      <xdr:row>45</xdr:row>
      <xdr:rowOff>63391</xdr:rowOff>
    </xdr:to>
    <xdr:graphicFrame macro="">
      <xdr:nvGraphicFramePr>
        <xdr:cNvPr id="12377" name="GDP">
          <a:extLst>
            <a:ext uri="{FF2B5EF4-FFF2-40B4-BE49-F238E27FC236}">
              <a16:creationId xmlns:a16="http://schemas.microsoft.com/office/drawing/2014/main" id="{00000000-0008-0000-0900-000059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683236</xdr:colOff>
      <xdr:row>25</xdr:row>
      <xdr:rowOff>9840</xdr:rowOff>
    </xdr:from>
    <xdr:to>
      <xdr:col>15</xdr:col>
      <xdr:colOff>442226</xdr:colOff>
      <xdr:row>45</xdr:row>
      <xdr:rowOff>63391</xdr:rowOff>
    </xdr:to>
    <xdr:graphicFrame macro="">
      <xdr:nvGraphicFramePr>
        <xdr:cNvPr id="12378" name="growth">
          <a:extLst>
            <a:ext uri="{FF2B5EF4-FFF2-40B4-BE49-F238E27FC236}">
              <a16:creationId xmlns:a16="http://schemas.microsoft.com/office/drawing/2014/main" id="{00000000-0008-0000-0900-00005A3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107706</xdr:colOff>
      <xdr:row>0</xdr:row>
      <xdr:rowOff>154887</xdr:rowOff>
    </xdr:from>
    <xdr:to>
      <xdr:col>9</xdr:col>
      <xdr:colOff>626865</xdr:colOff>
      <xdr:row>21</xdr:row>
      <xdr:rowOff>10729</xdr:rowOff>
    </xdr:to>
    <xdr:graphicFrame macro="">
      <xdr:nvGraphicFramePr>
        <xdr:cNvPr id="2" name="inflation">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0</xdr:col>
          <xdr:colOff>88900</xdr:colOff>
          <xdr:row>0</xdr:row>
          <xdr:rowOff>57150</xdr:rowOff>
        </xdr:from>
        <xdr:to>
          <xdr:col>0</xdr:col>
          <xdr:colOff>1460500</xdr:colOff>
          <xdr:row>3</xdr:row>
          <xdr:rowOff>31750</xdr:rowOff>
        </xdr:to>
        <xdr:sp macro="" textlink="">
          <xdr:nvSpPr>
            <xdr:cNvPr id="12294" name="Button 6" hidden="1">
              <a:extLst>
                <a:ext uri="{63B3BB69-23CF-44E3-9099-C40C66FF867C}">
                  <a14:compatExt spid="_x0000_s12294"/>
                </a:ext>
                <a:ext uri="{FF2B5EF4-FFF2-40B4-BE49-F238E27FC236}">
                  <a16:creationId xmlns:a16="http://schemas.microsoft.com/office/drawing/2014/main" id="{00000000-0008-0000-0900-00000630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3</xdr:row>
          <xdr:rowOff>114300</xdr:rowOff>
        </xdr:from>
        <xdr:to>
          <xdr:col>0</xdr:col>
          <xdr:colOff>1466850</xdr:colOff>
          <xdr:row>6</xdr:row>
          <xdr:rowOff>88900</xdr:rowOff>
        </xdr:to>
        <xdr:sp macro="" textlink="">
          <xdr:nvSpPr>
            <xdr:cNvPr id="12295" name="Button 7" hidden="1">
              <a:extLst>
                <a:ext uri="{63B3BB69-23CF-44E3-9099-C40C66FF867C}">
                  <a14:compatExt spid="_x0000_s12295"/>
                </a:ext>
                <a:ext uri="{FF2B5EF4-FFF2-40B4-BE49-F238E27FC236}">
                  <a16:creationId xmlns:a16="http://schemas.microsoft.com/office/drawing/2014/main" id="{00000000-0008-0000-0900-000007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10</xdr:row>
          <xdr:rowOff>31750</xdr:rowOff>
        </xdr:from>
        <xdr:to>
          <xdr:col>0</xdr:col>
          <xdr:colOff>1479550</xdr:colOff>
          <xdr:row>13</xdr:row>
          <xdr:rowOff>0</xdr:rowOff>
        </xdr:to>
        <xdr:sp macro="" textlink="">
          <xdr:nvSpPr>
            <xdr:cNvPr id="12296" name="Button 8" hidden="1">
              <a:extLst>
                <a:ext uri="{63B3BB69-23CF-44E3-9099-C40C66FF867C}">
                  <a14:compatExt spid="_x0000_s12296"/>
                </a:ext>
                <a:ext uri="{FF2B5EF4-FFF2-40B4-BE49-F238E27FC236}">
                  <a16:creationId xmlns:a16="http://schemas.microsoft.com/office/drawing/2014/main" id="{00000000-0008-0000-0900-000008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24</xdr:row>
          <xdr:rowOff>38100</xdr:rowOff>
        </xdr:from>
        <xdr:to>
          <xdr:col>0</xdr:col>
          <xdr:colOff>1479550</xdr:colOff>
          <xdr:row>26</xdr:row>
          <xdr:rowOff>95250</xdr:rowOff>
        </xdr:to>
        <xdr:sp macro="" textlink="">
          <xdr:nvSpPr>
            <xdr:cNvPr id="12323" name="Button 35" hidden="1">
              <a:extLst>
                <a:ext uri="{63B3BB69-23CF-44E3-9099-C40C66FF867C}">
                  <a14:compatExt spid="_x0000_s12323"/>
                </a:ext>
                <a:ext uri="{FF2B5EF4-FFF2-40B4-BE49-F238E27FC236}">
                  <a16:creationId xmlns:a16="http://schemas.microsoft.com/office/drawing/2014/main" id="{00000000-0008-0000-0900-000023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 </a:t>
              </a:r>
              <a:r>
                <a:rPr lang="en-GB" sz="1000" b="0" i="0" u="none" strike="noStrike" baseline="0">
                  <a:solidFill>
                    <a:srgbClr val="000000"/>
                  </a:solidFill>
                  <a:latin typeface="Arial"/>
                  <a:cs typeface="Arial"/>
                </a:rPr>
                <a:t>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76200</xdr:colOff>
          <xdr:row>6</xdr:row>
          <xdr:rowOff>146050</xdr:rowOff>
        </xdr:from>
        <xdr:to>
          <xdr:col>0</xdr:col>
          <xdr:colOff>1466850</xdr:colOff>
          <xdr:row>9</xdr:row>
          <xdr:rowOff>133350</xdr:rowOff>
        </xdr:to>
        <xdr:sp macro="" textlink="">
          <xdr:nvSpPr>
            <xdr:cNvPr id="12349" name="Button 61" hidden="1">
              <a:extLst>
                <a:ext uri="{63B3BB69-23CF-44E3-9099-C40C66FF867C}">
                  <a14:compatExt spid="_x0000_s12349"/>
                </a:ext>
                <a:ext uri="{FF2B5EF4-FFF2-40B4-BE49-F238E27FC236}">
                  <a16:creationId xmlns:a16="http://schemas.microsoft.com/office/drawing/2014/main" id="{00000000-0008-0000-0900-00003D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60285</xdr:colOff>
      <xdr:row>6</xdr:row>
      <xdr:rowOff>144684</xdr:rowOff>
    </xdr:from>
    <xdr:to>
      <xdr:col>0</xdr:col>
      <xdr:colOff>1495063</xdr:colOff>
      <xdr:row>10</xdr:row>
      <xdr:rowOff>0</xdr:rowOff>
    </xdr:to>
    <xdr:sp macro="" textlink="">
      <xdr:nvSpPr>
        <xdr:cNvPr id="6" name="5 Rectangle">
          <a:extLst>
            <a:ext uri="{FF2B5EF4-FFF2-40B4-BE49-F238E27FC236}">
              <a16:creationId xmlns:a16="http://schemas.microsoft.com/office/drawing/2014/main" id="{00000000-0008-0000-0900-000006000000}"/>
            </a:ext>
          </a:extLst>
        </xdr:cNvPr>
        <xdr:cNvSpPr/>
      </xdr:nvSpPr>
      <xdr:spPr>
        <a:xfrm>
          <a:off x="60285" y="1085127"/>
          <a:ext cx="1434778" cy="482278"/>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177939</xdr:colOff>
      <xdr:row>28</xdr:row>
      <xdr:rowOff>62801</xdr:rowOff>
    </xdr:from>
    <xdr:to>
      <xdr:col>0</xdr:col>
      <xdr:colOff>1109349</xdr:colOff>
      <xdr:row>42</xdr:row>
      <xdr:rowOff>37722</xdr:rowOff>
    </xdr:to>
    <xdr:sp macro="" textlink="">
      <xdr:nvSpPr>
        <xdr:cNvPr id="21" name="20 Rectángulo redondeado">
          <a:extLst>
            <a:ext uri="{FF2B5EF4-FFF2-40B4-BE49-F238E27FC236}">
              <a16:creationId xmlns:a16="http://schemas.microsoft.com/office/drawing/2014/main" id="{00000000-0008-0000-0900-000015000000}"/>
            </a:ext>
          </a:extLst>
        </xdr:cNvPr>
        <xdr:cNvSpPr/>
      </xdr:nvSpPr>
      <xdr:spPr>
        <a:xfrm>
          <a:off x="177939" y="4589534"/>
          <a:ext cx="931410" cy="22194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167473</xdr:colOff>
      <xdr:row>28</xdr:row>
      <xdr:rowOff>62802</xdr:rowOff>
    </xdr:from>
    <xdr:to>
      <xdr:col>0</xdr:col>
      <xdr:colOff>1155748</xdr:colOff>
      <xdr:row>39</xdr:row>
      <xdr:rowOff>66015</xdr:rowOff>
    </xdr:to>
    <xdr:sp macro="" textlink="">
      <xdr:nvSpPr>
        <xdr:cNvPr id="25" name="24 CuadroTexto">
          <a:extLst>
            <a:ext uri="{FF2B5EF4-FFF2-40B4-BE49-F238E27FC236}">
              <a16:creationId xmlns:a16="http://schemas.microsoft.com/office/drawing/2014/main" id="{00000000-0008-0000-0900-000019000000}"/>
            </a:ext>
          </a:extLst>
        </xdr:cNvPr>
        <xdr:cNvSpPr txBox="1"/>
      </xdr:nvSpPr>
      <xdr:spPr>
        <a:xfrm>
          <a:off x="167473" y="4589535"/>
          <a:ext cx="988275" cy="1766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the case when</a:t>
          </a:r>
          <a:r>
            <a:rPr lang="es-ES" sz="1100" baseline="0">
              <a:solidFill>
                <a:schemeClr val="bg1"/>
              </a:solidFill>
            </a:rPr>
            <a:t> it takes five periods for the central bank to recognize a change in equilibrium income (dashed line)</a:t>
          </a:r>
          <a:endParaRPr lang="es-ES" sz="1100">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393700</xdr:colOff>
          <xdr:row>39</xdr:row>
          <xdr:rowOff>114300</xdr:rowOff>
        </xdr:from>
        <xdr:to>
          <xdr:col>0</xdr:col>
          <xdr:colOff>914400</xdr:colOff>
          <xdr:row>41</xdr:row>
          <xdr:rowOff>69850</xdr:rowOff>
        </xdr:to>
        <xdr:sp macro="" textlink="">
          <xdr:nvSpPr>
            <xdr:cNvPr id="12351" name="Drop Down 63" hidden="1">
              <a:extLst>
                <a:ext uri="{63B3BB69-23CF-44E3-9099-C40C66FF867C}">
                  <a14:compatExt spid="_x0000_s12351"/>
                </a:ext>
                <a:ext uri="{FF2B5EF4-FFF2-40B4-BE49-F238E27FC236}">
                  <a16:creationId xmlns:a16="http://schemas.microsoft.com/office/drawing/2014/main" id="{00000000-0008-0000-0900-00003F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125605</xdr:colOff>
      <xdr:row>27</xdr:row>
      <xdr:rowOff>125605</xdr:rowOff>
    </xdr:from>
    <xdr:to>
      <xdr:col>0</xdr:col>
      <xdr:colOff>1184963</xdr:colOff>
      <xdr:row>42</xdr:row>
      <xdr:rowOff>103737</xdr:rowOff>
    </xdr:to>
    <xdr:sp macro="" textlink="">
      <xdr:nvSpPr>
        <xdr:cNvPr id="24" name="23 Rectangle">
          <a:extLst>
            <a:ext uri="{FF2B5EF4-FFF2-40B4-BE49-F238E27FC236}">
              <a16:creationId xmlns:a16="http://schemas.microsoft.com/office/drawing/2014/main" id="{00000000-0008-0000-0900-000018000000}"/>
            </a:ext>
          </a:extLst>
        </xdr:cNvPr>
        <xdr:cNvSpPr/>
      </xdr:nvSpPr>
      <xdr:spPr>
        <a:xfrm>
          <a:off x="125605" y="4492016"/>
          <a:ext cx="1059358" cy="2382959"/>
        </a:xfrm>
        <a:prstGeom prst="rect">
          <a:avLst/>
        </a:prstGeom>
        <a:pattFill prst="pct10">
          <a:fgClr>
            <a:srgbClr val="00FF00"/>
          </a:fgClr>
          <a:bgClr>
            <a:schemeClr val="bg1">
              <a:lumMod val="100000"/>
            </a:scheme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669442</xdr:colOff>
      <xdr:row>21</xdr:row>
      <xdr:rowOff>75870</xdr:rowOff>
    </xdr:from>
    <xdr:to>
      <xdr:col>10</xdr:col>
      <xdr:colOff>669582</xdr:colOff>
      <xdr:row>24</xdr:row>
      <xdr:rowOff>84876</xdr:rowOff>
    </xdr:to>
    <xdr:sp macro="" textlink="">
      <xdr:nvSpPr>
        <xdr:cNvPr id="20" name="19 Rectángulo redondeado">
          <a:extLst>
            <a:ext uri="{FF2B5EF4-FFF2-40B4-BE49-F238E27FC236}">
              <a16:creationId xmlns:a16="http://schemas.microsoft.com/office/drawing/2014/main" id="{00000000-0008-0000-0900-000014000000}"/>
            </a:ext>
          </a:extLst>
        </xdr:cNvPr>
        <xdr:cNvSpPr/>
      </xdr:nvSpPr>
      <xdr:spPr>
        <a:xfrm rot="16200000">
          <a:off x="6219687" y="2579437"/>
          <a:ext cx="489972" cy="22917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635117</xdr:colOff>
      <xdr:row>21</xdr:row>
      <xdr:rowOff>91587</xdr:rowOff>
    </xdr:from>
    <xdr:to>
      <xdr:col>10</xdr:col>
      <xdr:colOff>50414</xdr:colOff>
      <xdr:row>24</xdr:row>
      <xdr:rowOff>64111</xdr:rowOff>
    </xdr:to>
    <xdr:sp macro="" textlink="">
      <xdr:nvSpPr>
        <xdr:cNvPr id="22" name="21 CuadroTexto">
          <a:extLst>
            <a:ext uri="{FF2B5EF4-FFF2-40B4-BE49-F238E27FC236}">
              <a16:creationId xmlns:a16="http://schemas.microsoft.com/office/drawing/2014/main" id="{00000000-0008-0000-0900-000016000000}"/>
            </a:ext>
          </a:extLst>
        </xdr:cNvPr>
        <xdr:cNvSpPr txBox="1"/>
      </xdr:nvSpPr>
      <xdr:spPr>
        <a:xfrm>
          <a:off x="5269396" y="3590193"/>
          <a:ext cx="1695802" cy="467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a:solidFill>
                <a:schemeClr val="bg1"/>
              </a:solidFill>
            </a:rPr>
            <a:t>Show potential GDP and output gap</a:t>
          </a:r>
        </a:p>
      </xdr:txBody>
    </xdr:sp>
    <xdr:clientData/>
  </xdr:twoCellAnchor>
  <mc:AlternateContent xmlns:mc="http://schemas.openxmlformats.org/markup-compatibility/2006">
    <mc:Choice xmlns:a14="http://schemas.microsoft.com/office/drawing/2010/main" Requires="a14">
      <xdr:twoCellAnchor>
        <xdr:from>
          <xdr:col>10</xdr:col>
          <xdr:colOff>38100</xdr:colOff>
          <xdr:row>22</xdr:row>
          <xdr:rowOff>19050</xdr:rowOff>
        </xdr:from>
        <xdr:to>
          <xdr:col>10</xdr:col>
          <xdr:colOff>533400</xdr:colOff>
          <xdr:row>23</xdr:row>
          <xdr:rowOff>146050</xdr:rowOff>
        </xdr:to>
        <xdr:sp macro="" textlink="">
          <xdr:nvSpPr>
            <xdr:cNvPr id="12352" name="Button 64" hidden="1">
              <a:extLst>
                <a:ext uri="{63B3BB69-23CF-44E3-9099-C40C66FF867C}">
                  <a14:compatExt spid="_x0000_s12352"/>
                </a:ext>
                <a:ext uri="{FF2B5EF4-FFF2-40B4-BE49-F238E27FC236}">
                  <a16:creationId xmlns:a16="http://schemas.microsoft.com/office/drawing/2014/main" id="{00000000-0008-0000-0900-00004030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Go</a:t>
              </a:r>
            </a:p>
          </xdr:txBody>
        </xdr:sp>
        <xdr:clientData fPrintsWithSheet="0"/>
      </xdr:twoCellAnchor>
    </mc:Choice>
    <mc:Fallback/>
  </mc:AlternateContent>
  <xdr:twoCellAnchor>
    <xdr:from>
      <xdr:col>7</xdr:col>
      <xdr:colOff>494387</xdr:colOff>
      <xdr:row>21</xdr:row>
      <xdr:rowOff>65368</xdr:rowOff>
    </xdr:from>
    <xdr:to>
      <xdr:col>11</xdr:col>
      <xdr:colOff>120858</xdr:colOff>
      <xdr:row>24</xdr:row>
      <xdr:rowOff>112059</xdr:rowOff>
    </xdr:to>
    <xdr:sp macro="" textlink="">
      <xdr:nvSpPr>
        <xdr:cNvPr id="23" name="3 Rectangle">
          <a:extLst>
            <a:ext uri="{FF2B5EF4-FFF2-40B4-BE49-F238E27FC236}">
              <a16:creationId xmlns:a16="http://schemas.microsoft.com/office/drawing/2014/main" id="{00000000-0008-0000-0900-000017000000}"/>
            </a:ext>
          </a:extLst>
        </xdr:cNvPr>
        <xdr:cNvSpPr/>
      </xdr:nvSpPr>
      <xdr:spPr>
        <a:xfrm>
          <a:off x="5128666" y="3563974"/>
          <a:ext cx="2667144" cy="541258"/>
        </a:xfrm>
        <a:prstGeom prst="rect">
          <a:avLst/>
        </a:prstGeom>
        <a:noFill/>
        <a:ln>
          <a:noFill/>
        </a:ln>
        <a:extLst>
          <a:ext uri="{909E8E84-426E-40DD-AFC4-6F175D3DCCD1}">
            <a14:hiddenFill xmlns:a14="http://schemas.microsoft.com/office/drawing/2010/main">
              <a:pattFill prst="pct20">
                <a:fgClr>
                  <a:srgbClr val="FFC000"/>
                </a:fgClr>
                <a:bgClr>
                  <a:schemeClr val="bg1">
                    <a:lumMod val="100000"/>
                  </a:schemeClr>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13</xdr:col>
          <xdr:colOff>438150</xdr:colOff>
          <xdr:row>1</xdr:row>
          <xdr:rowOff>76200</xdr:rowOff>
        </xdr:from>
        <xdr:to>
          <xdr:col>13</xdr:col>
          <xdr:colOff>590550</xdr:colOff>
          <xdr:row>2</xdr:row>
          <xdr:rowOff>50800</xdr:rowOff>
        </xdr:to>
        <xdr:sp macro="" textlink="">
          <xdr:nvSpPr>
            <xdr:cNvPr id="12353" name="Button 65" hidden="1">
              <a:extLst>
                <a:ext uri="{63B3BB69-23CF-44E3-9099-C40C66FF867C}">
                  <a14:compatExt spid="_x0000_s12353"/>
                </a:ext>
                <a:ext uri="{FF2B5EF4-FFF2-40B4-BE49-F238E27FC236}">
                  <a16:creationId xmlns:a16="http://schemas.microsoft.com/office/drawing/2014/main" id="{00000000-0008-0000-0900-00004130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1" i="0" u="none" strike="noStrike" baseline="0">
                  <a:solidFill>
                    <a:srgbClr val="000000"/>
                  </a:solidFill>
                  <a:latin typeface="Arial"/>
                  <a:cs typeface="Arial"/>
                </a:rPr>
                <a:t>*</a:t>
              </a:r>
            </a:p>
          </xdr:txBody>
        </xdr:sp>
        <xdr:clientData fPrintsWithSheet="0"/>
      </xdr:twoCellAnchor>
    </mc:Choice>
    <mc:Fallback/>
  </mc:AlternateContent>
  <xdr:twoCellAnchor>
    <xdr:from>
      <xdr:col>13</xdr:col>
      <xdr:colOff>433812</xdr:colOff>
      <xdr:row>1</xdr:row>
      <xdr:rowOff>56584</xdr:rowOff>
    </xdr:from>
    <xdr:to>
      <xdr:col>13</xdr:col>
      <xdr:colOff>631856</xdr:colOff>
      <xdr:row>2</xdr:row>
      <xdr:rowOff>66014</xdr:rowOff>
    </xdr:to>
    <xdr:sp macro="" textlink="">
      <xdr:nvSpPr>
        <xdr:cNvPr id="8" name="Rectángulo 6">
          <a:extLst>
            <a:ext uri="{FF2B5EF4-FFF2-40B4-BE49-F238E27FC236}">
              <a16:creationId xmlns:a16="http://schemas.microsoft.com/office/drawing/2014/main" id="{00000000-0008-0000-0900-000008000000}"/>
            </a:ext>
          </a:extLst>
        </xdr:cNvPr>
        <xdr:cNvSpPr/>
      </xdr:nvSpPr>
      <xdr:spPr>
        <a:xfrm>
          <a:off x="9666461" y="216906"/>
          <a:ext cx="198044" cy="169752"/>
        </a:xfrm>
        <a:prstGeom prst="rect">
          <a:avLst/>
        </a:prstGeom>
        <a:noFill/>
        <a:ln w="25400" cap="flat" cmpd="sng" algn="ctr">
          <a:noFill/>
          <a:prstDash val="solid"/>
        </a:ln>
        <a:effectLst/>
        <a:extLst>
          <a:ext uri="{909E8E84-426E-40DD-AFC4-6F175D3DCCD1}">
            <a14:hiddenFill xmlns:a14="http://schemas.microsoft.com/office/drawing/2010/main">
              <a:pattFill prst="pct20">
                <a:fgClr>
                  <a:srgbClr val="FFFFFF"/>
                </a:fgClr>
                <a:bgClr>
                  <a:srgbClr val="FFFFFF"/>
                </a:bgClr>
              </a:patt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1303389</xdr:colOff>
      <xdr:row>34</xdr:row>
      <xdr:rowOff>104282</xdr:rowOff>
    </xdr:from>
    <xdr:to>
      <xdr:col>4</xdr:col>
      <xdr:colOff>15748</xdr:colOff>
      <xdr:row>38</xdr:row>
      <xdr:rowOff>146539</xdr:rowOff>
    </xdr:to>
    <xdr:sp macro="" textlink="">
      <xdr:nvSpPr>
        <xdr:cNvPr id="3" name="2 Rectangle">
          <a:extLst>
            <a:ext uri="{FF2B5EF4-FFF2-40B4-BE49-F238E27FC236}">
              <a16:creationId xmlns:a16="http://schemas.microsoft.com/office/drawing/2014/main" id="{00000000-0008-0000-0900-000003000000}"/>
            </a:ext>
          </a:extLst>
        </xdr:cNvPr>
        <xdr:cNvSpPr/>
      </xdr:nvSpPr>
      <xdr:spPr>
        <a:xfrm>
          <a:off x="1303389" y="5746013"/>
          <a:ext cx="1066133" cy="701680"/>
        </a:xfrm>
        <a:prstGeom prst="rect">
          <a:avLst/>
        </a:prstGeom>
        <a:pattFill prst="pct10">
          <a:fgClr>
            <a:srgbClr val="00FF00"/>
          </a:fgClr>
          <a:bgClr>
            <a:srgbClr val="FFFFFF"/>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73529</xdr:colOff>
      <xdr:row>1</xdr:row>
      <xdr:rowOff>8225</xdr:rowOff>
    </xdr:from>
    <xdr:to>
      <xdr:col>10</xdr:col>
      <xdr:colOff>284705</xdr:colOff>
      <xdr:row>21</xdr:row>
      <xdr:rowOff>155883</xdr:rowOff>
    </xdr:to>
    <xdr:graphicFrame macro="">
      <xdr:nvGraphicFramePr>
        <xdr:cNvPr id="14371" name="Chart 1025">
          <a:extLst>
            <a:ext uri="{FF2B5EF4-FFF2-40B4-BE49-F238E27FC236}">
              <a16:creationId xmlns:a16="http://schemas.microsoft.com/office/drawing/2014/main" id="{00000000-0008-0000-0C00-000023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73529</xdr:colOff>
      <xdr:row>22</xdr:row>
      <xdr:rowOff>80788</xdr:rowOff>
    </xdr:from>
    <xdr:to>
      <xdr:col>16</xdr:col>
      <xdr:colOff>112057</xdr:colOff>
      <xdr:row>43</xdr:row>
      <xdr:rowOff>102238</xdr:rowOff>
    </xdr:to>
    <xdr:graphicFrame macro="">
      <xdr:nvGraphicFramePr>
        <xdr:cNvPr id="14372" name="Chart 1026">
          <a:extLst>
            <a:ext uri="{FF2B5EF4-FFF2-40B4-BE49-F238E27FC236}">
              <a16:creationId xmlns:a16="http://schemas.microsoft.com/office/drawing/2014/main" id="{00000000-0008-0000-0C00-000024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386468</xdr:colOff>
      <xdr:row>1</xdr:row>
      <xdr:rowOff>8225</xdr:rowOff>
    </xdr:from>
    <xdr:to>
      <xdr:col>16</xdr:col>
      <xdr:colOff>112057</xdr:colOff>
      <xdr:row>21</xdr:row>
      <xdr:rowOff>155883</xdr:rowOff>
    </xdr:to>
    <xdr:graphicFrame macro="">
      <xdr:nvGraphicFramePr>
        <xdr:cNvPr id="14373" name="Chart 1027">
          <a:extLst>
            <a:ext uri="{FF2B5EF4-FFF2-40B4-BE49-F238E27FC236}">
              <a16:creationId xmlns:a16="http://schemas.microsoft.com/office/drawing/2014/main" id="{00000000-0008-0000-0C00-0000253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0</xdr:col>
          <xdr:colOff>57150</xdr:colOff>
          <xdr:row>0</xdr:row>
          <xdr:rowOff>50800</xdr:rowOff>
        </xdr:from>
        <xdr:to>
          <xdr:col>0</xdr:col>
          <xdr:colOff>1371600</xdr:colOff>
          <xdr:row>3</xdr:row>
          <xdr:rowOff>69850</xdr:rowOff>
        </xdr:to>
        <xdr:sp macro="" textlink="">
          <xdr:nvSpPr>
            <xdr:cNvPr id="14340" name="Button 1028" hidden="1">
              <a:extLst>
                <a:ext uri="{63B3BB69-23CF-44E3-9099-C40C66FF867C}">
                  <a14:compatExt spid="_x0000_s14340"/>
                </a:ext>
                <a:ext uri="{FF2B5EF4-FFF2-40B4-BE49-F238E27FC236}">
                  <a16:creationId xmlns:a16="http://schemas.microsoft.com/office/drawing/2014/main" id="{00000000-0008-0000-0C00-0000043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4</xdr:row>
          <xdr:rowOff>19050</xdr:rowOff>
        </xdr:from>
        <xdr:to>
          <xdr:col>0</xdr:col>
          <xdr:colOff>1371600</xdr:colOff>
          <xdr:row>7</xdr:row>
          <xdr:rowOff>19050</xdr:rowOff>
        </xdr:to>
        <xdr:sp macro="" textlink="">
          <xdr:nvSpPr>
            <xdr:cNvPr id="14341" name="Button 1029" hidden="1">
              <a:extLst>
                <a:ext uri="{63B3BB69-23CF-44E3-9099-C40C66FF867C}">
                  <a14:compatExt spid="_x0000_s14341"/>
                </a:ext>
                <a:ext uri="{FF2B5EF4-FFF2-40B4-BE49-F238E27FC236}">
                  <a16:creationId xmlns:a16="http://schemas.microsoft.com/office/drawing/2014/main" id="{00000000-0008-0000-0C00-000005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Inflation, income and interst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11</xdr:row>
          <xdr:rowOff>69850</xdr:rowOff>
        </xdr:from>
        <xdr:to>
          <xdr:col>0</xdr:col>
          <xdr:colOff>1371600</xdr:colOff>
          <xdr:row>14</xdr:row>
          <xdr:rowOff>88900</xdr:rowOff>
        </xdr:to>
        <xdr:sp macro="" textlink="">
          <xdr:nvSpPr>
            <xdr:cNvPr id="14342" name="Button 1030" hidden="1">
              <a:extLst>
                <a:ext uri="{63B3BB69-23CF-44E3-9099-C40C66FF867C}">
                  <a14:compatExt spid="_x0000_s14342"/>
                </a:ext>
                <a:ext uri="{FF2B5EF4-FFF2-40B4-BE49-F238E27FC236}">
                  <a16:creationId xmlns:a16="http://schemas.microsoft.com/office/drawing/2014/main" id="{00000000-0008-0000-0C00-000006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Numerical results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57150</xdr:colOff>
          <xdr:row>7</xdr:row>
          <xdr:rowOff>133350</xdr:rowOff>
        </xdr:from>
        <xdr:to>
          <xdr:col>0</xdr:col>
          <xdr:colOff>1371600</xdr:colOff>
          <xdr:row>10</xdr:row>
          <xdr:rowOff>133350</xdr:rowOff>
        </xdr:to>
        <xdr:sp macro="" textlink="">
          <xdr:nvSpPr>
            <xdr:cNvPr id="14359" name="Button 1047" hidden="1">
              <a:extLst>
                <a:ext uri="{63B3BB69-23CF-44E3-9099-C40C66FF867C}">
                  <a14:compatExt spid="_x0000_s14359"/>
                </a:ext>
                <a:ext uri="{FF2B5EF4-FFF2-40B4-BE49-F238E27FC236}">
                  <a16:creationId xmlns:a16="http://schemas.microsoft.com/office/drawing/2014/main" id="{00000000-0008-0000-0C00-000017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0</xdr:col>
      <xdr:colOff>26459</xdr:colOff>
      <xdr:row>7</xdr:row>
      <xdr:rowOff>92604</xdr:rowOff>
    </xdr:from>
    <xdr:to>
      <xdr:col>0</xdr:col>
      <xdr:colOff>1441979</xdr:colOff>
      <xdr:row>11</xdr:row>
      <xdr:rowOff>13229</xdr:rowOff>
    </xdr:to>
    <xdr:sp macro="" textlink="">
      <xdr:nvSpPr>
        <xdr:cNvPr id="2" name="1 Rectangle">
          <a:extLst>
            <a:ext uri="{FF2B5EF4-FFF2-40B4-BE49-F238E27FC236}">
              <a16:creationId xmlns:a16="http://schemas.microsoft.com/office/drawing/2014/main" id="{00000000-0008-0000-0C00-000002000000}"/>
            </a:ext>
          </a:extLst>
        </xdr:cNvPr>
        <xdr:cNvSpPr/>
      </xdr:nvSpPr>
      <xdr:spPr>
        <a:xfrm>
          <a:off x="26459" y="1203854"/>
          <a:ext cx="1415520" cy="555625"/>
        </a:xfrm>
        <a:prstGeom prst="rect">
          <a:avLst/>
        </a:prstGeom>
        <a:pattFill prst="pct10">
          <a:fgClr>
            <a:srgbClr val="00FF00"/>
          </a:fgClr>
          <a:bgClr>
            <a:schemeClr val="bg1">
              <a:lumMod val="100000"/>
            </a:schemeClr>
          </a:bgClr>
        </a:pattFill>
        <a:ln w="25400" cap="flat" cmpd="sng" algn="ctr">
          <a:noFill/>
          <a:prstDash val="solid"/>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0</xdr:col>
          <xdr:colOff>57150</xdr:colOff>
          <xdr:row>27</xdr:row>
          <xdr:rowOff>57150</xdr:rowOff>
        </xdr:from>
        <xdr:to>
          <xdr:col>0</xdr:col>
          <xdr:colOff>1371600</xdr:colOff>
          <xdr:row>30</xdr:row>
          <xdr:rowOff>95250</xdr:rowOff>
        </xdr:to>
        <xdr:sp macro="" textlink="">
          <xdr:nvSpPr>
            <xdr:cNvPr id="14360" name="Button 1048" hidden="1">
              <a:extLst>
                <a:ext uri="{63B3BB69-23CF-44E3-9099-C40C66FF867C}">
                  <a14:compatExt spid="_x0000_s14360"/>
                </a:ext>
                <a:ext uri="{FF2B5EF4-FFF2-40B4-BE49-F238E27FC236}">
                  <a16:creationId xmlns:a16="http://schemas.microsoft.com/office/drawing/2014/main" id="{00000000-0008-0000-0C00-0000183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the time span in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247650</xdr:colOff>
          <xdr:row>23</xdr:row>
          <xdr:rowOff>31750</xdr:rowOff>
        </xdr:from>
        <xdr:to>
          <xdr:col>11</xdr:col>
          <xdr:colOff>412750</xdr:colOff>
          <xdr:row>24</xdr:row>
          <xdr:rowOff>0</xdr:rowOff>
        </xdr:to>
        <xdr:sp macro="" textlink="">
          <xdr:nvSpPr>
            <xdr:cNvPr id="14361" name="Button 1049" hidden="1">
              <a:extLst>
                <a:ext uri="{63B3BB69-23CF-44E3-9099-C40C66FF867C}">
                  <a14:compatExt spid="_x0000_s14361"/>
                </a:ext>
                <a:ext uri="{FF2B5EF4-FFF2-40B4-BE49-F238E27FC236}">
                  <a16:creationId xmlns:a16="http://schemas.microsoft.com/office/drawing/2014/main" id="{00000000-0008-0000-0C00-000019380000}"/>
                </a:ext>
              </a:extLst>
            </xdr:cNvPr>
            <xdr:cNvSpPr/>
          </xdr:nvSpPr>
          <xdr:spPr bwMode="auto">
            <a:xfrm>
              <a:off x="0" y="0"/>
              <a:ext cx="0" cy="0"/>
            </a:xfrm>
            <a:prstGeom prst="rect">
              <a:avLst/>
            </a:prstGeom>
            <a:noFill/>
            <a:ln w="9525">
              <a:miter lim="800000"/>
              <a:headEnd/>
              <a:tailEnd/>
            </a:ln>
          </xdr:spPr>
          <xdr:txBody>
            <a:bodyPr vertOverflow="clip" wrap="square" lIns="54864" tIns="41148" rIns="54864" bIns="41148" anchor="ctr" upright="1"/>
            <a:lstStyle/>
            <a:p>
              <a:pPr algn="ctr" rtl="0">
                <a:defRPr sz="1000"/>
              </a:pPr>
              <a:r>
                <a:rPr lang="en-GB" sz="1600" b="0" i="0" u="none" strike="noStrike" baseline="0">
                  <a:solidFill>
                    <a:srgbClr val="000000"/>
                  </a:solidFill>
                  <a:latin typeface="Arial"/>
                  <a:cs typeface="Arial"/>
                </a:rPr>
                <a:t>*</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50800</xdr:rowOff>
        </xdr:from>
        <xdr:to>
          <xdr:col>1</xdr:col>
          <xdr:colOff>0</xdr:colOff>
          <xdr:row>0</xdr:row>
          <xdr:rowOff>355600</xdr:rowOff>
        </xdr:to>
        <xdr:sp macro="" textlink="">
          <xdr:nvSpPr>
            <xdr:cNvPr id="10248" name="Button 8" hidden="1">
              <a:extLst>
                <a:ext uri="{63B3BB69-23CF-44E3-9099-C40C66FF867C}">
                  <a14:compatExt spid="_x0000_s10248"/>
                </a:ext>
                <a:ext uri="{FF2B5EF4-FFF2-40B4-BE49-F238E27FC236}">
                  <a16:creationId xmlns:a16="http://schemas.microsoft.com/office/drawing/2014/main" id="{00000000-0008-0000-0D00-000008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000" b="1"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374650</xdr:colOff>
          <xdr:row>0</xdr:row>
          <xdr:rowOff>50800</xdr:rowOff>
        </xdr:from>
        <xdr:to>
          <xdr:col>2</xdr:col>
          <xdr:colOff>609600</xdr:colOff>
          <xdr:row>0</xdr:row>
          <xdr:rowOff>355600</xdr:rowOff>
        </xdr:to>
        <xdr:sp macro="" textlink="">
          <xdr:nvSpPr>
            <xdr:cNvPr id="10249" name="Button 9" hidden="1">
              <a:extLst>
                <a:ext uri="{63B3BB69-23CF-44E3-9099-C40C66FF867C}">
                  <a14:compatExt spid="_x0000_s10249"/>
                </a:ext>
                <a:ext uri="{FF2B5EF4-FFF2-40B4-BE49-F238E27FC236}">
                  <a16:creationId xmlns:a16="http://schemas.microsoft.com/office/drawing/2014/main" id="{00000000-0008-0000-0D00-000009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Inflation, income and interest rates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736600</xdr:colOff>
          <xdr:row>0</xdr:row>
          <xdr:rowOff>50800</xdr:rowOff>
        </xdr:from>
        <xdr:to>
          <xdr:col>4</xdr:col>
          <xdr:colOff>260350</xdr:colOff>
          <xdr:row>0</xdr:row>
          <xdr:rowOff>355600</xdr:rowOff>
        </xdr:to>
        <xdr:sp macro="" textlink="">
          <xdr:nvSpPr>
            <xdr:cNvPr id="10250" name="Button 10" hidden="1">
              <a:extLst>
                <a:ext uri="{63B3BB69-23CF-44E3-9099-C40C66FF867C}">
                  <a14:compatExt spid="_x0000_s10250"/>
                </a:ext>
                <a:ext uri="{FF2B5EF4-FFF2-40B4-BE49-F238E27FC236}">
                  <a16:creationId xmlns:a16="http://schemas.microsoft.com/office/drawing/2014/main" id="{00000000-0008-0000-0D00-00000A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Public Finance figures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374650</xdr:colOff>
          <xdr:row>0</xdr:row>
          <xdr:rowOff>50800</xdr:rowOff>
        </xdr:from>
        <xdr:to>
          <xdr:col>5</xdr:col>
          <xdr:colOff>736600</xdr:colOff>
          <xdr:row>0</xdr:row>
          <xdr:rowOff>355600</xdr:rowOff>
        </xdr:to>
        <xdr:sp macro="" textlink="">
          <xdr:nvSpPr>
            <xdr:cNvPr id="10252" name="Button 12" hidden="1">
              <a:extLst>
                <a:ext uri="{63B3BB69-23CF-44E3-9099-C40C66FF867C}">
                  <a14:compatExt spid="_x0000_s10252"/>
                </a:ext>
                <a:ext uri="{FF2B5EF4-FFF2-40B4-BE49-F238E27FC236}">
                  <a16:creationId xmlns:a16="http://schemas.microsoft.com/office/drawing/2014/main" id="{00000000-0008-0000-0D00-00000C2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GB" sz="800" b="0" i="0" u="none" strike="noStrike" baseline="0">
                  <a:solidFill>
                    <a:srgbClr val="000000"/>
                  </a:solidFill>
                  <a:latin typeface="Arial"/>
                  <a:cs typeface="Arial"/>
                </a:rPr>
                <a:t>Exchange rate figures</a:t>
              </a:r>
            </a:p>
          </xdr:txBody>
        </xdr:sp>
        <xdr:clientData fPrintsWithSheet="0"/>
      </xdr:twoCellAnchor>
    </mc:Choice>
    <mc:Fallback/>
  </mc:AlternateContent>
  <xdr:twoCellAnchor>
    <xdr:from>
      <xdr:col>4</xdr:col>
      <xdr:colOff>342900</xdr:colOff>
      <xdr:row>0</xdr:row>
      <xdr:rowOff>38101</xdr:rowOff>
    </xdr:from>
    <xdr:to>
      <xdr:col>5</xdr:col>
      <xdr:colOff>764700</xdr:colOff>
      <xdr:row>0</xdr:row>
      <xdr:rowOff>361951</xdr:rowOff>
    </xdr:to>
    <xdr:sp macro="" textlink="">
      <xdr:nvSpPr>
        <xdr:cNvPr id="2" name="1 Rectangle">
          <a:extLst>
            <a:ext uri="{FF2B5EF4-FFF2-40B4-BE49-F238E27FC236}">
              <a16:creationId xmlns:a16="http://schemas.microsoft.com/office/drawing/2014/main" id="{00000000-0008-0000-0D00-000002000000}"/>
            </a:ext>
          </a:extLst>
        </xdr:cNvPr>
        <xdr:cNvSpPr/>
      </xdr:nvSpPr>
      <xdr:spPr>
        <a:xfrm>
          <a:off x="3943350" y="38101"/>
          <a:ext cx="1260000" cy="323850"/>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1038223</xdr:colOff>
      <xdr:row>0</xdr:row>
      <xdr:rowOff>0</xdr:rowOff>
    </xdr:from>
    <xdr:to>
      <xdr:col>7</xdr:col>
      <xdr:colOff>1171574</xdr:colOff>
      <xdr:row>0</xdr:row>
      <xdr:rowOff>361950</xdr:rowOff>
    </xdr:to>
    <xdr:sp macro="[0]!go_to_delay_perception" textlink="">
      <xdr:nvSpPr>
        <xdr:cNvPr id="10" name="9 Flecha derecha">
          <a:extLst>
            <a:ext uri="{FF2B5EF4-FFF2-40B4-BE49-F238E27FC236}">
              <a16:creationId xmlns:a16="http://schemas.microsoft.com/office/drawing/2014/main" id="{00000000-0008-0000-0D00-00000A000000}"/>
            </a:ext>
          </a:extLst>
        </xdr:cNvPr>
        <xdr:cNvSpPr/>
      </xdr:nvSpPr>
      <xdr:spPr>
        <a:xfrm>
          <a:off x="6581773" y="0"/>
          <a:ext cx="123825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Delay in perception</a:t>
          </a:r>
        </a:p>
      </xdr:txBody>
    </xdr:sp>
    <xdr:clientData/>
  </xdr:twoCellAnchor>
  <xdr:twoCellAnchor>
    <xdr:from>
      <xdr:col>5</xdr:col>
      <xdr:colOff>838199</xdr:colOff>
      <xdr:row>0</xdr:row>
      <xdr:rowOff>0</xdr:rowOff>
    </xdr:from>
    <xdr:to>
      <xdr:col>6</xdr:col>
      <xdr:colOff>981075</xdr:colOff>
      <xdr:row>0</xdr:row>
      <xdr:rowOff>361950</xdr:rowOff>
    </xdr:to>
    <xdr:sp macro="[0]!go_to_hysteresis" textlink="">
      <xdr:nvSpPr>
        <xdr:cNvPr id="11" name="10 Flecha derecha">
          <a:extLst>
            <a:ext uri="{FF2B5EF4-FFF2-40B4-BE49-F238E27FC236}">
              <a16:creationId xmlns:a16="http://schemas.microsoft.com/office/drawing/2014/main" id="{00000000-0008-0000-0D00-00000B000000}"/>
            </a:ext>
          </a:extLst>
        </xdr:cNvPr>
        <xdr:cNvSpPr/>
      </xdr:nvSpPr>
      <xdr:spPr>
        <a:xfrm>
          <a:off x="5276849" y="0"/>
          <a:ext cx="1247776"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56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Hysteresis</a:t>
          </a:r>
        </a:p>
      </xdr:txBody>
    </xdr:sp>
    <xdr:clientData/>
  </xdr:twoCellAnchor>
  <xdr:twoCellAnchor>
    <xdr:from>
      <xdr:col>25</xdr:col>
      <xdr:colOff>28570</xdr:colOff>
      <xdr:row>0</xdr:row>
      <xdr:rowOff>0</xdr:rowOff>
    </xdr:from>
    <xdr:to>
      <xdr:col>26</xdr:col>
      <xdr:colOff>150491</xdr:colOff>
      <xdr:row>0</xdr:row>
      <xdr:rowOff>361950</xdr:rowOff>
    </xdr:to>
    <xdr:sp macro="[0]!back_numerical_results" textlink="">
      <xdr:nvSpPr>
        <xdr:cNvPr id="13" name="12 Flecha derecha">
          <a:extLst>
            <a:ext uri="{FF2B5EF4-FFF2-40B4-BE49-F238E27FC236}">
              <a16:creationId xmlns:a16="http://schemas.microsoft.com/office/drawing/2014/main" id="{00000000-0008-0000-0D00-00000D000000}"/>
            </a:ext>
          </a:extLst>
        </xdr:cNvPr>
        <xdr:cNvSpPr/>
      </xdr:nvSpPr>
      <xdr:spPr>
        <a:xfrm flipH="1">
          <a:off x="27412945" y="0"/>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twoCellAnchor>
    <xdr:from>
      <xdr:col>17</xdr:col>
      <xdr:colOff>123821</xdr:colOff>
      <xdr:row>0</xdr:row>
      <xdr:rowOff>28577</xdr:rowOff>
    </xdr:from>
    <xdr:to>
      <xdr:col>18</xdr:col>
      <xdr:colOff>274317</xdr:colOff>
      <xdr:row>1</xdr:row>
      <xdr:rowOff>2</xdr:rowOff>
    </xdr:to>
    <xdr:sp macro="[0]!back_numerical_results" textlink="">
      <xdr:nvSpPr>
        <xdr:cNvPr id="14" name="13 Flecha derecha">
          <a:extLst>
            <a:ext uri="{FF2B5EF4-FFF2-40B4-BE49-F238E27FC236}">
              <a16:creationId xmlns:a16="http://schemas.microsoft.com/office/drawing/2014/main" id="{00000000-0008-0000-0D00-00000E000000}"/>
            </a:ext>
          </a:extLst>
        </xdr:cNvPr>
        <xdr:cNvSpPr>
          <a:spLocks/>
        </xdr:cNvSpPr>
      </xdr:nvSpPr>
      <xdr:spPr>
        <a:xfrm flipH="1">
          <a:off x="20888321" y="28577"/>
          <a:ext cx="712471" cy="361950"/>
        </a:xfrm>
        <a:prstGeom prst="rightArrow">
          <a:avLst>
            <a:gd name="adj1" fmla="val 81250"/>
            <a:gd name="adj2" fmla="val 53125"/>
          </a:avLst>
        </a:prstGeom>
        <a:gradFill>
          <a:gsLst>
            <a:gs pos="0">
              <a:schemeClr val="accent1">
                <a:tint val="66000"/>
                <a:satMod val="160000"/>
              </a:schemeClr>
            </a:gs>
            <a:gs pos="7000">
              <a:schemeClr val="accent1">
                <a:tint val="44500"/>
                <a:satMod val="160000"/>
              </a:schemeClr>
            </a:gs>
            <a:gs pos="30000">
              <a:schemeClr val="accent1">
                <a:lumMod val="20000"/>
                <a:lumOff val="80000"/>
              </a:schemeClr>
            </a:gs>
          </a:gsLst>
          <a:lin ang="5400000" scaled="0"/>
        </a:gra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lnSpc>
              <a:spcPct val="100000"/>
            </a:lnSpc>
          </a:pPr>
          <a:r>
            <a:rPr lang="es-ES" sz="800" b="1">
              <a:solidFill>
                <a:sysClr val="windowText" lastClr="000000"/>
              </a:solidFill>
            </a:rPr>
            <a:t>Baseline</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120312</xdr:colOff>
      <xdr:row>7</xdr:row>
      <xdr:rowOff>170442</xdr:rowOff>
    </xdr:from>
    <xdr:to>
      <xdr:col>22</xdr:col>
      <xdr:colOff>17418</xdr:colOff>
      <xdr:row>44</xdr:row>
      <xdr:rowOff>90972</xdr:rowOff>
    </xdr:to>
    <xdr:sp macro="" textlink="">
      <xdr:nvSpPr>
        <xdr:cNvPr id="14" name="13 Rectangle">
          <a:extLst>
            <a:ext uri="{FF2B5EF4-FFF2-40B4-BE49-F238E27FC236}">
              <a16:creationId xmlns:a16="http://schemas.microsoft.com/office/drawing/2014/main" id="{00000000-0008-0000-0E00-00000E000000}"/>
            </a:ext>
          </a:extLst>
        </xdr:cNvPr>
        <xdr:cNvSpPr/>
      </xdr:nvSpPr>
      <xdr:spPr bwMode="auto">
        <a:xfrm>
          <a:off x="6025812" y="1483889"/>
          <a:ext cx="4860132" cy="7139478"/>
        </a:xfrm>
        <a:prstGeom prst="rect">
          <a:avLst/>
        </a:prstGeom>
        <a:gradFill flip="none" rotWithShape="1">
          <a:gsLst>
            <a:gs pos="78000">
              <a:srgbClr val="CCDFE4"/>
            </a:gs>
            <a:gs pos="13000">
              <a:srgbClr val="B6D5D2"/>
            </a:gs>
            <a:gs pos="33000">
              <a:srgbClr val="8AC1AE">
                <a:lumMod val="54000"/>
                <a:lumOff val="46000"/>
              </a:srgbClr>
            </a:gs>
            <a:gs pos="49000">
              <a:srgbClr val="339966">
                <a:lumMod val="14000"/>
                <a:lumOff val="86000"/>
              </a:srgbClr>
            </a:gs>
            <a:gs pos="27000">
              <a:schemeClr val="accent1">
                <a:tint val="44500"/>
                <a:satMod val="160000"/>
                <a:lumMod val="64000"/>
                <a:lumOff val="36000"/>
              </a:schemeClr>
            </a:gs>
            <a:gs pos="6000">
              <a:srgbClr val="DBE6F0"/>
            </a:gs>
            <a:gs pos="93000">
              <a:srgbClr val="DAE5EF"/>
            </a:gs>
            <a:gs pos="84000">
              <a:srgbClr val="DCE6F1"/>
            </a:gs>
            <a:gs pos="73000">
              <a:srgbClr val="D7E4ED"/>
            </a:gs>
            <a:gs pos="63000">
              <a:schemeClr val="accent1">
                <a:tint val="23500"/>
                <a:satMod val="160000"/>
              </a:schemeClr>
            </a:gs>
          </a:gsLst>
          <a:lin ang="2700000" scaled="1"/>
          <a:tileRect/>
        </a:gra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s-ES" sz="1100"/>
        </a:p>
      </xdr:txBody>
    </xdr:sp>
    <xdr:clientData/>
  </xdr:twoCellAnchor>
  <xdr:twoCellAnchor>
    <xdr:from>
      <xdr:col>15</xdr:col>
      <xdr:colOff>162952</xdr:colOff>
      <xdr:row>29</xdr:row>
      <xdr:rowOff>34622</xdr:rowOff>
    </xdr:from>
    <xdr:to>
      <xdr:col>21</xdr:col>
      <xdr:colOff>1003958</xdr:colOff>
      <xdr:row>44</xdr:row>
      <xdr:rowOff>23514</xdr:rowOff>
    </xdr:to>
    <xdr:graphicFrame macro="">
      <xdr:nvGraphicFramePr>
        <xdr:cNvPr id="19494" name="Chart 2">
          <a:extLst>
            <a:ext uri="{FF2B5EF4-FFF2-40B4-BE49-F238E27FC236}">
              <a16:creationId xmlns:a16="http://schemas.microsoft.com/office/drawing/2014/main" id="{00000000-0008-0000-0E00-000026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162952</xdr:colOff>
      <xdr:row>18</xdr:row>
      <xdr:rowOff>181251</xdr:rowOff>
    </xdr:from>
    <xdr:to>
      <xdr:col>21</xdr:col>
      <xdr:colOff>1003958</xdr:colOff>
      <xdr:row>29</xdr:row>
      <xdr:rowOff>141172</xdr:rowOff>
    </xdr:to>
    <xdr:graphicFrame macro="">
      <xdr:nvGraphicFramePr>
        <xdr:cNvPr id="19495" name="Chart 3">
          <a:extLst>
            <a:ext uri="{FF2B5EF4-FFF2-40B4-BE49-F238E27FC236}">
              <a16:creationId xmlns:a16="http://schemas.microsoft.com/office/drawing/2014/main" id="{00000000-0008-0000-0E00-000027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160760</xdr:colOff>
      <xdr:row>7</xdr:row>
      <xdr:rowOff>191020</xdr:rowOff>
    </xdr:from>
    <xdr:to>
      <xdr:col>21</xdr:col>
      <xdr:colOff>1006150</xdr:colOff>
      <xdr:row>18</xdr:row>
      <xdr:rowOff>76934</xdr:rowOff>
    </xdr:to>
    <xdr:graphicFrame macro="">
      <xdr:nvGraphicFramePr>
        <xdr:cNvPr id="19496" name="Chart 4">
          <a:extLst>
            <a:ext uri="{FF2B5EF4-FFF2-40B4-BE49-F238E27FC236}">
              <a16:creationId xmlns:a16="http://schemas.microsoft.com/office/drawing/2014/main" id="{00000000-0008-0000-0E00-000028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66</xdr:row>
      <xdr:rowOff>142875</xdr:rowOff>
    </xdr:from>
    <xdr:to>
      <xdr:col>20</xdr:col>
      <xdr:colOff>571500</xdr:colOff>
      <xdr:row>83</xdr:row>
      <xdr:rowOff>133350</xdr:rowOff>
    </xdr:to>
    <xdr:graphicFrame macro="">
      <xdr:nvGraphicFramePr>
        <xdr:cNvPr id="19497" name="Chart 5">
          <a:extLst>
            <a:ext uri="{FF2B5EF4-FFF2-40B4-BE49-F238E27FC236}">
              <a16:creationId xmlns:a16="http://schemas.microsoft.com/office/drawing/2014/main" id="{00000000-0008-0000-0E00-0000294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1</xdr:col>
          <xdr:colOff>69850</xdr:colOff>
          <xdr:row>2</xdr:row>
          <xdr:rowOff>133350</xdr:rowOff>
        </xdr:from>
        <xdr:to>
          <xdr:col>5</xdr:col>
          <xdr:colOff>190500</xdr:colOff>
          <xdr:row>6</xdr:row>
          <xdr:rowOff>19050</xdr:rowOff>
        </xdr:to>
        <xdr:sp macro="" textlink="">
          <xdr:nvSpPr>
            <xdr:cNvPr id="19464" name="Button 8" hidden="1">
              <a:extLst>
                <a:ext uri="{63B3BB69-23CF-44E3-9099-C40C66FF867C}">
                  <a14:compatExt spid="_x0000_s19464"/>
                </a:ext>
                <a:ext uri="{FF2B5EF4-FFF2-40B4-BE49-F238E27FC236}">
                  <a16:creationId xmlns:a16="http://schemas.microsoft.com/office/drawing/2014/main" id="{00000000-0008-0000-0E00-000008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20</xdr:col>
          <xdr:colOff>146050</xdr:colOff>
          <xdr:row>3</xdr:row>
          <xdr:rowOff>69850</xdr:rowOff>
        </xdr:from>
        <xdr:to>
          <xdr:col>21</xdr:col>
          <xdr:colOff>717550</xdr:colOff>
          <xdr:row>6</xdr:row>
          <xdr:rowOff>19050</xdr:rowOff>
        </xdr:to>
        <xdr:sp macro="" textlink="">
          <xdr:nvSpPr>
            <xdr:cNvPr id="19466" name="Button 10" hidden="1">
              <a:extLst>
                <a:ext uri="{63B3BB69-23CF-44E3-9099-C40C66FF867C}">
                  <a14:compatExt spid="_x0000_s19466"/>
                </a:ext>
                <a:ext uri="{FF2B5EF4-FFF2-40B4-BE49-F238E27FC236}">
                  <a16:creationId xmlns:a16="http://schemas.microsoft.com/office/drawing/2014/main" id="{00000000-0008-0000-0E00-00000A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Hard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279400</xdr:colOff>
          <xdr:row>2</xdr:row>
          <xdr:rowOff>133350</xdr:rowOff>
        </xdr:from>
        <xdr:to>
          <xdr:col>7</xdr:col>
          <xdr:colOff>171450</xdr:colOff>
          <xdr:row>6</xdr:row>
          <xdr:rowOff>19050</xdr:rowOff>
        </xdr:to>
        <xdr:sp macro="" textlink="">
          <xdr:nvSpPr>
            <xdr:cNvPr id="19469" name="Button 13" hidden="1">
              <a:extLst>
                <a:ext uri="{63B3BB69-23CF-44E3-9099-C40C66FF867C}">
                  <a14:compatExt spid="_x0000_s19469"/>
                </a:ext>
                <a:ext uri="{FF2B5EF4-FFF2-40B4-BE49-F238E27FC236}">
                  <a16:creationId xmlns:a16="http://schemas.microsoft.com/office/drawing/2014/main" id="{00000000-0008-0000-0E00-00000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How to play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19050</xdr:colOff>
          <xdr:row>14</xdr:row>
          <xdr:rowOff>31750</xdr:rowOff>
        </xdr:from>
        <xdr:to>
          <xdr:col>10</xdr:col>
          <xdr:colOff>603250</xdr:colOff>
          <xdr:row>14</xdr:row>
          <xdr:rowOff>184150</xdr:rowOff>
        </xdr:to>
        <xdr:sp macro="" textlink="">
          <xdr:nvSpPr>
            <xdr:cNvPr id="19474" name="Scroll Bar 18" hidden="1">
              <a:extLst>
                <a:ext uri="{63B3BB69-23CF-44E3-9099-C40C66FF867C}">
                  <a14:compatExt spid="_x0000_s19474"/>
                </a:ext>
                <a:ext uri="{FF2B5EF4-FFF2-40B4-BE49-F238E27FC236}">
                  <a16:creationId xmlns:a16="http://schemas.microsoft.com/office/drawing/2014/main" id="{00000000-0008-0000-0E00-0000124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266700</xdr:colOff>
          <xdr:row>3</xdr:row>
          <xdr:rowOff>76200</xdr:rowOff>
        </xdr:from>
        <xdr:to>
          <xdr:col>17</xdr:col>
          <xdr:colOff>546100</xdr:colOff>
          <xdr:row>6</xdr:row>
          <xdr:rowOff>19050</xdr:rowOff>
        </xdr:to>
        <xdr:sp macro="" textlink="">
          <xdr:nvSpPr>
            <xdr:cNvPr id="19476" name="Button 20" hidden="1">
              <a:extLst>
                <a:ext uri="{63B3BB69-23CF-44E3-9099-C40C66FF867C}">
                  <a14:compatExt spid="_x0000_s19476"/>
                </a:ext>
                <a:ext uri="{FF2B5EF4-FFF2-40B4-BE49-F238E27FC236}">
                  <a16:creationId xmlns:a16="http://schemas.microsoft.com/office/drawing/2014/main" id="{00000000-0008-0000-0E00-000014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Easy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533400</xdr:colOff>
          <xdr:row>2</xdr:row>
          <xdr:rowOff>133350</xdr:rowOff>
        </xdr:from>
        <xdr:to>
          <xdr:col>9</xdr:col>
          <xdr:colOff>660400</xdr:colOff>
          <xdr:row>6</xdr:row>
          <xdr:rowOff>38100</xdr:rowOff>
        </xdr:to>
        <xdr:sp macro="" textlink="">
          <xdr:nvSpPr>
            <xdr:cNvPr id="19483" name="Button 27" hidden="1">
              <a:extLst>
                <a:ext uri="{63B3BB69-23CF-44E3-9099-C40C66FF867C}">
                  <a14:compatExt spid="_x0000_s19483"/>
                </a:ext>
                <a:ext uri="{FF2B5EF4-FFF2-40B4-BE49-F238E27FC236}">
                  <a16:creationId xmlns:a16="http://schemas.microsoft.com/office/drawing/2014/main" id="{00000000-0008-0000-0E00-00001B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Print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127000</xdr:colOff>
          <xdr:row>2</xdr:row>
          <xdr:rowOff>133350</xdr:rowOff>
        </xdr:from>
        <xdr:to>
          <xdr:col>12</xdr:col>
          <xdr:colOff>50800</xdr:colOff>
          <xdr:row>6</xdr:row>
          <xdr:rowOff>31750</xdr:rowOff>
        </xdr:to>
        <xdr:sp macro="" textlink="">
          <xdr:nvSpPr>
            <xdr:cNvPr id="19484" name="Button 28" hidden="1">
              <a:extLst>
                <a:ext uri="{63B3BB69-23CF-44E3-9099-C40C66FF867C}">
                  <a14:compatExt spid="_x0000_s19484"/>
                </a:ext>
                <a:ext uri="{FF2B5EF4-FFF2-40B4-BE49-F238E27FC236}">
                  <a16:creationId xmlns:a16="http://schemas.microsoft.com/office/drawing/2014/main" id="{00000000-0008-0000-0E00-00001C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Evaluate your policy choice</a:t>
              </a:r>
            </a:p>
          </xdr:txBody>
        </xdr:sp>
        <xdr:clientData fPrintsWithSheet="0"/>
      </xdr:twoCellAnchor>
    </mc:Choice>
    <mc:Fallback/>
  </mc:AlternateContent>
  <xdr:twoCellAnchor>
    <xdr:from>
      <xdr:col>10</xdr:col>
      <xdr:colOff>78288</xdr:colOff>
      <xdr:row>2</xdr:row>
      <xdr:rowOff>39143</xdr:rowOff>
    </xdr:from>
    <xdr:to>
      <xdr:col>12</xdr:col>
      <xdr:colOff>104383</xdr:colOff>
      <xdr:row>6</xdr:row>
      <xdr:rowOff>143528</xdr:rowOff>
    </xdr:to>
    <xdr:sp macro="" textlink="">
      <xdr:nvSpPr>
        <xdr:cNvPr id="5" name="1 Rectangle">
          <a:extLst>
            <a:ext uri="{FF2B5EF4-FFF2-40B4-BE49-F238E27FC236}">
              <a16:creationId xmlns:a16="http://schemas.microsoft.com/office/drawing/2014/main" id="{00000000-0008-0000-0E00-000005000000}"/>
            </a:ext>
          </a:extLst>
        </xdr:cNvPr>
        <xdr:cNvSpPr/>
      </xdr:nvSpPr>
      <xdr:spPr>
        <a:xfrm>
          <a:off x="4266678" y="378390"/>
          <a:ext cx="926404" cy="874213"/>
        </a:xfrm>
        <a:prstGeom prst="rect">
          <a:avLst/>
        </a:prstGeom>
        <a:solidFill>
          <a:schemeClr val="bg1">
            <a:lumMod val="10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18</xdr:col>
          <xdr:colOff>412750</xdr:colOff>
          <xdr:row>3</xdr:row>
          <xdr:rowOff>69850</xdr:rowOff>
        </xdr:from>
        <xdr:to>
          <xdr:col>19</xdr:col>
          <xdr:colOff>933450</xdr:colOff>
          <xdr:row>6</xdr:row>
          <xdr:rowOff>19050</xdr:rowOff>
        </xdr:to>
        <xdr:sp macro="" textlink="">
          <xdr:nvSpPr>
            <xdr:cNvPr id="19485" name="Button 29" hidden="1">
              <a:extLst>
                <a:ext uri="{63B3BB69-23CF-44E3-9099-C40C66FF867C}">
                  <a14:compatExt spid="_x0000_s19485"/>
                </a:ext>
                <a:ext uri="{FF2B5EF4-FFF2-40B4-BE49-F238E27FC236}">
                  <a16:creationId xmlns:a16="http://schemas.microsoft.com/office/drawing/2014/main" id="{00000000-0008-0000-0E00-00001D4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GB" sz="1200" b="1" i="0" u="none" strike="noStrike" baseline="0">
                  <a:solidFill>
                    <a:srgbClr val="000000"/>
                  </a:solidFill>
                  <a:latin typeface="Times New Roman"/>
                  <a:cs typeface="Times New Roman"/>
                </a:rPr>
                <a:t>Medium</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279400</xdr:colOff>
          <xdr:row>2</xdr:row>
          <xdr:rowOff>133350</xdr:rowOff>
        </xdr:from>
        <xdr:to>
          <xdr:col>8</xdr:col>
          <xdr:colOff>412750</xdr:colOff>
          <xdr:row>6</xdr:row>
          <xdr:rowOff>38100</xdr:rowOff>
        </xdr:to>
        <xdr:sp macro="" textlink="">
          <xdr:nvSpPr>
            <xdr:cNvPr id="19486" name="Button 30" hidden="1">
              <a:extLst>
                <a:ext uri="{63B3BB69-23CF-44E3-9099-C40C66FF867C}">
                  <a14:compatExt spid="_x0000_s19486"/>
                </a:ext>
                <a:ext uri="{FF2B5EF4-FFF2-40B4-BE49-F238E27FC236}">
                  <a16:creationId xmlns:a16="http://schemas.microsoft.com/office/drawing/2014/main" id="{00000000-0008-0000-0E00-00001E4C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GB" sz="1200" b="0" i="0" u="none" strike="noStrike" baseline="0">
                  <a:solidFill>
                    <a:srgbClr val="000000"/>
                  </a:solidFill>
                  <a:latin typeface="Times New Roman"/>
                  <a:cs typeface="Times New Roman"/>
                </a:rPr>
                <a:t>Reset</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xdr:col>
      <xdr:colOff>85725</xdr:colOff>
      <xdr:row>15</xdr:row>
      <xdr:rowOff>142875</xdr:rowOff>
    </xdr:from>
    <xdr:to>
      <xdr:col>6</xdr:col>
      <xdr:colOff>9524</xdr:colOff>
      <xdr:row>29</xdr:row>
      <xdr:rowOff>9525</xdr:rowOff>
    </xdr:to>
    <xdr:graphicFrame macro="">
      <xdr:nvGraphicFramePr>
        <xdr:cNvPr id="7" name="6 Gráfico">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11</xdr:col>
          <xdr:colOff>50800</xdr:colOff>
          <xdr:row>11</xdr:row>
          <xdr:rowOff>0</xdr:rowOff>
        </xdr:from>
        <xdr:to>
          <xdr:col>11</xdr:col>
          <xdr:colOff>488950</xdr:colOff>
          <xdr:row>13</xdr:row>
          <xdr:rowOff>146050</xdr:rowOff>
        </xdr:to>
        <xdr:sp macro="" textlink="">
          <xdr:nvSpPr>
            <xdr:cNvPr id="55313" name="Button 17" hidden="1">
              <a:extLst>
                <a:ext uri="{63B3BB69-23CF-44E3-9099-C40C66FF867C}">
                  <a14:compatExt spid="_x0000_s55313"/>
                </a:ext>
                <a:ext uri="{FF2B5EF4-FFF2-40B4-BE49-F238E27FC236}">
                  <a16:creationId xmlns:a16="http://schemas.microsoft.com/office/drawing/2014/main" id="{00000000-0008-0000-1200-000011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900" b="0" i="0" u="none" strike="noStrike" baseline="0">
                  <a:solidFill>
                    <a:srgbClr val="000000"/>
                  </a:solidFill>
                  <a:latin typeface="Arial"/>
                  <a:cs typeface="Arial"/>
                </a:rPr>
                <a:t>Yes</a:t>
              </a:r>
            </a:p>
          </xdr:txBody>
        </xdr:sp>
        <xdr:clientData fPrintsWithSheet="0"/>
      </xdr:twoCellAnchor>
    </mc:Choice>
    <mc:Fallback/>
  </mc:AlternateContent>
  <xdr:twoCellAnchor>
    <xdr:from>
      <xdr:col>11</xdr:col>
      <xdr:colOff>17638</xdr:colOff>
      <xdr:row>10</xdr:row>
      <xdr:rowOff>132292</xdr:rowOff>
    </xdr:from>
    <xdr:to>
      <xdr:col>11</xdr:col>
      <xdr:colOff>546805</xdr:colOff>
      <xdr:row>14</xdr:row>
      <xdr:rowOff>17640</xdr:rowOff>
    </xdr:to>
    <xdr:sp macro="" textlink="">
      <xdr:nvSpPr>
        <xdr:cNvPr id="2" name="1 Rectangle">
          <a:extLst>
            <a:ext uri="{FF2B5EF4-FFF2-40B4-BE49-F238E27FC236}">
              <a16:creationId xmlns:a16="http://schemas.microsoft.com/office/drawing/2014/main" id="{00000000-0008-0000-1200-000002000000}"/>
            </a:ext>
          </a:extLst>
        </xdr:cNvPr>
        <xdr:cNvSpPr/>
      </xdr:nvSpPr>
      <xdr:spPr>
        <a:xfrm>
          <a:off x="8454067" y="2626935"/>
          <a:ext cx="529167" cy="538491"/>
        </a:xfrm>
        <a:prstGeom prst="rect">
          <a:avLst/>
        </a:prstGeom>
        <a:pattFill prst="ltDnDiag">
          <a:fgClr>
            <a:srgbClr val="00FF00"/>
          </a:fgClr>
          <a:bgClr>
            <a:srgbClr val="FFFFFF">
              <a:lumMod val="100000"/>
            </a:srgbClr>
          </a:bgClr>
        </a:patt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mc:AlternateContent xmlns:mc="http://schemas.openxmlformats.org/markup-compatibility/2006">
    <mc:Choice xmlns:a14="http://schemas.microsoft.com/office/drawing/2010/main" Requires="a14">
      <xdr:twoCellAnchor>
        <xdr:from>
          <xdr:col>6</xdr:col>
          <xdr:colOff>222250</xdr:colOff>
          <xdr:row>5</xdr:row>
          <xdr:rowOff>69850</xdr:rowOff>
        </xdr:from>
        <xdr:to>
          <xdr:col>8</xdr:col>
          <xdr:colOff>171450</xdr:colOff>
          <xdr:row>6</xdr:row>
          <xdr:rowOff>228600</xdr:rowOff>
        </xdr:to>
        <xdr:sp macro="" textlink="">
          <xdr:nvSpPr>
            <xdr:cNvPr id="55315" name="Button 19" hidden="1">
              <a:extLst>
                <a:ext uri="{63B3BB69-23CF-44E3-9099-C40C66FF867C}">
                  <a14:compatExt spid="_x0000_s55315"/>
                </a:ext>
                <a:ext uri="{FF2B5EF4-FFF2-40B4-BE49-F238E27FC236}">
                  <a16:creationId xmlns:a16="http://schemas.microsoft.com/office/drawing/2014/main" id="{00000000-0008-0000-1200-000013D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Back</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1</xdr:col>
      <xdr:colOff>514350</xdr:colOff>
      <xdr:row>19</xdr:row>
      <xdr:rowOff>100012</xdr:rowOff>
    </xdr:from>
    <xdr:to>
      <xdr:col>7</xdr:col>
      <xdr:colOff>622350</xdr:colOff>
      <xdr:row>36</xdr:row>
      <xdr:rowOff>155287</xdr:rowOff>
    </xdr:to>
    <xdr:graphicFrame macro="">
      <xdr:nvGraphicFramePr>
        <xdr:cNvPr id="22663" name="GDP_compare">
          <a:extLst>
            <a:ext uri="{FF2B5EF4-FFF2-40B4-BE49-F238E27FC236}">
              <a16:creationId xmlns:a16="http://schemas.microsoft.com/office/drawing/2014/main" id="{00000000-0008-0000-1400-000087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685799</xdr:colOff>
      <xdr:row>19</xdr:row>
      <xdr:rowOff>100012</xdr:rowOff>
    </xdr:from>
    <xdr:to>
      <xdr:col>13</xdr:col>
      <xdr:colOff>793799</xdr:colOff>
      <xdr:row>36</xdr:row>
      <xdr:rowOff>155287</xdr:rowOff>
    </xdr:to>
    <xdr:graphicFrame macro="">
      <xdr:nvGraphicFramePr>
        <xdr:cNvPr id="22664" name="growth_compare">
          <a:extLst>
            <a:ext uri="{FF2B5EF4-FFF2-40B4-BE49-F238E27FC236}">
              <a16:creationId xmlns:a16="http://schemas.microsoft.com/office/drawing/2014/main" id="{00000000-0008-0000-1400-000088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514350</xdr:colOff>
      <xdr:row>41</xdr:row>
      <xdr:rowOff>76200</xdr:rowOff>
    </xdr:from>
    <xdr:to>
      <xdr:col>7</xdr:col>
      <xdr:colOff>622350</xdr:colOff>
      <xdr:row>58</xdr:row>
      <xdr:rowOff>131475</xdr:rowOff>
    </xdr:to>
    <xdr:graphicFrame macro="">
      <xdr:nvGraphicFramePr>
        <xdr:cNvPr id="22665" name="primary_budget_compare">
          <a:extLst>
            <a:ext uri="{FF2B5EF4-FFF2-40B4-BE49-F238E27FC236}">
              <a16:creationId xmlns:a16="http://schemas.microsoft.com/office/drawing/2014/main" id="{00000000-0008-0000-1400-000089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685799</xdr:colOff>
      <xdr:row>41</xdr:row>
      <xdr:rowOff>76200</xdr:rowOff>
    </xdr:from>
    <xdr:to>
      <xdr:col>13</xdr:col>
      <xdr:colOff>793799</xdr:colOff>
      <xdr:row>58</xdr:row>
      <xdr:rowOff>131475</xdr:rowOff>
    </xdr:to>
    <xdr:graphicFrame macro="">
      <xdr:nvGraphicFramePr>
        <xdr:cNvPr id="22666" name="total_budget_compare">
          <a:extLst>
            <a:ext uri="{FF2B5EF4-FFF2-40B4-BE49-F238E27FC236}">
              <a16:creationId xmlns:a16="http://schemas.microsoft.com/office/drawing/2014/main" id="{00000000-0008-0000-1400-00008A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514349</xdr:colOff>
      <xdr:row>59</xdr:row>
      <xdr:rowOff>57150</xdr:rowOff>
    </xdr:from>
    <xdr:to>
      <xdr:col>13</xdr:col>
      <xdr:colOff>800100</xdr:colOff>
      <xdr:row>76</xdr:row>
      <xdr:rowOff>112425</xdr:rowOff>
    </xdr:to>
    <xdr:graphicFrame macro="">
      <xdr:nvGraphicFramePr>
        <xdr:cNvPr id="22667" name="debt_compare">
          <a:extLst>
            <a:ext uri="{FF2B5EF4-FFF2-40B4-BE49-F238E27FC236}">
              <a16:creationId xmlns:a16="http://schemas.microsoft.com/office/drawing/2014/main" id="{00000000-0008-0000-1400-00008B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514350</xdr:colOff>
      <xdr:row>1</xdr:row>
      <xdr:rowOff>123825</xdr:rowOff>
    </xdr:from>
    <xdr:to>
      <xdr:col>7</xdr:col>
      <xdr:colOff>622350</xdr:colOff>
      <xdr:row>19</xdr:row>
      <xdr:rowOff>17175</xdr:rowOff>
    </xdr:to>
    <xdr:graphicFrame macro="">
      <xdr:nvGraphicFramePr>
        <xdr:cNvPr id="22668" name="inflation_compare">
          <a:extLst>
            <a:ext uri="{FF2B5EF4-FFF2-40B4-BE49-F238E27FC236}">
              <a16:creationId xmlns:a16="http://schemas.microsoft.com/office/drawing/2014/main" id="{00000000-0008-0000-1400-00008C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685799</xdr:colOff>
      <xdr:row>1</xdr:row>
      <xdr:rowOff>123825</xdr:rowOff>
    </xdr:from>
    <xdr:to>
      <xdr:col>13</xdr:col>
      <xdr:colOff>793799</xdr:colOff>
      <xdr:row>19</xdr:row>
      <xdr:rowOff>17175</xdr:rowOff>
    </xdr:to>
    <xdr:graphicFrame macro="">
      <xdr:nvGraphicFramePr>
        <xdr:cNvPr id="22669" name="interest_rates_compare">
          <a:extLst>
            <a:ext uri="{FF2B5EF4-FFF2-40B4-BE49-F238E27FC236}">
              <a16:creationId xmlns:a16="http://schemas.microsoft.com/office/drawing/2014/main" id="{00000000-0008-0000-1400-00008D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514350</xdr:colOff>
      <xdr:row>79</xdr:row>
      <xdr:rowOff>119062</xdr:rowOff>
    </xdr:from>
    <xdr:to>
      <xdr:col>7</xdr:col>
      <xdr:colOff>622350</xdr:colOff>
      <xdr:row>97</xdr:row>
      <xdr:rowOff>12412</xdr:rowOff>
    </xdr:to>
    <xdr:graphicFrame macro="">
      <xdr:nvGraphicFramePr>
        <xdr:cNvPr id="22670" name="real_exchange">
          <a:extLst>
            <a:ext uri="{FF2B5EF4-FFF2-40B4-BE49-F238E27FC236}">
              <a16:creationId xmlns:a16="http://schemas.microsoft.com/office/drawing/2014/main" id="{00000000-0008-0000-1400-00008E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685799</xdr:colOff>
      <xdr:row>79</xdr:row>
      <xdr:rowOff>119062</xdr:rowOff>
    </xdr:from>
    <xdr:to>
      <xdr:col>13</xdr:col>
      <xdr:colOff>793799</xdr:colOff>
      <xdr:row>97</xdr:row>
      <xdr:rowOff>12412</xdr:rowOff>
    </xdr:to>
    <xdr:graphicFrame macro="">
      <xdr:nvGraphicFramePr>
        <xdr:cNvPr id="22671" name="nominal_exchange">
          <a:extLst>
            <a:ext uri="{FF2B5EF4-FFF2-40B4-BE49-F238E27FC236}">
              <a16:creationId xmlns:a16="http://schemas.microsoft.com/office/drawing/2014/main" id="{00000000-0008-0000-1400-00008F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514350</xdr:colOff>
      <xdr:row>97</xdr:row>
      <xdr:rowOff>82874</xdr:rowOff>
    </xdr:from>
    <xdr:to>
      <xdr:col>7</xdr:col>
      <xdr:colOff>622350</xdr:colOff>
      <xdr:row>114</xdr:row>
      <xdr:rowOff>138149</xdr:rowOff>
    </xdr:to>
    <xdr:graphicFrame macro="">
      <xdr:nvGraphicFramePr>
        <xdr:cNvPr id="22672" name="trade_balance">
          <a:extLst>
            <a:ext uri="{FF2B5EF4-FFF2-40B4-BE49-F238E27FC236}">
              <a16:creationId xmlns:a16="http://schemas.microsoft.com/office/drawing/2014/main" id="{00000000-0008-0000-1400-000090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685799</xdr:colOff>
      <xdr:row>97</xdr:row>
      <xdr:rowOff>82874</xdr:rowOff>
    </xdr:from>
    <xdr:to>
      <xdr:col>13</xdr:col>
      <xdr:colOff>793799</xdr:colOff>
      <xdr:row>114</xdr:row>
      <xdr:rowOff>138149</xdr:rowOff>
    </xdr:to>
    <xdr:graphicFrame macro="">
      <xdr:nvGraphicFramePr>
        <xdr:cNvPr id="22673" name="current_account">
          <a:extLst>
            <a:ext uri="{FF2B5EF4-FFF2-40B4-BE49-F238E27FC236}">
              <a16:creationId xmlns:a16="http://schemas.microsoft.com/office/drawing/2014/main" id="{00000000-0008-0000-1400-000091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504823</xdr:colOff>
      <xdr:row>115</xdr:row>
      <xdr:rowOff>47624</xdr:rowOff>
    </xdr:from>
    <xdr:to>
      <xdr:col>13</xdr:col>
      <xdr:colOff>790574</xdr:colOff>
      <xdr:row>132</xdr:row>
      <xdr:rowOff>102899</xdr:rowOff>
    </xdr:to>
    <xdr:graphicFrame macro="">
      <xdr:nvGraphicFramePr>
        <xdr:cNvPr id="22674" name="niip">
          <a:extLst>
            <a:ext uri="{FF2B5EF4-FFF2-40B4-BE49-F238E27FC236}">
              <a16:creationId xmlns:a16="http://schemas.microsoft.com/office/drawing/2014/main" id="{00000000-0008-0000-1400-0000925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390525</xdr:colOff>
      <xdr:row>0</xdr:row>
      <xdr:rowOff>142876</xdr:rowOff>
    </xdr:from>
    <xdr:to>
      <xdr:col>13</xdr:col>
      <xdr:colOff>895350</xdr:colOff>
      <xdr:row>37</xdr:row>
      <xdr:rowOff>114301</xdr:rowOff>
    </xdr:to>
    <xdr:sp macro="" textlink="">
      <xdr:nvSpPr>
        <xdr:cNvPr id="22559" name="Rectangle 31">
          <a:extLst>
            <a:ext uri="{FF2B5EF4-FFF2-40B4-BE49-F238E27FC236}">
              <a16:creationId xmlns:a16="http://schemas.microsoft.com/office/drawing/2014/main" id="{00000000-0008-0000-1400-00001F580000}"/>
            </a:ext>
          </a:extLst>
        </xdr:cNvPr>
        <xdr:cNvSpPr>
          <a:spLocks noChangeArrowheads="1"/>
        </xdr:cNvSpPr>
      </xdr:nvSpPr>
      <xdr:spPr bwMode="auto">
        <a:xfrm>
          <a:off x="1152525" y="142876"/>
          <a:ext cx="9648825" cy="596265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40</xdr:row>
      <xdr:rowOff>104775</xdr:rowOff>
    </xdr:from>
    <xdr:to>
      <xdr:col>13</xdr:col>
      <xdr:colOff>894525</xdr:colOff>
      <xdr:row>77</xdr:row>
      <xdr:rowOff>57150</xdr:rowOff>
    </xdr:to>
    <xdr:sp macro="" textlink="">
      <xdr:nvSpPr>
        <xdr:cNvPr id="22561" name="Rectangle 33">
          <a:extLst>
            <a:ext uri="{FF2B5EF4-FFF2-40B4-BE49-F238E27FC236}">
              <a16:creationId xmlns:a16="http://schemas.microsoft.com/office/drawing/2014/main" id="{00000000-0008-0000-1400-000021580000}"/>
            </a:ext>
          </a:extLst>
        </xdr:cNvPr>
        <xdr:cNvSpPr>
          <a:spLocks noChangeArrowheads="1"/>
        </xdr:cNvSpPr>
      </xdr:nvSpPr>
      <xdr:spPr bwMode="auto">
        <a:xfrm>
          <a:off x="1152525" y="6581775"/>
          <a:ext cx="9648000" cy="5943600"/>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1</xdr:col>
      <xdr:colOff>390525</xdr:colOff>
      <xdr:row>78</xdr:row>
      <xdr:rowOff>152399</xdr:rowOff>
    </xdr:from>
    <xdr:to>
      <xdr:col>13</xdr:col>
      <xdr:colOff>894525</xdr:colOff>
      <xdr:row>133</xdr:row>
      <xdr:rowOff>57149</xdr:rowOff>
    </xdr:to>
    <xdr:sp macro="" textlink="">
      <xdr:nvSpPr>
        <xdr:cNvPr id="22562" name="Rectangle 34">
          <a:extLst>
            <a:ext uri="{FF2B5EF4-FFF2-40B4-BE49-F238E27FC236}">
              <a16:creationId xmlns:a16="http://schemas.microsoft.com/office/drawing/2014/main" id="{00000000-0008-0000-1400-000022580000}"/>
            </a:ext>
          </a:extLst>
        </xdr:cNvPr>
        <xdr:cNvSpPr>
          <a:spLocks noChangeArrowheads="1"/>
        </xdr:cNvSpPr>
      </xdr:nvSpPr>
      <xdr:spPr bwMode="auto">
        <a:xfrm>
          <a:off x="1152525" y="12782549"/>
          <a:ext cx="9648000" cy="8810625"/>
        </a:xfrm>
        <a:prstGeom prst="rect">
          <a:avLst/>
        </a:prstGeom>
        <a:noFill/>
        <a:ln w="25400" algn="ctr">
          <a:solidFill>
            <a:srgbClr val="00CCFF"/>
          </a:solidFill>
          <a:miter lim="800000"/>
          <a:headEnd/>
          <a:tailEnd/>
        </a:ln>
        <a:effectLst>
          <a:outerShdw dist="35921" dir="2700000" algn="ctr" rotWithShape="0">
            <a:srgbClr val="000000"/>
          </a:outerShdw>
        </a:effectLst>
      </xdr:spPr>
    </xdr:sp>
    <xdr:clientData/>
  </xdr:twoCellAnchor>
  <xdr:twoCellAnchor>
    <xdr:from>
      <xdr:col>0</xdr:col>
      <xdr:colOff>57150</xdr:colOff>
      <xdr:row>25</xdr:row>
      <xdr:rowOff>9525</xdr:rowOff>
    </xdr:from>
    <xdr:to>
      <xdr:col>1</xdr:col>
      <xdr:colOff>285750</xdr:colOff>
      <xdr:row>29</xdr:row>
      <xdr:rowOff>0</xdr:rowOff>
    </xdr:to>
    <xdr:sp macro="[0]!Autoforma36_AlHacerClic" textlink="">
      <xdr:nvSpPr>
        <xdr:cNvPr id="22564" name="AutoShape 36">
          <a:extLst>
            <a:ext uri="{FF2B5EF4-FFF2-40B4-BE49-F238E27FC236}">
              <a16:creationId xmlns:a16="http://schemas.microsoft.com/office/drawing/2014/main" id="{00000000-0008-0000-1400-000024580000}"/>
            </a:ext>
          </a:extLst>
        </xdr:cNvPr>
        <xdr:cNvSpPr>
          <a:spLocks noChangeArrowheads="1"/>
        </xdr:cNvSpPr>
      </xdr:nvSpPr>
      <xdr:spPr bwMode="auto">
        <a:xfrm rot="5400000">
          <a:off x="233362" y="38814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Open economy figures</a:t>
          </a:r>
        </a:p>
      </xdr:txBody>
    </xdr:sp>
    <xdr:clientData fPrintsWithSheet="0"/>
  </xdr:twoCellAnchor>
  <xdr:twoCellAnchor>
    <xdr:from>
      <xdr:col>0</xdr:col>
      <xdr:colOff>28575</xdr:colOff>
      <xdr:row>19</xdr:row>
      <xdr:rowOff>114300</xdr:rowOff>
    </xdr:from>
    <xdr:to>
      <xdr:col>1</xdr:col>
      <xdr:colOff>257175</xdr:colOff>
      <xdr:row>23</xdr:row>
      <xdr:rowOff>104775</xdr:rowOff>
    </xdr:to>
    <xdr:sp macro="[0]!Autoforma37_AlHacerClic" textlink="">
      <xdr:nvSpPr>
        <xdr:cNvPr id="22565" name="AutoShape 37">
          <a:extLst>
            <a:ext uri="{FF2B5EF4-FFF2-40B4-BE49-F238E27FC236}">
              <a16:creationId xmlns:a16="http://schemas.microsoft.com/office/drawing/2014/main" id="{00000000-0008-0000-1400-000025580000}"/>
            </a:ext>
          </a:extLst>
        </xdr:cNvPr>
        <xdr:cNvSpPr>
          <a:spLocks noChangeArrowheads="1"/>
        </xdr:cNvSpPr>
      </xdr:nvSpPr>
      <xdr:spPr bwMode="auto">
        <a:xfrm rot="5400000">
          <a:off x="204787" y="3014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Public finance figures</a:t>
          </a:r>
        </a:p>
      </xdr:txBody>
    </xdr:sp>
    <xdr:clientData fPrintsWithSheet="0"/>
  </xdr:twoCellAnchor>
  <xdr:twoCellAnchor>
    <xdr:from>
      <xdr:col>0</xdr:col>
      <xdr:colOff>0</xdr:colOff>
      <xdr:row>53</xdr:row>
      <xdr:rowOff>9525</xdr:rowOff>
    </xdr:from>
    <xdr:to>
      <xdr:col>1</xdr:col>
      <xdr:colOff>228600</xdr:colOff>
      <xdr:row>57</xdr:row>
      <xdr:rowOff>0</xdr:rowOff>
    </xdr:to>
    <xdr:sp macro="[0]!Macro3" textlink="">
      <xdr:nvSpPr>
        <xdr:cNvPr id="22566" name="AutoShape 38">
          <a:extLst>
            <a:ext uri="{FF2B5EF4-FFF2-40B4-BE49-F238E27FC236}">
              <a16:creationId xmlns:a16="http://schemas.microsoft.com/office/drawing/2014/main" id="{00000000-0008-0000-1400-000026580000}"/>
            </a:ext>
          </a:extLst>
        </xdr:cNvPr>
        <xdr:cNvSpPr>
          <a:spLocks noChangeArrowheads="1"/>
        </xdr:cNvSpPr>
      </xdr:nvSpPr>
      <xdr:spPr bwMode="auto">
        <a:xfrm rot="16200000">
          <a:off x="176212" y="8415338"/>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0</xdr:colOff>
      <xdr:row>102</xdr:row>
      <xdr:rowOff>9525</xdr:rowOff>
    </xdr:from>
    <xdr:to>
      <xdr:col>1</xdr:col>
      <xdr:colOff>228600</xdr:colOff>
      <xdr:row>106</xdr:row>
      <xdr:rowOff>0</xdr:rowOff>
    </xdr:to>
    <xdr:sp macro="[0]!Macro3" textlink="">
      <xdr:nvSpPr>
        <xdr:cNvPr id="22567" name="AutoShape 39">
          <a:extLst>
            <a:ext uri="{FF2B5EF4-FFF2-40B4-BE49-F238E27FC236}">
              <a16:creationId xmlns:a16="http://schemas.microsoft.com/office/drawing/2014/main" id="{00000000-0008-0000-1400-000027580000}"/>
            </a:ext>
          </a:extLst>
        </xdr:cNvPr>
        <xdr:cNvSpPr>
          <a:spLocks noChangeArrowheads="1"/>
        </xdr:cNvSpPr>
      </xdr:nvSpPr>
      <xdr:spPr bwMode="auto">
        <a:xfrm rot="16200000">
          <a:off x="176212" y="16349663"/>
          <a:ext cx="638175" cy="990600"/>
        </a:xfrm>
        <a:prstGeom prst="rightArrow">
          <a:avLst>
            <a:gd name="adj1" fmla="val 52213"/>
            <a:gd name="adj2" fmla="val 55227"/>
          </a:avLst>
        </a:prstGeom>
        <a:solidFill>
          <a:srgbClr val="FFFFE1"/>
        </a:solidFill>
        <a:ln w="9525" algn="ctr">
          <a:solidFill>
            <a:srgbClr val="000000"/>
          </a:solidFill>
          <a:miter lim="800000"/>
          <a:headEnd/>
          <a:tailEnd/>
        </a:ln>
        <a:effectLst>
          <a:outerShdw dist="35921" dir="2700000" algn="ctr" rotWithShape="0">
            <a:srgbClr val="000000"/>
          </a:outerShdw>
        </a:effectLst>
      </xdr:spPr>
      <xdr:txBody>
        <a:bodyPr vertOverflow="clip" wrap="square" lIns="27432" tIns="22860" rIns="27432" bIns="0" anchor="t" upright="1"/>
        <a:lstStyle/>
        <a:p>
          <a:pPr algn="ctr" rtl="1">
            <a:defRPr sz="1000"/>
          </a:pPr>
          <a:r>
            <a:rPr lang="es-ES" sz="900" b="1" i="0" strike="noStrike">
              <a:solidFill>
                <a:srgbClr val="000000"/>
              </a:solidFill>
              <a:latin typeface="Times New Roman"/>
              <a:cs typeface="Times New Roman"/>
            </a:rPr>
            <a:t>Top</a:t>
          </a:r>
        </a:p>
      </xdr:txBody>
    </xdr:sp>
    <xdr:clientData fPrintsWithSheet="0"/>
  </xdr:twoCellAnchor>
  <xdr:twoCellAnchor>
    <xdr:from>
      <xdr:col>0</xdr:col>
      <xdr:colOff>171450</xdr:colOff>
      <xdr:row>14</xdr:row>
      <xdr:rowOff>123824</xdr:rowOff>
    </xdr:from>
    <xdr:to>
      <xdr:col>1</xdr:col>
      <xdr:colOff>190500</xdr:colOff>
      <xdr:row>18</xdr:row>
      <xdr:rowOff>133349</xdr:rowOff>
    </xdr:to>
    <xdr:sp macro="[0]!Macro2" textlink="">
      <xdr:nvSpPr>
        <xdr:cNvPr id="21" name="20 Flecha derecha">
          <a:extLst>
            <a:ext uri="{FF2B5EF4-FFF2-40B4-BE49-F238E27FC236}">
              <a16:creationId xmlns:a16="http://schemas.microsoft.com/office/drawing/2014/main" id="{00000000-0008-0000-1400-000015000000}"/>
            </a:ext>
          </a:extLst>
        </xdr:cNvPr>
        <xdr:cNvSpPr/>
      </xdr:nvSpPr>
      <xdr:spPr bwMode="auto">
        <a:xfrm>
          <a:off x="171450" y="2390774"/>
          <a:ext cx="781050" cy="65722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algn="ctr"/>
          <a:r>
            <a:rPr lang="es-ES" sz="900" b="1" i="0" strike="noStrike">
              <a:solidFill>
                <a:srgbClr val="000000"/>
              </a:solidFill>
              <a:latin typeface="Times New Roman"/>
              <a:ea typeface="+mn-ea"/>
              <a:cs typeface="Times New Roman"/>
            </a:rPr>
            <a:t>Data</a:t>
          </a:r>
        </a:p>
      </xdr:txBody>
    </xdr:sp>
    <xdr:clientData fPrintsWithSheet="0"/>
  </xdr:twoCellAnchor>
  <xdr:twoCellAnchor>
    <xdr:from>
      <xdr:col>16</xdr:col>
      <xdr:colOff>166687</xdr:colOff>
      <xdr:row>22</xdr:row>
      <xdr:rowOff>166688</xdr:rowOff>
    </xdr:from>
    <xdr:to>
      <xdr:col>17</xdr:col>
      <xdr:colOff>100012</xdr:colOff>
      <xdr:row>26</xdr:row>
      <xdr:rowOff>33338</xdr:rowOff>
    </xdr:to>
    <xdr:sp macro="[0]!Macro5" textlink="">
      <xdr:nvSpPr>
        <xdr:cNvPr id="23" name="22 Flecha derecha">
          <a:extLst>
            <a:ext uri="{FF2B5EF4-FFF2-40B4-BE49-F238E27FC236}">
              <a16:creationId xmlns:a16="http://schemas.microsoft.com/office/drawing/2014/main" id="{00000000-0008-0000-1400-000017000000}"/>
            </a:ext>
          </a:extLst>
        </xdr:cNvPr>
        <xdr:cNvSpPr/>
      </xdr:nvSpPr>
      <xdr:spPr bwMode="auto">
        <a:xfrm rot="10800000">
          <a:off x="12796837"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31</xdr:col>
      <xdr:colOff>52387</xdr:colOff>
      <xdr:row>22</xdr:row>
      <xdr:rowOff>166688</xdr:rowOff>
    </xdr:from>
    <xdr:to>
      <xdr:col>31</xdr:col>
      <xdr:colOff>700087</xdr:colOff>
      <xdr:row>26</xdr:row>
      <xdr:rowOff>33338</xdr:rowOff>
    </xdr:to>
    <xdr:sp macro="[0]!Macro5" textlink="">
      <xdr:nvSpPr>
        <xdr:cNvPr id="25" name="24 Flecha derecha">
          <a:extLst>
            <a:ext uri="{FF2B5EF4-FFF2-40B4-BE49-F238E27FC236}">
              <a16:creationId xmlns:a16="http://schemas.microsoft.com/office/drawing/2014/main" id="{00000000-0008-0000-1400-000019000000}"/>
            </a:ext>
          </a:extLst>
        </xdr:cNvPr>
        <xdr:cNvSpPr/>
      </xdr:nvSpPr>
      <xdr:spPr bwMode="auto">
        <a:xfrm rot="10800000">
          <a:off x="23398162" y="378618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46</xdr:col>
      <xdr:colOff>114299</xdr:colOff>
      <xdr:row>22</xdr:row>
      <xdr:rowOff>166687</xdr:rowOff>
    </xdr:from>
    <xdr:to>
      <xdr:col>47</xdr:col>
      <xdr:colOff>47624</xdr:colOff>
      <xdr:row>26</xdr:row>
      <xdr:rowOff>33337</xdr:rowOff>
    </xdr:to>
    <xdr:sp macro="[0]!Macro5" textlink="">
      <xdr:nvSpPr>
        <xdr:cNvPr id="27" name="26 Flecha derecha">
          <a:extLst>
            <a:ext uri="{FF2B5EF4-FFF2-40B4-BE49-F238E27FC236}">
              <a16:creationId xmlns:a16="http://schemas.microsoft.com/office/drawing/2014/main" id="{00000000-0008-0000-1400-00001B000000}"/>
            </a:ext>
          </a:extLst>
        </xdr:cNvPr>
        <xdr:cNvSpPr/>
      </xdr:nvSpPr>
      <xdr:spPr bwMode="auto">
        <a:xfrm rot="10800000">
          <a:off x="34175699" y="3786187"/>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16</xdr:col>
      <xdr:colOff>166687</xdr:colOff>
      <xdr:row>26</xdr:row>
      <xdr:rowOff>23812</xdr:rowOff>
    </xdr:from>
    <xdr:to>
      <xdr:col>17</xdr:col>
      <xdr:colOff>100012</xdr:colOff>
      <xdr:row>29</xdr:row>
      <xdr:rowOff>59245</xdr:rowOff>
    </xdr:to>
    <xdr:sp macro="[0]!Macro6" textlink="">
      <xdr:nvSpPr>
        <xdr:cNvPr id="30" name="29 Flecha derecha">
          <a:extLst>
            <a:ext uri="{FF2B5EF4-FFF2-40B4-BE49-F238E27FC236}">
              <a16:creationId xmlns:a16="http://schemas.microsoft.com/office/drawing/2014/main" id="{00000000-0008-0000-1400-00001E000000}"/>
            </a:ext>
          </a:extLst>
        </xdr:cNvPr>
        <xdr:cNvSpPr/>
      </xdr:nvSpPr>
      <xdr:spPr bwMode="auto">
        <a:xfrm>
          <a:off x="12796837"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26</xdr:row>
      <xdr:rowOff>23812</xdr:rowOff>
    </xdr:from>
    <xdr:to>
      <xdr:col>31</xdr:col>
      <xdr:colOff>700087</xdr:colOff>
      <xdr:row>29</xdr:row>
      <xdr:rowOff>59245</xdr:rowOff>
    </xdr:to>
    <xdr:sp macro="[0]!Macro7" textlink="">
      <xdr:nvSpPr>
        <xdr:cNvPr id="31" name="30 Flecha derecha">
          <a:extLst>
            <a:ext uri="{FF2B5EF4-FFF2-40B4-BE49-F238E27FC236}">
              <a16:creationId xmlns:a16="http://schemas.microsoft.com/office/drawing/2014/main" id="{00000000-0008-0000-1400-00001F000000}"/>
            </a:ext>
          </a:extLst>
        </xdr:cNvPr>
        <xdr:cNvSpPr/>
      </xdr:nvSpPr>
      <xdr:spPr bwMode="auto">
        <a:xfrm>
          <a:off x="23398162"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114299</xdr:colOff>
      <xdr:row>26</xdr:row>
      <xdr:rowOff>23812</xdr:rowOff>
    </xdr:from>
    <xdr:to>
      <xdr:col>47</xdr:col>
      <xdr:colOff>47624</xdr:colOff>
      <xdr:row>29</xdr:row>
      <xdr:rowOff>59245</xdr:rowOff>
    </xdr:to>
    <xdr:sp macro="[0]!Macro8" textlink="">
      <xdr:nvSpPr>
        <xdr:cNvPr id="32" name="31 Flecha derecha">
          <a:extLst>
            <a:ext uri="{FF2B5EF4-FFF2-40B4-BE49-F238E27FC236}">
              <a16:creationId xmlns:a16="http://schemas.microsoft.com/office/drawing/2014/main" id="{00000000-0008-0000-1400-000020000000}"/>
            </a:ext>
          </a:extLst>
        </xdr:cNvPr>
        <xdr:cNvSpPr/>
      </xdr:nvSpPr>
      <xdr:spPr bwMode="auto">
        <a:xfrm>
          <a:off x="34175699" y="4300537"/>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Fourth</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xdr:twoCellAnchor>
    <xdr:from>
      <xdr:col>46</xdr:col>
      <xdr:colOff>113537</xdr:colOff>
      <xdr:row>28</xdr:row>
      <xdr:rowOff>160496</xdr:rowOff>
    </xdr:from>
    <xdr:to>
      <xdr:col>47</xdr:col>
      <xdr:colOff>48386</xdr:colOff>
      <xdr:row>32</xdr:row>
      <xdr:rowOff>34004</xdr:rowOff>
    </xdr:to>
    <xdr:sp macro="[0]!Macro6" textlink="">
      <xdr:nvSpPr>
        <xdr:cNvPr id="34" name="33 Flecha derecha">
          <a:extLst>
            <a:ext uri="{FF2B5EF4-FFF2-40B4-BE49-F238E27FC236}">
              <a16:creationId xmlns:a16="http://schemas.microsoft.com/office/drawing/2014/main" id="{00000000-0008-0000-1400-000022000000}"/>
            </a:ext>
          </a:extLst>
        </xdr:cNvPr>
        <xdr:cNvSpPr/>
      </xdr:nvSpPr>
      <xdr:spPr bwMode="auto">
        <a:xfrm rot="10800000">
          <a:off x="34174937" y="4761071"/>
          <a:ext cx="649224"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Second </a:t>
          </a:r>
          <a:r>
            <a:rPr lang="es-ES" sz="800" b="1" i="0" strike="noStrike" baseline="0">
              <a:solidFill>
                <a:srgbClr val="000000"/>
              </a:solidFill>
              <a:latin typeface="Times New Roman"/>
              <a:ea typeface="+mn-ea"/>
              <a:cs typeface="Times New Roman"/>
            </a:rPr>
            <a:t>scenario</a:t>
          </a:r>
          <a:endParaRPr lang="es-ES" sz="800" b="1" i="0" strike="noStrike">
            <a:solidFill>
              <a:srgbClr val="000000"/>
            </a:solidFill>
            <a:latin typeface="Times New Roman"/>
            <a:ea typeface="+mn-ea"/>
            <a:cs typeface="Times New Roman"/>
          </a:endParaRPr>
        </a:p>
      </xdr:txBody>
    </xdr:sp>
    <xdr:clientData/>
  </xdr:twoCellAnchor>
  <xdr:twoCellAnchor>
    <xdr:from>
      <xdr:col>31</xdr:col>
      <xdr:colOff>52387</xdr:colOff>
      <xdr:row>28</xdr:row>
      <xdr:rowOff>159163</xdr:rowOff>
    </xdr:from>
    <xdr:to>
      <xdr:col>31</xdr:col>
      <xdr:colOff>700087</xdr:colOff>
      <xdr:row>32</xdr:row>
      <xdr:rowOff>35338</xdr:rowOff>
    </xdr:to>
    <xdr:sp macro="[0]!Macro2" textlink="">
      <xdr:nvSpPr>
        <xdr:cNvPr id="36" name="35 Flecha derecha">
          <a:extLst>
            <a:ext uri="{FF2B5EF4-FFF2-40B4-BE49-F238E27FC236}">
              <a16:creationId xmlns:a16="http://schemas.microsoft.com/office/drawing/2014/main" id="{00000000-0008-0000-1400-000024000000}"/>
            </a:ext>
          </a:extLst>
        </xdr:cNvPr>
        <xdr:cNvSpPr/>
      </xdr:nvSpPr>
      <xdr:spPr bwMode="auto">
        <a:xfrm rot="10800000">
          <a:off x="23398162" y="47597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First scenario</a:t>
          </a:r>
        </a:p>
      </xdr:txBody>
    </xdr:sp>
    <xdr:clientData/>
  </xdr:twoCellAnchor>
  <xdr:twoCellAnchor>
    <xdr:from>
      <xdr:col>61</xdr:col>
      <xdr:colOff>195262</xdr:colOff>
      <xdr:row>22</xdr:row>
      <xdr:rowOff>147638</xdr:rowOff>
    </xdr:from>
    <xdr:to>
      <xdr:col>62</xdr:col>
      <xdr:colOff>128587</xdr:colOff>
      <xdr:row>26</xdr:row>
      <xdr:rowOff>14288</xdr:rowOff>
    </xdr:to>
    <xdr:sp macro="[0]!Macro5" textlink="">
      <xdr:nvSpPr>
        <xdr:cNvPr id="37" name="36 Flecha derecha">
          <a:extLst>
            <a:ext uri="{FF2B5EF4-FFF2-40B4-BE49-F238E27FC236}">
              <a16:creationId xmlns:a16="http://schemas.microsoft.com/office/drawing/2014/main" id="{00000000-0008-0000-1400-000025000000}"/>
            </a:ext>
          </a:extLst>
        </xdr:cNvPr>
        <xdr:cNvSpPr/>
      </xdr:nvSpPr>
      <xdr:spPr bwMode="auto">
        <a:xfrm rot="10800000">
          <a:off x="44972287" y="3767138"/>
          <a:ext cx="647700" cy="523875"/>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900" b="1" i="0" strike="noStrike">
              <a:solidFill>
                <a:srgbClr val="000000"/>
              </a:solidFill>
              <a:latin typeface="Times New Roman"/>
              <a:ea typeface="+mn-ea"/>
              <a:cs typeface="Times New Roman"/>
            </a:rPr>
            <a:t>Figures</a:t>
          </a:r>
        </a:p>
      </xdr:txBody>
    </xdr:sp>
    <xdr:clientData/>
  </xdr:twoCellAnchor>
  <xdr:twoCellAnchor>
    <xdr:from>
      <xdr:col>61</xdr:col>
      <xdr:colOff>195262</xdr:colOff>
      <xdr:row>28</xdr:row>
      <xdr:rowOff>141446</xdr:rowOff>
    </xdr:from>
    <xdr:to>
      <xdr:col>62</xdr:col>
      <xdr:colOff>128587</xdr:colOff>
      <xdr:row>32</xdr:row>
      <xdr:rowOff>14954</xdr:rowOff>
    </xdr:to>
    <xdr:sp macro="[0]!Macro7" textlink="">
      <xdr:nvSpPr>
        <xdr:cNvPr id="38" name="37 Flecha derecha">
          <a:extLst>
            <a:ext uri="{FF2B5EF4-FFF2-40B4-BE49-F238E27FC236}">
              <a16:creationId xmlns:a16="http://schemas.microsoft.com/office/drawing/2014/main" id="{00000000-0008-0000-1400-000026000000}"/>
            </a:ext>
          </a:extLst>
        </xdr:cNvPr>
        <xdr:cNvSpPr/>
      </xdr:nvSpPr>
      <xdr:spPr bwMode="auto">
        <a:xfrm rot="10800000">
          <a:off x="44972287" y="4742021"/>
          <a:ext cx="647700" cy="521208"/>
        </a:xfrm>
        <a:prstGeom prst="rightArrow">
          <a:avLst/>
        </a:pr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xdr:spPr>
      <xdr:txBody>
        <a:bodyPr vertOverflow="clip" wrap="square" lIns="18288" tIns="0" rIns="0" bIns="0" rtlCol="0" anchor="ctr" upright="1"/>
        <a:lstStyle/>
        <a:p>
          <a:pPr marL="0" indent="0" algn="ctr"/>
          <a:r>
            <a:rPr lang="es-ES" sz="800" b="1" i="0" strike="noStrike">
              <a:solidFill>
                <a:srgbClr val="000000"/>
              </a:solidFill>
              <a:latin typeface="Times New Roman"/>
              <a:ea typeface="+mn-ea"/>
              <a:cs typeface="Times New Roman"/>
            </a:rPr>
            <a:t>Third</a:t>
          </a:r>
          <a:r>
            <a:rPr lang="es-ES" sz="800" b="1" i="0" strike="noStrike" baseline="0">
              <a:solidFill>
                <a:srgbClr val="000000"/>
              </a:solidFill>
              <a:latin typeface="Times New Roman"/>
              <a:ea typeface="+mn-ea"/>
              <a:cs typeface="Times New Roman"/>
            </a:rPr>
            <a:t> scenario</a:t>
          </a:r>
          <a:endParaRPr lang="es-ES" sz="800" b="1" i="0" strike="noStrike">
            <a:solidFill>
              <a:srgbClr val="000000"/>
            </a:solidFill>
            <a:latin typeface="Times New Roman"/>
            <a:ea typeface="+mn-ea"/>
            <a:cs typeface="Times New Roman"/>
          </a:endParaRPr>
        </a:p>
      </xdr:txBody>
    </xdr:sp>
    <xdr:clientData/>
  </xdr:twoCellAnchor>
  <mc:AlternateContent xmlns:mc="http://schemas.openxmlformats.org/markup-compatibility/2006">
    <mc:Choice xmlns:a14="http://schemas.microsoft.com/office/drawing/2010/main" Requires="a14">
      <xdr:twoCellAnchor>
        <xdr:from>
          <xdr:col>0</xdr:col>
          <xdr:colOff>95250</xdr:colOff>
          <xdr:row>3</xdr:row>
          <xdr:rowOff>165100</xdr:rowOff>
        </xdr:from>
        <xdr:to>
          <xdr:col>1</xdr:col>
          <xdr:colOff>209550</xdr:colOff>
          <xdr:row>6</xdr:row>
          <xdr:rowOff>152400</xdr:rowOff>
        </xdr:to>
        <xdr:sp macro="" textlink="">
          <xdr:nvSpPr>
            <xdr:cNvPr id="22530" name="Button 2" hidden="1">
              <a:extLst>
                <a:ext uri="{63B3BB69-23CF-44E3-9099-C40C66FF867C}">
                  <a14:compatExt spid="_x0000_s22530"/>
                </a:ext>
                <a:ext uri="{FF2B5EF4-FFF2-40B4-BE49-F238E27FC236}">
                  <a16:creationId xmlns:a16="http://schemas.microsoft.com/office/drawing/2014/main" id="{00000000-0008-0000-1400-000002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Reset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0</xdr:row>
          <xdr:rowOff>76200</xdr:rowOff>
        </xdr:from>
        <xdr:to>
          <xdr:col>1</xdr:col>
          <xdr:colOff>209550</xdr:colOff>
          <xdr:row>3</xdr:row>
          <xdr:rowOff>19050</xdr:rowOff>
        </xdr:to>
        <xdr:sp macro="" textlink="">
          <xdr:nvSpPr>
            <xdr:cNvPr id="22533" name="Button 5" hidden="1">
              <a:extLst>
                <a:ext uri="{63B3BB69-23CF-44E3-9099-C40C66FF867C}">
                  <a14:compatExt spid="_x0000_s22533"/>
                </a:ext>
                <a:ext uri="{FF2B5EF4-FFF2-40B4-BE49-F238E27FC236}">
                  <a16:creationId xmlns:a16="http://schemas.microsoft.com/office/drawing/2014/main" id="{00000000-0008-0000-1400-000005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Main page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7</xdr:row>
          <xdr:rowOff>127000</xdr:rowOff>
        </xdr:from>
        <xdr:to>
          <xdr:col>1</xdr:col>
          <xdr:colOff>209550</xdr:colOff>
          <xdr:row>10</xdr:row>
          <xdr:rowOff>114300</xdr:rowOff>
        </xdr:to>
        <xdr:sp macro="" textlink="">
          <xdr:nvSpPr>
            <xdr:cNvPr id="22552" name="Button 24" hidden="1">
              <a:extLst>
                <a:ext uri="{63B3BB69-23CF-44E3-9099-C40C66FF867C}">
                  <a14:compatExt spid="_x0000_s22552"/>
                </a:ext>
                <a:ext uri="{FF2B5EF4-FFF2-40B4-BE49-F238E27FC236}">
                  <a16:creationId xmlns:a16="http://schemas.microsoft.com/office/drawing/2014/main" id="{00000000-0008-0000-1400-000018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Change </a:t>
              </a:r>
              <a:r>
                <a:rPr lang="en-GB" sz="1000" b="0" i="1" u="none" strike="noStrike" baseline="0">
                  <a:solidFill>
                    <a:srgbClr val="000000"/>
                  </a:solidFill>
                  <a:latin typeface="Arial"/>
                  <a:cs typeface="Arial"/>
                </a:rPr>
                <a:t>Y</a:t>
              </a:r>
              <a:r>
                <a:rPr lang="en-GB" sz="1000" b="0" i="0" u="none" strike="noStrike" baseline="0">
                  <a:solidFill>
                    <a:srgbClr val="000000"/>
                  </a:solidFill>
                  <a:latin typeface="Arial"/>
                  <a:cs typeface="Arial"/>
                </a:rPr>
                <a:t> axis scale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95250</xdr:colOff>
          <xdr:row>11</xdr:row>
          <xdr:rowOff>95250</xdr:rowOff>
        </xdr:from>
        <xdr:to>
          <xdr:col>1</xdr:col>
          <xdr:colOff>209550</xdr:colOff>
          <xdr:row>14</xdr:row>
          <xdr:rowOff>88900</xdr:rowOff>
        </xdr:to>
        <xdr:sp macro="" textlink="">
          <xdr:nvSpPr>
            <xdr:cNvPr id="22555" name="Button 27" hidden="1">
              <a:extLst>
                <a:ext uri="{63B3BB69-23CF-44E3-9099-C40C66FF867C}">
                  <a14:compatExt spid="_x0000_s22555"/>
                </a:ext>
                <a:ext uri="{FF2B5EF4-FFF2-40B4-BE49-F238E27FC236}">
                  <a16:creationId xmlns:a16="http://schemas.microsoft.com/office/drawing/2014/main" id="{00000000-0008-0000-1400-00001B5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GB" sz="1000" b="0" i="0" u="none" strike="noStrike" baseline="0">
                  <a:solidFill>
                    <a:srgbClr val="000000"/>
                  </a:solidFill>
                  <a:latin typeface="Arial"/>
                  <a:cs typeface="Arial"/>
                </a:rPr>
                <a:t>Print</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lásico de Office">
      <a:majorFont>
        <a:latin typeface="Arial"/>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omments" Target="../comments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4.vml"/><Relationship Id="rId7" Type="http://schemas.openxmlformats.org/officeDocument/2006/relationships/ctrlProp" Target="../ctrlProps/ctrlProp24.xml"/><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ctrlProp" Target="../ctrlProps/ctrlProp23.xml"/><Relationship Id="rId5" Type="http://schemas.openxmlformats.org/officeDocument/2006/relationships/ctrlProp" Target="../ctrlProps/ctrlProp22.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trlProp" Target="../ctrlProps/ctrlProp27.xml"/></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32.xml"/><Relationship Id="rId3" Type="http://schemas.openxmlformats.org/officeDocument/2006/relationships/vmlDrawing" Target="../drawings/vmlDrawing6.vml"/><Relationship Id="rId7" Type="http://schemas.openxmlformats.org/officeDocument/2006/relationships/ctrlProp" Target="../ctrlProps/ctrlProp31.xml"/><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ctrlProp" Target="../ctrlProps/ctrlProp30.xml"/><Relationship Id="rId11" Type="http://schemas.openxmlformats.org/officeDocument/2006/relationships/ctrlProp" Target="../ctrlProps/ctrlProp35.xml"/><Relationship Id="rId5" Type="http://schemas.openxmlformats.org/officeDocument/2006/relationships/ctrlProp" Target="../ctrlProps/ctrlProp29.xml"/><Relationship Id="rId10" Type="http://schemas.openxmlformats.org/officeDocument/2006/relationships/ctrlProp" Target="../ctrlProps/ctrlProp34.xml"/><Relationship Id="rId4" Type="http://schemas.openxmlformats.org/officeDocument/2006/relationships/ctrlProp" Target="../ctrlProps/ctrlProp28.xml"/><Relationship Id="rId9" Type="http://schemas.openxmlformats.org/officeDocument/2006/relationships/ctrlProp" Target="../ctrlProps/ctrlProp3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8" Type="http://schemas.openxmlformats.org/officeDocument/2006/relationships/ctrlProp" Target="../ctrlProps/ctrlProp40.xml"/><Relationship Id="rId3" Type="http://schemas.openxmlformats.org/officeDocument/2006/relationships/vmlDrawing" Target="../drawings/vmlDrawing8.vml"/><Relationship Id="rId7" Type="http://schemas.openxmlformats.org/officeDocument/2006/relationships/ctrlProp" Target="../ctrlProps/ctrlProp39.xml"/><Relationship Id="rId2" Type="http://schemas.openxmlformats.org/officeDocument/2006/relationships/drawing" Target="../drawings/drawing6.xml"/><Relationship Id="rId1" Type="http://schemas.openxmlformats.org/officeDocument/2006/relationships/printerSettings" Target="../printerSettings/printerSettings9.bin"/><Relationship Id="rId6" Type="http://schemas.openxmlformats.org/officeDocument/2006/relationships/ctrlProp" Target="../ctrlProps/ctrlProp38.xml"/><Relationship Id="rId5" Type="http://schemas.openxmlformats.org/officeDocument/2006/relationships/ctrlProp" Target="../ctrlProps/ctrlProp37.xml"/><Relationship Id="rId4" Type="http://schemas.openxmlformats.org/officeDocument/2006/relationships/ctrlProp" Target="../ctrlProps/ctrlProp36.xml"/><Relationship Id="rId9" Type="http://schemas.openxmlformats.org/officeDocument/2006/relationships/ctrlProp" Target="../ctrlProps/ctrlProp41.xml"/></Relationships>
</file>

<file path=xl/worksheets/_rels/sheet14.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9.vml"/><Relationship Id="rId7" Type="http://schemas.openxmlformats.org/officeDocument/2006/relationships/ctrlProp" Target="../ctrlProps/ctrlProp45.xml"/><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trlProp" Target="../ctrlProps/ctrlProp44.xml"/><Relationship Id="rId5" Type="http://schemas.openxmlformats.org/officeDocument/2006/relationships/ctrlProp" Target="../ctrlProps/ctrlProp43.xml"/><Relationship Id="rId4" Type="http://schemas.openxmlformats.org/officeDocument/2006/relationships/ctrlProp" Target="../ctrlProps/ctrlProp42.xml"/></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50.xml"/><Relationship Id="rId13" Type="http://schemas.openxmlformats.org/officeDocument/2006/relationships/comments" Target="../comments6.xml"/><Relationship Id="rId3" Type="http://schemas.openxmlformats.org/officeDocument/2006/relationships/vmlDrawing" Target="../drawings/vmlDrawing10.vml"/><Relationship Id="rId7" Type="http://schemas.openxmlformats.org/officeDocument/2006/relationships/ctrlProp" Target="../ctrlProps/ctrlProp49.xml"/><Relationship Id="rId12" Type="http://schemas.openxmlformats.org/officeDocument/2006/relationships/ctrlProp" Target="../ctrlProps/ctrlProp54.xml"/><Relationship Id="rId2" Type="http://schemas.openxmlformats.org/officeDocument/2006/relationships/drawing" Target="../drawings/drawing8.xml"/><Relationship Id="rId1" Type="http://schemas.openxmlformats.org/officeDocument/2006/relationships/printerSettings" Target="../printerSettings/printerSettings11.bin"/><Relationship Id="rId6" Type="http://schemas.openxmlformats.org/officeDocument/2006/relationships/ctrlProp" Target="../ctrlProps/ctrlProp48.xml"/><Relationship Id="rId11" Type="http://schemas.openxmlformats.org/officeDocument/2006/relationships/ctrlProp" Target="../ctrlProps/ctrlProp53.xml"/><Relationship Id="rId5" Type="http://schemas.openxmlformats.org/officeDocument/2006/relationships/ctrlProp" Target="../ctrlProps/ctrlProp47.xml"/><Relationship Id="rId10" Type="http://schemas.openxmlformats.org/officeDocument/2006/relationships/ctrlProp" Target="../ctrlProps/ctrlProp52.xml"/><Relationship Id="rId4" Type="http://schemas.openxmlformats.org/officeDocument/2006/relationships/ctrlProp" Target="../ctrlProps/ctrlProp46.xml"/><Relationship Id="rId9" Type="http://schemas.openxmlformats.org/officeDocument/2006/relationships/ctrlProp" Target="../ctrlProps/ctrlProp5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trlProp" Target="../ctrlProps/ctrlProp55.xml"/><Relationship Id="rId2" Type="http://schemas.openxmlformats.org/officeDocument/2006/relationships/vmlDrawing" Target="../drawings/vmlDrawing14.vml"/><Relationship Id="rId1" Type="http://schemas.openxmlformats.org/officeDocument/2006/relationships/drawing" Target="../drawings/drawing9.xml"/><Relationship Id="rId5" Type="http://schemas.openxmlformats.org/officeDocument/2006/relationships/comments" Target="../comments10.xml"/><Relationship Id="rId4" Type="http://schemas.openxmlformats.org/officeDocument/2006/relationships/ctrlProp" Target="../ctrlProps/ctrlProp56.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ctrlProp" Target="../ctrlProps/ctrlProp60.xml"/><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ctrlProp" Target="../ctrlProps/ctrlProp59.xml"/><Relationship Id="rId5" Type="http://schemas.openxmlformats.org/officeDocument/2006/relationships/ctrlProp" Target="../ctrlProps/ctrlProp58.xml"/><Relationship Id="rId4" Type="http://schemas.openxmlformats.org/officeDocument/2006/relationships/ctrlProp" Target="../ctrlProps/ctrlProp5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VB113"/>
  <sheetViews>
    <sheetView showGridLines="0" tabSelected="1" zoomScale="65" zoomScaleNormal="74" workbookViewId="0">
      <selection activeCell="G8" sqref="G8"/>
    </sheetView>
  </sheetViews>
  <sheetFormatPr defaultColWidth="10.90625" defaultRowHeight="12.5"/>
  <cols>
    <col min="1" max="1" width="6.7265625" customWidth="1"/>
    <col min="2" max="2" width="7.81640625" customWidth="1"/>
    <col min="3" max="3" width="12.7265625" customWidth="1"/>
    <col min="4" max="4" width="1.1796875" customWidth="1"/>
    <col min="5" max="5" width="1.26953125" customWidth="1"/>
    <col min="6" max="6" width="16.7265625" style="1" customWidth="1"/>
    <col min="7" max="7" width="8.7265625" customWidth="1"/>
    <col min="8" max="8" width="4.7265625" customWidth="1"/>
    <col min="9" max="9" width="9.81640625" customWidth="1"/>
    <col min="10" max="10" width="7.54296875" customWidth="1"/>
    <col min="11" max="11" width="8.7265625" customWidth="1"/>
    <col min="12" max="12" width="4.7265625" customWidth="1"/>
    <col min="13" max="13" width="1.54296875" customWidth="1"/>
    <col min="14" max="14" width="3.26953125" customWidth="1"/>
    <col min="15" max="15" width="0.1796875" hidden="1" customWidth="1"/>
    <col min="16" max="16" width="1.1796875" customWidth="1"/>
    <col min="17" max="17" width="13" customWidth="1"/>
    <col min="18" max="18" width="13.26953125" customWidth="1"/>
    <col min="19" max="19" width="6.26953125" customWidth="1"/>
    <col min="20" max="20" width="29.81640625" customWidth="1"/>
    <col min="21" max="21" width="8.54296875" customWidth="1"/>
    <col min="22" max="22" width="5.7265625" customWidth="1"/>
    <col min="23" max="23" width="1" style="2" customWidth="1"/>
    <col min="24" max="24" width="6.54296875" style="3" customWidth="1"/>
    <col min="25" max="25" width="11.453125" style="52"/>
    <col min="26" max="26" width="16" style="53" customWidth="1"/>
    <col min="27" max="28" width="11.453125" style="52"/>
    <col min="29" max="29" width="12.81640625" style="52" bestFit="1" customWidth="1"/>
    <col min="30" max="49" width="11.453125" style="52"/>
  </cols>
  <sheetData>
    <row r="1" spans="1:29" ht="13" thickBot="1">
      <c r="A1" s="113"/>
      <c r="B1" s="113"/>
      <c r="C1" s="113"/>
      <c r="D1" s="113"/>
      <c r="E1" s="114"/>
      <c r="F1" s="114"/>
      <c r="G1" s="114"/>
      <c r="H1" s="114"/>
      <c r="I1" s="114"/>
      <c r="J1" s="114"/>
      <c r="K1" s="114"/>
      <c r="L1" s="114"/>
      <c r="M1" s="114"/>
      <c r="N1" s="114"/>
      <c r="O1" s="114"/>
      <c r="P1" s="114"/>
      <c r="Q1" s="114"/>
      <c r="R1" s="114"/>
      <c r="S1" s="114"/>
      <c r="T1" s="114"/>
      <c r="U1" s="114"/>
      <c r="V1" s="114"/>
      <c r="W1" s="114"/>
      <c r="X1" s="114"/>
      <c r="Y1" s="113"/>
      <c r="Z1" s="113"/>
      <c r="AA1" s="113"/>
      <c r="AB1" s="113"/>
      <c r="AC1" s="113"/>
    </row>
    <row r="2" spans="1:29" ht="14" thickTop="1">
      <c r="A2" s="556" t="str">
        <f>IF(controls!B44=0,"Main page-Closed economy",IF(controls!B45=0,"Main page-Flexible exchange rate",IF(controls!B46=1,"Main page-Fixed exchange rate with endogenous fiscal policy","Main page-Fixed exchange rate without endogenous fiscal policy")))</f>
        <v>Main page-Closed economy</v>
      </c>
      <c r="B2" s="557" t="s">
        <v>110</v>
      </c>
      <c r="C2" s="558"/>
      <c r="D2" s="113"/>
      <c r="E2" s="128"/>
      <c r="F2" s="562" t="s">
        <v>60</v>
      </c>
      <c r="G2" s="562"/>
      <c r="H2" s="562"/>
      <c r="I2" s="562"/>
      <c r="J2" s="562"/>
      <c r="K2" s="562"/>
      <c r="L2" s="129"/>
      <c r="M2" s="130"/>
      <c r="N2" s="114"/>
      <c r="O2" s="70"/>
      <c r="P2" s="218"/>
      <c r="Q2" s="497" t="s">
        <v>144</v>
      </c>
      <c r="R2" s="564"/>
      <c r="S2" s="564"/>
      <c r="T2" s="564"/>
      <c r="U2" s="564"/>
      <c r="V2" s="219"/>
      <c r="W2" s="220"/>
      <c r="X2" s="114"/>
      <c r="Y2" s="113"/>
      <c r="Z2" s="113"/>
      <c r="AA2" s="113"/>
      <c r="AB2" s="113"/>
      <c r="AC2" s="113"/>
    </row>
    <row r="3" spans="1:29" ht="14.25" customHeight="1">
      <c r="A3" s="556"/>
      <c r="B3" s="559"/>
      <c r="C3" s="560"/>
      <c r="D3" s="113"/>
      <c r="E3" s="131"/>
      <c r="F3" s="563"/>
      <c r="G3" s="563"/>
      <c r="H3" s="563"/>
      <c r="I3" s="563"/>
      <c r="J3" s="563"/>
      <c r="K3" s="563"/>
      <c r="L3" s="122"/>
      <c r="M3" s="132"/>
      <c r="N3" s="114"/>
      <c r="O3" s="70"/>
      <c r="P3" s="221"/>
      <c r="Q3" s="565"/>
      <c r="R3" s="565"/>
      <c r="S3" s="565"/>
      <c r="T3" s="565"/>
      <c r="U3" s="565"/>
      <c r="V3" s="208"/>
      <c r="W3" s="222"/>
      <c r="X3" s="114"/>
      <c r="Y3" s="113"/>
      <c r="Z3" s="113"/>
      <c r="AA3" s="113"/>
      <c r="AB3" s="113"/>
      <c r="AC3" s="113"/>
    </row>
    <row r="4" spans="1:29" ht="12" customHeight="1">
      <c r="A4" s="556"/>
      <c r="B4" s="143"/>
      <c r="C4" s="144"/>
      <c r="D4" s="113"/>
      <c r="E4" s="131"/>
      <c r="F4" s="461" t="s">
        <v>61</v>
      </c>
      <c r="G4" s="566"/>
      <c r="H4" s="566"/>
      <c r="I4" s="566"/>
      <c r="J4" s="566"/>
      <c r="K4" s="566"/>
      <c r="L4" s="567"/>
      <c r="M4" s="133"/>
      <c r="N4" s="114"/>
      <c r="P4" s="223"/>
      <c r="Q4" s="574" t="str">
        <f>IF(S42+S43+T42=2,"Monetary",IF(S42+S43=2,"Fiscal","Monetary"))</f>
        <v>Monetary</v>
      </c>
      <c r="R4" s="575"/>
      <c r="S4" s="575"/>
      <c r="T4" s="575"/>
      <c r="U4" s="575"/>
      <c r="V4" s="576"/>
      <c r="W4" s="222"/>
      <c r="X4" s="114"/>
      <c r="Y4" s="113"/>
      <c r="Z4" s="113"/>
      <c r="AA4" s="113"/>
      <c r="AB4" s="113"/>
      <c r="AC4" s="113"/>
    </row>
    <row r="5" spans="1:29" ht="12" customHeight="1">
      <c r="A5" s="556"/>
      <c r="B5" s="143"/>
      <c r="C5" s="144"/>
      <c r="D5" s="113"/>
      <c r="E5" s="131"/>
      <c r="F5" s="568"/>
      <c r="G5" s="569"/>
      <c r="H5" s="569"/>
      <c r="I5" s="569"/>
      <c r="J5" s="569"/>
      <c r="K5" s="569"/>
      <c r="L5" s="570"/>
      <c r="M5" s="133"/>
      <c r="N5" s="114"/>
      <c r="P5" s="223"/>
      <c r="Q5" s="575"/>
      <c r="R5" s="575"/>
      <c r="S5" s="575"/>
      <c r="T5" s="575"/>
      <c r="U5" s="575"/>
      <c r="V5" s="576"/>
      <c r="W5" s="222"/>
      <c r="X5" s="114"/>
      <c r="Y5" s="113"/>
      <c r="Z5" s="113"/>
      <c r="AA5" s="113"/>
      <c r="AB5" s="113"/>
      <c r="AC5" s="113"/>
    </row>
    <row r="6" spans="1:29" ht="1.5" customHeight="1">
      <c r="A6" s="556"/>
      <c r="B6" s="143">
        <v>2</v>
      </c>
      <c r="C6" s="144"/>
      <c r="D6" s="113"/>
      <c r="E6" s="131"/>
      <c r="F6" s="568"/>
      <c r="G6" s="569"/>
      <c r="H6" s="569"/>
      <c r="I6" s="569"/>
      <c r="J6" s="569"/>
      <c r="K6" s="569"/>
      <c r="L6" s="570"/>
      <c r="M6" s="133"/>
      <c r="N6" s="114"/>
      <c r="P6" s="223"/>
      <c r="Q6" s="575"/>
      <c r="R6" s="575"/>
      <c r="S6" s="575"/>
      <c r="T6" s="575"/>
      <c r="U6" s="575"/>
      <c r="V6" s="576"/>
      <c r="W6" s="222"/>
      <c r="X6" s="114"/>
      <c r="Y6" s="113"/>
      <c r="Z6" s="113"/>
      <c r="AA6" s="113"/>
      <c r="AB6" s="113"/>
      <c r="AC6" s="113"/>
    </row>
    <row r="7" spans="1:29" ht="25" customHeight="1" thickBot="1">
      <c r="A7" s="556"/>
      <c r="B7" s="143"/>
      <c r="C7" s="144"/>
      <c r="D7" s="113"/>
      <c r="E7" s="131"/>
      <c r="F7" s="515" t="s">
        <v>101</v>
      </c>
      <c r="G7" s="516"/>
      <c r="H7" s="517"/>
      <c r="I7" s="571" t="s">
        <v>100</v>
      </c>
      <c r="J7" s="572"/>
      <c r="K7" s="573"/>
      <c r="L7" s="517"/>
      <c r="M7" s="133"/>
      <c r="N7" s="114"/>
      <c r="P7" s="223"/>
      <c r="Q7" s="511" t="str">
        <f>IF(S42+S43+T42=2,"","Inflation target")</f>
        <v>Inflation target</v>
      </c>
      <c r="R7" s="511"/>
      <c r="S7" s="512"/>
      <c r="T7" s="512"/>
      <c r="U7" s="513"/>
      <c r="V7" s="514"/>
      <c r="W7" s="222"/>
      <c r="X7" s="114"/>
      <c r="Y7" s="113"/>
      <c r="Z7" s="113"/>
      <c r="AA7" s="113"/>
      <c r="AB7" s="113"/>
      <c r="AC7" s="113"/>
    </row>
    <row r="8" spans="1:29" ht="25" customHeight="1">
      <c r="A8" s="556"/>
      <c r="B8" s="143"/>
      <c r="C8" s="144"/>
      <c r="D8" s="113"/>
      <c r="E8" s="131"/>
      <c r="F8" s="401" t="s">
        <v>62</v>
      </c>
      <c r="G8" s="204">
        <v>1</v>
      </c>
      <c r="H8" s="127" t="s">
        <v>119</v>
      </c>
      <c r="I8" s="518" t="s">
        <v>62</v>
      </c>
      <c r="J8" s="519"/>
      <c r="K8" s="204"/>
      <c r="L8" s="127" t="s">
        <v>119</v>
      </c>
      <c r="M8" s="133"/>
      <c r="N8" s="114"/>
      <c r="P8" s="223"/>
      <c r="Q8" s="584" t="str">
        <f>IF(S42+S43+T42=2,"",IF(S42=0,"Initial inflation target",IF(S42+S43=2,"Domestic inflation target","Initial domestic inflation target")))</f>
        <v>Initial inflation target</v>
      </c>
      <c r="R8" s="584"/>
      <c r="S8" s="584"/>
      <c r="T8" s="585"/>
      <c r="U8" s="204">
        <v>2</v>
      </c>
      <c r="V8" s="127" t="str">
        <f>IF(S42+S43+T42=2,"","%")</f>
        <v>%</v>
      </c>
      <c r="W8" s="222"/>
      <c r="X8" s="114"/>
      <c r="Y8" s="113"/>
      <c r="Z8" s="113"/>
      <c r="AA8" s="113"/>
      <c r="AB8" s="113"/>
      <c r="AC8" s="113"/>
    </row>
    <row r="9" spans="1:29" ht="22.5" customHeight="1" thickBot="1">
      <c r="A9" s="556"/>
      <c r="B9" s="143"/>
      <c r="C9" s="144"/>
      <c r="D9" s="113"/>
      <c r="E9" s="131"/>
      <c r="F9" s="402" t="s">
        <v>236</v>
      </c>
      <c r="G9" s="205">
        <v>3</v>
      </c>
      <c r="H9" s="206"/>
      <c r="I9" s="582" t="s">
        <v>236</v>
      </c>
      <c r="J9" s="583"/>
      <c r="K9" s="355">
        <f>controls!B6</f>
        <v>2</v>
      </c>
      <c r="L9" s="356"/>
      <c r="M9" s="133"/>
      <c r="N9" s="114"/>
      <c r="P9" s="223"/>
      <c r="Q9" s="508"/>
      <c r="R9" s="509"/>
      <c r="S9" s="509"/>
      <c r="T9" s="509"/>
      <c r="U9" s="510"/>
      <c r="V9" s="224"/>
      <c r="W9" s="222"/>
      <c r="X9" s="114"/>
      <c r="Y9" s="113"/>
      <c r="Z9" s="113"/>
      <c r="AA9" s="113"/>
      <c r="AB9" s="113"/>
      <c r="AC9" s="113"/>
    </row>
    <row r="10" spans="1:29" ht="30.75" customHeight="1" thickTop="1" thickBot="1">
      <c r="A10" s="556"/>
      <c r="B10" s="143"/>
      <c r="C10" s="144"/>
      <c r="D10" s="113"/>
      <c r="E10" s="131"/>
      <c r="F10" s="520" t="s">
        <v>168</v>
      </c>
      <c r="G10" s="521"/>
      <c r="H10" s="522"/>
      <c r="I10" s="523" t="str">
        <f>IF(S42+S43+T42=0,"Change of commercial banks' risk premium in t=5","External financial shock  in t=5")</f>
        <v>Change of commercial banks' risk premium in t=5</v>
      </c>
      <c r="J10" s="524"/>
      <c r="K10" s="524"/>
      <c r="L10" s="525"/>
      <c r="M10" s="133"/>
      <c r="N10" s="114"/>
      <c r="P10" s="223"/>
      <c r="Q10" s="586" t="str">
        <f>IF(S42=0,"Type the new target",IF($S$42+$T$42=2,"","Type the new domestic target"))</f>
        <v>Type the new target</v>
      </c>
      <c r="R10" s="586"/>
      <c r="S10" s="586"/>
      <c r="T10" s="544"/>
      <c r="U10" s="204"/>
      <c r="V10" s="127" t="str">
        <f>IF($S42+$T$42=2,"","%")</f>
        <v>%</v>
      </c>
      <c r="W10" s="222"/>
      <c r="X10" s="114"/>
      <c r="Y10" s="113"/>
      <c r="Z10" s="113"/>
      <c r="AA10" s="113"/>
      <c r="AB10" s="113"/>
      <c r="AC10" s="113"/>
    </row>
    <row r="11" spans="1:29" ht="25" customHeight="1">
      <c r="A11" s="556"/>
      <c r="B11" s="168"/>
      <c r="C11" s="168"/>
      <c r="D11" s="113"/>
      <c r="E11" s="131"/>
      <c r="F11" s="401" t="s">
        <v>62</v>
      </c>
      <c r="G11" s="204"/>
      <c r="H11" s="357" t="s">
        <v>119</v>
      </c>
      <c r="I11" s="428" t="s">
        <v>232</v>
      </c>
      <c r="J11" s="429"/>
      <c r="K11" s="204"/>
      <c r="L11" s="127" t="s">
        <v>119</v>
      </c>
      <c r="M11" s="133"/>
      <c r="N11" s="114"/>
      <c r="P11" s="223"/>
      <c r="Q11" s="414" t="str">
        <f>IF(S42+S43+T42=2,"",IF(S42+S43=2,"Government's preferences","Central bank's preferences"))</f>
        <v>Central bank's preferences</v>
      </c>
      <c r="R11" s="415"/>
      <c r="S11" s="415"/>
      <c r="T11" s="415"/>
      <c r="U11" s="415"/>
      <c r="V11" s="416"/>
      <c r="W11" s="222"/>
      <c r="X11" s="114"/>
      <c r="Y11" s="113"/>
      <c r="Z11" s="113"/>
      <c r="AA11" s="113"/>
      <c r="AB11" s="113"/>
      <c r="AC11" s="113"/>
    </row>
    <row r="12" spans="1:29" ht="2.25" customHeight="1" thickBot="1">
      <c r="A12" s="556"/>
      <c r="B12" s="113"/>
      <c r="C12" s="113"/>
      <c r="D12" s="113"/>
      <c r="E12" s="131"/>
      <c r="F12" s="207"/>
      <c r="G12" s="207"/>
      <c r="H12" s="207"/>
      <c r="I12" s="208"/>
      <c r="J12" s="208"/>
      <c r="K12" s="208"/>
      <c r="L12" s="208"/>
      <c r="M12" s="133"/>
      <c r="N12" s="114"/>
      <c r="P12" s="223"/>
      <c r="Q12" s="410"/>
      <c r="R12" s="411"/>
      <c r="S12" s="411"/>
      <c r="T12" s="411"/>
      <c r="U12" s="412"/>
      <c r="V12" s="413"/>
      <c r="W12" s="222"/>
      <c r="X12" s="114"/>
      <c r="Y12" s="113"/>
      <c r="Z12" s="113"/>
      <c r="AA12" s="113"/>
      <c r="AB12" s="113"/>
      <c r="AC12" s="113"/>
    </row>
    <row r="13" spans="1:29" ht="19.5" customHeight="1">
      <c r="A13" s="556"/>
      <c r="B13" s="113"/>
      <c r="C13" s="113"/>
      <c r="D13" s="113"/>
      <c r="E13" s="131"/>
      <c r="F13" s="207"/>
      <c r="G13" s="207"/>
      <c r="H13" s="207"/>
      <c r="I13" s="208"/>
      <c r="J13" s="208"/>
      <c r="K13" s="358"/>
      <c r="L13" s="208"/>
      <c r="M13" s="133"/>
      <c r="N13" s="114"/>
      <c r="P13" s="223"/>
      <c r="Q13" s="421" t="str">
        <f>IF(S42+S43+T42=2,"","Preference for inflation stabilization vs income stabilization")</f>
        <v>Preference for inflation stabilization vs income stabilization</v>
      </c>
      <c r="R13" s="422"/>
      <c r="S13" s="422"/>
      <c r="T13" s="423"/>
      <c r="U13" s="408">
        <v>1</v>
      </c>
      <c r="V13" s="225"/>
      <c r="W13" s="222"/>
      <c r="X13" s="114"/>
      <c r="Y13" s="113"/>
      <c r="Z13" s="113"/>
      <c r="AA13" s="113"/>
      <c r="AB13" s="113"/>
      <c r="AC13" s="113"/>
    </row>
    <row r="14" spans="1:29" ht="6" customHeight="1">
      <c r="A14" s="556"/>
      <c r="B14" s="141"/>
      <c r="C14" s="141"/>
      <c r="D14" s="113"/>
      <c r="E14" s="131"/>
      <c r="F14" s="436" t="s">
        <v>184</v>
      </c>
      <c r="G14" s="437"/>
      <c r="H14" s="437"/>
      <c r="I14" s="437"/>
      <c r="J14" s="437"/>
      <c r="K14" s="437"/>
      <c r="L14" s="438"/>
      <c r="M14" s="133"/>
      <c r="N14" s="114"/>
      <c r="P14" s="223"/>
      <c r="Q14" s="443"/>
      <c r="R14" s="444"/>
      <c r="S14" s="444"/>
      <c r="T14" s="444"/>
      <c r="U14" s="445"/>
      <c r="V14" s="445"/>
      <c r="W14" s="222"/>
      <c r="X14" s="114"/>
      <c r="Y14" s="113"/>
      <c r="Z14" s="113"/>
      <c r="AA14" s="113"/>
      <c r="AB14" s="113"/>
      <c r="AC14" s="113"/>
    </row>
    <row r="15" spans="1:29" ht="24" customHeight="1" thickBot="1">
      <c r="A15" s="556"/>
      <c r="B15" s="479" t="s">
        <v>217</v>
      </c>
      <c r="C15" s="480"/>
      <c r="D15" s="113"/>
      <c r="E15" s="131"/>
      <c r="F15" s="439"/>
      <c r="G15" s="440"/>
      <c r="H15" s="440"/>
      <c r="I15" s="440"/>
      <c r="J15" s="440"/>
      <c r="K15" s="441"/>
      <c r="L15" s="442"/>
      <c r="M15" s="133"/>
      <c r="N15" s="114"/>
      <c r="P15" s="223"/>
      <c r="Q15" s="424" t="str">
        <f>IF($T$42=0,"","Exchange rate policy in t=10")</f>
        <v/>
      </c>
      <c r="R15" s="425"/>
      <c r="S15" s="425"/>
      <c r="T15" s="425"/>
      <c r="U15" s="426"/>
      <c r="V15" s="427"/>
      <c r="W15" s="222"/>
      <c r="X15" s="114"/>
      <c r="Y15" s="113"/>
      <c r="Z15" s="113"/>
      <c r="AA15" s="113"/>
      <c r="AB15" s="113"/>
      <c r="AC15" s="113"/>
    </row>
    <row r="16" spans="1:29" ht="10" customHeight="1">
      <c r="A16" s="556"/>
      <c r="B16" s="481"/>
      <c r="C16" s="482"/>
      <c r="D16" s="113"/>
      <c r="E16" s="131"/>
      <c r="F16" s="432" t="s">
        <v>183</v>
      </c>
      <c r="G16" s="433"/>
      <c r="H16" s="242"/>
      <c r="I16" s="209"/>
      <c r="J16" s="430" t="s">
        <v>62</v>
      </c>
      <c r="K16" s="454"/>
      <c r="L16" s="448" t="s">
        <v>119</v>
      </c>
      <c r="M16" s="133"/>
      <c r="N16" s="114"/>
      <c r="P16" s="223"/>
      <c r="Q16" s="473" t="str">
        <f>IF($T$42=0,"","Unexpected devaluation(+) or revaluation (-) of the currency")</f>
        <v/>
      </c>
      <c r="R16" s="474"/>
      <c r="S16" s="474"/>
      <c r="T16" s="475"/>
      <c r="U16" s="469"/>
      <c r="V16" s="471" t="str">
        <f>IF($T$42=0,"","%")</f>
        <v/>
      </c>
      <c r="W16" s="222"/>
      <c r="X16" s="114"/>
      <c r="Y16" s="113"/>
      <c r="Z16" s="113"/>
      <c r="AA16" s="113"/>
      <c r="AB16" s="113"/>
      <c r="AC16" s="113"/>
    </row>
    <row r="17" spans="1:29" ht="15" customHeight="1">
      <c r="A17" s="556"/>
      <c r="B17" s="481"/>
      <c r="C17" s="482"/>
      <c r="D17" s="113"/>
      <c r="E17" s="131"/>
      <c r="F17" s="434"/>
      <c r="G17" s="435"/>
      <c r="H17" s="176"/>
      <c r="I17" s="397"/>
      <c r="J17" s="431"/>
      <c r="K17" s="455"/>
      <c r="L17" s="449"/>
      <c r="M17" s="133"/>
      <c r="N17" s="114"/>
      <c r="P17" s="223"/>
      <c r="Q17" s="476"/>
      <c r="R17" s="477"/>
      <c r="S17" s="477"/>
      <c r="T17" s="478"/>
      <c r="U17" s="470"/>
      <c r="V17" s="472"/>
      <c r="W17" s="222"/>
      <c r="X17" s="114"/>
      <c r="Y17" s="113"/>
      <c r="Z17" s="113"/>
      <c r="AA17" s="113"/>
      <c r="AB17" s="113"/>
      <c r="AC17" s="113"/>
    </row>
    <row r="18" spans="1:29" ht="8.25" customHeight="1">
      <c r="A18" s="556"/>
      <c r="B18" s="481"/>
      <c r="C18" s="482"/>
      <c r="D18" s="113"/>
      <c r="E18" s="131"/>
      <c r="F18" s="207"/>
      <c r="G18" s="207"/>
      <c r="H18" s="207"/>
      <c r="I18" s="207"/>
      <c r="J18" s="207"/>
      <c r="K18" s="208"/>
      <c r="L18" s="208"/>
      <c r="M18" s="133"/>
      <c r="N18" s="114"/>
      <c r="P18" s="223"/>
      <c r="Q18" s="208"/>
      <c r="R18" s="208"/>
      <c r="S18" s="208"/>
      <c r="T18" s="208"/>
      <c r="U18" s="208"/>
      <c r="V18" s="208"/>
      <c r="W18" s="222"/>
      <c r="X18" s="114"/>
      <c r="Y18" s="113"/>
      <c r="Z18" s="113"/>
      <c r="AA18" s="113"/>
      <c r="AB18" s="113"/>
      <c r="AC18" s="113"/>
    </row>
    <row r="19" spans="1:29" ht="10.5" customHeight="1">
      <c r="A19" s="556"/>
      <c r="B19" s="481"/>
      <c r="C19" s="482"/>
      <c r="D19" s="113"/>
      <c r="E19" s="131"/>
      <c r="F19" s="207"/>
      <c r="G19" s="207"/>
      <c r="H19" s="207"/>
      <c r="I19" s="207"/>
      <c r="J19" s="207"/>
      <c r="K19" s="208"/>
      <c r="L19" s="208"/>
      <c r="M19" s="133"/>
      <c r="N19" s="114"/>
      <c r="P19" s="223"/>
      <c r="Q19" s="461" t="str">
        <f>IF(S42+S43=2,"","Public expenditure")</f>
        <v>Public expenditure</v>
      </c>
      <c r="R19" s="462"/>
      <c r="S19" s="462"/>
      <c r="T19" s="462"/>
      <c r="U19" s="462"/>
      <c r="V19" s="463"/>
      <c r="W19" s="222"/>
      <c r="X19" s="174">
        <f>-K25*G8*'normal case'!AS3/100</f>
        <v>-1</v>
      </c>
      <c r="Y19" s="113"/>
      <c r="Z19" s="113"/>
      <c r="AA19" s="113"/>
      <c r="AB19" s="113"/>
      <c r="AC19" s="113"/>
    </row>
    <row r="20" spans="1:29" ht="14.15" customHeight="1" thickBot="1">
      <c r="A20" s="556"/>
      <c r="B20" s="481"/>
      <c r="C20" s="482"/>
      <c r="D20" s="113"/>
      <c r="E20" s="134"/>
      <c r="F20" s="210"/>
      <c r="G20" s="211"/>
      <c r="H20" s="211"/>
      <c r="I20" s="211"/>
      <c r="J20" s="211"/>
      <c r="K20" s="211"/>
      <c r="L20" s="211"/>
      <c r="M20" s="135"/>
      <c r="N20" s="114"/>
      <c r="P20" s="223"/>
      <c r="Q20" s="464"/>
      <c r="R20" s="412"/>
      <c r="S20" s="412"/>
      <c r="T20" s="412"/>
      <c r="U20" s="412"/>
      <c r="V20" s="465"/>
      <c r="W20" s="222"/>
      <c r="X20" s="174">
        <f>-100*G11/(K25*'normal case'!AS3)</f>
        <v>0</v>
      </c>
      <c r="Y20" s="113"/>
      <c r="Z20" s="113"/>
      <c r="AA20" s="113"/>
      <c r="AB20" s="113"/>
      <c r="AC20" s="113"/>
    </row>
    <row r="21" spans="1:29" ht="13.5" hidden="1" customHeight="1" thickBot="1">
      <c r="A21" s="556"/>
      <c r="B21" s="238"/>
      <c r="C21" s="239"/>
      <c r="D21" s="113"/>
      <c r="E21" s="69"/>
      <c r="F21" s="212"/>
      <c r="G21" s="213"/>
      <c r="H21" s="213"/>
      <c r="I21" s="213"/>
      <c r="J21" s="213"/>
      <c r="K21" s="213"/>
      <c r="L21" s="214"/>
      <c r="N21" s="114"/>
      <c r="P21" s="223"/>
      <c r="Q21" s="466"/>
      <c r="R21" s="467"/>
      <c r="S21" s="467"/>
      <c r="T21" s="467"/>
      <c r="U21" s="468"/>
      <c r="V21" s="465"/>
      <c r="W21" s="226"/>
      <c r="X21" s="114"/>
      <c r="Y21" s="113"/>
      <c r="Z21" s="113"/>
      <c r="AA21" s="113"/>
      <c r="AB21" s="113"/>
      <c r="AC21" s="113"/>
    </row>
    <row r="22" spans="1:29" ht="13.5" customHeight="1" thickTop="1" thickBot="1">
      <c r="A22" s="556"/>
      <c r="B22" s="483"/>
      <c r="C22" s="484"/>
      <c r="D22" s="114"/>
      <c r="E22" s="114"/>
      <c r="F22" s="215"/>
      <c r="G22" s="215"/>
      <c r="H22" s="215"/>
      <c r="I22" s="215"/>
      <c r="J22" s="215"/>
      <c r="K22" s="215"/>
      <c r="L22" s="215"/>
      <c r="M22" s="114"/>
      <c r="N22" s="114"/>
      <c r="P22" s="223"/>
      <c r="Q22" s="456" t="str">
        <f>IF(S42+S43=2,"","Size of the increase (+)/decrease (-) in public expenditure")</f>
        <v>Size of the increase (+)/decrease (-) in public expenditure</v>
      </c>
      <c r="R22" s="457"/>
      <c r="S22" s="457"/>
      <c r="T22" s="458"/>
      <c r="U22" s="459"/>
      <c r="V22" s="450" t="str">
        <f>IF(S42+S43=2,"","%")</f>
        <v>%</v>
      </c>
      <c r="W22" s="222"/>
      <c r="X22" s="114"/>
      <c r="Y22" s="113"/>
      <c r="Z22" s="113"/>
      <c r="AA22" s="113"/>
      <c r="AB22" s="113"/>
      <c r="AC22" s="113"/>
    </row>
    <row r="23" spans="1:29" ht="30" customHeight="1" thickTop="1" thickBot="1">
      <c r="A23" s="556"/>
      <c r="B23" s="240"/>
      <c r="C23" s="241"/>
      <c r="D23" s="113"/>
      <c r="E23" s="138"/>
      <c r="F23" s="497" t="s">
        <v>169</v>
      </c>
      <c r="G23" s="498"/>
      <c r="H23" s="498"/>
      <c r="I23" s="498"/>
      <c r="J23" s="498"/>
      <c r="K23" s="498"/>
      <c r="L23" s="536"/>
      <c r="M23" s="136"/>
      <c r="N23" s="114"/>
      <c r="P23" s="223"/>
      <c r="Q23" s="457"/>
      <c r="R23" s="457"/>
      <c r="S23" s="457"/>
      <c r="T23" s="458"/>
      <c r="U23" s="460"/>
      <c r="V23" s="451"/>
      <c r="W23" s="222"/>
      <c r="X23" s="114"/>
      <c r="Y23" s="113"/>
      <c r="Z23" s="113"/>
      <c r="AA23" s="113"/>
      <c r="AB23" s="113"/>
      <c r="AC23" s="113"/>
    </row>
    <row r="24" spans="1:29" ht="18" customHeight="1" thickBot="1">
      <c r="A24" s="556"/>
      <c r="B24" s="145"/>
      <c r="C24" s="145"/>
      <c r="D24" s="113"/>
      <c r="E24" s="137"/>
      <c r="F24" s="456" t="str">
        <f>IF(S42=1,"World real interest rate","Stabilizing real interest rate")</f>
        <v>Stabilizing real interest rate</v>
      </c>
      <c r="G24" s="456"/>
      <c r="H24" s="456"/>
      <c r="I24" s="456"/>
      <c r="J24" s="547"/>
      <c r="K24" s="359">
        <v>4</v>
      </c>
      <c r="L24" s="127" t="s">
        <v>119</v>
      </c>
      <c r="M24" s="133"/>
      <c r="N24" s="114"/>
      <c r="P24" s="223"/>
      <c r="Q24" s="456" t="str">
        <f>IF(S42+S43=2,"","Period when the fiscal change is implemented")</f>
        <v>Period when the fiscal change is implemented</v>
      </c>
      <c r="R24" s="456"/>
      <c r="S24" s="456"/>
      <c r="T24" s="456"/>
      <c r="U24" s="580">
        <f>C34+4</f>
        <v>5</v>
      </c>
      <c r="V24" s="360"/>
      <c r="W24" s="222"/>
      <c r="X24" s="114"/>
      <c r="Y24" s="113"/>
      <c r="Z24" s="113"/>
      <c r="AA24" s="113"/>
      <c r="AB24" s="113"/>
      <c r="AC24" s="113"/>
    </row>
    <row r="25" spans="1:29" ht="15" customHeight="1">
      <c r="A25" s="556"/>
      <c r="B25" s="417" t="s">
        <v>222</v>
      </c>
      <c r="C25" s="418"/>
      <c r="D25" s="113"/>
      <c r="E25" s="131"/>
      <c r="F25" s="456" t="s">
        <v>215</v>
      </c>
      <c r="G25" s="456"/>
      <c r="H25" s="456"/>
      <c r="I25" s="456"/>
      <c r="J25" s="547"/>
      <c r="K25" s="549">
        <v>1</v>
      </c>
      <c r="L25" s="208"/>
      <c r="M25" s="133"/>
      <c r="N25" s="114"/>
      <c r="P25" s="223"/>
      <c r="Q25" s="548"/>
      <c r="R25" s="548"/>
      <c r="S25" s="548"/>
      <c r="T25" s="548"/>
      <c r="U25" s="581"/>
      <c r="V25" s="356"/>
      <c r="W25" s="222"/>
      <c r="X25" s="114"/>
      <c r="Y25" s="113"/>
      <c r="Z25" s="113"/>
      <c r="AA25" s="113"/>
      <c r="AB25" s="113"/>
      <c r="AC25" s="113"/>
    </row>
    <row r="26" spans="1:29" ht="20.25" customHeight="1" thickBot="1">
      <c r="A26" s="556"/>
      <c r="B26" s="419"/>
      <c r="C26" s="420"/>
      <c r="D26" s="113"/>
      <c r="E26" s="131"/>
      <c r="F26" s="548"/>
      <c r="G26" s="548"/>
      <c r="H26" s="548"/>
      <c r="I26" s="548"/>
      <c r="J26" s="547"/>
      <c r="K26" s="529"/>
      <c r="L26" s="208"/>
      <c r="M26" s="133"/>
      <c r="N26" s="114"/>
      <c r="P26" s="223"/>
      <c r="Q26" s="577" t="str">
        <f>IF(S42+S43=2,"","Permanence")</f>
        <v>Permanence</v>
      </c>
      <c r="R26" s="578"/>
      <c r="S26" s="578"/>
      <c r="T26" s="579"/>
      <c r="U26" s="400" t="str">
        <f>IF(B34=1,"temporary","permanent")</f>
        <v>temporary</v>
      </c>
      <c r="V26" s="398">
        <v>2</v>
      </c>
      <c r="W26" s="222"/>
      <c r="X26" s="114"/>
      <c r="Y26" s="113"/>
      <c r="Z26" s="113"/>
      <c r="AA26" s="113"/>
      <c r="AB26" s="113"/>
      <c r="AC26" s="113"/>
    </row>
    <row r="27" spans="1:29" ht="10.5" customHeight="1" thickBot="1">
      <c r="A27" s="556"/>
      <c r="B27" s="419"/>
      <c r="C27" s="420"/>
      <c r="D27" s="113"/>
      <c r="E27" s="131"/>
      <c r="F27" s="530" t="s">
        <v>216</v>
      </c>
      <c r="G27" s="531"/>
      <c r="H27" s="531"/>
      <c r="I27" s="531"/>
      <c r="J27" s="532"/>
      <c r="K27" s="528">
        <v>2</v>
      </c>
      <c r="L27" s="208"/>
      <c r="M27" s="133"/>
      <c r="N27" s="114"/>
      <c r="P27" s="227"/>
      <c r="Q27" s="211"/>
      <c r="R27" s="211"/>
      <c r="S27" s="211"/>
      <c r="T27" s="211"/>
      <c r="U27" s="211"/>
      <c r="V27" s="211"/>
      <c r="W27" s="228"/>
      <c r="X27" s="114"/>
      <c r="Y27" s="113"/>
      <c r="Z27" s="113"/>
      <c r="AA27" s="113"/>
      <c r="AB27" s="113"/>
      <c r="AC27" s="113"/>
    </row>
    <row r="28" spans="1:29" ht="14.25" customHeight="1" thickTop="1" thickBot="1">
      <c r="A28" s="556"/>
      <c r="B28" s="419"/>
      <c r="C28" s="420"/>
      <c r="D28" s="113"/>
      <c r="E28" s="131"/>
      <c r="F28" s="533"/>
      <c r="G28" s="534"/>
      <c r="H28" s="534"/>
      <c r="I28" s="534"/>
      <c r="J28" s="535"/>
      <c r="K28" s="529"/>
      <c r="L28" s="208"/>
      <c r="M28" s="133"/>
      <c r="N28" s="114"/>
      <c r="P28" s="215"/>
      <c r="Q28" s="215"/>
      <c r="R28" s="215"/>
      <c r="S28" s="215"/>
      <c r="T28" s="215"/>
      <c r="U28" s="215"/>
      <c r="V28" s="215"/>
      <c r="W28" s="215"/>
      <c r="X28" s="114"/>
      <c r="Y28" s="113"/>
      <c r="Z28" s="113"/>
      <c r="AA28" s="113"/>
      <c r="AB28" s="113"/>
      <c r="AC28" s="113"/>
    </row>
    <row r="29" spans="1:29" ht="18.75" customHeight="1" thickTop="1">
      <c r="A29" s="556"/>
      <c r="B29" s="146"/>
      <c r="C29" s="147"/>
      <c r="D29" s="142"/>
      <c r="E29" s="131"/>
      <c r="F29" s="530" t="str">
        <f>IF($T$42=0,"Degree of inflation inertia/credibility of central bank","Degree of inflation inertia/exchange rate as nominal anchor")</f>
        <v>Degree of inflation inertia/credibility of central bank</v>
      </c>
      <c r="G29" s="531"/>
      <c r="H29" s="531"/>
      <c r="I29" s="531"/>
      <c r="J29" s="532"/>
      <c r="K29" s="290">
        <f>controls!B32/10</f>
        <v>1</v>
      </c>
      <c r="L29" s="208"/>
      <c r="M29" s="133"/>
      <c r="N29" s="114"/>
      <c r="P29" s="496" t="s">
        <v>83</v>
      </c>
      <c r="Q29" s="497"/>
      <c r="R29" s="497"/>
      <c r="S29" s="497"/>
      <c r="T29" s="497"/>
      <c r="U29" s="498"/>
      <c r="V29" s="498"/>
      <c r="W29" s="499"/>
      <c r="X29" s="114"/>
      <c r="Y29" s="113"/>
      <c r="Z29" s="113"/>
      <c r="AA29" s="113"/>
      <c r="AB29" s="113"/>
      <c r="AC29" s="113"/>
    </row>
    <row r="30" spans="1:29" ht="14.25" customHeight="1" thickBot="1">
      <c r="A30" s="556"/>
      <c r="B30" s="150"/>
      <c r="C30" s="150"/>
      <c r="D30" s="113"/>
      <c r="E30" s="131"/>
      <c r="F30" s="533"/>
      <c r="G30" s="534"/>
      <c r="H30" s="534"/>
      <c r="I30" s="534"/>
      <c r="J30" s="535"/>
      <c r="K30" s="237"/>
      <c r="L30" s="208"/>
      <c r="M30" s="133"/>
      <c r="N30" s="114"/>
      <c r="P30" s="500"/>
      <c r="Q30" s="501"/>
      <c r="R30" s="501"/>
      <c r="S30" s="501"/>
      <c r="T30" s="501"/>
      <c r="U30" s="502"/>
      <c r="V30" s="502"/>
      <c r="W30" s="503"/>
      <c r="X30" s="114"/>
      <c r="Y30" s="113"/>
      <c r="Z30" s="113"/>
      <c r="AA30" s="113"/>
      <c r="AB30" s="113"/>
      <c r="AC30" s="113"/>
    </row>
    <row r="31" spans="1:29" ht="29.25" customHeight="1" thickBot="1">
      <c r="A31" s="556"/>
      <c r="B31" s="446" t="str">
        <f>IF(S42+S43+T42=0,"Apply your own monetary policy","")</f>
        <v>Apply your own monetary policy</v>
      </c>
      <c r="C31" s="418"/>
      <c r="D31" s="113"/>
      <c r="E31" s="131"/>
      <c r="F31" s="447" t="str">
        <f>IF(S42=1,"Sensitivity of expenditure wrt real exchange rate","")</f>
        <v/>
      </c>
      <c r="G31" s="447"/>
      <c r="H31" s="447"/>
      <c r="I31" s="447"/>
      <c r="J31" s="447"/>
      <c r="K31" s="404">
        <v>1</v>
      </c>
      <c r="L31" s="216" t="str">
        <f>IF(S42=1,"%","")</f>
        <v/>
      </c>
      <c r="M31" s="133"/>
      <c r="N31" s="114"/>
      <c r="P31" s="223"/>
      <c r="Q31" s="544" t="s">
        <v>105</v>
      </c>
      <c r="R31" s="545"/>
      <c r="S31" s="545"/>
      <c r="T31" s="545"/>
      <c r="U31" s="288">
        <v>20</v>
      </c>
      <c r="V31" s="154" t="s">
        <v>119</v>
      </c>
      <c r="W31" s="222"/>
      <c r="X31" s="114"/>
      <c r="Y31" s="113"/>
      <c r="Z31" s="113"/>
      <c r="AA31" s="113"/>
      <c r="AB31" s="113"/>
      <c r="AC31" s="113"/>
    </row>
    <row r="32" spans="1:29" ht="22.5" customHeight="1" thickBot="1">
      <c r="A32" s="556"/>
      <c r="B32" s="148"/>
      <c r="C32" s="149"/>
      <c r="D32" s="113"/>
      <c r="E32" s="131"/>
      <c r="F32" s="489" t="str">
        <f>IF(S42=0,"","World inflation target")</f>
        <v/>
      </c>
      <c r="G32" s="489"/>
      <c r="H32" s="489"/>
      <c r="I32" s="489"/>
      <c r="J32" s="489"/>
      <c r="K32" s="405"/>
      <c r="L32" s="216" t="str">
        <f>IF(S42=0,"",IF(S42+S43+T42=3,"","%"))</f>
        <v/>
      </c>
      <c r="M32" s="133"/>
      <c r="N32" s="114"/>
      <c r="P32" s="223"/>
      <c r="Q32" s="544" t="s">
        <v>10</v>
      </c>
      <c r="R32" s="561"/>
      <c r="S32" s="561"/>
      <c r="T32" s="561"/>
      <c r="U32" s="289">
        <v>20</v>
      </c>
      <c r="V32" s="126" t="s">
        <v>119</v>
      </c>
      <c r="W32" s="222"/>
      <c r="X32" s="114"/>
      <c r="Y32" s="113"/>
      <c r="Z32" s="113"/>
      <c r="AA32" s="113"/>
      <c r="AB32" s="113"/>
      <c r="AC32" s="113"/>
    </row>
    <row r="33" spans="1:574" ht="25.5" customHeight="1">
      <c r="A33" s="556"/>
      <c r="B33" s="151"/>
      <c r="C33" s="151"/>
      <c r="D33" s="113"/>
      <c r="E33" s="131"/>
      <c r="F33" s="537" t="s">
        <v>84</v>
      </c>
      <c r="G33" s="538"/>
      <c r="H33" s="538"/>
      <c r="I33" s="538"/>
      <c r="J33" s="538"/>
      <c r="K33" s="538"/>
      <c r="L33" s="539"/>
      <c r="M33" s="133"/>
      <c r="N33" s="114"/>
      <c r="P33" s="223"/>
      <c r="Q33" s="544" t="s">
        <v>11</v>
      </c>
      <c r="R33" s="545"/>
      <c r="S33" s="545"/>
      <c r="T33" s="545"/>
      <c r="U33" s="204">
        <v>0</v>
      </c>
      <c r="V33" s="127" t="s">
        <v>119</v>
      </c>
      <c r="W33" s="222"/>
      <c r="X33" s="114"/>
      <c r="Y33" s="113"/>
      <c r="Z33" s="113"/>
      <c r="AA33" s="113"/>
      <c r="AB33" s="113"/>
      <c r="AC33" s="113"/>
    </row>
    <row r="34" spans="1:574" ht="19.5" customHeight="1" thickBot="1">
      <c r="A34" s="556"/>
      <c r="B34" s="399">
        <v>1</v>
      </c>
      <c r="C34" s="399">
        <v>1</v>
      </c>
      <c r="D34" s="113"/>
      <c r="E34" s="131"/>
      <c r="F34" s="540" t="s">
        <v>118</v>
      </c>
      <c r="G34" s="541"/>
      <c r="H34" s="541"/>
      <c r="I34" s="541"/>
      <c r="J34" s="542"/>
      <c r="K34" s="205"/>
      <c r="L34" s="208"/>
      <c r="M34" s="133"/>
      <c r="N34" s="114"/>
      <c r="P34" s="227"/>
      <c r="Q34" s="211"/>
      <c r="R34" s="211"/>
      <c r="S34" s="211"/>
      <c r="T34" s="211"/>
      <c r="U34" s="211"/>
      <c r="V34" s="211"/>
      <c r="W34" s="228"/>
      <c r="X34" s="114"/>
      <c r="Y34" s="113"/>
      <c r="Z34" s="113"/>
      <c r="AA34" s="113"/>
      <c r="AB34" s="113"/>
      <c r="AC34" s="113"/>
      <c r="VB34">
        <v>2</v>
      </c>
    </row>
    <row r="35" spans="1:574" ht="21.75" customHeight="1" thickTop="1" thickBot="1">
      <c r="A35" s="556"/>
      <c r="B35" s="369"/>
      <c r="C35" s="369"/>
      <c r="D35" s="113"/>
      <c r="E35" s="131"/>
      <c r="F35" s="544" t="s">
        <v>85</v>
      </c>
      <c r="G35" s="545"/>
      <c r="H35" s="545"/>
      <c r="I35" s="545"/>
      <c r="J35" s="546"/>
      <c r="K35" s="287"/>
      <c r="L35" s="127" t="s">
        <v>119</v>
      </c>
      <c r="M35" s="133"/>
      <c r="N35" s="114"/>
      <c r="P35" s="215"/>
      <c r="Q35" s="215"/>
      <c r="R35" s="215"/>
      <c r="S35" s="229">
        <f>IF(S42+T42=2,"",controls!$B$8)</f>
        <v>0</v>
      </c>
      <c r="T35" s="215"/>
      <c r="U35" s="215"/>
      <c r="V35" s="215"/>
      <c r="W35" s="215"/>
      <c r="X35" s="114"/>
      <c r="Y35" s="113"/>
      <c r="Z35" s="113"/>
      <c r="AA35" s="113"/>
      <c r="AB35" s="113"/>
      <c r="AC35" s="113"/>
    </row>
    <row r="36" spans="1:574" ht="21.75" customHeight="1" thickTop="1">
      <c r="A36" s="113"/>
      <c r="B36" s="369"/>
      <c r="C36" s="369"/>
      <c r="D36" s="114"/>
      <c r="E36" s="131"/>
      <c r="F36" s="452" t="str">
        <f>IF(S42+S43+T42=0,"","World growth rate")</f>
        <v/>
      </c>
      <c r="G36" s="487"/>
      <c r="H36" s="487"/>
      <c r="I36" s="487"/>
      <c r="J36" s="488"/>
      <c r="K36" s="406"/>
      <c r="L36" s="155" t="str">
        <f>IF(S42+S43+T42=0,"","%")</f>
        <v/>
      </c>
      <c r="M36" s="133"/>
      <c r="N36" s="114"/>
      <c r="O36" s="114"/>
      <c r="P36" s="490" t="str">
        <f>IF(S42+S43+T42=0,"","External balance")</f>
        <v/>
      </c>
      <c r="Q36" s="491"/>
      <c r="R36" s="491"/>
      <c r="S36" s="491"/>
      <c r="T36" s="491"/>
      <c r="U36" s="491"/>
      <c r="V36" s="491"/>
      <c r="W36" s="492"/>
      <c r="X36" s="114"/>
      <c r="Y36" s="113"/>
      <c r="Z36" s="113"/>
      <c r="AA36" s="113"/>
      <c r="AB36" s="113"/>
      <c r="AC36" s="113"/>
    </row>
    <row r="37" spans="1:574" ht="9" customHeight="1">
      <c r="A37" s="113"/>
      <c r="B37" s="370"/>
      <c r="C37" s="370"/>
      <c r="D37" s="114"/>
      <c r="E37" s="504" t="s">
        <v>22</v>
      </c>
      <c r="F37" s="505"/>
      <c r="G37" s="505"/>
      <c r="H37" s="505"/>
      <c r="I37" s="505"/>
      <c r="J37" s="505"/>
      <c r="K37" s="505"/>
      <c r="L37" s="505"/>
      <c r="M37" s="506"/>
      <c r="N37" s="114"/>
      <c r="O37" s="114"/>
      <c r="P37" s="493"/>
      <c r="Q37" s="494"/>
      <c r="R37" s="494"/>
      <c r="S37" s="494"/>
      <c r="T37" s="494"/>
      <c r="U37" s="494"/>
      <c r="V37" s="494"/>
      <c r="W37" s="495"/>
      <c r="X37" s="114"/>
      <c r="Y37" s="113"/>
      <c r="Z37" s="113"/>
      <c r="AA37" s="113"/>
      <c r="AB37" s="113"/>
      <c r="AC37" s="113"/>
    </row>
    <row r="38" spans="1:574" ht="18" customHeight="1" thickBot="1">
      <c r="A38" s="113"/>
      <c r="B38" s="113">
        <v>1</v>
      </c>
      <c r="C38" s="113"/>
      <c r="D38" s="113"/>
      <c r="E38" s="507"/>
      <c r="F38" s="505"/>
      <c r="G38" s="505"/>
      <c r="H38" s="505"/>
      <c r="I38" s="505"/>
      <c r="J38" s="505"/>
      <c r="K38" s="505"/>
      <c r="L38" s="505"/>
      <c r="M38" s="506"/>
      <c r="N38" s="113"/>
      <c r="O38" s="113"/>
      <c r="P38" s="230"/>
      <c r="Q38" s="452" t="str">
        <f>IF(S42+T42+S43=0,"","Initial trade balance/GDP")</f>
        <v/>
      </c>
      <c r="R38" s="453"/>
      <c r="S38" s="453"/>
      <c r="T38" s="453"/>
      <c r="U38" s="407"/>
      <c r="V38" s="353" t="str">
        <f>IF(S42+T42+S43=0,"","%")</f>
        <v/>
      </c>
      <c r="W38" s="231"/>
      <c r="X38" s="113"/>
      <c r="Y38" s="113"/>
      <c r="Z38" s="113"/>
      <c r="AA38" s="113"/>
      <c r="AB38" s="113"/>
      <c r="AC38" s="113"/>
    </row>
    <row r="39" spans="1:574" ht="17.25" customHeight="1" thickBot="1">
      <c r="A39" s="113"/>
      <c r="B39" s="113"/>
      <c r="C39" s="113"/>
      <c r="D39" s="113"/>
      <c r="E39" s="131"/>
      <c r="F39" s="550" t="s">
        <v>245</v>
      </c>
      <c r="G39" s="551"/>
      <c r="H39" s="551"/>
      <c r="I39" s="551"/>
      <c r="J39" s="552"/>
      <c r="K39" s="216"/>
      <c r="L39" s="216"/>
      <c r="M39" s="133"/>
      <c r="N39" s="113"/>
      <c r="P39" s="230"/>
      <c r="Q39" s="485" t="str">
        <f>IF(S42+S43+T42=0,"","Initial NIIP/GDP")</f>
        <v/>
      </c>
      <c r="R39" s="486"/>
      <c r="S39" s="486"/>
      <c r="T39" s="486"/>
      <c r="U39" s="407"/>
      <c r="V39" s="155" t="str">
        <f>IF(S42+T42+S43=0,"","%")</f>
        <v/>
      </c>
      <c r="W39" s="231"/>
      <c r="X39" s="114"/>
      <c r="Y39" s="113"/>
      <c r="Z39" s="113"/>
      <c r="AA39" s="113"/>
      <c r="AB39" s="113"/>
      <c r="AC39" s="113"/>
    </row>
    <row r="40" spans="1:574" ht="15" customHeight="1" thickBot="1">
      <c r="A40" s="113"/>
      <c r="B40" s="113"/>
      <c r="C40" s="113"/>
      <c r="D40" s="113"/>
      <c r="E40" s="131"/>
      <c r="F40" s="553"/>
      <c r="G40" s="554"/>
      <c r="H40" s="554"/>
      <c r="I40" s="554"/>
      <c r="J40" s="555"/>
      <c r="K40" s="216"/>
      <c r="L40" s="216" t="str">
        <f>IF(S46+S47+T46=0,"","%")</f>
        <v/>
      </c>
      <c r="M40" s="133"/>
      <c r="N40" s="113"/>
      <c r="P40" s="232"/>
      <c r="Q40" s="233"/>
      <c r="R40" s="233"/>
      <c r="S40" s="233"/>
      <c r="T40" s="233"/>
      <c r="U40" s="233"/>
      <c r="V40" s="233"/>
      <c r="W40" s="234"/>
      <c r="X40" s="114"/>
      <c r="Y40" s="113"/>
      <c r="Z40" s="113"/>
      <c r="AA40" s="113"/>
      <c r="AB40" s="113"/>
      <c r="AC40" s="113"/>
    </row>
    <row r="41" spans="1:574" ht="8.25" customHeight="1" thickTop="1" thickBot="1">
      <c r="A41" s="113"/>
      <c r="B41" s="113"/>
      <c r="C41" s="113"/>
      <c r="D41" s="113"/>
      <c r="E41" s="134"/>
      <c r="F41" s="210"/>
      <c r="G41" s="211"/>
      <c r="H41" s="211"/>
      <c r="I41" s="211"/>
      <c r="J41" s="211"/>
      <c r="K41" s="211"/>
      <c r="L41" s="211"/>
      <c r="M41" s="135"/>
      <c r="N41" s="113"/>
      <c r="P41" s="235"/>
      <c r="Q41" s="235"/>
      <c r="R41" s="235"/>
      <c r="S41" s="229">
        <f>controls!B33</f>
        <v>2</v>
      </c>
      <c r="T41" s="235"/>
      <c r="U41" s="235"/>
      <c r="V41" s="235"/>
      <c r="W41" s="235"/>
      <c r="X41" s="114"/>
      <c r="Y41" s="113"/>
      <c r="Z41" s="113"/>
      <c r="AA41" s="113"/>
      <c r="AB41" s="113"/>
      <c r="AC41" s="113"/>
    </row>
    <row r="42" spans="1:574" ht="13" thickTop="1">
      <c r="A42" s="113"/>
      <c r="B42" s="113"/>
      <c r="C42" s="113"/>
      <c r="D42" s="113"/>
      <c r="E42" s="113"/>
      <c r="F42" s="113"/>
      <c r="G42" s="113"/>
      <c r="H42" s="113"/>
      <c r="I42" s="113"/>
      <c r="J42" s="113"/>
      <c r="K42" s="113"/>
      <c r="L42" s="113"/>
      <c r="M42" s="113"/>
      <c r="N42" s="113"/>
      <c r="P42" s="215"/>
      <c r="Q42" s="215"/>
      <c r="R42" s="215"/>
      <c r="S42" s="229">
        <f>controls!$B$44</f>
        <v>0</v>
      </c>
      <c r="T42" s="229">
        <f>controls!B45</f>
        <v>0</v>
      </c>
      <c r="U42" s="215"/>
      <c r="V42" s="215"/>
      <c r="W42" s="215"/>
      <c r="X42" s="113"/>
      <c r="Y42" s="113"/>
      <c r="Z42" s="113"/>
      <c r="AA42" s="113"/>
      <c r="AB42" s="113"/>
      <c r="AC42" s="113"/>
    </row>
    <row r="43" spans="1:574">
      <c r="A43" s="113"/>
      <c r="B43" s="113"/>
      <c r="C43" s="113"/>
      <c r="D43" s="113"/>
      <c r="E43" s="113"/>
      <c r="F43" s="113"/>
      <c r="G43" s="113"/>
      <c r="H43" s="113"/>
      <c r="I43" s="113"/>
      <c r="J43" s="113"/>
      <c r="K43" s="113"/>
      <c r="L43" s="113"/>
      <c r="M43" s="113"/>
      <c r="N43" s="113"/>
      <c r="P43" s="217"/>
      <c r="Q43" s="217"/>
      <c r="R43" s="217"/>
      <c r="S43" s="229">
        <f>controls!B46</f>
        <v>0</v>
      </c>
      <c r="T43" s="236">
        <f>controls!B33</f>
        <v>2</v>
      </c>
      <c r="U43" s="217"/>
      <c r="V43" s="217"/>
      <c r="W43" s="217"/>
      <c r="X43" s="114"/>
      <c r="Y43" s="113"/>
      <c r="Z43" s="113"/>
      <c r="AA43" s="113"/>
      <c r="AB43" s="113"/>
      <c r="AC43" s="113"/>
    </row>
    <row r="44" spans="1:574">
      <c r="A44" s="113"/>
      <c r="B44" s="113"/>
      <c r="C44" s="113"/>
      <c r="D44" s="113"/>
      <c r="E44" s="113"/>
      <c r="F44" s="113"/>
      <c r="G44" s="113"/>
      <c r="H44" s="113"/>
      <c r="I44" s="113"/>
      <c r="J44" s="113"/>
      <c r="K44" s="113"/>
      <c r="L44" s="113"/>
      <c r="M44" s="113"/>
      <c r="N44" s="113"/>
      <c r="O44" s="113"/>
      <c r="P44" s="217"/>
      <c r="Q44" s="217"/>
      <c r="R44" s="217"/>
      <c r="S44" s="217"/>
      <c r="T44" s="217"/>
      <c r="U44" s="217"/>
      <c r="V44" s="217"/>
      <c r="W44" s="217"/>
      <c r="X44" s="113"/>
      <c r="Y44" s="113"/>
      <c r="Z44" s="113"/>
      <c r="AA44" s="113"/>
      <c r="AB44" s="113"/>
      <c r="AC44" s="113"/>
    </row>
    <row r="45" spans="1:574">
      <c r="A45" s="113"/>
      <c r="B45" s="113"/>
      <c r="C45" s="113"/>
      <c r="D45" s="113"/>
      <c r="E45" s="113"/>
      <c r="F45" s="113"/>
      <c r="G45" s="113"/>
      <c r="H45" s="113"/>
      <c r="I45" s="113"/>
      <c r="J45" s="113"/>
      <c r="K45" s="113"/>
      <c r="L45" s="113"/>
      <c r="M45" s="113"/>
      <c r="N45" s="113"/>
      <c r="O45" s="113"/>
      <c r="P45" s="217"/>
      <c r="Q45" s="217"/>
      <c r="R45" s="217"/>
      <c r="S45" s="217"/>
      <c r="T45" s="217"/>
      <c r="U45" s="217"/>
      <c r="V45" s="217"/>
      <c r="W45" s="217"/>
      <c r="X45" s="113"/>
      <c r="Y45" s="113"/>
      <c r="Z45" s="113"/>
      <c r="AA45" s="113"/>
      <c r="AB45" s="113"/>
      <c r="AC45" s="113"/>
    </row>
    <row r="46" spans="1:574">
      <c r="A46" s="113"/>
      <c r="B46" s="113"/>
      <c r="C46" s="113"/>
      <c r="D46" s="113"/>
      <c r="E46" s="113"/>
      <c r="F46" s="113"/>
      <c r="G46" s="113"/>
      <c r="H46" s="113"/>
      <c r="I46" s="113"/>
      <c r="J46" s="113"/>
      <c r="K46" s="113"/>
      <c r="L46" s="113"/>
      <c r="M46" s="113"/>
      <c r="N46" s="113"/>
      <c r="O46" s="113"/>
      <c r="P46" s="217"/>
      <c r="Q46" s="217"/>
      <c r="R46" s="217"/>
      <c r="S46" s="217"/>
      <c r="T46" s="217"/>
      <c r="U46" s="217"/>
      <c r="V46" s="217"/>
      <c r="W46" s="217"/>
      <c r="X46" s="113"/>
      <c r="Y46" s="113"/>
      <c r="Z46" s="113"/>
      <c r="AA46" s="113"/>
      <c r="AB46" s="113"/>
      <c r="AC46" s="113"/>
    </row>
    <row r="47" spans="1:574">
      <c r="A47" s="113"/>
      <c r="B47" s="113"/>
      <c r="C47" s="113"/>
      <c r="D47" s="113"/>
      <c r="E47" s="113"/>
      <c r="F47" s="372">
        <v>2</v>
      </c>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row>
    <row r="48" spans="1:574">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row>
    <row r="49" spans="1:49">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row>
    <row r="50" spans="1:49">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row>
    <row r="51" spans="1:49" s="102" customFormat="1">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52"/>
      <c r="AE51" s="52"/>
      <c r="AF51" s="52"/>
      <c r="AG51" s="52"/>
      <c r="AH51" s="52"/>
      <c r="AI51" s="52"/>
      <c r="AJ51" s="52"/>
      <c r="AK51" s="52"/>
      <c r="AL51" s="52"/>
      <c r="AM51" s="52"/>
      <c r="AN51" s="52"/>
      <c r="AO51" s="52"/>
      <c r="AP51" s="52"/>
      <c r="AQ51" s="52"/>
      <c r="AR51" s="52"/>
      <c r="AS51" s="52"/>
      <c r="AT51" s="52"/>
      <c r="AU51" s="52"/>
      <c r="AV51" s="52"/>
      <c r="AW51" s="52"/>
    </row>
    <row r="52" spans="1:49" s="102" customFormat="1" ht="18" customHeight="1">
      <c r="A52" s="113"/>
      <c r="B52" s="113"/>
      <c r="C52" s="113"/>
      <c r="D52" s="113"/>
      <c r="E52" s="113"/>
      <c r="F52" s="403">
        <v>4</v>
      </c>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c r="AD52" s="52"/>
      <c r="AE52" s="52"/>
      <c r="AF52" s="52"/>
      <c r="AG52" s="52"/>
      <c r="AH52" s="52"/>
      <c r="AI52" s="52"/>
      <c r="AJ52" s="52"/>
      <c r="AK52" s="52"/>
      <c r="AL52" s="52"/>
      <c r="AM52" s="52"/>
      <c r="AN52" s="52"/>
      <c r="AO52" s="52"/>
      <c r="AP52" s="52"/>
      <c r="AQ52" s="52"/>
      <c r="AR52" s="52"/>
      <c r="AS52" s="52"/>
      <c r="AT52" s="52"/>
      <c r="AU52" s="52"/>
      <c r="AV52" s="52"/>
      <c r="AW52" s="52"/>
    </row>
    <row r="53" spans="1:49" s="102" customFormat="1">
      <c r="A53" s="113"/>
      <c r="B53" s="113"/>
      <c r="C53" s="113"/>
      <c r="D53" s="113"/>
      <c r="E53" s="113"/>
      <c r="F53" s="113"/>
      <c r="G53" s="165">
        <v>1</v>
      </c>
      <c r="H53" s="113"/>
      <c r="I53" s="113"/>
      <c r="J53" s="113"/>
      <c r="K53" s="113"/>
      <c r="L53" s="113"/>
      <c r="M53" s="113"/>
      <c r="N53" s="113"/>
      <c r="O53" s="113"/>
      <c r="P53" s="113"/>
      <c r="Q53" s="113"/>
      <c r="R53" s="113"/>
      <c r="S53" s="113"/>
      <c r="T53" s="113"/>
      <c r="U53" s="113"/>
      <c r="V53" s="113"/>
      <c r="W53" s="113"/>
      <c r="X53" s="113"/>
      <c r="Y53" s="113"/>
      <c r="Z53" s="113"/>
      <c r="AA53" s="113"/>
      <c r="AB53" s="113"/>
      <c r="AC53" s="113"/>
      <c r="AD53" s="52"/>
      <c r="AE53" s="52"/>
      <c r="AF53" s="52"/>
      <c r="AG53" s="52"/>
      <c r="AH53" s="52"/>
      <c r="AI53" s="52"/>
      <c r="AJ53" s="52"/>
      <c r="AK53" s="52"/>
      <c r="AL53" s="52"/>
      <c r="AM53" s="52"/>
      <c r="AN53" s="52"/>
      <c r="AO53" s="52"/>
      <c r="AP53" s="52"/>
      <c r="AQ53" s="52"/>
      <c r="AR53" s="52"/>
      <c r="AS53" s="52"/>
      <c r="AT53" s="52"/>
      <c r="AU53" s="52"/>
      <c r="AV53" s="52"/>
      <c r="AW53" s="52"/>
    </row>
    <row r="54" spans="1:49" s="102" customFormat="1">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c r="AA54" s="113"/>
      <c r="AB54" s="113"/>
      <c r="AC54" s="113"/>
      <c r="AD54" s="52"/>
      <c r="AE54" s="52"/>
      <c r="AF54" s="52"/>
      <c r="AG54" s="52"/>
      <c r="AH54" s="52"/>
      <c r="AI54" s="52"/>
      <c r="AJ54" s="52"/>
      <c r="AK54" s="52"/>
      <c r="AL54" s="52"/>
      <c r="AM54" s="52"/>
      <c r="AN54" s="52"/>
      <c r="AO54" s="52"/>
      <c r="AP54" s="52"/>
      <c r="AQ54" s="52"/>
      <c r="AR54" s="52"/>
      <c r="AS54" s="52"/>
      <c r="AT54" s="52"/>
      <c r="AU54" s="52"/>
      <c r="AV54" s="52"/>
      <c r="AW54" s="52"/>
    </row>
    <row r="55" spans="1:49" s="102" customFormat="1" ht="40.5" customHeight="1">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c r="AA55" s="113"/>
      <c r="AB55" s="113"/>
      <c r="AC55" s="113"/>
      <c r="AD55" s="52"/>
      <c r="AE55" s="52"/>
      <c r="AF55" s="52"/>
      <c r="AG55" s="52"/>
      <c r="AH55" s="52"/>
      <c r="AI55" s="52"/>
      <c r="AJ55" s="52"/>
      <c r="AK55" s="52"/>
      <c r="AL55" s="52"/>
      <c r="AM55" s="52"/>
      <c r="AN55" s="52"/>
      <c r="AO55" s="52"/>
      <c r="AP55" s="52"/>
      <c r="AQ55" s="52"/>
      <c r="AR55" s="52"/>
      <c r="AS55" s="52"/>
      <c r="AT55" s="52"/>
      <c r="AU55" s="52"/>
      <c r="AV55" s="52"/>
      <c r="AW55" s="52"/>
    </row>
    <row r="56" spans="1:49" s="102" customFormat="1" ht="14.25" customHeight="1">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c r="AA56" s="113"/>
      <c r="AB56" s="113"/>
      <c r="AC56" s="113"/>
      <c r="AD56" s="52"/>
      <c r="AE56" s="52"/>
      <c r="AF56" s="52"/>
      <c r="AG56" s="52"/>
      <c r="AH56" s="52"/>
      <c r="AI56" s="52"/>
      <c r="AJ56" s="52"/>
      <c r="AK56" s="52"/>
      <c r="AL56" s="52"/>
      <c r="AM56" s="52"/>
      <c r="AN56" s="52"/>
      <c r="AO56" s="52"/>
      <c r="AP56" s="52"/>
      <c r="AQ56" s="52"/>
      <c r="AR56" s="52"/>
      <c r="AS56" s="52"/>
      <c r="AT56" s="52"/>
      <c r="AU56" s="52"/>
      <c r="AV56" s="52"/>
      <c r="AW56" s="52"/>
    </row>
    <row r="57" spans="1:49" s="102" customFormat="1" ht="21.75" customHeight="1">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c r="AA57" s="113"/>
      <c r="AB57" s="113"/>
      <c r="AC57" s="113"/>
      <c r="AD57" s="52"/>
      <c r="AE57" s="52"/>
      <c r="AF57" s="52"/>
      <c r="AG57" s="52"/>
      <c r="AH57" s="52"/>
      <c r="AI57" s="52"/>
      <c r="AJ57" s="52"/>
      <c r="AK57" s="52"/>
      <c r="AL57" s="52"/>
      <c r="AM57" s="52"/>
      <c r="AN57" s="52"/>
      <c r="AO57" s="52"/>
      <c r="AP57" s="52"/>
      <c r="AQ57" s="52"/>
      <c r="AR57" s="52"/>
      <c r="AS57" s="52"/>
      <c r="AT57" s="52"/>
      <c r="AU57" s="52"/>
      <c r="AV57" s="52"/>
      <c r="AW57" s="52"/>
    </row>
    <row r="58" spans="1:49" s="102" customFormat="1" ht="18.75" customHeight="1">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c r="AD58" s="52"/>
      <c r="AE58" s="52"/>
      <c r="AF58" s="52"/>
      <c r="AG58" s="52"/>
      <c r="AH58" s="52"/>
      <c r="AI58" s="52"/>
      <c r="AJ58" s="52"/>
      <c r="AK58" s="52"/>
      <c r="AL58" s="52"/>
      <c r="AM58" s="52"/>
      <c r="AN58" s="52"/>
      <c r="AO58" s="52"/>
      <c r="AP58" s="52"/>
      <c r="AQ58" s="52"/>
      <c r="AR58" s="52"/>
      <c r="AS58" s="52"/>
      <c r="AT58" s="52"/>
      <c r="AU58" s="52"/>
      <c r="AV58" s="52"/>
      <c r="AW58" s="52"/>
    </row>
    <row r="59" spans="1:49" s="102" customFormat="1">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c r="AD59" s="52"/>
      <c r="AE59" s="52"/>
      <c r="AF59" s="52"/>
      <c r="AG59" s="52"/>
      <c r="AH59" s="52"/>
      <c r="AI59" s="52"/>
      <c r="AJ59" s="52"/>
      <c r="AK59" s="52"/>
      <c r="AL59" s="52"/>
      <c r="AM59" s="52"/>
      <c r="AN59" s="52"/>
      <c r="AO59" s="52"/>
      <c r="AP59" s="52"/>
      <c r="AQ59" s="52"/>
      <c r="AR59" s="52"/>
      <c r="AS59" s="52"/>
      <c r="AT59" s="52"/>
      <c r="AU59" s="52"/>
      <c r="AV59" s="52"/>
      <c r="AW59" s="52"/>
    </row>
    <row r="60" spans="1:49" s="102" customFormat="1">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52"/>
      <c r="AE60" s="52"/>
      <c r="AF60" s="52"/>
      <c r="AG60" s="52"/>
      <c r="AH60" s="52"/>
      <c r="AI60" s="52"/>
      <c r="AJ60" s="52"/>
      <c r="AK60" s="52"/>
      <c r="AL60" s="52"/>
      <c r="AM60" s="52"/>
      <c r="AN60" s="52"/>
      <c r="AO60" s="52"/>
      <c r="AP60" s="52"/>
      <c r="AQ60" s="52"/>
      <c r="AR60" s="52"/>
      <c r="AS60" s="52"/>
      <c r="AT60" s="52"/>
      <c r="AU60" s="52"/>
      <c r="AV60" s="52"/>
      <c r="AW60" s="52"/>
    </row>
    <row r="61" spans="1:49" s="102" customFormat="1" ht="18.75" customHeight="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c r="AD61" s="52"/>
      <c r="AE61" s="52"/>
      <c r="AF61" s="52"/>
      <c r="AG61" s="52"/>
      <c r="AH61" s="52"/>
      <c r="AI61" s="52"/>
      <c r="AJ61" s="52"/>
      <c r="AK61" s="52"/>
      <c r="AL61" s="52"/>
      <c r="AM61" s="52"/>
      <c r="AN61" s="52"/>
      <c r="AO61" s="52"/>
      <c r="AP61" s="52"/>
      <c r="AQ61" s="52"/>
      <c r="AR61" s="52"/>
      <c r="AS61" s="52"/>
      <c r="AT61" s="52"/>
      <c r="AU61" s="52"/>
      <c r="AV61" s="52"/>
      <c r="AW61" s="52"/>
    </row>
    <row r="62" spans="1:49" s="102" customFormat="1" ht="21.75" customHeight="1">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c r="AD62" s="52"/>
      <c r="AE62" s="52"/>
      <c r="AF62" s="52"/>
      <c r="AG62" s="52"/>
      <c r="AH62" s="52"/>
      <c r="AI62" s="52"/>
      <c r="AJ62" s="52"/>
      <c r="AK62" s="52"/>
      <c r="AL62" s="52"/>
      <c r="AM62" s="52"/>
      <c r="AN62" s="52"/>
      <c r="AO62" s="52"/>
      <c r="AP62" s="52"/>
      <c r="AQ62" s="52"/>
      <c r="AR62" s="52"/>
      <c r="AS62" s="52"/>
      <c r="AT62" s="52"/>
      <c r="AU62" s="52"/>
      <c r="AV62" s="52"/>
      <c r="AW62" s="52"/>
    </row>
    <row r="63" spans="1:49" s="102" customFormat="1" ht="18" customHeight="1">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c r="AD63" s="52"/>
      <c r="AE63" s="52"/>
      <c r="AF63" s="52"/>
      <c r="AG63" s="52"/>
      <c r="AH63" s="52"/>
      <c r="AI63" s="52"/>
      <c r="AJ63" s="52"/>
      <c r="AK63" s="52"/>
      <c r="AL63" s="52"/>
      <c r="AM63" s="52"/>
      <c r="AN63" s="52"/>
      <c r="AO63" s="52"/>
      <c r="AP63" s="52"/>
      <c r="AQ63" s="52"/>
      <c r="AR63" s="52"/>
      <c r="AS63" s="52"/>
      <c r="AT63" s="52"/>
      <c r="AU63" s="52"/>
      <c r="AV63" s="52"/>
      <c r="AW63" s="52"/>
    </row>
    <row r="64" spans="1:49" s="102" customFormat="1" ht="27.75" customHeight="1">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c r="AA64" s="113"/>
      <c r="AB64" s="113"/>
      <c r="AC64" s="113"/>
      <c r="AD64" s="52"/>
      <c r="AE64" s="52"/>
      <c r="AF64" s="52"/>
      <c r="AG64" s="52"/>
      <c r="AH64" s="52"/>
      <c r="AI64" s="52"/>
      <c r="AJ64" s="52"/>
      <c r="AK64" s="52"/>
      <c r="AL64" s="52"/>
      <c r="AM64" s="52"/>
      <c r="AN64" s="52"/>
      <c r="AO64" s="52"/>
      <c r="AP64" s="52"/>
      <c r="AQ64" s="52"/>
      <c r="AR64" s="52"/>
      <c r="AS64" s="52"/>
      <c r="AT64" s="52"/>
      <c r="AU64" s="52"/>
      <c r="AV64" s="52"/>
      <c r="AW64" s="52"/>
    </row>
    <row r="65" spans="1:49" s="102" customFormat="1" ht="22.5" customHeight="1">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c r="AD65" s="52"/>
      <c r="AE65" s="52"/>
      <c r="AF65" s="52"/>
      <c r="AG65" s="52"/>
      <c r="AH65" s="52"/>
      <c r="AI65" s="52"/>
      <c r="AJ65" s="52"/>
      <c r="AK65" s="52"/>
      <c r="AL65" s="52"/>
      <c r="AM65" s="52"/>
      <c r="AN65" s="52"/>
      <c r="AO65" s="52"/>
      <c r="AP65" s="52"/>
      <c r="AQ65" s="52"/>
      <c r="AR65" s="52"/>
      <c r="AS65" s="52"/>
      <c r="AT65" s="52"/>
      <c r="AU65" s="52"/>
      <c r="AV65" s="52"/>
      <c r="AW65" s="52"/>
    </row>
    <row r="66" spans="1:49" s="102" customFormat="1" ht="15" customHeight="1">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c r="AA66" s="113"/>
      <c r="AB66" s="113"/>
      <c r="AC66" s="113"/>
      <c r="AD66" s="52"/>
      <c r="AE66" s="52"/>
      <c r="AF66" s="52"/>
      <c r="AG66" s="52"/>
      <c r="AH66" s="52"/>
      <c r="AI66" s="52"/>
      <c r="AJ66" s="52"/>
      <c r="AK66" s="52"/>
      <c r="AL66" s="52"/>
      <c r="AM66" s="52"/>
      <c r="AN66" s="52"/>
      <c r="AO66" s="52"/>
      <c r="AP66" s="52"/>
      <c r="AQ66" s="52"/>
      <c r="AR66" s="52"/>
      <c r="AS66" s="52"/>
      <c r="AT66" s="52"/>
      <c r="AU66" s="52"/>
      <c r="AV66" s="52"/>
      <c r="AW66" s="52"/>
    </row>
    <row r="67" spans="1:49" s="102" customFormat="1" ht="28.5" customHeight="1">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c r="AA67" s="113"/>
      <c r="AB67" s="113"/>
      <c r="AC67" s="113"/>
      <c r="AD67" s="52"/>
      <c r="AE67" s="52"/>
      <c r="AF67" s="52"/>
      <c r="AG67" s="52"/>
      <c r="AH67" s="52"/>
      <c r="AI67" s="52"/>
      <c r="AJ67" s="52"/>
      <c r="AK67" s="52"/>
      <c r="AL67" s="52"/>
      <c r="AM67" s="52"/>
      <c r="AN67" s="52"/>
      <c r="AO67" s="52"/>
      <c r="AP67" s="52"/>
      <c r="AQ67" s="52"/>
      <c r="AR67" s="52"/>
      <c r="AS67" s="52"/>
      <c r="AT67" s="52"/>
      <c r="AU67" s="52"/>
      <c r="AV67" s="52"/>
      <c r="AW67" s="52"/>
    </row>
    <row r="68" spans="1:49" s="102" customFormat="1" ht="26.25" customHeight="1">
      <c r="D68" s="106"/>
      <c r="E68" s="98"/>
      <c r="F68" s="38"/>
      <c r="G68" s="101"/>
      <c r="H68" s="101"/>
      <c r="I68" s="101"/>
      <c r="J68" s="101"/>
      <c r="K68" s="101"/>
      <c r="L68" s="543"/>
      <c r="M68" s="100"/>
      <c r="N68" s="101"/>
      <c r="O68" s="101"/>
      <c r="P68" s="101"/>
      <c r="Q68" s="101"/>
      <c r="R68" s="101"/>
      <c r="S68" s="101"/>
      <c r="T68" s="101"/>
      <c r="U68" s="101"/>
      <c r="V68" s="101"/>
      <c r="W68" s="50"/>
      <c r="X68" s="104"/>
      <c r="Y68" s="54"/>
      <c r="Z68" s="53"/>
      <c r="AA68" s="52"/>
      <c r="AB68" s="52"/>
      <c r="AC68" s="52"/>
      <c r="AD68" s="52"/>
      <c r="AE68" s="52"/>
      <c r="AF68" s="52"/>
      <c r="AG68" s="52"/>
      <c r="AH68" s="52"/>
      <c r="AI68" s="52"/>
      <c r="AJ68" s="52"/>
      <c r="AK68" s="52"/>
      <c r="AL68" s="52"/>
      <c r="AM68" s="52"/>
      <c r="AN68" s="52"/>
      <c r="AO68" s="52"/>
      <c r="AP68" s="52"/>
      <c r="AQ68" s="52"/>
      <c r="AR68" s="52"/>
      <c r="AS68" s="52"/>
      <c r="AT68" s="52"/>
      <c r="AU68" s="52"/>
      <c r="AV68" s="52"/>
      <c r="AW68" s="52"/>
    </row>
    <row r="69" spans="1:49" s="102" customFormat="1" ht="18.75" customHeight="1">
      <c r="D69" s="72"/>
      <c r="E69" s="101"/>
      <c r="F69" s="105"/>
      <c r="G69" s="101"/>
      <c r="H69" s="101"/>
      <c r="I69" s="101"/>
      <c r="J69" s="101"/>
      <c r="K69" s="101"/>
      <c r="L69" s="543"/>
      <c r="M69" s="100"/>
      <c r="N69" s="101"/>
      <c r="O69" s="101"/>
      <c r="P69" s="101"/>
      <c r="Q69" s="101"/>
      <c r="R69" s="101"/>
      <c r="S69" s="101"/>
      <c r="T69" s="101"/>
      <c r="U69" s="101"/>
      <c r="V69" s="101"/>
      <c r="W69" s="50"/>
      <c r="X69" s="104"/>
      <c r="Y69" s="54"/>
      <c r="Z69" s="53"/>
      <c r="AA69" s="52"/>
      <c r="AB69" s="52"/>
      <c r="AC69" s="52"/>
      <c r="AD69" s="52"/>
      <c r="AE69" s="52"/>
      <c r="AF69" s="52"/>
      <c r="AG69" s="52"/>
      <c r="AH69" s="52"/>
      <c r="AI69" s="52"/>
      <c r="AJ69" s="52"/>
      <c r="AK69" s="52"/>
      <c r="AL69" s="52"/>
      <c r="AM69" s="52"/>
      <c r="AN69" s="52"/>
      <c r="AO69" s="52"/>
      <c r="AP69" s="52"/>
      <c r="AQ69" s="52"/>
      <c r="AR69" s="52"/>
      <c r="AS69" s="52"/>
      <c r="AT69" s="52"/>
      <c r="AU69" s="52"/>
      <c r="AV69" s="52"/>
      <c r="AW69" s="52"/>
    </row>
    <row r="70" spans="1:49" s="102" customFormat="1" ht="23.25" customHeight="1">
      <c r="D70" s="72"/>
      <c r="E70" s="106"/>
      <c r="F70" s="1"/>
      <c r="G70" s="101"/>
      <c r="H70" s="101"/>
      <c r="I70" s="101"/>
      <c r="J70" s="101"/>
      <c r="K70" s="101"/>
      <c r="L70" s="101"/>
      <c r="M70" s="101"/>
      <c r="N70" s="101"/>
      <c r="O70" s="101"/>
      <c r="P70" s="101"/>
      <c r="Q70" s="101"/>
      <c r="R70" s="101"/>
      <c r="S70" s="101"/>
      <c r="T70" s="101"/>
      <c r="U70" s="101"/>
      <c r="V70" s="101"/>
      <c r="W70" s="50"/>
      <c r="X70" s="104"/>
      <c r="Y70" s="54"/>
      <c r="Z70" s="53"/>
      <c r="AA70" s="52"/>
      <c r="AB70" s="52"/>
      <c r="AC70" s="52"/>
      <c r="AD70" s="52"/>
      <c r="AE70" s="52"/>
      <c r="AF70" s="52"/>
      <c r="AG70" s="52"/>
      <c r="AH70" s="52"/>
      <c r="AI70" s="52"/>
      <c r="AJ70" s="52"/>
      <c r="AK70" s="52"/>
      <c r="AL70" s="52"/>
      <c r="AM70" s="52"/>
      <c r="AN70" s="52"/>
      <c r="AO70" s="52"/>
      <c r="AP70" s="52"/>
      <c r="AQ70" s="52"/>
      <c r="AR70" s="52"/>
      <c r="AS70" s="52"/>
      <c r="AT70" s="52"/>
      <c r="AU70" s="52"/>
      <c r="AV70" s="52"/>
      <c r="AW70" s="52"/>
    </row>
    <row r="71" spans="1:49" s="102" customFormat="1" ht="23.25" customHeight="1">
      <c r="D71" s="72"/>
      <c r="E71" s="72"/>
      <c r="F71" s="1"/>
      <c r="G71" s="99"/>
      <c r="H71" s="101"/>
      <c r="I71" s="101"/>
      <c r="J71" s="101"/>
      <c r="K71" s="101"/>
      <c r="L71" s="101"/>
      <c r="M71" s="101"/>
      <c r="N71" s="101"/>
      <c r="O71" s="101"/>
      <c r="P71" s="101"/>
      <c r="Q71" s="101"/>
      <c r="R71" s="101"/>
      <c r="S71" s="101"/>
      <c r="T71" s="101"/>
      <c r="U71" s="101"/>
      <c r="V71" s="101"/>
      <c r="W71" s="50"/>
      <c r="X71" s="104"/>
      <c r="Y71" s="54"/>
      <c r="Z71" s="53"/>
      <c r="AA71" s="52"/>
      <c r="AB71" s="52"/>
      <c r="AC71" s="52"/>
      <c r="AD71" s="52"/>
      <c r="AE71" s="52"/>
      <c r="AF71" s="52"/>
      <c r="AG71" s="52"/>
      <c r="AH71" s="52"/>
      <c r="AI71" s="52"/>
      <c r="AJ71" s="52"/>
      <c r="AK71" s="52"/>
      <c r="AL71" s="52"/>
      <c r="AM71" s="52"/>
      <c r="AN71" s="52"/>
      <c r="AO71" s="52"/>
      <c r="AP71" s="52"/>
      <c r="AQ71" s="52"/>
      <c r="AR71" s="52"/>
      <c r="AS71" s="52"/>
      <c r="AT71" s="52"/>
      <c r="AU71" s="52"/>
      <c r="AV71" s="52"/>
      <c r="AW71" s="52"/>
    </row>
    <row r="72" spans="1:49" s="102" customFormat="1" ht="13">
      <c r="D72" s="526"/>
      <c r="E72" s="72"/>
      <c r="F72" s="1"/>
      <c r="G72" s="99"/>
      <c r="H72" s="101"/>
      <c r="I72" s="101"/>
      <c r="J72" s="101"/>
      <c r="K72" s="101"/>
      <c r="L72" s="101"/>
      <c r="M72" s="101"/>
      <c r="N72" s="101"/>
      <c r="O72" s="101"/>
      <c r="P72" s="101"/>
      <c r="Q72" s="101"/>
      <c r="R72" s="101"/>
      <c r="S72" s="101"/>
      <c r="T72" s="101"/>
      <c r="U72" s="101"/>
      <c r="V72" s="101"/>
      <c r="W72" s="50"/>
      <c r="X72" s="104"/>
      <c r="Y72" s="54"/>
      <c r="Z72" s="53"/>
      <c r="AA72" s="52"/>
      <c r="AB72" s="52"/>
      <c r="AC72" s="52"/>
      <c r="AD72" s="52"/>
      <c r="AE72" s="52"/>
      <c r="AF72" s="52"/>
      <c r="AG72" s="52"/>
      <c r="AH72" s="52"/>
      <c r="AI72" s="52"/>
      <c r="AJ72" s="52"/>
      <c r="AK72" s="52"/>
      <c r="AL72" s="52"/>
      <c r="AM72" s="52"/>
      <c r="AN72" s="52"/>
      <c r="AO72" s="52"/>
      <c r="AP72" s="52"/>
      <c r="AQ72" s="52"/>
      <c r="AR72" s="52"/>
      <c r="AS72" s="52"/>
      <c r="AT72" s="52"/>
      <c r="AU72" s="52"/>
      <c r="AV72" s="52"/>
      <c r="AW72" s="52"/>
    </row>
    <row r="73" spans="1:49" s="102" customFormat="1" ht="13">
      <c r="D73" s="527"/>
      <c r="E73" s="72"/>
      <c r="F73" s="1"/>
      <c r="G73" s="38"/>
      <c r="H73" s="101"/>
      <c r="I73" s="101"/>
      <c r="J73" s="101"/>
      <c r="K73" s="101"/>
      <c r="L73" s="101"/>
      <c r="M73" s="101"/>
      <c r="N73" s="101"/>
      <c r="O73" s="101"/>
      <c r="P73" s="101"/>
      <c r="Q73" s="101"/>
      <c r="R73" s="101"/>
      <c r="S73" s="101"/>
      <c r="T73" s="101"/>
      <c r="U73" s="101"/>
      <c r="V73" s="101"/>
      <c r="W73" s="50"/>
      <c r="X73" s="104"/>
      <c r="Y73" s="54"/>
      <c r="Z73" s="53"/>
      <c r="AA73" s="52"/>
      <c r="AB73" s="52"/>
      <c r="AC73" s="52"/>
      <c r="AD73" s="52"/>
      <c r="AE73" s="52"/>
      <c r="AF73" s="52"/>
      <c r="AG73" s="52"/>
      <c r="AH73" s="52"/>
      <c r="AI73" s="52"/>
      <c r="AJ73" s="52"/>
      <c r="AK73" s="52"/>
      <c r="AL73" s="52"/>
      <c r="AM73" s="52"/>
      <c r="AN73" s="52"/>
      <c r="AO73" s="52"/>
      <c r="AP73" s="52"/>
      <c r="AQ73" s="52"/>
      <c r="AR73" s="52"/>
      <c r="AS73" s="52"/>
      <c r="AT73" s="52"/>
      <c r="AU73" s="52"/>
      <c r="AV73" s="52"/>
      <c r="AW73" s="52"/>
    </row>
    <row r="74" spans="1:49" ht="13">
      <c r="D74" s="527"/>
      <c r="E74" s="107"/>
      <c r="G74" s="101"/>
      <c r="H74" s="101"/>
      <c r="I74" s="101"/>
      <c r="J74" s="101"/>
      <c r="K74" s="101"/>
      <c r="L74" s="101"/>
      <c r="M74" s="101"/>
      <c r="N74" s="37"/>
      <c r="O74" s="37"/>
      <c r="P74" s="101"/>
      <c r="Q74" s="101"/>
      <c r="R74" s="101"/>
      <c r="S74" s="101"/>
      <c r="T74" s="101"/>
      <c r="U74" s="101"/>
      <c r="V74" s="101"/>
      <c r="W74" s="50"/>
      <c r="X74" s="51"/>
      <c r="Y74" s="54"/>
    </row>
    <row r="75" spans="1:49" ht="25.5" customHeight="1">
      <c r="D75" s="37"/>
      <c r="E75" s="105"/>
      <c r="G75" s="101"/>
      <c r="H75" s="101"/>
      <c r="I75" s="101"/>
      <c r="J75" s="101"/>
      <c r="K75" s="101"/>
      <c r="L75" s="101"/>
      <c r="M75" s="101"/>
      <c r="N75" s="37"/>
      <c r="O75" s="37"/>
      <c r="P75" s="101"/>
      <c r="Q75" s="101"/>
      <c r="R75" s="101"/>
      <c r="S75" s="101"/>
      <c r="T75" s="101"/>
      <c r="U75" s="101"/>
      <c r="V75" s="101"/>
      <c r="W75" s="50"/>
      <c r="X75" s="51"/>
      <c r="Y75" s="54"/>
    </row>
    <row r="76" spans="1:49" ht="45" customHeight="1">
      <c r="D76" s="37"/>
      <c r="E76" s="42"/>
      <c r="G76" s="37"/>
      <c r="H76" s="37"/>
      <c r="I76" s="37"/>
      <c r="J76" s="37"/>
      <c r="K76" s="37"/>
      <c r="L76" s="37"/>
      <c r="M76" s="37"/>
      <c r="N76" s="37"/>
      <c r="O76" s="37"/>
      <c r="P76" s="101"/>
      <c r="Q76" s="101"/>
      <c r="R76" s="101"/>
      <c r="S76" s="101"/>
      <c r="T76" s="101"/>
      <c r="U76" s="101"/>
      <c r="V76" s="101"/>
      <c r="W76" s="50"/>
      <c r="X76" s="41"/>
      <c r="Y76" s="54"/>
    </row>
    <row r="77" spans="1:49" ht="13">
      <c r="D77" s="37"/>
      <c r="E77" s="37"/>
      <c r="F77" s="38"/>
      <c r="G77" s="37"/>
      <c r="H77" s="37"/>
      <c r="I77" s="37"/>
      <c r="J77" s="37"/>
      <c r="K77" s="37"/>
      <c r="L77" s="37"/>
      <c r="M77" s="37"/>
      <c r="N77" s="37"/>
      <c r="O77" s="37"/>
      <c r="P77" s="101"/>
      <c r="Q77" s="101"/>
      <c r="R77" s="101"/>
      <c r="S77" s="101"/>
      <c r="T77" s="101"/>
      <c r="U77" s="101"/>
      <c r="V77" s="101"/>
      <c r="W77" s="50"/>
      <c r="X77" s="41"/>
      <c r="Y77" s="54"/>
    </row>
    <row r="78" spans="1:49" ht="15.5">
      <c r="D78" s="103"/>
      <c r="E78" s="37"/>
      <c r="F78" s="38"/>
      <c r="G78" s="37"/>
      <c r="H78" s="37"/>
      <c r="I78" s="37"/>
      <c r="J78" s="37"/>
      <c r="K78" s="37"/>
      <c r="L78" s="37"/>
      <c r="M78" s="37"/>
      <c r="N78" s="37"/>
      <c r="O78" s="37"/>
      <c r="P78" s="101"/>
      <c r="Q78" s="101"/>
      <c r="R78" s="101"/>
      <c r="S78" s="101"/>
      <c r="T78" s="101"/>
      <c r="U78" s="101"/>
      <c r="V78" s="101"/>
      <c r="W78" s="50"/>
      <c r="X78" s="41"/>
      <c r="Y78" s="54"/>
    </row>
    <row r="79" spans="1:49" ht="15.5">
      <c r="D79" s="111"/>
      <c r="E79" s="37"/>
      <c r="F79" s="103"/>
      <c r="G79" s="37"/>
      <c r="H79" s="37"/>
      <c r="I79" s="37"/>
      <c r="J79" s="37"/>
      <c r="K79" s="37"/>
      <c r="L79" s="37"/>
      <c r="M79" s="37"/>
      <c r="N79" s="37"/>
      <c r="O79" s="37"/>
      <c r="P79" s="37"/>
      <c r="Q79" s="37"/>
      <c r="R79" s="37"/>
      <c r="S79" s="37"/>
      <c r="T79" s="37"/>
      <c r="U79" s="37"/>
      <c r="V79" s="37"/>
      <c r="W79" s="50"/>
      <c r="X79" s="41"/>
      <c r="Y79" s="54"/>
    </row>
    <row r="80" spans="1:49" ht="15.5">
      <c r="D80" s="111"/>
      <c r="E80" s="103"/>
      <c r="G80" s="37"/>
      <c r="H80" s="37"/>
      <c r="I80" s="37"/>
      <c r="J80" s="37"/>
      <c r="K80" s="37"/>
      <c r="L80" s="37"/>
      <c r="M80" s="37"/>
      <c r="N80" s="37"/>
      <c r="O80" s="37"/>
      <c r="P80" s="37"/>
      <c r="Q80" s="37"/>
      <c r="R80" s="37"/>
      <c r="S80" s="37"/>
      <c r="T80" s="37"/>
      <c r="U80" s="37"/>
      <c r="V80" s="37"/>
      <c r="W80" s="50"/>
      <c r="X80" s="41"/>
      <c r="Y80" s="54"/>
    </row>
    <row r="81" spans="4:25" ht="17.5">
      <c r="D81" s="111"/>
      <c r="E81" s="111"/>
      <c r="G81" s="37"/>
      <c r="H81" s="37"/>
      <c r="I81" s="37"/>
      <c r="J81" s="37"/>
      <c r="K81" s="37"/>
      <c r="L81" s="37"/>
      <c r="M81" s="37"/>
      <c r="N81" s="37"/>
      <c r="O81" s="37"/>
      <c r="P81" s="37"/>
      <c r="Q81" s="37"/>
      <c r="R81" s="37"/>
      <c r="S81" s="37"/>
      <c r="T81" s="37"/>
      <c r="U81" s="37"/>
      <c r="V81" s="37"/>
      <c r="W81" s="40"/>
      <c r="X81" s="41"/>
      <c r="Y81" s="54"/>
    </row>
    <row r="82" spans="4:25" ht="13">
      <c r="D82" s="39"/>
      <c r="E82" s="111"/>
      <c r="G82" s="37"/>
      <c r="H82" s="37"/>
      <c r="I82" s="37"/>
      <c r="J82" s="37"/>
      <c r="K82" s="37"/>
      <c r="L82" s="37"/>
      <c r="M82" s="37"/>
      <c r="N82" s="37"/>
      <c r="O82" s="37"/>
      <c r="P82" s="37"/>
      <c r="Q82" s="37"/>
      <c r="R82" s="37"/>
      <c r="S82" s="37"/>
      <c r="T82" s="37"/>
      <c r="U82" s="37"/>
      <c r="V82" s="37"/>
      <c r="W82" s="42"/>
      <c r="X82" s="41"/>
      <c r="Y82" s="54"/>
    </row>
    <row r="83" spans="4:25" ht="13">
      <c r="D83" s="39"/>
      <c r="E83" s="111"/>
      <c r="F83" s="39"/>
      <c r="G83" s="37"/>
      <c r="H83" s="37"/>
      <c r="I83" s="37"/>
      <c r="J83" s="37"/>
      <c r="K83" s="37"/>
      <c r="L83" s="37"/>
      <c r="M83" s="37"/>
      <c r="N83" s="37"/>
      <c r="O83" s="37"/>
      <c r="P83" s="37"/>
      <c r="Q83" s="37"/>
      <c r="R83" s="37"/>
      <c r="S83" s="37"/>
      <c r="T83" s="37"/>
      <c r="U83" s="37"/>
      <c r="V83" s="37"/>
      <c r="W83" s="42"/>
      <c r="X83" s="41"/>
      <c r="Y83" s="54"/>
    </row>
    <row r="84" spans="4:25">
      <c r="D84" s="48"/>
      <c r="E84" s="39"/>
      <c r="F84" s="39"/>
      <c r="G84" s="37"/>
      <c r="H84" s="37"/>
      <c r="I84" s="37"/>
      <c r="J84" s="37"/>
      <c r="K84" s="37"/>
      <c r="L84" s="37"/>
      <c r="M84" s="37"/>
      <c r="N84" s="37"/>
      <c r="O84" s="37"/>
      <c r="P84" s="37"/>
      <c r="Q84" s="37"/>
      <c r="R84" s="37"/>
      <c r="S84" s="37"/>
      <c r="T84" s="37"/>
      <c r="U84" s="37"/>
      <c r="V84" s="37"/>
      <c r="W84" s="42"/>
      <c r="X84" s="41"/>
      <c r="Y84" s="54"/>
    </row>
    <row r="85" spans="4:25">
      <c r="D85" s="39"/>
      <c r="E85" s="39"/>
      <c r="F85" s="39"/>
      <c r="G85" s="37"/>
      <c r="H85" s="37"/>
      <c r="I85" s="37"/>
      <c r="J85" s="37"/>
      <c r="K85" s="37"/>
      <c r="L85" s="37"/>
      <c r="M85" s="37"/>
      <c r="N85" s="37"/>
      <c r="O85" s="37"/>
      <c r="P85" s="37"/>
      <c r="Q85" s="37"/>
      <c r="R85" s="37"/>
      <c r="S85" s="37"/>
      <c r="T85" s="37"/>
      <c r="U85" s="37"/>
      <c r="V85" s="37"/>
      <c r="W85" s="42"/>
      <c r="X85" s="41"/>
      <c r="Y85" s="54"/>
    </row>
    <row r="86" spans="4:25">
      <c r="D86" s="39"/>
      <c r="E86" s="48"/>
      <c r="F86" s="39"/>
      <c r="G86" s="37"/>
      <c r="H86" s="37"/>
      <c r="I86" s="37"/>
      <c r="J86" s="37"/>
      <c r="K86" s="37"/>
      <c r="L86" s="37"/>
      <c r="M86" s="37"/>
      <c r="N86" s="37"/>
      <c r="O86" s="37"/>
      <c r="P86" s="37"/>
      <c r="Q86" s="37"/>
      <c r="R86" s="37"/>
      <c r="S86" s="37"/>
      <c r="T86" s="37"/>
      <c r="U86" s="37"/>
      <c r="V86" s="37"/>
      <c r="W86" s="42"/>
      <c r="X86" s="41"/>
      <c r="Y86" s="54"/>
    </row>
    <row r="87" spans="4:25">
      <c r="D87" s="39"/>
      <c r="E87" s="39"/>
      <c r="F87" s="39"/>
      <c r="G87" s="37"/>
      <c r="H87" s="37"/>
      <c r="I87" s="37"/>
      <c r="J87" s="37"/>
      <c r="K87" s="37"/>
      <c r="L87" s="37"/>
      <c r="M87" s="37"/>
      <c r="N87" s="37"/>
      <c r="O87" s="37"/>
      <c r="P87" s="37"/>
      <c r="Q87" s="37"/>
      <c r="R87" s="37"/>
      <c r="S87" s="37"/>
      <c r="T87" s="37"/>
      <c r="U87" s="37"/>
      <c r="V87" s="37"/>
      <c r="W87" s="42"/>
      <c r="X87" s="41"/>
      <c r="Y87" s="54"/>
    </row>
    <row r="88" spans="4:25">
      <c r="D88" s="39"/>
      <c r="E88" s="39"/>
      <c r="F88" s="39"/>
      <c r="G88" s="37"/>
      <c r="H88" s="37"/>
      <c r="I88" s="37"/>
      <c r="J88" s="37"/>
      <c r="K88" s="37"/>
      <c r="L88" s="37"/>
      <c r="M88" s="37"/>
      <c r="N88" s="37"/>
      <c r="O88" s="37"/>
      <c r="P88" s="37"/>
      <c r="Q88" s="37"/>
      <c r="R88" s="37"/>
      <c r="S88" s="37"/>
      <c r="T88" s="37"/>
      <c r="U88" s="37"/>
      <c r="V88" s="37"/>
      <c r="W88" s="42"/>
      <c r="X88" s="41"/>
      <c r="Y88" s="54"/>
    </row>
    <row r="89" spans="4:25">
      <c r="D89" s="39"/>
      <c r="E89" s="39"/>
      <c r="F89" s="39"/>
      <c r="G89" s="37"/>
      <c r="H89" s="37"/>
      <c r="I89" s="37"/>
      <c r="J89" s="37"/>
      <c r="K89" s="37"/>
      <c r="L89" s="37"/>
      <c r="M89" s="37"/>
      <c r="N89" s="37"/>
      <c r="O89" s="37"/>
      <c r="P89" s="37"/>
      <c r="Q89" s="37"/>
      <c r="R89" s="37"/>
      <c r="S89" s="37"/>
      <c r="T89" s="37"/>
      <c r="U89" s="37"/>
      <c r="V89" s="37"/>
      <c r="W89" s="42"/>
      <c r="X89" s="41"/>
      <c r="Y89" s="54"/>
    </row>
    <row r="90" spans="4:25" ht="27" customHeight="1">
      <c r="D90" s="37"/>
      <c r="E90" s="39"/>
      <c r="F90" s="39"/>
      <c r="G90" s="37"/>
      <c r="H90" s="37"/>
      <c r="I90" s="37"/>
      <c r="J90" s="37"/>
      <c r="K90" s="37"/>
      <c r="L90" s="37"/>
      <c r="M90" s="37"/>
      <c r="N90" s="37"/>
      <c r="O90" s="37"/>
      <c r="P90" s="37"/>
      <c r="Q90" s="37"/>
      <c r="R90" s="37"/>
      <c r="S90" s="37"/>
      <c r="T90" s="37"/>
      <c r="U90" s="37"/>
      <c r="V90" s="37"/>
      <c r="W90" s="42"/>
      <c r="X90" s="41"/>
      <c r="Y90" s="54"/>
    </row>
    <row r="91" spans="4:25" ht="26.25" customHeight="1">
      <c r="D91" s="37"/>
      <c r="E91" s="39"/>
      <c r="F91" s="38"/>
      <c r="G91" s="37"/>
      <c r="H91" s="37"/>
      <c r="I91" s="37"/>
      <c r="J91" s="37"/>
      <c r="K91" s="37"/>
      <c r="L91" s="37"/>
      <c r="M91" s="37"/>
      <c r="N91" s="37"/>
      <c r="O91" s="37"/>
      <c r="P91" s="37"/>
      <c r="Q91" s="37"/>
      <c r="R91" s="37"/>
      <c r="S91" s="37"/>
      <c r="T91" s="37"/>
      <c r="U91" s="37"/>
      <c r="V91" s="37"/>
      <c r="W91" s="42"/>
      <c r="X91" s="41"/>
      <c r="Y91" s="54"/>
    </row>
    <row r="92" spans="4:25">
      <c r="D92" s="37"/>
      <c r="E92" s="37"/>
      <c r="F92" s="38"/>
      <c r="G92" s="37"/>
      <c r="H92" s="37"/>
      <c r="I92" s="37"/>
      <c r="J92" s="37"/>
      <c r="K92" s="37"/>
      <c r="L92" s="37"/>
      <c r="M92" s="37"/>
      <c r="N92" s="37"/>
      <c r="O92" s="37"/>
      <c r="P92" s="37"/>
      <c r="Q92" s="37"/>
      <c r="R92" s="37"/>
      <c r="S92" s="37"/>
      <c r="T92" s="37"/>
      <c r="U92" s="37"/>
      <c r="V92" s="37"/>
      <c r="W92" s="42"/>
      <c r="X92" s="41"/>
      <c r="Y92" s="54"/>
    </row>
    <row r="93" spans="4:25">
      <c r="D93" s="37"/>
      <c r="E93" s="37"/>
      <c r="F93" s="38"/>
      <c r="G93" s="37"/>
      <c r="H93" s="37"/>
      <c r="I93" s="37"/>
      <c r="J93" s="37"/>
      <c r="K93" s="37"/>
      <c r="L93" s="37"/>
      <c r="M93" s="37"/>
      <c r="N93" s="37"/>
      <c r="O93" s="37"/>
      <c r="P93" s="37"/>
      <c r="Q93" s="37"/>
      <c r="R93" s="37"/>
      <c r="S93" s="37"/>
      <c r="T93" s="37"/>
      <c r="U93" s="37"/>
      <c r="V93" s="37"/>
      <c r="W93" s="42"/>
      <c r="X93" s="41"/>
      <c r="Y93" s="54"/>
    </row>
    <row r="94" spans="4:25">
      <c r="D94" s="37"/>
      <c r="E94" s="37"/>
      <c r="F94" s="38"/>
      <c r="G94" s="37"/>
      <c r="H94" s="37"/>
      <c r="I94" s="37"/>
      <c r="J94" s="37"/>
      <c r="K94" s="37"/>
      <c r="L94" s="37"/>
      <c r="M94" s="37"/>
      <c r="P94" s="37"/>
      <c r="Q94" s="37"/>
      <c r="R94" s="37"/>
      <c r="S94" s="37"/>
      <c r="T94" s="37"/>
      <c r="U94" s="37"/>
      <c r="V94" s="37"/>
      <c r="W94" s="42"/>
      <c r="X94" s="41"/>
      <c r="Y94" s="54"/>
    </row>
    <row r="95" spans="4:25">
      <c r="D95" s="37"/>
      <c r="E95" s="37"/>
      <c r="F95" s="38"/>
      <c r="G95" s="37"/>
      <c r="H95" s="37"/>
      <c r="I95" s="37"/>
      <c r="J95" s="37"/>
      <c r="K95" s="37"/>
      <c r="L95" s="37"/>
      <c r="M95" s="37"/>
      <c r="P95" s="37"/>
      <c r="Q95" s="37"/>
      <c r="R95" s="37"/>
      <c r="S95" s="37"/>
      <c r="T95" s="37"/>
      <c r="U95" s="37"/>
      <c r="V95" s="37"/>
      <c r="W95" s="42"/>
      <c r="X95" s="41"/>
      <c r="Y95" s="54"/>
    </row>
    <row r="96" spans="4:25">
      <c r="D96" s="37"/>
      <c r="E96" s="37"/>
      <c r="P96" s="37"/>
      <c r="Q96" s="37"/>
      <c r="R96" s="37"/>
      <c r="S96" s="37"/>
      <c r="T96" s="37"/>
      <c r="U96" s="37"/>
      <c r="V96" s="37"/>
      <c r="W96" s="42"/>
      <c r="X96" s="41"/>
      <c r="Y96" s="54"/>
    </row>
    <row r="97" spans="4:25">
      <c r="D97" s="37"/>
      <c r="E97" s="37"/>
      <c r="P97" s="37"/>
      <c r="Q97" s="37"/>
      <c r="R97" s="37"/>
      <c r="S97" s="37"/>
      <c r="T97" s="37"/>
      <c r="U97" s="37"/>
      <c r="V97" s="37"/>
      <c r="W97" s="42"/>
      <c r="X97" s="41"/>
      <c r="Y97" s="54"/>
    </row>
    <row r="98" spans="4:25">
      <c r="D98" s="37"/>
      <c r="E98" s="37"/>
      <c r="P98" s="37"/>
      <c r="Q98" s="37"/>
      <c r="R98" s="37"/>
      <c r="S98" s="37"/>
      <c r="T98" s="37"/>
      <c r="U98" s="37"/>
      <c r="V98" s="37"/>
      <c r="W98" s="42"/>
      <c r="X98" s="41"/>
      <c r="Y98" s="54"/>
    </row>
    <row r="99" spans="4:25">
      <c r="E99" s="37"/>
      <c r="U99" s="37"/>
      <c r="V99" s="37"/>
      <c r="W99" s="42"/>
      <c r="X99" s="41"/>
      <c r="Y99" s="54"/>
    </row>
    <row r="100" spans="4:25">
      <c r="E100" s="37"/>
      <c r="U100" s="37"/>
      <c r="V100" s="37"/>
      <c r="W100" s="42"/>
      <c r="X100" s="41"/>
      <c r="Y100" s="54"/>
    </row>
    <row r="101" spans="4:25">
      <c r="U101" s="37"/>
      <c r="V101" s="37"/>
      <c r="W101" s="42"/>
      <c r="X101" s="41"/>
      <c r="Y101" s="54"/>
    </row>
    <row r="102" spans="4:25">
      <c r="U102" s="37"/>
      <c r="V102" s="37"/>
      <c r="W102" s="42"/>
      <c r="X102" s="41"/>
      <c r="Y102" s="54"/>
    </row>
    <row r="103" spans="4:25" ht="38.25" customHeight="1">
      <c r="U103" s="37"/>
      <c r="V103" s="37"/>
      <c r="W103" s="42"/>
      <c r="X103" s="41"/>
      <c r="Y103" s="54"/>
    </row>
    <row r="104" spans="4:25">
      <c r="N104" s="37"/>
      <c r="O104" s="37"/>
      <c r="U104" s="37"/>
      <c r="V104" s="37"/>
      <c r="W104" s="42"/>
      <c r="X104" s="41"/>
      <c r="Y104" s="54"/>
    </row>
    <row r="105" spans="4:25">
      <c r="N105" s="37"/>
      <c r="O105" s="37"/>
      <c r="U105" s="37"/>
      <c r="V105" s="37"/>
      <c r="W105" s="42"/>
      <c r="X105" s="41"/>
      <c r="Y105" s="54"/>
    </row>
    <row r="106" spans="4:25">
      <c r="G106" s="37"/>
      <c r="H106" s="37"/>
      <c r="I106" s="37"/>
      <c r="J106" s="37"/>
      <c r="K106" s="37"/>
      <c r="L106" s="37"/>
      <c r="M106" s="37"/>
      <c r="N106" s="37"/>
      <c r="O106" s="37"/>
      <c r="U106" s="37"/>
      <c r="V106" s="37"/>
      <c r="W106" s="42"/>
      <c r="X106" s="41"/>
      <c r="Y106" s="54"/>
    </row>
    <row r="107" spans="4:25" ht="14">
      <c r="E107" s="34"/>
      <c r="G107" s="37"/>
      <c r="H107" s="37"/>
      <c r="I107" s="37"/>
      <c r="J107" s="37"/>
      <c r="K107" s="37"/>
      <c r="L107" s="37"/>
      <c r="M107" s="37"/>
      <c r="N107" s="37"/>
      <c r="O107" s="37"/>
      <c r="U107" s="37"/>
      <c r="V107" s="37"/>
      <c r="W107" s="42"/>
      <c r="X107" s="41"/>
      <c r="Y107" s="54"/>
    </row>
    <row r="108" spans="4:25" ht="14">
      <c r="E108" s="34"/>
      <c r="G108" s="37"/>
      <c r="H108" s="37"/>
      <c r="I108" s="37"/>
      <c r="J108" s="37"/>
      <c r="K108" s="37"/>
      <c r="L108" s="37"/>
      <c r="M108" s="37"/>
      <c r="N108" s="37"/>
      <c r="O108" s="37"/>
      <c r="U108" s="37"/>
      <c r="V108" s="37"/>
      <c r="W108" s="42"/>
      <c r="X108" s="41"/>
      <c r="Y108" s="54"/>
    </row>
    <row r="109" spans="4:25">
      <c r="E109" s="68"/>
      <c r="G109" s="37"/>
      <c r="H109" s="37"/>
      <c r="I109" s="37"/>
      <c r="J109" s="37"/>
      <c r="K109" s="37"/>
      <c r="L109" s="37"/>
      <c r="M109" s="37"/>
      <c r="P109" s="37"/>
      <c r="Q109" s="37"/>
      <c r="R109" s="37"/>
      <c r="S109" s="37"/>
      <c r="T109" s="37"/>
      <c r="U109" s="37"/>
      <c r="V109" s="37"/>
      <c r="W109" s="42"/>
    </row>
    <row r="110" spans="4:25">
      <c r="E110" s="68"/>
      <c r="L110" s="37"/>
      <c r="M110" s="37"/>
      <c r="P110" s="37"/>
      <c r="V110" s="37"/>
      <c r="W110" s="42"/>
    </row>
    <row r="111" spans="4:25">
      <c r="P111" s="37"/>
      <c r="V111" s="37"/>
      <c r="W111" s="42"/>
    </row>
    <row r="112" spans="4:25">
      <c r="W112" s="42"/>
    </row>
    <row r="113" spans="23:23">
      <c r="W113" s="42"/>
    </row>
  </sheetData>
  <sheetProtection selectLockedCells="1"/>
  <mergeCells count="65">
    <mergeCell ref="A2:A35"/>
    <mergeCell ref="B2:C3"/>
    <mergeCell ref="Q32:T32"/>
    <mergeCell ref="Q33:T33"/>
    <mergeCell ref="Q31:T31"/>
    <mergeCell ref="F2:K3"/>
    <mergeCell ref="Q2:U3"/>
    <mergeCell ref="F4:L6"/>
    <mergeCell ref="I7:L7"/>
    <mergeCell ref="Q4:V6"/>
    <mergeCell ref="Q26:T26"/>
    <mergeCell ref="U24:U25"/>
    <mergeCell ref="Q24:T25"/>
    <mergeCell ref="I9:J9"/>
    <mergeCell ref="Q8:T8"/>
    <mergeCell ref="Q10:T10"/>
    <mergeCell ref="D72:D74"/>
    <mergeCell ref="K27:K28"/>
    <mergeCell ref="F27:J28"/>
    <mergeCell ref="F23:L23"/>
    <mergeCell ref="F33:L33"/>
    <mergeCell ref="F29:J30"/>
    <mergeCell ref="F34:J34"/>
    <mergeCell ref="L68:L69"/>
    <mergeCell ref="F35:J35"/>
    <mergeCell ref="F25:J26"/>
    <mergeCell ref="K25:K26"/>
    <mergeCell ref="F24:J24"/>
    <mergeCell ref="F39:J40"/>
    <mergeCell ref="Q9:U9"/>
    <mergeCell ref="Q7:V7"/>
    <mergeCell ref="F7:H7"/>
    <mergeCell ref="I8:J8"/>
    <mergeCell ref="F10:H10"/>
    <mergeCell ref="I10:L10"/>
    <mergeCell ref="Q39:T39"/>
    <mergeCell ref="F36:J36"/>
    <mergeCell ref="F32:J32"/>
    <mergeCell ref="P36:W37"/>
    <mergeCell ref="P29:W30"/>
    <mergeCell ref="E37:M38"/>
    <mergeCell ref="B31:C31"/>
    <mergeCell ref="F31:J31"/>
    <mergeCell ref="L16:L17"/>
    <mergeCell ref="V22:V23"/>
    <mergeCell ref="Q38:T38"/>
    <mergeCell ref="K16:K17"/>
    <mergeCell ref="Q22:T23"/>
    <mergeCell ref="U22:U23"/>
    <mergeCell ref="Q19:V21"/>
    <mergeCell ref="U16:U17"/>
    <mergeCell ref="V16:V17"/>
    <mergeCell ref="Q16:T17"/>
    <mergeCell ref="B15:C20"/>
    <mergeCell ref="B22:C22"/>
    <mergeCell ref="Q12:V12"/>
    <mergeCell ref="Q11:V11"/>
    <mergeCell ref="B25:C28"/>
    <mergeCell ref="Q13:T13"/>
    <mergeCell ref="Q15:V15"/>
    <mergeCell ref="I11:J11"/>
    <mergeCell ref="J16:J17"/>
    <mergeCell ref="F16:G17"/>
    <mergeCell ref="F14:L15"/>
    <mergeCell ref="Q14:V14"/>
  </mergeCells>
  <phoneticPr fontId="3" type="noConversion"/>
  <conditionalFormatting sqref="Q4:V7 Q8:T8 V13 Q11:V12 Q13:T13">
    <cfRule type="expression" dxfId="101" priority="74" stopIfTrue="1">
      <formula>$S$42+$S$43+$T$42=1</formula>
    </cfRule>
    <cfRule type="expression" dxfId="100" priority="75" stopIfTrue="1">
      <formula>$S$42+$S$43+$T$42=3</formula>
    </cfRule>
  </conditionalFormatting>
  <conditionalFormatting sqref="L16:L17 V31:V33 H8 L8 L35 H11 L24">
    <cfRule type="expression" dxfId="99" priority="63" stopIfTrue="1">
      <formula>$S$42=1</formula>
    </cfRule>
  </conditionalFormatting>
  <conditionalFormatting sqref="T42 S35 S41:S43">
    <cfRule type="expression" dxfId="98" priority="64" stopIfTrue="1">
      <formula>$S$42=1</formula>
    </cfRule>
  </conditionalFormatting>
  <conditionalFormatting sqref="E68">
    <cfRule type="cellIs" dxfId="97" priority="65" stopIfTrue="1" operator="notEqual">
      <formula>0</formula>
    </cfRule>
  </conditionalFormatting>
  <conditionalFormatting sqref="F33:L33 F23:L23 E37">
    <cfRule type="expression" dxfId="96" priority="66" stopIfTrue="1">
      <formula>$S$42=1</formula>
    </cfRule>
  </conditionalFormatting>
  <conditionalFormatting sqref="Q19:V21 Q22:T26">
    <cfRule type="expression" dxfId="95" priority="67" stopIfTrue="1">
      <formula>$S$42+$S$43=1</formula>
    </cfRule>
    <cfRule type="expression" dxfId="94" priority="68" stopIfTrue="1">
      <formula>$S$42+$S$43=2</formula>
    </cfRule>
  </conditionalFormatting>
  <conditionalFormatting sqref="U22:U26 V24:V25">
    <cfRule type="expression" dxfId="93" priority="69" stopIfTrue="1">
      <formula>$S$42+$S$43=2</formula>
    </cfRule>
  </conditionalFormatting>
  <conditionalFormatting sqref="Q9:V10 Q10:T10">
    <cfRule type="expression" dxfId="92" priority="76" stopIfTrue="1">
      <formula>$S$42+$T$42+$S$43=3</formula>
    </cfRule>
  </conditionalFormatting>
  <conditionalFormatting sqref="V26">
    <cfRule type="expression" dxfId="91" priority="73" stopIfTrue="1">
      <formula>$S$42+$T$42=2</formula>
    </cfRule>
  </conditionalFormatting>
  <conditionalFormatting sqref="V8">
    <cfRule type="expression" dxfId="90" priority="77" stopIfTrue="1">
      <formula>$S$42+$S$43+$T$42=1</formula>
    </cfRule>
    <cfRule type="expression" dxfId="89" priority="92" stopIfTrue="1">
      <formula>$S$42+$S$43+$T$42=3</formula>
    </cfRule>
  </conditionalFormatting>
  <conditionalFormatting sqref="F31:J32 G18:J19">
    <cfRule type="expression" dxfId="88" priority="89" stopIfTrue="1">
      <formula>$S$42=1</formula>
    </cfRule>
  </conditionalFormatting>
  <conditionalFormatting sqref="V22:V23">
    <cfRule type="expression" dxfId="87" priority="80" stopIfTrue="1">
      <formula>$S$42+$S$43=1</formula>
    </cfRule>
    <cfRule type="expression" dxfId="86" priority="81" stopIfTrue="1">
      <formula>$S$42+$S$43=2</formula>
    </cfRule>
  </conditionalFormatting>
  <conditionalFormatting sqref="U40 V38:W40 P38:T40">
    <cfRule type="expression" dxfId="85" priority="82" stopIfTrue="1">
      <formula>$S$42+$T$42+$S$43=0</formula>
    </cfRule>
  </conditionalFormatting>
  <conditionalFormatting sqref="F36:L36">
    <cfRule type="expression" dxfId="84" priority="83" stopIfTrue="1">
      <formula>$S$42+$S$43+$T$42=0</formula>
    </cfRule>
  </conditionalFormatting>
  <conditionalFormatting sqref="U38:U39">
    <cfRule type="expression" dxfId="83" priority="84" stopIfTrue="1">
      <formula>$S$42+$T$42+$S$43=0</formula>
    </cfRule>
  </conditionalFormatting>
  <conditionalFormatting sqref="B11:B12">
    <cfRule type="expression" dxfId="82" priority="85" stopIfTrue="1">
      <formula>$S$42=1</formula>
    </cfRule>
  </conditionalFormatting>
  <conditionalFormatting sqref="C11:C12">
    <cfRule type="expression" dxfId="81" priority="86" stopIfTrue="1">
      <formula>$S$42=1</formula>
    </cfRule>
  </conditionalFormatting>
  <conditionalFormatting sqref="B13">
    <cfRule type="expression" dxfId="80" priority="87" stopIfTrue="1">
      <formula>$S$42=1</formula>
    </cfRule>
  </conditionalFormatting>
  <conditionalFormatting sqref="C13">
    <cfRule type="expression" dxfId="79" priority="88" stopIfTrue="1">
      <formula>$S$42=1</formula>
    </cfRule>
  </conditionalFormatting>
  <conditionalFormatting sqref="B29:C30 S31:S34 T43:W43 W31:W35 T31:T35 U42:W42 I1:J9 P29:T30 K34:L34 P1:P28 Q1:V3 W1:W13 K1:L7 G1:H7 K9:L9 Y1:AC67 K30 F25:J30 L25:L30 Q18:V18 A1:A37 B1:C9 Q27:V28 X1:X43 N38:O38 A38:D43 C23:C24 F34:J35 B33:C37 U34:V35 B23:B25 P31:R35 A44:X67 G10 H9:H10 P41:R43 T41:W41 F1:F12 H16:H17 G12:L13 F13:L13 F18:L22 B21:C21 B14:C14 B15 F16 F14 W15:W28 M1:N36 D1:E37 N37 E39:J39 E41:N43 E40 M39:N40">
    <cfRule type="expression" dxfId="78" priority="79" stopIfTrue="1">
      <formula>$S$42=1</formula>
    </cfRule>
  </conditionalFormatting>
  <conditionalFormatting sqref="B31:C32">
    <cfRule type="expression" dxfId="77" priority="90" stopIfTrue="1">
      <formula>$S$42=1</formula>
    </cfRule>
  </conditionalFormatting>
  <conditionalFormatting sqref="U10">
    <cfRule type="expression" dxfId="76" priority="27">
      <formula>$S$35=FALSE</formula>
    </cfRule>
    <cfRule type="expression" dxfId="75" priority="105" stopIfTrue="1">
      <formula>$S$42+$T$42+$S$43=3</formula>
    </cfRule>
  </conditionalFormatting>
  <conditionalFormatting sqref="B10:C10">
    <cfRule type="expression" dxfId="74" priority="94" stopIfTrue="1">
      <formula>$S$42=1</formula>
    </cfRule>
  </conditionalFormatting>
  <conditionalFormatting sqref="Q15:V15">
    <cfRule type="expression" dxfId="73" priority="95" stopIfTrue="1">
      <formula>$S$42=0</formula>
    </cfRule>
    <cfRule type="expression" dxfId="72" priority="96" stopIfTrue="1">
      <formula>$S$42+$S$43+$T$42=1</formula>
    </cfRule>
  </conditionalFormatting>
  <conditionalFormatting sqref="Q16:V17">
    <cfRule type="expression" dxfId="71" priority="97" stopIfTrue="1">
      <formula>$S$42=0</formula>
    </cfRule>
    <cfRule type="expression" dxfId="70" priority="98" stopIfTrue="1">
      <formula>$S$42+$S$43+$T$42=1</formula>
    </cfRule>
  </conditionalFormatting>
  <conditionalFormatting sqref="K32">
    <cfRule type="expression" dxfId="69" priority="99" stopIfTrue="1">
      <formula>$S$42=0</formula>
    </cfRule>
  </conditionalFormatting>
  <conditionalFormatting sqref="L31:L32">
    <cfRule type="expression" dxfId="68" priority="100" stopIfTrue="1">
      <formula>$S$42=0</formula>
    </cfRule>
  </conditionalFormatting>
  <conditionalFormatting sqref="K31">
    <cfRule type="expression" dxfId="67" priority="101" stopIfTrue="1">
      <formula>$S$42=0</formula>
    </cfRule>
  </conditionalFormatting>
  <conditionalFormatting sqref="J16:J17">
    <cfRule type="expression" dxfId="66" priority="49" stopIfTrue="1">
      <formula>$S$42=1</formula>
    </cfRule>
  </conditionalFormatting>
  <conditionalFormatting sqref="F16:F17">
    <cfRule type="expression" dxfId="65" priority="48" stopIfTrue="1">
      <formula>$S$42=1</formula>
    </cfRule>
  </conditionalFormatting>
  <conditionalFormatting sqref="Q8:V8">
    <cfRule type="expression" dxfId="64" priority="71">
      <formula>AND($S$42=1,$T$42=1,$S$43=1)</formula>
    </cfRule>
  </conditionalFormatting>
  <conditionalFormatting sqref="Q11:V11">
    <cfRule type="expression" dxfId="63" priority="33">
      <formula>AND($S$42=1,$S$43=0,$T$42=1)</formula>
    </cfRule>
    <cfRule type="expression" dxfId="62" priority="62">
      <formula>AND($S$42=1,$T$42=1,$S$43=1)</formula>
    </cfRule>
  </conditionalFormatting>
  <conditionalFormatting sqref="Q4:V13">
    <cfRule type="expression" dxfId="61" priority="40">
      <formula>AND($S$42=1,$S$43=0,$T$42=1)</formula>
    </cfRule>
  </conditionalFormatting>
  <conditionalFormatting sqref="Q9:V9">
    <cfRule type="expression" dxfId="60" priority="61">
      <formula>AND($S$42=1,$S$43=0,$T$42=0)</formula>
    </cfRule>
  </conditionalFormatting>
  <conditionalFormatting sqref="V10">
    <cfRule type="expression" dxfId="59" priority="60">
      <formula>AND($S$42=1,$S$43=0,$T$42=0)</formula>
    </cfRule>
  </conditionalFormatting>
  <conditionalFormatting sqref="Q10:T10">
    <cfRule type="expression" dxfId="58" priority="35">
      <formula>AND($S$42=1,$S$43=0,$T$42=1)</formula>
    </cfRule>
    <cfRule type="expression" dxfId="57" priority="47">
      <formula>AND($S$42=1,$S$43=0,$T$42=0)</formula>
    </cfRule>
  </conditionalFormatting>
  <conditionalFormatting sqref="Q4:V6">
    <cfRule type="expression" dxfId="56" priority="39">
      <formula>AND($S$42=1,$S$43=0,$T$42=1)</formula>
    </cfRule>
  </conditionalFormatting>
  <conditionalFormatting sqref="Q7:V7">
    <cfRule type="expression" dxfId="55" priority="38">
      <formula>AND($S$42=1,$S$43=0,$T$42=1)</formula>
    </cfRule>
  </conditionalFormatting>
  <conditionalFormatting sqref="Q8:T8">
    <cfRule type="expression" dxfId="54" priority="37">
      <formula>AND($S$42=1,$S$43=0,$T$42=1)</formula>
    </cfRule>
  </conditionalFormatting>
  <conditionalFormatting sqref="Q9:U9">
    <cfRule type="expression" dxfId="53" priority="34">
      <formula>AND($S$42=1,$S$43=0,$T$42=1)</formula>
    </cfRule>
  </conditionalFormatting>
  <conditionalFormatting sqref="Q12:V12">
    <cfRule type="expression" dxfId="52" priority="32">
      <formula>AND($S$42=1,$S$43=0,$T$42=1)</formula>
    </cfRule>
  </conditionalFormatting>
  <conditionalFormatting sqref="Q13:T13">
    <cfRule type="expression" dxfId="51" priority="31">
      <formula>AND($S$42=1,$S$43=0,$T$42=1)</formula>
    </cfRule>
  </conditionalFormatting>
  <conditionalFormatting sqref="V8:V10">
    <cfRule type="expression" dxfId="50" priority="30">
      <formula>AND($S$42=1,$S$43=0,$T$42=1)</formula>
    </cfRule>
  </conditionalFormatting>
  <conditionalFormatting sqref="V13">
    <cfRule type="expression" dxfId="49" priority="29">
      <formula>AND($S$42=1,$S$43=0,$T$42=1)</formula>
    </cfRule>
  </conditionalFormatting>
  <conditionalFormatting sqref="B22">
    <cfRule type="expression" dxfId="48" priority="26" stopIfTrue="1">
      <formula>$S$42=1</formula>
    </cfRule>
  </conditionalFormatting>
  <conditionalFormatting sqref="Q14:V14">
    <cfRule type="expression" dxfId="47" priority="16">
      <formula>AND($S$42=1,$T$42=1,$S$43=0)</formula>
    </cfRule>
    <cfRule type="expression" dxfId="46" priority="17">
      <formula>$S$42+$T$42=2</formula>
    </cfRule>
    <cfRule type="expression" dxfId="45" priority="19" stopIfTrue="1">
      <formula>$S$42=0</formula>
    </cfRule>
    <cfRule type="expression" dxfId="44" priority="20" stopIfTrue="1">
      <formula>$S$42+$S$43+$T$42=1</formula>
    </cfRule>
  </conditionalFormatting>
  <conditionalFormatting sqref="W14">
    <cfRule type="expression" dxfId="43" priority="18" stopIfTrue="1">
      <formula>$S$42=1</formula>
    </cfRule>
  </conditionalFormatting>
  <conditionalFormatting sqref="T37">
    <cfRule type="expression" dxfId="42" priority="14" stopIfTrue="1">
      <formula>$S$42=1</formula>
    </cfRule>
  </conditionalFormatting>
  <conditionalFormatting sqref="P36:W37">
    <cfRule type="expression" dxfId="41" priority="13">
      <formula>$S$42=0</formula>
    </cfRule>
  </conditionalFormatting>
  <conditionalFormatting sqref="I11">
    <cfRule type="expression" dxfId="40" priority="12" stopIfTrue="1">
      <formula>$S$42=1</formula>
    </cfRule>
  </conditionalFormatting>
  <conditionalFormatting sqref="I10:K10">
    <cfRule type="expression" dxfId="39" priority="9" stopIfTrue="1">
      <formula>$S$42=1</formula>
    </cfRule>
  </conditionalFormatting>
  <conditionalFormatting sqref="L11">
    <cfRule type="expression" dxfId="38" priority="8" stopIfTrue="1">
      <formula>$S$42=1</formula>
    </cfRule>
  </conditionalFormatting>
  <conditionalFormatting sqref="F24:J24">
    <cfRule type="expression" dxfId="37" priority="7" stopIfTrue="1">
      <formula>$S$42=1</formula>
    </cfRule>
  </conditionalFormatting>
  <conditionalFormatting sqref="K39:L40">
    <cfRule type="expression" dxfId="36" priority="1" stopIfTrue="1">
      <formula>$S$42=0</formula>
    </cfRule>
  </conditionalFormatting>
  <dataValidations count="2">
    <dataValidation type="decimal" allowBlank="1" showInputMessage="1" showErrorMessage="1" sqref="K29:K30" xr:uid="{00000000-0002-0000-0000-000000000000}">
      <formula1>0</formula1>
      <formula2>1</formula2>
    </dataValidation>
    <dataValidation allowBlank="1" showInputMessage="1" showErrorMessage="1" prompt="Este parámetro de la IS es la sensibilidad del gasto agregado al tipo de interés real" sqref="D71 E73" xr:uid="{00000000-0002-0000-0000-000001000000}"/>
  </dataValidations>
  <pageMargins left="0.75" right="0.75" top="1" bottom="1" header="0" footer="0"/>
  <pageSetup paperSize="9" orientation="portrait" horizontalDpi="300" verticalDpi="300" r:id="rId1"/>
  <headerFooter alignWithMargins="0"/>
  <cellWatches>
    <cellWatch r="Q26"/>
  </cellWatches>
  <drawing r:id="rId2"/>
  <legacyDrawing r:id="rId3"/>
  <mc:AlternateContent xmlns:mc="http://schemas.openxmlformats.org/markup-compatibility/2006">
    <mc:Choice Requires="x14">
      <controls>
        <mc:AlternateContent xmlns:mc="http://schemas.openxmlformats.org/markup-compatibility/2006">
          <mc:Choice Requires="x14">
            <control shapeId="2083" r:id="rId4" name="Drop Down 35">
              <controlPr locked="0" defaultSize="0" autoLine="0" autoPict="0" macro="[0]!control_hysteresis_growth">
                <anchor moveWithCells="1">
                  <from>
                    <xdr:col>10</xdr:col>
                    <xdr:colOff>0</xdr:colOff>
                    <xdr:row>33</xdr:row>
                    <xdr:rowOff>0</xdr:rowOff>
                  </from>
                  <to>
                    <xdr:col>12</xdr:col>
                    <xdr:colOff>0</xdr:colOff>
                    <xdr:row>34</xdr:row>
                    <xdr:rowOff>0</xdr:rowOff>
                  </to>
                </anchor>
              </controlPr>
            </control>
          </mc:Choice>
        </mc:AlternateContent>
        <mc:AlternateContent xmlns:mc="http://schemas.openxmlformats.org/markup-compatibility/2006">
          <mc:Choice Requires="x14">
            <control shapeId="2094" r:id="rId5" name="Scroll Bar 46">
              <controlPr defaultSize="0" autoPict="0">
                <anchor moveWithCells="1">
                  <from>
                    <xdr:col>10</xdr:col>
                    <xdr:colOff>12700</xdr:colOff>
                    <xdr:row>29</xdr:row>
                    <xdr:rowOff>0</xdr:rowOff>
                  </from>
                  <to>
                    <xdr:col>10</xdr:col>
                    <xdr:colOff>571500</xdr:colOff>
                    <xdr:row>29</xdr:row>
                    <xdr:rowOff>171450</xdr:rowOff>
                  </to>
                </anchor>
              </controlPr>
            </control>
          </mc:Choice>
        </mc:AlternateContent>
        <mc:AlternateContent xmlns:mc="http://schemas.openxmlformats.org/markup-compatibility/2006">
          <mc:Choice Requires="x14">
            <control shapeId="2115" r:id="rId6" name="permanency_supply">
              <controlPr defaultSize="0" autoLine="0" autoPict="0" macro="[0]!macrotempsupply">
                <anchor moveWithCells="1">
                  <from>
                    <xdr:col>6</xdr:col>
                    <xdr:colOff>12700</xdr:colOff>
                    <xdr:row>8</xdr:row>
                    <xdr:rowOff>12700</xdr:rowOff>
                  </from>
                  <to>
                    <xdr:col>7</xdr:col>
                    <xdr:colOff>304800</xdr:colOff>
                    <xdr:row>9</xdr:row>
                    <xdr:rowOff>0</xdr:rowOff>
                  </to>
                </anchor>
              </controlPr>
            </control>
          </mc:Choice>
        </mc:AlternateContent>
        <mc:AlternateContent xmlns:mc="http://schemas.openxmlformats.org/markup-compatibility/2006">
          <mc:Choice Requires="x14">
            <control shapeId="2116" r:id="rId7" name="Drop Down 68">
              <controlPr defaultSize="0" autoLine="0" autoPict="0">
                <anchor moveWithCells="1">
                  <from>
                    <xdr:col>10</xdr:col>
                    <xdr:colOff>12700</xdr:colOff>
                    <xdr:row>8</xdr:row>
                    <xdr:rowOff>12700</xdr:rowOff>
                  </from>
                  <to>
                    <xdr:col>11</xdr:col>
                    <xdr:colOff>304800</xdr:colOff>
                    <xdr:row>9</xdr:row>
                    <xdr:rowOff>0</xdr:rowOff>
                  </to>
                </anchor>
              </controlPr>
            </control>
          </mc:Choice>
        </mc:AlternateContent>
        <mc:AlternateContent xmlns:mc="http://schemas.openxmlformats.org/markup-compatibility/2006">
          <mc:Choice Requires="x14">
            <control shapeId="2117" r:id="rId8" name="Button 69">
              <controlPr defaultSize="0" print="0" autoFill="0" autoPict="0" macro="[0]!go_figures_inflation_income_rates">
                <anchor moveWithCells="1" sizeWithCells="1">
                  <from>
                    <xdr:col>1</xdr:col>
                    <xdr:colOff>76200</xdr:colOff>
                    <xdr:row>6</xdr:row>
                    <xdr:rowOff>88900</xdr:rowOff>
                  </from>
                  <to>
                    <xdr:col>2</xdr:col>
                    <xdr:colOff>793750</xdr:colOff>
                    <xdr:row>8</xdr:row>
                    <xdr:rowOff>107950</xdr:rowOff>
                  </to>
                </anchor>
              </controlPr>
            </control>
          </mc:Choice>
        </mc:AlternateContent>
        <mc:AlternateContent xmlns:mc="http://schemas.openxmlformats.org/markup-compatibility/2006">
          <mc:Choice Requires="x14">
            <control shapeId="2118" r:id="rId9" name="Button 70">
              <controlPr defaultSize="0" print="0" autoFill="0" autoPict="0" macro="[0]!go_figures_public_finance">
                <anchor moveWithCells="1" sizeWithCells="1">
                  <from>
                    <xdr:col>1</xdr:col>
                    <xdr:colOff>69850</xdr:colOff>
                    <xdr:row>8</xdr:row>
                    <xdr:rowOff>228600</xdr:rowOff>
                  </from>
                  <to>
                    <xdr:col>2</xdr:col>
                    <xdr:colOff>781050</xdr:colOff>
                    <xdr:row>9</xdr:row>
                    <xdr:rowOff>323850</xdr:rowOff>
                  </to>
                </anchor>
              </controlPr>
            </control>
          </mc:Choice>
        </mc:AlternateContent>
        <mc:AlternateContent xmlns:mc="http://schemas.openxmlformats.org/markup-compatibility/2006">
          <mc:Choice Requires="x14">
            <control shapeId="2120" r:id="rId10" name="Button 72">
              <controlPr defaultSize="0" print="0" autoFill="0" autoPict="0" macro="[0]!go_numerical_results">
                <anchor moveWithCells="1" sizeWithCells="1">
                  <from>
                    <xdr:col>1</xdr:col>
                    <xdr:colOff>76200</xdr:colOff>
                    <xdr:row>3</xdr:row>
                    <xdr:rowOff>76200</xdr:rowOff>
                  </from>
                  <to>
                    <xdr:col>2</xdr:col>
                    <xdr:colOff>793750</xdr:colOff>
                    <xdr:row>5</xdr:row>
                    <xdr:rowOff>12700</xdr:rowOff>
                  </to>
                </anchor>
              </controlPr>
            </control>
          </mc:Choice>
        </mc:AlternateContent>
        <mc:AlternateContent xmlns:mc="http://schemas.openxmlformats.org/markup-compatibility/2006">
          <mc:Choice Requires="x14">
            <control shapeId="2137" r:id="rId11" name="Button 89">
              <controlPr defaultSize="0" print="0" autoFill="0" autoPict="0" macro="[0]!Reset_to_baseline">
                <anchor moveWithCells="1" sizeWithCells="1">
                  <from>
                    <xdr:col>1</xdr:col>
                    <xdr:colOff>57150</xdr:colOff>
                    <xdr:row>27</xdr:row>
                    <xdr:rowOff>171450</xdr:rowOff>
                  </from>
                  <to>
                    <xdr:col>2</xdr:col>
                    <xdr:colOff>781050</xdr:colOff>
                    <xdr:row>28</xdr:row>
                    <xdr:rowOff>190500</xdr:rowOff>
                  </to>
                </anchor>
              </controlPr>
            </control>
          </mc:Choice>
        </mc:AlternateContent>
        <mc:AlternateContent xmlns:mc="http://schemas.openxmlformats.org/markup-compatibility/2006">
          <mc:Choice Requires="x14">
            <control shapeId="2138" r:id="rId12" name="Button 90">
              <controlPr defaultSize="0" print="0" autoFill="0" autoPict="0" macro="[0]!compare_results">
                <anchor moveWithCells="1" sizeWithCells="1">
                  <from>
                    <xdr:col>1</xdr:col>
                    <xdr:colOff>50800</xdr:colOff>
                    <xdr:row>21</xdr:row>
                    <xdr:rowOff>31750</xdr:rowOff>
                  </from>
                  <to>
                    <xdr:col>2</xdr:col>
                    <xdr:colOff>774700</xdr:colOff>
                    <xdr:row>22</xdr:row>
                    <xdr:rowOff>69850</xdr:rowOff>
                  </to>
                </anchor>
              </controlPr>
            </control>
          </mc:Choice>
        </mc:AlternateContent>
        <mc:AlternateContent xmlns:mc="http://schemas.openxmlformats.org/markup-compatibility/2006">
          <mc:Choice Requires="x14">
            <control shapeId="2140" r:id="rId13" name="Button 92">
              <controlPr defaultSize="0" print="0" autoFill="0" autoPict="0" macro="[0]!go_to_saved_data">
                <anchor moveWithCells="1" sizeWithCells="1">
                  <from>
                    <xdr:col>1</xdr:col>
                    <xdr:colOff>50800</xdr:colOff>
                    <xdr:row>22</xdr:row>
                    <xdr:rowOff>133350</xdr:rowOff>
                  </from>
                  <to>
                    <xdr:col>2</xdr:col>
                    <xdr:colOff>774700</xdr:colOff>
                    <xdr:row>22</xdr:row>
                    <xdr:rowOff>323850</xdr:rowOff>
                  </to>
                </anchor>
              </controlPr>
            </control>
          </mc:Choice>
        </mc:AlternateContent>
        <mc:AlternateContent xmlns:mc="http://schemas.openxmlformats.org/markup-compatibility/2006">
          <mc:Choice Requires="x14">
            <control shapeId="2163" r:id="rId14" name="Drop Down 115">
              <controlPr defaultSize="0" autoLine="0" autoPict="0" macro="[0]!control_hysteresis_random">
                <anchor moveWithCells="1">
                  <from>
                    <xdr:col>7</xdr:col>
                    <xdr:colOff>69850</xdr:colOff>
                    <xdr:row>15</xdr:row>
                    <xdr:rowOff>0</xdr:rowOff>
                  </from>
                  <to>
                    <xdr:col>9</xdr:col>
                    <xdr:colOff>12700</xdr:colOff>
                    <xdr:row>17</xdr:row>
                    <xdr:rowOff>12700</xdr:rowOff>
                  </to>
                </anchor>
              </controlPr>
            </control>
          </mc:Choice>
        </mc:AlternateContent>
        <mc:AlternateContent xmlns:mc="http://schemas.openxmlformats.org/markup-compatibility/2006">
          <mc:Choice Requires="x14">
            <control shapeId="62754" r:id="rId15" name="Button 1314">
              <controlPr defaultSize="0" print="0" autoFill="0" autoPict="0" macro="[0]!go_exrate_figures">
                <anchor moveWithCells="1" sizeWithCells="1">
                  <from>
                    <xdr:col>1</xdr:col>
                    <xdr:colOff>69850</xdr:colOff>
                    <xdr:row>10</xdr:row>
                    <xdr:rowOff>69850</xdr:rowOff>
                  </from>
                  <to>
                    <xdr:col>2</xdr:col>
                    <xdr:colOff>793750</xdr:colOff>
                    <xdr:row>12</xdr:row>
                    <xdr:rowOff>107950</xdr:rowOff>
                  </to>
                </anchor>
              </controlPr>
            </control>
          </mc:Choice>
        </mc:AlternateContent>
        <mc:AlternateContent xmlns:mc="http://schemas.openxmlformats.org/markup-compatibility/2006">
          <mc:Choice Requires="x14">
            <control shapeId="62918" r:id="rId16" name="Button 1478">
              <controlPr defaultSize="0" print="0" autoFill="0" autoPict="0" macro="[0]!go_apply_own_policy">
                <anchor moveWithCells="1" sizeWithCells="1">
                  <from>
                    <xdr:col>1</xdr:col>
                    <xdr:colOff>76200</xdr:colOff>
                    <xdr:row>31</xdr:row>
                    <xdr:rowOff>50800</xdr:rowOff>
                  </from>
                  <to>
                    <xdr:col>2</xdr:col>
                    <xdr:colOff>793750</xdr:colOff>
                    <xdr:row>31</xdr:row>
                    <xdr:rowOff>260350</xdr:rowOff>
                  </to>
                </anchor>
              </controlPr>
            </control>
          </mc:Choice>
        </mc:AlternateContent>
        <mc:AlternateContent xmlns:mc="http://schemas.openxmlformats.org/markup-compatibility/2006">
          <mc:Choice Requires="x14">
            <control shapeId="63001" r:id="rId17" name="Button 1561">
              <controlPr defaultSize="0" print="0" autoFill="0" autoPict="0" macro="[0]!change_simulator_version">
                <anchor moveWithCells="1" sizeWithCells="1">
                  <from>
                    <xdr:col>1</xdr:col>
                    <xdr:colOff>38100</xdr:colOff>
                    <xdr:row>33</xdr:row>
                    <xdr:rowOff>57150</xdr:rowOff>
                  </from>
                  <to>
                    <xdr:col>2</xdr:col>
                    <xdr:colOff>812800</xdr:colOff>
                    <xdr:row>35</xdr:row>
                    <xdr:rowOff>38100</xdr:rowOff>
                  </to>
                </anchor>
              </controlPr>
            </control>
          </mc:Choice>
        </mc:AlternateContent>
        <mc:AlternateContent xmlns:mc="http://schemas.openxmlformats.org/markup-compatibility/2006">
          <mc:Choice Requires="x14">
            <control shapeId="63002" r:id="rId18" name="Button 1562">
              <controlPr defaultSize="0" print="0" autoFill="0" autoPict="0" macro="[0]!save_close">
                <anchor moveWithCells="1" sizeWithCells="1">
                  <from>
                    <xdr:col>1</xdr:col>
                    <xdr:colOff>57150</xdr:colOff>
                    <xdr:row>35</xdr:row>
                    <xdr:rowOff>127000</xdr:rowOff>
                  </from>
                  <to>
                    <xdr:col>2</xdr:col>
                    <xdr:colOff>812800</xdr:colOff>
                    <xdr:row>37</xdr:row>
                    <xdr:rowOff>57150</xdr:rowOff>
                  </to>
                </anchor>
              </controlPr>
            </control>
          </mc:Choice>
        </mc:AlternateContent>
        <mc:AlternateContent xmlns:mc="http://schemas.openxmlformats.org/markup-compatibility/2006">
          <mc:Choice Requires="x14">
            <control shapeId="63080" r:id="rId19" name="Check Box 1640">
              <controlPr defaultSize="0" autoFill="0" autoLine="0" autoPict="0">
                <anchor moveWithCells="1">
                  <from>
                    <xdr:col>20</xdr:col>
                    <xdr:colOff>127000</xdr:colOff>
                    <xdr:row>7</xdr:row>
                    <xdr:rowOff>254000</xdr:rowOff>
                  </from>
                  <to>
                    <xdr:col>20</xdr:col>
                    <xdr:colOff>488950</xdr:colOff>
                    <xdr:row>9</xdr:row>
                    <xdr:rowOff>19050</xdr:rowOff>
                  </to>
                </anchor>
              </controlPr>
            </control>
          </mc:Choice>
        </mc:AlternateContent>
        <mc:AlternateContent xmlns:mc="http://schemas.openxmlformats.org/markup-compatibility/2006">
          <mc:Choice Requires="x14">
            <control shapeId="81929" r:id="rId20" name="Drop Down 2057">
              <controlPr defaultSize="0" autoLine="0" autoPict="0">
                <anchor moveWithCells="1">
                  <from>
                    <xdr:col>20</xdr:col>
                    <xdr:colOff>0</xdr:colOff>
                    <xdr:row>23</xdr:row>
                    <xdr:rowOff>0</xdr:rowOff>
                  </from>
                  <to>
                    <xdr:col>22</xdr:col>
                    <xdr:colOff>19050</xdr:colOff>
                    <xdr:row>24</xdr:row>
                    <xdr:rowOff>184150</xdr:rowOff>
                  </to>
                </anchor>
              </controlPr>
            </control>
          </mc:Choice>
        </mc:AlternateContent>
        <mc:AlternateContent xmlns:mc="http://schemas.openxmlformats.org/markup-compatibility/2006">
          <mc:Choice Requires="x14">
            <control shapeId="81936" r:id="rId21" name="Drop Down 2064">
              <controlPr defaultSize="0" autoLine="0" autoPict="0">
                <anchor moveWithCells="1">
                  <from>
                    <xdr:col>20</xdr:col>
                    <xdr:colOff>0</xdr:colOff>
                    <xdr:row>25</xdr:row>
                    <xdr:rowOff>0</xdr:rowOff>
                  </from>
                  <to>
                    <xdr:col>22</xdr:col>
                    <xdr:colOff>19050</xdr:colOff>
                    <xdr:row>26</xdr:row>
                    <xdr:rowOff>0</xdr:rowOff>
                  </to>
                </anchor>
              </controlPr>
            </control>
          </mc:Choice>
        </mc:AlternateContent>
        <mc:AlternateContent xmlns:mc="http://schemas.openxmlformats.org/markup-compatibility/2006">
          <mc:Choice Requires="x14">
            <control shapeId="82736" r:id="rId22" name="Button 2864">
              <controlPr defaultSize="0" print="0" autoFill="0" autoPict="0" macro="[0]!show_hysteresis_clarification">
                <anchor moveWithCells="1" sizeWithCells="1">
                  <from>
                    <xdr:col>9</xdr:col>
                    <xdr:colOff>114300</xdr:colOff>
                    <xdr:row>36</xdr:row>
                    <xdr:rowOff>88900</xdr:rowOff>
                  </from>
                  <to>
                    <xdr:col>9</xdr:col>
                    <xdr:colOff>279400</xdr:colOff>
                    <xdr:row>37</xdr:row>
                    <xdr:rowOff>107950</xdr:rowOff>
                  </to>
                </anchor>
              </controlPr>
            </control>
          </mc:Choice>
        </mc:AlternateContent>
        <mc:AlternateContent xmlns:mc="http://schemas.openxmlformats.org/markup-compatibility/2006">
          <mc:Choice Requires="x14">
            <control shapeId="82737" r:id="rId23" name="Drop Down 2865">
              <controlPr defaultSize="0" autoLine="0" autoPict="0" macro="[0]!ClickSeriesCheckbox">
                <anchor moveWithCells="1">
                  <from>
                    <xdr:col>10</xdr:col>
                    <xdr:colOff>12700</xdr:colOff>
                    <xdr:row>37</xdr:row>
                    <xdr:rowOff>222250</xdr:rowOff>
                  </from>
                  <to>
                    <xdr:col>11</xdr:col>
                    <xdr:colOff>285750</xdr:colOff>
                    <xdr:row>40</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H502"/>
  <sheetViews>
    <sheetView zoomScale="110" zoomScaleNormal="110" workbookViewId="0">
      <pane xSplit="1" ySplit="2" topLeftCell="I3" activePane="bottomRight" state="frozenSplit"/>
      <selection activeCell="C45" sqref="C45"/>
      <selection pane="topRight" activeCell="C45" sqref="C45"/>
      <selection pane="bottomLeft" activeCell="C45" sqref="C45"/>
      <selection pane="bottomRight" activeCell="L7" sqref="L7"/>
    </sheetView>
  </sheetViews>
  <sheetFormatPr defaultColWidth="11.453125" defaultRowHeight="12.5"/>
  <cols>
    <col min="1" max="1" width="4" style="43" customWidth="1"/>
    <col min="2" max="2" width="21.7265625" style="62" customWidth="1"/>
    <col min="3" max="3" width="6.81640625" style="67" customWidth="1"/>
    <col min="4" max="4" width="20.453125" style="64" customWidth="1"/>
    <col min="5" max="5" width="71.7265625" style="64" customWidth="1"/>
    <col min="6" max="6" width="34.26953125" style="78" customWidth="1"/>
    <col min="7" max="7" width="30.1796875" style="62" customWidth="1"/>
    <col min="8" max="8" width="41.26953125" style="62" customWidth="1"/>
    <col min="9" max="9" width="38.7265625" style="62" customWidth="1"/>
    <col min="10" max="10" width="21.7265625" style="79" customWidth="1"/>
    <col min="11" max="11" width="18.7265625" style="79" bestFit="1" customWidth="1"/>
    <col min="12" max="12" width="7.54296875" style="62" bestFit="1" customWidth="1"/>
    <col min="13" max="19" width="7.54296875" style="409" customWidth="1"/>
    <col min="20" max="20" width="14.453125" style="79" bestFit="1" customWidth="1"/>
    <col min="21" max="21" width="42.26953125" style="164" bestFit="1" customWidth="1"/>
    <col min="22" max="22" width="17" style="61" bestFit="1" customWidth="1"/>
    <col min="23" max="23" width="16.453125" style="61" bestFit="1" customWidth="1"/>
    <col min="24" max="24" width="33.1796875" style="79" bestFit="1" customWidth="1"/>
    <col min="25" max="25" width="23.54296875" style="80" bestFit="1" customWidth="1"/>
    <col min="26" max="26" width="10.90625"/>
    <col min="27" max="27" width="11.81640625" style="57" customWidth="1"/>
    <col min="28" max="28" width="4" style="59" bestFit="1" customWidth="1"/>
    <col min="29" max="29" width="15.81640625" style="125" bestFit="1" customWidth="1"/>
    <col min="30" max="30" width="15.1796875" style="44" bestFit="1" customWidth="1"/>
    <col min="31" max="31" width="27.81640625" style="44" bestFit="1" customWidth="1"/>
    <col min="32" max="32" width="29.81640625" style="44" bestFit="1" customWidth="1"/>
    <col min="33" max="33" width="11.453125" style="44"/>
    <col min="34" max="34" width="19.1796875" style="44" bestFit="1" customWidth="1"/>
    <col min="35" max="35" width="19.1796875" style="44" customWidth="1"/>
    <col min="36" max="36" width="107.1796875" style="80" bestFit="1" customWidth="1"/>
    <col min="37" max="38" width="19.1796875" style="44" customWidth="1"/>
    <col min="39" max="39" width="49.54296875" style="44" bestFit="1" customWidth="1"/>
    <col min="40" max="40" width="33.7265625" style="44" bestFit="1" customWidth="1"/>
    <col min="41" max="41" width="30.26953125" style="43" bestFit="1" customWidth="1"/>
    <col min="42" max="42" width="7.1796875" style="43" bestFit="1" customWidth="1"/>
    <col min="43" max="43" width="11.54296875" style="43" customWidth="1"/>
    <col min="44" max="44" width="35.1796875" style="43" customWidth="1"/>
    <col min="45" max="45" width="17.7265625" style="43" bestFit="1" customWidth="1"/>
    <col min="46" max="46" width="11.453125" style="43"/>
    <col min="47" max="48" width="19.1796875" style="43" customWidth="1"/>
    <col min="49" max="57" width="11.453125" style="43"/>
    <col min="58" max="58" width="14.453125" style="43" bestFit="1" customWidth="1"/>
    <col min="59" max="59" width="18" style="43" bestFit="1" customWidth="1"/>
    <col min="60" max="16384" width="11.453125" style="43"/>
  </cols>
  <sheetData>
    <row r="1" spans="1:60">
      <c r="B1" s="591" t="s">
        <v>48</v>
      </c>
      <c r="C1" s="593" t="s">
        <v>52</v>
      </c>
      <c r="D1" s="505"/>
      <c r="E1" s="505"/>
      <c r="F1" s="505"/>
      <c r="G1" s="505"/>
      <c r="H1" s="505"/>
      <c r="I1" s="594"/>
      <c r="J1" s="598" t="s">
        <v>81</v>
      </c>
      <c r="K1" s="598" t="s">
        <v>82</v>
      </c>
      <c r="P1" s="409">
        <f ca="1">(D5*AD6-B6+B5*AC6)</f>
        <v>-100</v>
      </c>
      <c r="U1" s="595" t="s">
        <v>45</v>
      </c>
      <c r="V1" s="596"/>
      <c r="W1" s="596"/>
      <c r="X1" s="596"/>
      <c r="Y1" s="32"/>
      <c r="AA1" s="600" t="s">
        <v>40</v>
      </c>
      <c r="AB1" s="601"/>
      <c r="AC1" s="597" t="s">
        <v>38</v>
      </c>
      <c r="AD1" s="596"/>
      <c r="AE1" s="597" t="s">
        <v>35</v>
      </c>
      <c r="AF1" s="597"/>
      <c r="AH1" s="590" t="s">
        <v>125</v>
      </c>
      <c r="AI1" s="590"/>
      <c r="AJ1" s="590"/>
      <c r="AK1" s="590"/>
      <c r="AL1" s="590"/>
      <c r="AM1" s="590"/>
      <c r="AN1" s="44" t="s">
        <v>141</v>
      </c>
      <c r="BD1" s="43" t="s">
        <v>189</v>
      </c>
      <c r="BE1" s="43" t="s">
        <v>188</v>
      </c>
      <c r="BF1" s="43" t="s">
        <v>46</v>
      </c>
      <c r="BG1" s="43" t="s">
        <v>187</v>
      </c>
      <c r="BH1" s="43" t="s">
        <v>12</v>
      </c>
    </row>
    <row r="2" spans="1:60">
      <c r="B2" s="592"/>
      <c r="C2" s="67" t="s">
        <v>17</v>
      </c>
      <c r="D2" s="64" t="s">
        <v>44</v>
      </c>
      <c r="E2" s="64" t="s">
        <v>167</v>
      </c>
      <c r="F2" s="78" t="s">
        <v>80</v>
      </c>
      <c r="G2" s="62" t="s">
        <v>53</v>
      </c>
      <c r="H2" s="62" t="s">
        <v>78</v>
      </c>
      <c r="I2" s="62" t="s">
        <v>77</v>
      </c>
      <c r="J2" s="599"/>
      <c r="K2" s="599"/>
      <c r="L2" s="62" t="s">
        <v>12</v>
      </c>
      <c r="M2" s="409" t="s">
        <v>247</v>
      </c>
      <c r="N2" s="587" t="s">
        <v>248</v>
      </c>
      <c r="O2" s="588"/>
      <c r="P2" s="589"/>
      <c r="Q2" s="587" t="s">
        <v>249</v>
      </c>
      <c r="R2" s="588"/>
      <c r="S2" s="589"/>
      <c r="T2" s="79" t="s">
        <v>46</v>
      </c>
      <c r="U2" s="164" t="s">
        <v>138</v>
      </c>
      <c r="V2" s="62" t="s">
        <v>43</v>
      </c>
      <c r="W2" s="82" t="s">
        <v>95</v>
      </c>
      <c r="X2" s="79" t="s">
        <v>41</v>
      </c>
      <c r="Y2" s="80" t="s">
        <v>73</v>
      </c>
      <c r="AA2" s="600"/>
      <c r="AB2" s="601"/>
      <c r="AC2" s="124" t="s">
        <v>1</v>
      </c>
      <c r="AD2" s="57" t="s">
        <v>2</v>
      </c>
      <c r="AE2" s="57" t="s">
        <v>36</v>
      </c>
      <c r="AF2" s="57" t="s">
        <v>37</v>
      </c>
      <c r="AH2" s="44" t="s">
        <v>129</v>
      </c>
      <c r="AI2" s="44" t="s">
        <v>126</v>
      </c>
      <c r="AJ2" s="80" t="s">
        <v>136</v>
      </c>
      <c r="AK2" s="44" t="s">
        <v>133</v>
      </c>
      <c r="AL2" s="44" t="s">
        <v>134</v>
      </c>
      <c r="AM2" s="44" t="s">
        <v>135</v>
      </c>
      <c r="AN2" s="44" t="s">
        <v>142</v>
      </c>
    </row>
    <row r="3" spans="1:60">
      <c r="A3" s="43">
        <v>1</v>
      </c>
      <c r="B3" s="62">
        <f>IF(controls!$B$33=1,($AS$3/(1+('main page'!$K$35/100))^4)*(1+AC3),AS3*(1+AC3))</f>
        <v>100</v>
      </c>
      <c r="D3" s="64">
        <f>IF(E3&gt;0,E3,0.1)</f>
        <v>100</v>
      </c>
      <c r="E3" s="64">
        <f>IF(controls!$B$33=1,G3,F3)</f>
        <v>100</v>
      </c>
      <c r="F3" s="78">
        <f>IF(controls!$B$44=0,H3-'main page'!$K$27*'normal case'!AS5,H3-'main page'!$K$27*AS6+'main page'!$K$31*AV5)</f>
        <v>100</v>
      </c>
      <c r="G3" s="62">
        <f ca="1">IF(controls!$B$44=0,I3-'main page'!$K$27*$AS$5,I3-'main page'!$K$27*$AS$5+'main page'!$K$31*AV5)</f>
        <v>100</v>
      </c>
      <c r="H3" s="62">
        <f>$AP$3</f>
        <v>108</v>
      </c>
      <c r="I3" s="62">
        <f ca="1">(I4+'main page'!$K$27*$AS$5*(AD3+'main page'!$K$35/100))/(1+AD3+('main page'!$K$35/100))</f>
        <v>108</v>
      </c>
      <c r="L3" s="62">
        <f>($AS$11/100)*100</f>
        <v>2</v>
      </c>
      <c r="M3" s="409">
        <f>($AS$11/100)*100</f>
        <v>2</v>
      </c>
      <c r="T3" s="79">
        <f>IF(controls!$B$44=0,IF(controls!B33=1,('normal case'!I4-'normal case'!B4)/'main page'!$K$27,('normal case'!$AP$3-'normal case'!B4)/'main page'!$K$27),'normal case'!AS6)</f>
        <v>4</v>
      </c>
      <c r="U3" s="164">
        <f>IF(controls!$B$45=1,IF(controls!$B$46=1,'main page'!$K$24+'main page'!$U$8,'main page'!$K$24+'main page'!$K$32),IF(V3&lt;0,0,V3))</f>
        <v>6</v>
      </c>
      <c r="V3" s="63">
        <f>IF(controls!$B$10=1,'normal case'!T3+'normal case'!L3,'normal case'!W3)</f>
        <v>6</v>
      </c>
      <c r="W3" s="61">
        <f>IF(X3&lt;0,0,X3)</f>
        <v>6</v>
      </c>
      <c r="X3" s="166">
        <f>IF(controls!$B$44=0,L3+Y3+(('main page'!$K$25*'main page'!$U$13*'main page'!$K$29)/('main page'!$K$27*(1+('main page'!$K$25^2)*'main page'!$U$13)))*(L3-('main page'!$U$8/100)*100),L3+Y3+(('main page'!$K$25*'main page'!$U$13*'normal case'!$AV$3)/'normal case'!$AV$4)*('normal case'!L3-'main page'!$U$8))</f>
        <v>6</v>
      </c>
      <c r="Y3" s="81">
        <f>IF(controls!$B$44=1,'main page'!$K$24,IF(controls!$B$33=1,(I4-D3*AD4-B4+B3*AC4)/'main page'!$K$27,(H4-D3*AD4-B4+B3*AC4)/'main page'!$K$27))</f>
        <v>4</v>
      </c>
      <c r="AC3" s="125">
        <v>0</v>
      </c>
      <c r="AD3" s="36">
        <v>0</v>
      </c>
      <c r="AE3" s="44">
        <f>IF(controls!$B$33=1,D3-(I3-'main page'!$K$27*2),D3-AS4)</f>
        <v>0</v>
      </c>
      <c r="AF3" s="44">
        <f>ABS(L3-('main page'!$U$8/100)*100)</f>
        <v>0</v>
      </c>
      <c r="AH3" s="44">
        <f>IF(controls!$B$33=1,(B4-B3*AC4-I4+D3*AD4+'main page'!$K$27*'main page'!$K$24)/'main page'!$K$31,(B4-B3*AC4+D3*AD4-H4+'main page'!$K$27*'main page'!$K$24)/'main page'!$K$31)</f>
        <v>0</v>
      </c>
      <c r="AI3" s="44">
        <f>IF(controls!$B$45=1,LOG(AM3,1.01)+LOG(AL3,1.01)-LOG(AK3,1.01),-((T3-'main page'!$K$24)/(1-'normal case'!$AV$3))+'normal case'!AH3)</f>
        <v>0</v>
      </c>
      <c r="AJ3" s="80">
        <f>IF(ABS(1.025^AI3-1)&lt;0.000000000001,1,1.025^AI3)</f>
        <v>1</v>
      </c>
      <c r="AK3" s="44">
        <v>1</v>
      </c>
      <c r="AL3" s="44">
        <v>1</v>
      </c>
      <c r="AM3" s="44">
        <f>IF(controls!$B$45=1,$AS$12,AK3*AJ3/AL3)</f>
        <v>1</v>
      </c>
      <c r="AN3" s="44">
        <f>IF(controls!$B$46=0,0,IF(controls!$B$33=2,B4-B3*AC4-('normal case'!H4-D3*AD4-'main page'!$K$27*'normal case'!T3+'main page'!$K$31*'normal case'!AI3)-(('main page'!$K$25*'main page'!$U$13*'main page'!$K$29)/(1+('main page'!$K$25^2)*'main page'!$U$13))*('normal case'!L3-'main page'!$U$8),B4-B3*AC4-('normal case'!I4-D3*AD4-'main page'!$K$27*'normal case'!T3+'main page'!$K$31*'normal case'!AI3)-(('main page'!$K$25*'main page'!$U$13*'main page'!$K$29)/(1+('main page'!$K$25^2)*'main page'!$U$13))*('normal case'!L3-'main page'!$U$8)))</f>
        <v>0</v>
      </c>
      <c r="AO3" s="55" t="s">
        <v>76</v>
      </c>
      <c r="AP3" s="55">
        <f>IF(controls!B44=0,'main page'!K27*'normal case'!AP7+'normal case'!AS3,AS4+'main page'!K27*AS6-'main page'!$K$31*'normal case'!AS9)</f>
        <v>108</v>
      </c>
      <c r="AR3" s="63" t="s">
        <v>47</v>
      </c>
      <c r="AS3" s="63">
        <v>100</v>
      </c>
      <c r="AU3" s="36" t="s">
        <v>127</v>
      </c>
      <c r="AV3" s="80">
        <f>'main page'!K29/(1+(('main page'!K25)^2)*'main page'!U13)</f>
        <v>0.5</v>
      </c>
    </row>
    <row r="4" spans="1:60">
      <c r="A4" s="43">
        <v>2</v>
      </c>
      <c r="B4" s="62">
        <f>IF(controls!$B$33=1,($AS$3/(1+('main page'!$K$35/100))^3)*(1+AC4),B3*(1+AC4))</f>
        <v>100</v>
      </c>
      <c r="C4" s="67">
        <f>D4/D3-1</f>
        <v>0</v>
      </c>
      <c r="D4" s="64">
        <f t="shared" ref="D4:D67" si="0">IF(E4&gt;0,E4,0.1)</f>
        <v>100</v>
      </c>
      <c r="E4" s="64">
        <f>AN3+IF(controls!$B$33=1,G4,F4)</f>
        <v>100</v>
      </c>
      <c r="F4" s="78">
        <f>IF(controls!$B$44=0,H4-'main page'!$K$27*T3,H4-'main page'!$K$27*T3+'main page'!$K$31*AI3)</f>
        <v>100</v>
      </c>
      <c r="G4" s="62">
        <f ca="1">IF(controls!$B$44=0,I4-'main page'!$K$27*T3,I4-'main page'!$K$27*T3+'main page'!$K$31*'normal case'!AI3)</f>
        <v>100</v>
      </c>
      <c r="H4" s="62">
        <f>H3+D3*AD4</f>
        <v>108</v>
      </c>
      <c r="I4" s="62">
        <f ca="1">(I5+'main page'!$K$27*$AS$5*(AD4+'main page'!$K$35/100))/(1+(AD4+'main page'!$K$35/100))</f>
        <v>108</v>
      </c>
      <c r="L4" s="62">
        <f>IF(ABS('main page'!$K$29*L3+(1-'main page'!$K$29)*($AS$11/100)*100+'main page'!$K$25*(D4-B4)-L3)&lt;0.0000001,L3,'main page'!$K$29*L3+(1-'main page'!$K$29)*($AS$11/100)*100+'main page'!$K$25*(D4-B4))</f>
        <v>2</v>
      </c>
      <c r="M4" s="409">
        <f>IF(ABS('main page'!$K$29*M3+(1-'main page'!$K$29)*($AS$11/100)*100+'main page'!$K$25*(D4-B4)-M3)&lt;0.0000001,M3,N4)</f>
        <v>2</v>
      </c>
      <c r="N4" s="409">
        <f>'main page'!$K$29*M3+(1-'main page'!$K$29)*($AS$11/100)*100+'main page'!$K$25*(D4-B4)</f>
        <v>2</v>
      </c>
      <c r="T4" s="79">
        <f ca="1">IF(controls!$B$10=1,T3,IF(SUM(controls!$B$44:$B$46)=2,U4-'main page'!$K$29*'normal case'!L4-(1-'main page'!$K$29)*'main page'!$K$32,U4-'main page'!$K$29*'normal case'!L4-(1-'main page'!$K$29)*'main page'!$U$8))</f>
        <v>4</v>
      </c>
      <c r="U4" s="164">
        <f ca="1">IF(controls!$B$45=1,IF(controls!$B$46=1,'main page'!$K$24+'main page'!$U$8,'main page'!$K$24+'main page'!$K$32),IF(V4&lt;0,0,V4))</f>
        <v>6</v>
      </c>
      <c r="V4" s="63">
        <f ca="1">IF(controls!$B$10=1,'normal case'!T4+'normal case'!L4,'normal case'!W4)</f>
        <v>6</v>
      </c>
      <c r="W4" s="61">
        <f t="shared" ref="W4:W67" ca="1" si="1">IF(X4&lt;0,0,X4)</f>
        <v>6</v>
      </c>
      <c r="X4" s="166">
        <f ca="1">IF(controls!$B$44=0,Y4+'main page'!$K$29*L4+(1-'main page'!$K$29)*'main page'!$U$8+(('main page'!$K$25*'main page'!$U$13*'main page'!$K$29)/('main page'!$K$27*(1+('main page'!$K$25^2)*'main page'!$U$13)))*(L4-('main page'!$U$8/100)*100),Y4+'main page'!$K$29*L4+(1-'main page'!$K$29)*'main page'!$U$8+(('main page'!$K$25*'main page'!$U$13*'normal case'!$AV$3)/'normal case'!$AV$4)*('normal case'!L4-'main page'!$U$8))</f>
        <v>6</v>
      </c>
      <c r="Y4" s="81">
        <f ca="1">IF(controls!$B$44=1,'main page'!$K$24,IF(controls!$B$33=1,(I5-D4*AD5-B5+B4*AC5)/'main page'!$K$27,(H5-D4*AD5-B5+B4*AC5)/'main page'!$K$27))</f>
        <v>4</v>
      </c>
      <c r="AA4" s="58"/>
      <c r="AB4" s="60"/>
      <c r="AC4" s="125">
        <v>0</v>
      </c>
      <c r="AD4" s="36">
        <v>0</v>
      </c>
      <c r="AE4" s="44">
        <f>IF(controls!$B$33=1,D4-($I$3-'main page'!$K$27*2)*(1+('main page'!$K$35/100))^A3,D4-$AS$4)</f>
        <v>0</v>
      </c>
      <c r="AF4" s="44">
        <f>ABS(L4-('main page'!$U$8/100)*100)</f>
        <v>0</v>
      </c>
      <c r="AH4" s="44">
        <f ca="1">IF(controls!$B$33=1,(B5-B4*AC5-I5+D4*AD5+'main page'!$K$27*'main page'!$K$24)/'main page'!$K$31,(B5-B4*AC5+D4*AD5-H5+'main page'!$K$27*'main page'!$K$24)/'main page'!$K$31)</f>
        <v>0</v>
      </c>
      <c r="AI4" s="44">
        <f ca="1">IF(controls!$B$45=1,LOG(AM4,1.01)+LOG(AL4,1.01)-LOG(AK4,1.01),-((T4-'main page'!$K$24)/(1-'normal case'!$AV$3))+'normal case'!AH4)</f>
        <v>0</v>
      </c>
      <c r="AJ4" s="80">
        <f t="shared" ref="AJ4:AJ67" ca="1" si="2">IF(ABS(1.025^AI4-1)&lt;0.000000000001,1,1.025^AI4)</f>
        <v>1</v>
      </c>
      <c r="AK4" s="44">
        <f t="shared" ref="AK4:AK67" si="3">AK3*(1+L4/100)</f>
        <v>1.02</v>
      </c>
      <c r="AL4" s="44">
        <f>AL3*(1+'main page'!$K$32/100)</f>
        <v>1</v>
      </c>
      <c r="AM4" s="44">
        <f ca="1">IF(ABS(IF(controls!$B$45=1,$AS$12,AK4*AJ4/AL4)-AM3)&lt;0.00001,AM3,IF(controls!$B$45=1,$AS$12,AK4*AJ4/AL4))</f>
        <v>1.02</v>
      </c>
      <c r="AN4" s="44">
        <f>IF(controls!$B$46=0,0,IF(controls!$B$33=2,B5-B4*AC5-('normal case'!H5-D4*AD5-'main page'!$K$27*'normal case'!T4+'main page'!$K$31*'normal case'!AI4)-(('main page'!$K$25*'main page'!$U$13*'main page'!$K$29)/(1+('main page'!$K$25^2)*'main page'!$U$13))*('normal case'!L4-'main page'!$U$8),B5-B4*AC5-('normal case'!I5-D4*AD5-'main page'!$K$27*'normal case'!T4+'main page'!$K$31*'normal case'!AI4)-(('main page'!$K$25*'main page'!$U$13*'main page'!$K$29)/(1+('main page'!$K$25^2)*'main page'!$U$13))*('normal case'!L4-'main page'!$U$8)))</f>
        <v>0</v>
      </c>
      <c r="AO4" s="55" t="s">
        <v>79</v>
      </c>
      <c r="AP4" s="56">
        <f ca="1">AP3+($AP$3-'main page'!$K$27*'normal case'!T6)*('main page'!$K$8/100)</f>
        <v>108</v>
      </c>
      <c r="AQ4" s="52"/>
      <c r="AR4" s="55" t="s">
        <v>49</v>
      </c>
      <c r="AS4" s="55">
        <v>100</v>
      </c>
      <c r="AT4" s="52"/>
      <c r="AU4" s="36" t="s">
        <v>128</v>
      </c>
      <c r="AV4" s="80">
        <f>'main page'!K27+('main page'!K31/(1-'normal case'!AV3))</f>
        <v>4</v>
      </c>
    </row>
    <row r="5" spans="1:60">
      <c r="A5" s="43">
        <v>3</v>
      </c>
      <c r="B5" s="62">
        <f ca="1">IF(controls!$B$33=1,($AS$3/(1+('main page'!$K$35/100))^2)*(1+AC5),B4*(1+AC5))</f>
        <v>100</v>
      </c>
      <c r="C5" s="67">
        <f ca="1">IF(ABS((D5/D4-1)-C4)&lt;0.000001,C4,D5/D4-1)</f>
        <v>0</v>
      </c>
      <c r="D5" s="64">
        <f t="shared" ca="1" si="0"/>
        <v>100</v>
      </c>
      <c r="E5" s="64">
        <f ca="1">AN4+IF(controls!$B$33=1,G5,F5)</f>
        <v>100</v>
      </c>
      <c r="F5" s="78">
        <f ca="1">IF(controls!$B$44=0,H5-'main page'!$K$27*T4,H5-'main page'!$K$27*T4+'main page'!$K$31*AI4)</f>
        <v>100</v>
      </c>
      <c r="G5" s="62">
        <f ca="1">IF(controls!$B$44=0,I5-'main page'!$K$27*T4,I5-'main page'!$K$27*T4+'main page'!$K$31*'normal case'!AI4)</f>
        <v>100</v>
      </c>
      <c r="H5" s="62">
        <f ca="1">H4+D4*AD5</f>
        <v>108</v>
      </c>
      <c r="I5" s="62">
        <f ca="1">(I6+'main page'!$K$27*$AS$5*(AD5+'main page'!$K$35/100))/(1+AD5+('main page'!$K$35/100))</f>
        <v>108</v>
      </c>
      <c r="L5" s="62">
        <f ca="1">IF(ABS('main page'!$K$29*L4+(1-'main page'!$K$29)*($AS$11/100)*100+'main page'!$K$25*(D5-B5)-L4)&lt;0.0000001,L4,'main page'!$K$29*L4+(1-'main page'!$K$29)*($AS$11/100)*100+'main page'!$K$25*(D5-B5))</f>
        <v>2</v>
      </c>
      <c r="M5" s="409">
        <f ca="1">IF(ABS('main page'!$K$29*M4+(1-'main page'!$K$29)*($AS$11/100)*100+'main page'!$K$25*(D5-B5)-M4)&lt;0.0000001,M4,N5)</f>
        <v>2</v>
      </c>
      <c r="N5" s="409">
        <f ca="1">'main page'!$K$29*M4+(1-'main page'!$K$29)*($AS$11/100)*100+'main page'!$K$25*(D5-B5)</f>
        <v>2</v>
      </c>
      <c r="T5" s="79">
        <f ca="1">IF(controls!$B$10=1,T4,IF(SUM(controls!$B$44:$B$46)=2,U5-'main page'!$K$29*'normal case'!L5-(1-'main page'!$K$29)*'main page'!$K$32,U5-'main page'!$K$29*'normal case'!L5-(1-'main page'!$K$29)*'main page'!$U$8))</f>
        <v>4</v>
      </c>
      <c r="U5" s="164">
        <f ca="1">IF(controls!$B$45=1,IF(controls!$B$46=1,'main page'!$K$24+'main page'!$U$8,'main page'!$K$24+'main page'!$K$32),IF(V5&lt;0,0,V5))</f>
        <v>6</v>
      </c>
      <c r="V5" s="63">
        <f ca="1">IF(controls!$B$10=1,'normal case'!T5+'normal case'!L5,'normal case'!W5)</f>
        <v>6</v>
      </c>
      <c r="W5" s="61">
        <f t="shared" ca="1" si="1"/>
        <v>6</v>
      </c>
      <c r="X5" s="166">
        <f ca="1">IF(controls!$B$44=0,Y5+'main page'!$K$29*L5+(1-'main page'!$K$29)*'main page'!$U$8+(('main page'!$K$25*'main page'!$U$13*'main page'!$K$29)/('main page'!$K$27*(1+('main page'!$K$25^2)*'main page'!$U$13)))*(L5-('main page'!$U$8/100)*100),Y5+'main page'!$K$29*L5+(1-'main page'!$K$29)*'main page'!$U$8+(('main page'!$K$25*'main page'!$U$13*'normal case'!$AV$3)/'normal case'!$AV$4)*('normal case'!L5-'main page'!$U$8))</f>
        <v>6</v>
      </c>
      <c r="Y5" s="81">
        <f ca="1">IF(controls!$B$44=1,'main page'!$K$24,IF(controls!$B$33=1,(I6-D5*AD6-B6+B5*AC6)/'main page'!$K$27,(H6-D5*AD6-B6+B5*AC6)/'main page'!$K$27))</f>
        <v>4</v>
      </c>
      <c r="AA5" s="58"/>
      <c r="AB5" s="60">
        <v>-2</v>
      </c>
      <c r="AC5" s="125">
        <f ca="1">IF(controls!$B$4=1,IF(controls!$H4=1,controls!$B$34*AC4+RAND()*('main page'!$K$16/100)-RAND()*('main page'!$K$16/100),0),0)</f>
        <v>0</v>
      </c>
      <c r="AD5" s="36">
        <f ca="1">IF(controls!$B$4=1,IF(controls!$I4=1,controls!$B$34*AD4+RAND()*('main page'!$K$16/100)-RAND()*('main page'!$K$16/100),0),0)</f>
        <v>0</v>
      </c>
      <c r="AE5" s="44">
        <f ca="1">IF(controls!$B$33=1,D5-($I$3-'main page'!$K$27*2)*(1+('main page'!$K$35/100))^A4,D5-$AS$4)</f>
        <v>0</v>
      </c>
      <c r="AF5" s="44">
        <f ca="1">ABS(L5-('main page'!$U$8/100)*100)</f>
        <v>0</v>
      </c>
      <c r="AH5" s="44">
        <f ca="1">IF(controls!$B$33=1,(B6-B5*AC6-I6+D5*AD6+'main page'!$K$27*'main page'!$K$24)/'main page'!$K$31,(B6-B5*AC6+D5*AD6-H6+'main page'!$K$27*'main page'!$K$24)/'main page'!$K$31)</f>
        <v>0</v>
      </c>
      <c r="AI5" s="44">
        <f ca="1">IF(controls!$B$45=1,LOG(AM5,1.01)+LOG(AL5,1.01)-LOG(AK5,1.01),-((T5-'main page'!$K$24)/(1-'normal case'!$AV$3))+'normal case'!AH5)</f>
        <v>0</v>
      </c>
      <c r="AJ5" s="80">
        <f t="shared" ca="1" si="2"/>
        <v>1</v>
      </c>
      <c r="AK5" s="44">
        <f t="shared" ca="1" si="3"/>
        <v>1.0404</v>
      </c>
      <c r="AL5" s="44">
        <f>AL4*(1+'main page'!$K$32/100)</f>
        <v>1</v>
      </c>
      <c r="AM5" s="44">
        <f ca="1">IF(ABS(IF(controls!$B$45=1,$AS$12,AK5*AJ5/AL5)-AM4)&lt;0.00001,AM4,IF(controls!$B$45=1,$AS$12,AK5*AJ5/AL5))</f>
        <v>1.0404</v>
      </c>
      <c r="AN5" s="44">
        <f>IF(controls!$B$46=0,0,IF(controls!$B$33=2,B6-B5*AC6-('normal case'!H6-D5*AD6-'main page'!$K$27*'normal case'!T5+'main page'!$K$31*'normal case'!AI5)-(('main page'!$K$25*'main page'!$U$13*'main page'!$K$29)/(1+('main page'!$K$25^2)*'main page'!$U$13))*('normal case'!L5-'main page'!$U$8),B6-B5*AC6-('normal case'!I6-D5*AD6-'main page'!$K$27*'normal case'!T5+'main page'!$K$31*'normal case'!AI5)-(('main page'!$K$25*'main page'!$U$13*'main page'!$K$29)/(1+('main page'!$K$25^2)*'main page'!$U$13))*('normal case'!L5-'main page'!$U$8)))</f>
        <v>0</v>
      </c>
      <c r="AO5" s="55" t="s">
        <v>74</v>
      </c>
      <c r="AP5" s="55">
        <f ca="1">IF(controls!B7=1,$AP$3*(1+('main page'!U22/100)),$AP$4*(1+('main page'!U22/100)))</f>
        <v>108</v>
      </c>
      <c r="AQ5" s="52"/>
      <c r="AR5" s="55" t="s">
        <v>131</v>
      </c>
      <c r="AS5" s="55">
        <f>(AP3-AS3)/'main page'!K27</f>
        <v>4</v>
      </c>
      <c r="AT5" s="52"/>
      <c r="AU5" s="36" t="s">
        <v>130</v>
      </c>
      <c r="AV5" s="80">
        <f>(AS3-AP3+'main page'!K27*AS6)/'main page'!K31</f>
        <v>0</v>
      </c>
      <c r="BD5" s="43">
        <f ca="1">IF(ABS((D5/D4-1)-C4)&lt;0.000001,C4,D5/D4-1)</f>
        <v>0</v>
      </c>
      <c r="BE5" s="43">
        <f ca="1">IF(E5&gt;0,E5,0.1)</f>
        <v>100</v>
      </c>
      <c r="BF5" s="43">
        <f ca="1">IF(controls!$B$10=1,T4,IF(SUM(controls!$B$44:$B$46)=2,U5-'main page'!$K$29*'normal case'!L5-(1-'main page'!$K$29)*'main page'!$K$32,U5-'main page'!$K$29*'normal case'!L5-(1-'main page'!$K$29)*'main page'!$U$8))</f>
        <v>4</v>
      </c>
      <c r="BG5" s="43">
        <f ca="1">IF(controls!$B$45=1,IF(controls!$B$46=1,'main page'!$K$24+'main page'!$U$8,'main page'!$K$24+'main page'!$K$32),IF(V5&lt;0,0,V5))</f>
        <v>6</v>
      </c>
      <c r="BH5" s="91">
        <f ca="1">'normal case'!L5</f>
        <v>2</v>
      </c>
    </row>
    <row r="6" spans="1:60">
      <c r="A6" s="43">
        <v>4</v>
      </c>
      <c r="B6" s="62">
        <f ca="1">IF(controls!$B$33=1,($AS$3/(1+('main page'!$K$35/100)))*(1+AC6),B5*(1+AC6))</f>
        <v>100</v>
      </c>
      <c r="C6" s="67">
        <f t="shared" ref="C6:C69" ca="1" si="4">IF(ABS((D6/D5-1)-C5)&lt;0.000001,C5,D6/D5-1)</f>
        <v>0</v>
      </c>
      <c r="D6" s="64">
        <f t="shared" ca="1" si="0"/>
        <v>100</v>
      </c>
      <c r="E6" s="64">
        <f ca="1">AN5+IF(controls!$B$33=1,G6,F6)</f>
        <v>100</v>
      </c>
      <c r="F6" s="78">
        <f ca="1">IF(controls!$B$44=0,H6-'main page'!$K$27*T5,H6-'main page'!$K$27*T5+'main page'!$K$31*AI5)</f>
        <v>100</v>
      </c>
      <c r="G6" s="62">
        <f ca="1">IF(controls!$B$44=0,I6-'main page'!$K$27*T5,I6-'main page'!$K$27*T5+'main page'!$K$31*'normal case'!AI5)</f>
        <v>100</v>
      </c>
      <c r="H6" s="62">
        <f ca="1">H5+D5*AD6</f>
        <v>108</v>
      </c>
      <c r="I6" s="62">
        <f>(($AP$3+'main page'!$K$27*$AS$5*(AD6+'main page'!$K$35/100))/(1+AD6+('main page'!$K$35/100)))</f>
        <v>108</v>
      </c>
      <c r="L6" s="62">
        <f ca="1">IF(ABS('main page'!$K$29*L5+(1-'main page'!$K$29)*($AS$11/100)*100+'main page'!$K$25*(D6-B6)-L5)&lt;0.0000001,L5,'main page'!$K$29*L5+(1-'main page'!$K$29)*($AS$11/100)*100+'main page'!$K$25*(D6-B6))</f>
        <v>2</v>
      </c>
      <c r="M6" s="409">
        <f ca="1">IF(ABS('main page'!$K$29*M5+(1-'main page'!$K$29)*($AS$11/100)*100+'main page'!$K$25*(D6-B6)-M5)&lt;0.0000001,M5,N6)</f>
        <v>2</v>
      </c>
      <c r="N6" s="409">
        <f ca="1">'main page'!$K$29*M5+(1-'main page'!$K$29)*($AS$11/100)*100+'main page'!$K$25*(D6-B6)</f>
        <v>2</v>
      </c>
      <c r="T6" s="79">
        <f ca="1">IF(controls!$B$10=1,T5,IF(SUM(controls!$B$44:$B$46)=2,U6-'main page'!$K$29*'normal case'!L6-(1-'main page'!$K$29)*'main page'!$K$32,U6-'main page'!$K$29*'normal case'!L6-(1-'main page'!$K$29)*'main page'!$U$8))</f>
        <v>4</v>
      </c>
      <c r="U6" s="164">
        <f ca="1">IF(controls!$B$45=1,IF(controls!$B$46=1,'main page'!$K$24+'main page'!$U$8,'main page'!$K$24+'main page'!$K$32),IF(V6&lt;0,0,V6))</f>
        <v>6</v>
      </c>
      <c r="V6" s="63">
        <f ca="1">IF(controls!$B$10=1,'normal case'!T6+'normal case'!L6,'normal case'!W6)</f>
        <v>6</v>
      </c>
      <c r="W6" s="61">
        <f t="shared" ca="1" si="1"/>
        <v>6</v>
      </c>
      <c r="X6" s="166">
        <f ca="1">IF(controls!$B$44=0,Y6+'main page'!$K$29*L6+(1-'main page'!$K$29)*'main page'!$U$8+(('main page'!$K$25*'main page'!$U$13*'main page'!$K$29)/('main page'!$K$27*(1+('main page'!$K$25^2)*'main page'!$U$13)))*(L6-('main page'!$U$8/100)*100),Y6+'main page'!$K$29*L6+(1-'main page'!$K$29)*'main page'!$U$8+(('main page'!$K$25*'main page'!$U$13*'normal case'!$AV$3)/'normal case'!$AV$4)*('normal case'!L6-'main page'!$U$8))</f>
        <v>6</v>
      </c>
      <c r="Y6" s="81">
        <f ca="1">IF(controls!$B$44=1,'main page'!$K$24,IF(controls!$B$33=1,(I7-D6*AD7-$AS$7-B7+B6*AC7+$AS$8)/'main page'!$K$27,(H7-D6*AD7-$AS$7-B7+B6*AC7+$AS$8)/'main page'!$K$27))</f>
        <v>4</v>
      </c>
      <c r="AA6" s="58">
        <f>$AS$3*(1+('main page'!$K$35/100))^AB6-$AS$3*(1+('main page'!$K$35/100))^AB5</f>
        <v>0</v>
      </c>
      <c r="AB6" s="60">
        <v>-1</v>
      </c>
      <c r="AC6" s="125">
        <v>0</v>
      </c>
      <c r="AD6" s="36">
        <v>0</v>
      </c>
      <c r="AE6" s="44">
        <f ca="1">IF(controls!$B$33=1,D6-($I$3-'main page'!$K$27*2)*(1+('main page'!$K$35/100))^A5,D6-$AS$4)</f>
        <v>0</v>
      </c>
      <c r="AF6" s="44">
        <f ca="1">ABS(L6-('main page'!$U$8/100)*100)</f>
        <v>0</v>
      </c>
      <c r="AH6" s="44">
        <f ca="1">IF(controls!$B$33=1,(B7-B6*AC7-I7+D6*AD7+'main page'!$K$27*'main page'!$K$24+AS7-AS8)/'main page'!$K$31,(B7-B6*AC7+D6*AD7-H7+'main page'!$K$27*'main page'!$K$24+AS7-AS8)/'main page'!$K$31)</f>
        <v>0</v>
      </c>
      <c r="AI6" s="44">
        <f ca="1">IF(controls!$B$45=1,LOG(AM6,1.01)+LOG(AL6,1.01)-LOG(AK6,1.01),-((T6-'main page'!$K$24)/(1-'normal case'!$AV$3))+'normal case'!AH6)</f>
        <v>0</v>
      </c>
      <c r="AJ6" s="80">
        <f t="shared" ca="1" si="2"/>
        <v>1</v>
      </c>
      <c r="AK6" s="44">
        <f t="shared" ca="1" si="3"/>
        <v>1.0612079999999999</v>
      </c>
      <c r="AL6" s="44">
        <f>AL5*(1+'main page'!$K$32/100)</f>
        <v>1</v>
      </c>
      <c r="AM6" s="44">
        <f ca="1">IF(ABS(IF(controls!$B$45=1,$AS$12,AK6*AJ6/AL6)-AM5)&lt;0.00001,AM5,IF(controls!$B$45=1,$AS$12,AK6*AJ6/AL6))</f>
        <v>1.0612079999999999</v>
      </c>
      <c r="AN6" s="44">
        <f>IF(controls!$B$46=0,0,IF(controls!$B$33=2,B7-B6*AC7-$AS$8-('normal case'!H7-$AS$7-D6*AD7-'main page'!$K$27*'normal case'!T6+'main page'!$K$31*'normal case'!AI6)-(('main page'!$K$25*'main page'!$U$13*'main page'!$K$29)/(1+('main page'!$K$25^2)*'main page'!$U$13))*('normal case'!L6-'main page'!$U$8),B7-B6*AC7-$AS$8-('normal case'!I7-$AS$7-D6*AD7-'main page'!$K$27*'normal case'!T6+'main page'!$K$31*'normal case'!AI6)-(('main page'!$K$25*'main page'!$U$13*'main page'!$K$29)/(1+('main page'!$K$25^2)*'main page'!$U$13))*('normal case'!L6-'main page'!$U$8)))</f>
        <v>0</v>
      </c>
      <c r="AO6" s="55" t="s">
        <v>75</v>
      </c>
      <c r="AP6" s="56">
        <f ca="1">IF(controls!B7=1,AP3,AP4)</f>
        <v>108</v>
      </c>
      <c r="AQ6" s="52"/>
      <c r="AR6" s="55" t="s">
        <v>132</v>
      </c>
      <c r="AS6" s="52">
        <f>'main page'!K24</f>
        <v>4</v>
      </c>
      <c r="AV6" s="36"/>
    </row>
    <row r="7" spans="1:60">
      <c r="A7" s="43">
        <v>5</v>
      </c>
      <c r="B7" s="62">
        <f ca="1">IF(controls!$B$33=1,$AS$3+$AS$8+AC7*B6,$AS$3+$AS$8+AC7*B6)</f>
        <v>101</v>
      </c>
      <c r="C7" s="67">
        <f t="shared" ca="1" si="4"/>
        <v>0</v>
      </c>
      <c r="D7" s="64">
        <f t="shared" ca="1" si="0"/>
        <v>100</v>
      </c>
      <c r="E7" s="64">
        <f ca="1">AN6+IF(controls!$B$33=1,G7,F7)</f>
        <v>100</v>
      </c>
      <c r="F7" s="78">
        <f ca="1">IF(controls!$B$44=0,H7-'main page'!$K$27*T6,H7-'main page'!$K$27*T6+'main page'!$K$31*AI6)</f>
        <v>100</v>
      </c>
      <c r="G7" s="62">
        <f ca="1">IF(controls!$B$44=0,I7-'main page'!$K$27*T6,I7-'main page'!$K$27*T6+'main page'!$K$31*'normal case'!AI6)</f>
        <v>100</v>
      </c>
      <c r="H7" s="62">
        <f ca="1">H6+$AS$7+D6*AD7</f>
        <v>108</v>
      </c>
      <c r="I7" s="62">
        <f ca="1">$AP$3+$AS$7+D6*AD7</f>
        <v>108</v>
      </c>
      <c r="L7" s="62">
        <f ca="1">IF(ABS('main page'!G11+'main page'!$K$29*L6+(1-'main page'!$K$29)*($AS$11/100)*100+'main page'!$K$25*(D7-B7)-L6)&lt;0.0000001,L6,'main page'!G11+'main page'!$K$29*L6+(1-'main page'!$K$29)*($AS$11/100)*100+'main page'!$K$25*(D7-B7))</f>
        <v>1</v>
      </c>
      <c r="M7" s="409">
        <f ca="1">IF(N7&lt;0.0000001,0,1)</f>
        <v>1</v>
      </c>
      <c r="N7" s="409">
        <f ca="1">ABS(O7+P7)</f>
        <v>1</v>
      </c>
      <c r="O7" s="409">
        <f ca="1">'main page'!G11+'main page'!$K$29*M6+(1-'main page'!$K$29)*($AQ$11/100)*100</f>
        <v>2</v>
      </c>
      <c r="P7" s="409">
        <f ca="1">'main page'!$K$25*(D7-B7)-M6</f>
        <v>-3</v>
      </c>
      <c r="Q7" s="409">
        <f ca="1">(1-'main page'!$K$29)*($AS$11/100)*100+'main page'!$K$25*(D7-B7)</f>
        <v>-1</v>
      </c>
      <c r="R7" s="409">
        <f ca="1">'main page'!G11+'main page'!$K$29*M6</f>
        <v>2</v>
      </c>
      <c r="S7" s="409">
        <f ca="1">Q7+R7</f>
        <v>1</v>
      </c>
      <c r="T7" s="79">
        <f ca="1">IF(controls!$B$10=1,T6,IF(SUM(controls!$B$44:$B$46)=2,U7-'main page'!$K$29*'normal case'!L7-(1-'main page'!$K$29)*'main page'!$K$32,U7-'main page'!$K$29*'normal case'!L7-(1-'main page'!$K$29)*'main page'!$U$8))</f>
        <v>3.25</v>
      </c>
      <c r="U7" s="164">
        <f ca="1">IF(controls!$B$45=1,IF(controls!$B$46=1,'main page'!$K$24+'main page'!$K$11+'main page'!$U$8,'main page'!$K$24+'main page'!$K$11+'main page'!$K$32),IF(controls!$B$44=1,IF(V7&lt;0,0,V7),IF(V7+'main page'!$K$11&lt;0,0,V7+'main page'!$K$11)))</f>
        <v>4.25</v>
      </c>
      <c r="V7" s="63">
        <f ca="1">IF(controls!$B$10=1,'normal case'!T7+'normal case'!L7,'normal case'!W7)</f>
        <v>4.25</v>
      </c>
      <c r="W7" s="61">
        <f t="shared" ca="1" si="1"/>
        <v>4.25</v>
      </c>
      <c r="X7" s="166">
        <f ca="1">IF(controls!$B$44=0,Y7+'main page'!$K$29*L7+(1-'main page'!$K$29)*'main page'!$U$8+(('main page'!$K$25*'main page'!$U$13*'main page'!$K$29)/('main page'!$K$27*(1+('main page'!$K$25^2)*'main page'!$U$13)))*(L7-('main page'!$U$8/100)*100),Y7+'main page'!$K$29*L7+(1-'main page'!$K$29)*'main page'!$U$8+(('main page'!$K$25*'main page'!$U$13*'normal case'!$AV$3)/'normal case'!$AV$4)*('normal case'!L7-'main page'!$U$8))</f>
        <v>4.25</v>
      </c>
      <c r="Y7" s="81">
        <f ca="1">IF(controls!$B$44=1,'main page'!$K$24+'main page'!$K$11,IF(controls!$B$33=1,((I8-D7*AD8-K8-B8+B7*AC8)/'main page'!$K$27)-'main page'!$K$11,((H8-D7*AD8-J8-B8+B7*AC8)/'main page'!$K$27)-'main page'!$K$11))</f>
        <v>3.5</v>
      </c>
      <c r="AA7" s="58">
        <f>$AS$3*(1+('main page'!$K$35/100))^AB7-$AS$3*(1+('main page'!$K$35/100))^AB7</f>
        <v>0</v>
      </c>
      <c r="AB7" s="60">
        <v>0</v>
      </c>
      <c r="AC7" s="125">
        <v>0</v>
      </c>
      <c r="AD7" s="36">
        <v>0</v>
      </c>
      <c r="AE7" s="44">
        <f ca="1">IF(controls!$B$33=1,D7-($I$3-'main page'!$K$27*2)*(1+('main page'!$K$35/100))^A6,D7-$AS$4)</f>
        <v>0</v>
      </c>
      <c r="AF7" s="44">
        <f ca="1">ABS(L7-('main page'!$U$8/100)*100)</f>
        <v>1</v>
      </c>
      <c r="AH7" s="44">
        <f ca="1">IF(controls!$B$33=1,(B8-B7*AC8-I8+D7*AD8+'main page'!$K$27*('main page'!$K$24+'main page'!$K$11)+K8)/'main page'!$K$31,(B8-B7*AC8+D7*AD8-H8+'main page'!$K$27*('main page'!$K$24+'main page'!$K$11)+J8)/'main page'!$K$31)</f>
        <v>1</v>
      </c>
      <c r="AI7" s="44">
        <f ca="1">IF(controls!$B$45=1,LOG(AM7,1.01)+LOG(AL7,1.01)-LOG(AK7,1.01),-((T7-('main page'!$K$24+'main page'!$K$11))/(1-'normal case'!$AV$3))+'normal case'!AH7)</f>
        <v>2.5</v>
      </c>
      <c r="AJ7" s="80">
        <f t="shared" ca="1" si="2"/>
        <v>1.0636767426669742</v>
      </c>
      <c r="AK7" s="44">
        <f t="shared" ca="1" si="3"/>
        <v>1.07182008</v>
      </c>
      <c r="AL7" s="44">
        <f>AL6*(1+'main page'!$K$32/100)</f>
        <v>1</v>
      </c>
      <c r="AM7" s="44">
        <f ca="1">IF(ABS(IF(controls!$B$45=1,$AS$12,AK7*AJ7/AL7)-AM6)&lt;0.00001,AM6,IF(controls!$B$45=1,$AS$12,AK7*AJ7/AL7))</f>
        <v>1.1400700914194557</v>
      </c>
      <c r="AN7" s="44">
        <f>IF(controls!$B$46=0,0,IF(controls!$B$33=2,B8-B7*AC8-('normal case'!H8-D7*AD8-'main page'!$K$27*'normal case'!T7+'main page'!$K$31*'normal case'!AI7)-(('main page'!$K$25*'main page'!$U$13*'main page'!$K$29)/(1+('main page'!$K$25^2)*'main page'!$U$13))*('normal case'!L7-'main page'!$U$8),B8-B7*AC8-('normal case'!I8-D7*AD8-'main page'!$K$27*'normal case'!T7+'main page'!$K$31*'normal case'!AI7)-(('main page'!$K$25*'main page'!$U$13*'main page'!$K$29)/(1+('main page'!$K$25^2)*'main page'!$U$13))*('normal case'!L7-'main page'!$U$8)))</f>
        <v>0</v>
      </c>
      <c r="AO7" s="52" t="s">
        <v>158</v>
      </c>
      <c r="AP7" s="52">
        <f>'main page'!K24</f>
        <v>4</v>
      </c>
      <c r="AQ7" s="52"/>
      <c r="AR7" s="55" t="s">
        <v>90</v>
      </c>
      <c r="AS7" s="55">
        <f>('main page'!K8/100)*'normal case'!AS4</f>
        <v>0</v>
      </c>
      <c r="AU7" s="36"/>
      <c r="AV7" s="36"/>
    </row>
    <row r="8" spans="1:60">
      <c r="A8" s="43">
        <v>6</v>
      </c>
      <c r="B8" s="62">
        <f ca="1">IF(controls!$B$33=1,IF(controls!$B$6=2,B7*(1+AC8)+AA8,B7*(1+AC8)+AA8-$AS$8),IF(controls!B6=1,B7*(1+AC8)-$AS$8,B7*(1+AC8)))</f>
        <v>101</v>
      </c>
      <c r="C8" s="67">
        <f t="shared" ca="1" si="4"/>
        <v>1.4999999999999902E-2</v>
      </c>
      <c r="D8" s="64">
        <f t="shared" ca="1" si="0"/>
        <v>101.5</v>
      </c>
      <c r="E8" s="64">
        <f ca="1">AN7+IF(controls!$B$33=1,G8,F8)</f>
        <v>101.5</v>
      </c>
      <c r="F8" s="78">
        <f ca="1">IF(controls!$B$44=0,H8-'main page'!$K$27*T7,H8-'main page'!$K$27*T7+'main page'!$K$31*AI7)</f>
        <v>101.5</v>
      </c>
      <c r="G8" s="62">
        <f ca="1">IF(controls!$B$44=0,I8-'main page'!$K$27*T7,I8-'main page'!$K$27*T7+'main page'!$K$31*'normal case'!AI7)</f>
        <v>101.5</v>
      </c>
      <c r="H8" s="62">
        <f ca="1">IF(controls!$B$7=2,'normal case'!H7+D7*AD8+J8,'normal case'!H7+D7*AD8-$AS$7+J8)</f>
        <v>108</v>
      </c>
      <c r="I8" s="62">
        <f ca="1">IF(controls!$B$7=1,I7+D7*AD8+AA8-$AS$7+K8,I7+D7*AD8+AA8+K8)</f>
        <v>108</v>
      </c>
      <c r="J8" s="79">
        <f ca="1">IF(controls!B46=1,0,IF(controls!$B30=1,(('main page'!$U$22/100))*'normal case'!H7,))</f>
        <v>0</v>
      </c>
      <c r="K8" s="79">
        <f ca="1">IF(controls!B46=1,0,IF(controls!$B$30=1,(('main page'!$U$22/100))*'normal case'!I7,))</f>
        <v>0</v>
      </c>
      <c r="L8" s="62">
        <f ca="1">IF(ABS('main page'!G12+'main page'!$K$29*L7+(1-'main page'!$K$29)*($AS$11/100)*100+'main page'!$K$25*(D8-B8)-L7)&lt;0.0000001,L7,'main page'!G12+'main page'!$K$29*L7+(1-'main page'!$K$29)*($AS$11/100)*100+'main page'!$K$25*(D8-B8))</f>
        <v>1.5</v>
      </c>
      <c r="M8" s="409">
        <f t="shared" ref="M8:M44" ca="1" si="5">IF(N8&lt;0.0000001,0,1)</f>
        <v>1</v>
      </c>
      <c r="N8" s="409">
        <f ca="1">ABS(O8+P8)</f>
        <v>0.5</v>
      </c>
      <c r="O8" s="409">
        <f ca="1">'main page'!G12+'main page'!$K$29*M7+(1-'main page'!$K$29)*($AQ$11/100)*100</f>
        <v>1</v>
      </c>
      <c r="P8" s="409">
        <f ca="1">'main page'!$K$25*(D8-B8)-M7</f>
        <v>-0.5</v>
      </c>
      <c r="Q8" s="409">
        <f ca="1">(1-'main page'!$K$29)*($AS$11/100)*100+'main page'!$K$25*(D8-B8)</f>
        <v>0.5</v>
      </c>
      <c r="R8" s="409">
        <f ca="1">'main page'!G12+'main page'!$K$29*M7</f>
        <v>1</v>
      </c>
      <c r="S8" s="409">
        <f t="shared" ref="S8:S45" ca="1" si="6">Q8+R8</f>
        <v>1.5</v>
      </c>
      <c r="T8" s="79">
        <f ca="1">IF(controls!$B$10=1,T7,IF(SUM(controls!$B$44:$B$46)=2,U8-'main page'!$K$29*'normal case'!L8-(1-'main page'!$K$29)*'main page'!$K$32,U8-'main page'!$K$29*'normal case'!L8-(1-'main page'!$K$29)*'main page'!$U$8))</f>
        <v>3.375</v>
      </c>
      <c r="U8" s="164">
        <f ca="1">IF(controls!$B$45=1,IF(controls!$B$46=1,'main page'!$K$24+'main page'!$K$11+'main page'!$U$8,'main page'!$K$24+'main page'!$K$11+'main page'!$K$32),IF(controls!$B$44=1,IF(V8&lt;0,0,V8),IF(V8+'main page'!$K$11&lt;0,0,V8+'main page'!$K$11)))</f>
        <v>4.875</v>
      </c>
      <c r="V8" s="63">
        <f ca="1">IF(controls!$B$10=1,'normal case'!T8+'normal case'!L8,'normal case'!W8)</f>
        <v>4.875</v>
      </c>
      <c r="W8" s="61">
        <f t="shared" ca="1" si="1"/>
        <v>4.875</v>
      </c>
      <c r="X8" s="166">
        <f ca="1">IF(controls!$B$44=0,Y8+'main page'!$K$29*L8+(1-'main page'!$K$29)*'main page'!$U$8+(('main page'!$K$25*'main page'!$U$13*'main page'!$K$29)/('main page'!$K$27*(1+('main page'!$K$25^2)*'main page'!$U$13)))*(L8-('main page'!$U$8/100)*100),Y8+'main page'!$K$29*L8+(1-'main page'!$K$29)*'main page'!$U$8+(('main page'!$K$25*'main page'!$U$13*'normal case'!$AV$3)/'normal case'!$AV$4)*('normal case'!L8-'main page'!$U$8))</f>
        <v>4.875</v>
      </c>
      <c r="Y8" s="81">
        <f ca="1">IF(controls!$B$44=1,'main page'!$K$24+'main page'!$K$11,IF(controls!$B$33=1,((I9-D8*AD9-K9-B9+B8*AC9)/'main page'!$K$27)-'main page'!$K$11,((H9-D8*AD9-J9-B9+B8*AC9)/'main page'!$K$27)-'main page'!$K$11))</f>
        <v>3.5</v>
      </c>
      <c r="AA8" s="58">
        <f>IF(controls!$B$6=1,$AS$3*(1+('main page'!$K$35/100))^AB8-$AS$3*(1+('main page'!$K$35/100))^AB7,$AS$3*(1+('main page'!$G$8/100))*(1+('main page'!$K$35/100))^AB8-$AS$3*(1+('main page'!$G$8/100))*(1+('main page'!$K$35/100))^AB7)</f>
        <v>0</v>
      </c>
      <c r="AB8" s="60">
        <v>1</v>
      </c>
      <c r="AC8" s="125">
        <f ca="1">IF(controls!$B$4=1,IF(controls!$H7=1,controls!$B$34*AC7+RAND()*('main page'!$K$16/100)-RAND()*('main page'!$K$16/100),0),0)</f>
        <v>0</v>
      </c>
      <c r="AD8" s="36">
        <f ca="1">IF(controls!$B$4=1,IF(controls!$I7=1,controls!$B$34*AD7+RAND()*('main page'!$K$16/100)-RAND()*('main page'!$K$16/100),0),0)</f>
        <v>0</v>
      </c>
      <c r="AE8" s="44">
        <f ca="1">IF(controls!$B$33=1,D8-($I$3-'main page'!$K$27*2)*(1+('main page'!$K$35/100))^A7,D8-$AS$4)</f>
        <v>1.5</v>
      </c>
      <c r="AF8" s="44">
        <f ca="1">ABS(L8-('main page'!$U$8/100)*100)</f>
        <v>0.5</v>
      </c>
      <c r="AH8" s="44">
        <f ca="1">IF(controls!$B$33=1,(B9-B8*AC9-I9+D8*AD9+'main page'!$K$27*('main page'!$K$24+'main page'!$K$11)+K9)/'main page'!$K$31,(B9-B8*AC9+D8*AD9-H9+'main page'!$K$27*('main page'!$K$24+'main page'!$K$11)+J9)/'main page'!$K$31)</f>
        <v>1</v>
      </c>
      <c r="AI8" s="44">
        <f ca="1">IF(controls!$B$45=1,LOG(AM8,1.01)+LOG(AL8,1.01)-LOG(AK8,1.01),-((T8-('main page'!$K$24+'main page'!$K$11))/(1-'normal case'!$AV$3))+'normal case'!AH8)</f>
        <v>2.25</v>
      </c>
      <c r="AJ8" s="80">
        <f t="shared" ca="1" si="2"/>
        <v>1.0571307287958711</v>
      </c>
      <c r="AK8" s="44">
        <f t="shared" ca="1" si="3"/>
        <v>1.0878973811999999</v>
      </c>
      <c r="AL8" s="44">
        <f>AL7*(1+'main page'!$K$32/100)</f>
        <v>1</v>
      </c>
      <c r="AM8" s="44">
        <f ca="1">IF(ABS(IF(controls!$B$45=1,$AS$12,AK8*AJ8/AL8)-AM7)&lt;0.00001,AM7,IF(controls!$B$45=1,$AS$12,AK8*AJ8/AL8))</f>
        <v>1.1500497514430754</v>
      </c>
      <c r="AN8" s="44">
        <f>IF(controls!$B$46=0,0,IF(controls!$B$33=2,B9-B8*AC9-('normal case'!H9-D8*AD9-'main page'!$K$27*'normal case'!T8+'main page'!$K$31*'normal case'!AI8)-(('main page'!$K$25*'main page'!$U$13*'main page'!$K$29)/(1+('main page'!$K$25^2)*'main page'!$U$13))*('normal case'!L8-'main page'!$U$8),B9-B8*AC9-('normal case'!I9-D8*AD9-'main page'!$K$27*'normal case'!T8+'main page'!$K$31*'normal case'!AI8)-(('main page'!$K$25*'main page'!$U$13*'main page'!$K$29)/(1+('main page'!$K$25^2)*'main page'!$U$13))*('normal case'!L8-'main page'!$U$8)))</f>
        <v>0</v>
      </c>
      <c r="AO8" s="55" t="s">
        <v>0</v>
      </c>
      <c r="AP8" s="55">
        <f>(controls!B9/100)*100</f>
        <v>2</v>
      </c>
      <c r="AR8" s="55" t="s">
        <v>91</v>
      </c>
      <c r="AS8" s="63">
        <f>('main page'!G8/100)*'normal case'!AS3</f>
        <v>1</v>
      </c>
      <c r="AU8" s="36"/>
      <c r="AV8" s="36"/>
      <c r="BD8" s="43">
        <f ca="1">IF(ABS((D8/D7-1)-C7)&lt;0.000001,C7,D8/D7-1)</f>
        <v>1.4999999999999902E-2</v>
      </c>
      <c r="BE8" s="43">
        <f ca="1">IF(E8&gt;0,E8,0.1)</f>
        <v>101.5</v>
      </c>
      <c r="BF8" s="43">
        <f ca="1">IF(controls!$B$10=1,T7,IF(SUM(controls!$B$44:$B$46)=2,U8-'main page'!$K$29*'normal case'!L8-(1-'main page'!$K$29)*'main page'!$K$32,U8-'main page'!$K$29*'normal case'!L8-(1-'main page'!$K$29)*'main page'!$U$8))</f>
        <v>3.375</v>
      </c>
      <c r="BG8" s="43">
        <f ca="1">IF(controls!$B$45=1,IF(controls!$B$46=1,'main page'!$K$24+'main page'!$U$8,'main page'!$K$24+'main page'!$K$32),IF(V8&lt;0,0,V8))</f>
        <v>4.875</v>
      </c>
      <c r="BH8" s="91">
        <f ca="1">'normal case'!L8</f>
        <v>1.5</v>
      </c>
    </row>
    <row r="9" spans="1:60">
      <c r="A9" s="43">
        <v>7</v>
      </c>
      <c r="B9" s="62">
        <f ca="1">IF(controls!$B$33=1,B8*(1+AC9)+AA9,B8*(1+AC9))</f>
        <v>101</v>
      </c>
      <c r="C9" s="67">
        <f t="shared" ca="1" si="4"/>
        <v>-2.4630541871921707E-3</v>
      </c>
      <c r="D9" s="64">
        <f t="shared" ca="1" si="0"/>
        <v>101.25</v>
      </c>
      <c r="E9" s="64">
        <f ca="1">AN8+IF(controls!$B$33=1,G9,F9)</f>
        <v>101.25</v>
      </c>
      <c r="F9" s="78">
        <f ca="1">IF(controls!$B$44=0,H9-'main page'!$K$27*T8,H9-'main page'!$K$27*T8+'main page'!$K$31*AI8)</f>
        <v>101.25</v>
      </c>
      <c r="G9" s="62">
        <f ca="1">IF(controls!$B$44=0,I9-'main page'!$K$27*T8,I9-'main page'!$K$27*T8+'main page'!$K$31*'normal case'!AI8)</f>
        <v>101.25</v>
      </c>
      <c r="H9" s="62">
        <f ca="1">IF(controls!$B$31=2,H8+D8*AD9+J9,H8+D8*AD9+J9-J8)</f>
        <v>108</v>
      </c>
      <c r="I9" s="62">
        <f ca="1">IF(controls!$B$31=2,I8+D8*AD9+AA9+K9,I8+D8*AD9+AA9+K9-K8)</f>
        <v>108</v>
      </c>
      <c r="J9" s="79">
        <f>IF(controls!B46=1,0,IF(controls!$B$30=2,(('main page'!$U$22/100))*'normal case'!H8,))</f>
        <v>0</v>
      </c>
      <c r="K9" s="79">
        <f>IF(controls!B46=1,0,IF(controls!$B$30=2,('main page'!$U$22/100)*'normal case'!I8,))</f>
        <v>0</v>
      </c>
      <c r="L9" s="62">
        <f ca="1">IF(ABS('main page'!G13+'main page'!$K$29*L8+(1-'main page'!$K$29)*($AS$11/100)*100+'main page'!$K$25*(D9-B9)-L8)&lt;0.0000001,L8,'main page'!G13+'main page'!$K$29*L8+(1-'main page'!$K$29)*($AS$11/100)*100+'main page'!$K$25*(D9-B9))</f>
        <v>1.75</v>
      </c>
      <c r="M9" s="409">
        <f t="shared" ca="1" si="5"/>
        <v>1</v>
      </c>
      <c r="N9" s="409">
        <f ca="1">ABS(O9+P9)</f>
        <v>0.25</v>
      </c>
      <c r="O9" s="409">
        <f ca="1">'main page'!G13+'main page'!$K$29*M8+(1-'main page'!$K$29)*($AQ$11/100)*100</f>
        <v>1</v>
      </c>
      <c r="P9" s="409">
        <f ca="1">'main page'!$K$25*(D9-B9)-M8</f>
        <v>-0.75</v>
      </c>
      <c r="Q9" s="409">
        <f ca="1">(1-'main page'!$K$29)*($AS$11/100)*100+'main page'!$K$25*(D9-B9)</f>
        <v>0.25</v>
      </c>
      <c r="R9" s="409">
        <f ca="1">'main page'!G13+'main page'!$K$29*M8</f>
        <v>1</v>
      </c>
      <c r="S9" s="409">
        <f t="shared" ca="1" si="6"/>
        <v>1.25</v>
      </c>
      <c r="T9" s="79">
        <f ca="1">IF(controls!$B$10=1,T8,IF(SUM(controls!$B$44:$B$46)=2,U9-'main page'!$K$29*'normal case'!L9-(1-'main page'!$K$29)*'main page'!$K$32,U9-'main page'!$K$29*'normal case'!L9-(1-'main page'!$K$29)*'main page'!$U$8))</f>
        <v>3.4375</v>
      </c>
      <c r="U9" s="164">
        <f ca="1">IF(controls!$B$45=1,IF(controls!$B$46=1,'main page'!$K$24+'main page'!$K$11+'main page'!$U$8,'main page'!$K$24+'main page'!$K$11+'main page'!$K$32),IF(controls!$B$44=1,IF(V9&lt;0,0,V9),IF(V9+'main page'!$K$11&lt;0,0,V9+'main page'!$K$11)))</f>
        <v>5.1875</v>
      </c>
      <c r="V9" s="63">
        <f ca="1">IF(controls!$B$10=1,'normal case'!T9+'normal case'!L9,'normal case'!W9)</f>
        <v>5.1875</v>
      </c>
      <c r="W9" s="61">
        <f t="shared" ca="1" si="1"/>
        <v>5.1875</v>
      </c>
      <c r="X9" s="166">
        <f ca="1">IF(controls!$B$44=0,Y9+'main page'!$K$29*L9+(1-'main page'!$K$29)*'main page'!$U$8+(('main page'!$K$25*'main page'!$U$13*'main page'!$K$29)/('main page'!$K$27*(1+('main page'!$K$25^2)*'main page'!$U$13)))*(L9-('main page'!$U$8/100)*100),Y9+'main page'!$K$29*L9+(1-'main page'!$K$29)*'main page'!$U$8+(('main page'!$K$25*'main page'!$U$13*'normal case'!$AV$3)/'normal case'!$AV$4)*('normal case'!L9-'main page'!$U$8))</f>
        <v>5.1875</v>
      </c>
      <c r="Y9" s="81">
        <f ca="1">IF(controls!$B$44=1,'main page'!$K$24+'main page'!$K$11,IF(controls!$B$33=1,((I10-D9*AD10-K10-B10+B9*AC10)/'main page'!$K$27)-'main page'!$K$11,((H10-D9*AD10-J10-B10+B9*AC10)/'main page'!$K$27)-'main page'!$K$11))</f>
        <v>3.5</v>
      </c>
      <c r="AA9" s="58">
        <f>IF(controls!$B$6=1,$AS$3*(1+('main page'!$K$35/100))^AB9-$AS$3*(1+('main page'!$K$35/100))^AB8,$AS$3*(1+('main page'!$G$8/100))*(1+('main page'!$K$35/100))^AB9-$AS$3*(1+('main page'!$G$8/100))*(1+('main page'!$K$35/100))^AB8)</f>
        <v>0</v>
      </c>
      <c r="AB9" s="60">
        <v>2</v>
      </c>
      <c r="AC9" s="125">
        <v>0</v>
      </c>
      <c r="AD9" s="36">
        <v>0</v>
      </c>
      <c r="AE9" s="44">
        <f ca="1">IF(controls!$B$33=1,D9-($I$3-'main page'!$K$27*2)*(1+('main page'!$K$35/100))^A8,D9-$AS$4)</f>
        <v>1.25</v>
      </c>
      <c r="AF9" s="44">
        <f ca="1">ABS(L9-('main page'!$U$8/100)*100)</f>
        <v>0.25</v>
      </c>
      <c r="AH9" s="44">
        <f ca="1">IF(controls!$B$33=1,(B10-B9*AC10-I10+D9*AD10+'main page'!$K$27*('main page'!$K$24+'main page'!$K$11)+K10)/'main page'!$K$31,(B10-B9*AC10+D9*AD10-H10+'main page'!$K$27*('main page'!$K$24+'main page'!$K$11)+J10)/'main page'!$K$31)</f>
        <v>1</v>
      </c>
      <c r="AI9" s="44">
        <f ca="1">IF(controls!$B$45=1,LOG(AM9,1.01)+LOG(AL9,1.01)-LOG(AK9,1.01),-((T9-('main page'!$K$24+'main page'!$K$11))/(1-'normal case'!$AV$3))+'normal case'!AH9)</f>
        <v>2.125</v>
      </c>
      <c r="AJ9" s="80">
        <f t="shared" ca="1" si="2"/>
        <v>1.0538728442943968</v>
      </c>
      <c r="AK9" s="44">
        <f t="shared" ca="1" si="3"/>
        <v>1.1069355853709999</v>
      </c>
      <c r="AL9" s="44">
        <f>AL8*(1+'main page'!$K$32/100)</f>
        <v>1</v>
      </c>
      <c r="AM9" s="44">
        <f ca="1">IF(ABS(IF(controls!$B$45=1,$AS$12,AK9*AJ9/AL9)-AM8)&lt;0.00001,AM8,IF(controls!$B$45=1,$AS$12,AK9*AJ9/AL9))</f>
        <v>1.1665693538056188</v>
      </c>
      <c r="AN9" s="44">
        <f>IF(controls!$B$46=0,0,IF(controls!$B$33=2,B10-B9*AC10-('normal case'!H10-D9*AD10-'main page'!$K$27*'normal case'!T9+'main page'!$K$31*'normal case'!AI9)-(('main page'!$K$25*'main page'!$U$13*'main page'!$K$29)/(1+('main page'!$K$25^2)*'main page'!$U$13))*('normal case'!L9-'main page'!$U$8),B10-B9*AC10-('normal case'!I10-D9*AD10-'main page'!$K$27*'normal case'!T9+'main page'!$K$31*'normal case'!AI9)-(('main page'!$K$25*'main page'!$U$13*'main page'!$K$29)/(1+('main page'!$K$25^2)*'main page'!$U$13))*('normal case'!L9-'main page'!$U$8)))</f>
        <v>0</v>
      </c>
      <c r="AO9" s="63" t="s">
        <v>185</v>
      </c>
      <c r="AP9" s="177">
        <f>(I6+'main page'!$K$27*$AS$5*('main page'!$K$35/100))/(1+('main page'!$K$35/100))</f>
        <v>108</v>
      </c>
      <c r="AR9" s="167" t="s">
        <v>130</v>
      </c>
      <c r="AS9" s="43">
        <v>0</v>
      </c>
      <c r="AU9" s="36"/>
      <c r="AV9" s="36"/>
    </row>
    <row r="10" spans="1:60">
      <c r="A10" s="43">
        <v>8</v>
      </c>
      <c r="B10" s="62">
        <f ca="1">IF(controls!$B$33=1,B9*(1+AC10)+AA10,B9*(1+AC10))</f>
        <v>101</v>
      </c>
      <c r="C10" s="67">
        <f t="shared" ca="1" si="4"/>
        <v>-1.2345679012345512E-3</v>
      </c>
      <c r="D10" s="64">
        <f t="shared" ca="1" si="0"/>
        <v>101.125</v>
      </c>
      <c r="E10" s="64">
        <f ca="1">AN9+IF(controls!$B$33=1,G10,F10)</f>
        <v>101.125</v>
      </c>
      <c r="F10" s="78">
        <f ca="1">IF(controls!$B$44=0,H10-'main page'!$K$27*T9,H10-'main page'!$K$27*T9+'main page'!$K$31*AI9)</f>
        <v>101.125</v>
      </c>
      <c r="G10" s="62">
        <f ca="1">IF(controls!$B$44=0,I10-'main page'!$K$27*T9,I10-'main page'!$K$27*T9+'main page'!$K$31*'normal case'!AI9)</f>
        <v>101.125</v>
      </c>
      <c r="H10" s="62">
        <f ca="1">IF(controls!$B$31=2,H9+D9*AD10+J10,H9+D9*AD10+J10-J9)</f>
        <v>108</v>
      </c>
      <c r="I10" s="62">
        <f ca="1">IF(controls!$B$31=2,I9+D9*AD10+AA10+K10,I9+D9*AD10+AA10+K10-K9)</f>
        <v>108</v>
      </c>
      <c r="J10" s="79">
        <f>IF(controls!B46=1,0,IF(controls!$B$30=3,('main page'!$U$22/100)*'normal case'!H9,))</f>
        <v>0</v>
      </c>
      <c r="K10" s="79">
        <f>IF(controls!B46=1,0,IF(controls!$B$30=3,('main page'!$U$22/100)*'normal case'!I9,))</f>
        <v>0</v>
      </c>
      <c r="L10" s="62">
        <f ca="1">IF(ABS('main page'!G14+'main page'!$K$29*L9+(1-'main page'!$K$29)*($AS$11/100)*100+'main page'!$K$25*(D10-B10)-L9)&lt;0.0000001,L9,'main page'!G14+'main page'!$K$29*L9+(1-'main page'!$K$29)*($AS$11/100)*100+'main page'!$K$25*(D10-B10))</f>
        <v>1.875</v>
      </c>
      <c r="M10" s="409">
        <f t="shared" ca="1" si="5"/>
        <v>1</v>
      </c>
      <c r="N10" s="409">
        <f t="shared" ref="N10:N45" ca="1" si="7">ABS(O10+P10)</f>
        <v>0.125</v>
      </c>
      <c r="O10" s="409">
        <f ca="1">'main page'!G14+'main page'!$K$29*M9+(1-'main page'!$K$29)*($AQ$11/100)*100</f>
        <v>1</v>
      </c>
      <c r="P10" s="409">
        <f ca="1">'main page'!$K$25*(D10-B10)-M9</f>
        <v>-0.875</v>
      </c>
      <c r="Q10" s="409">
        <f ca="1">(1-'main page'!$K$29)*($AS$11/100)*100+'main page'!$K$25*(D10-B10)</f>
        <v>0.125</v>
      </c>
      <c r="R10" s="409">
        <f ca="1">'main page'!G14+'main page'!$K$29*M9</f>
        <v>1</v>
      </c>
      <c r="S10" s="409">
        <f t="shared" ca="1" si="6"/>
        <v>1.125</v>
      </c>
      <c r="T10" s="79">
        <f ca="1">IF(controls!$B$10=1,T9,IF(SUM(controls!$B$44:$B$46)=2,U10-'main page'!$K$29*'normal case'!L10-(1-'main page'!$K$29)*'main page'!$K$32,U10-'main page'!$K$29*'normal case'!L10-(1-'main page'!$K$29)*'main page'!$U$8))</f>
        <v>3.46875</v>
      </c>
      <c r="U10" s="164">
        <f ca="1">IF(controls!$B$45=1,IF(controls!$B$46=1,'main page'!$K$24+'main page'!$K$11+'main page'!$U$8,'main page'!$K$24+'main page'!$K$11+'main page'!$K$32),IF(controls!$B$44=1,IF(V10&lt;0,0,V10),IF(V10+'main page'!$K$11&lt;0,0,V10+'main page'!$K$11)))</f>
        <v>5.34375</v>
      </c>
      <c r="V10" s="63">
        <f ca="1">IF(controls!$B$10=1,'normal case'!T10+'normal case'!L10,'normal case'!W10)</f>
        <v>5.34375</v>
      </c>
      <c r="W10" s="61">
        <f t="shared" ca="1" si="1"/>
        <v>5.34375</v>
      </c>
      <c r="X10" s="166">
        <f ca="1">IF(controls!$B$44=0,Y10+'main page'!$K$29*L10+(1-'main page'!$K$29)*'main page'!$U$8+(('main page'!$K$25*'main page'!$U$13*'main page'!$K$29)/('main page'!$K$27*(1+('main page'!$K$25^2)*'main page'!$U$13)))*(L10-('main page'!$U$8/100)*100),Y10+'main page'!$K$29*L10+(1-'main page'!$K$29)*'main page'!$U$8+(('main page'!$K$25*'main page'!$U$13*'normal case'!$AV$3)/'normal case'!$AV$4)*('normal case'!L10-'main page'!$U$8))</f>
        <v>5.34375</v>
      </c>
      <c r="Y10" s="81">
        <f ca="1">IF(controls!$B$44=1,'main page'!$K$24+'main page'!$K$11,IF(controls!$B$33=1,((I11-D10*AD11-K11-B11+B10*AC11)/'main page'!$K$27)-'main page'!$K$11,((H11-D10*AD11-J11-B11+B10*AC11)/'main page'!$K$27)-'main page'!$K$11))</f>
        <v>3.5</v>
      </c>
      <c r="AA10" s="58">
        <f>IF(controls!$B$6=1,$AS$3*(1+('main page'!$K$35/100))^AB10-$AS$3*(1+('main page'!$K$35/100))^AB9,$AS$3*(1+('main page'!$G$8/100))*(1+('main page'!$K$35/100))^AB10-$AS$3*(1+('main page'!$G$8/100))*(1+('main page'!$K$35/100))^AB9)</f>
        <v>0</v>
      </c>
      <c r="AB10" s="60">
        <v>3</v>
      </c>
      <c r="AC10" s="125">
        <v>0</v>
      </c>
      <c r="AD10" s="36">
        <v>0</v>
      </c>
      <c r="AE10" s="44">
        <f ca="1">IF(controls!$B$33=1,D10-($I$3-'main page'!$K$27*2)*(1+('main page'!$K$35/100))^A9,D10-$AS$4)</f>
        <v>1.125</v>
      </c>
      <c r="AF10" s="44">
        <f ca="1">ABS(L10-('main page'!$U$8/100)*100)</f>
        <v>0.125</v>
      </c>
      <c r="AH10" s="44">
        <f ca="1">IF(controls!$B$33=1,(B11-B10*AC11-I11+D10*AD11+'main page'!$K$27*('main page'!$K$24+'main page'!$K$11)+K11)/'main page'!$K$31,(B11-B10*AC11+D10*AD11-H11+'main page'!$K$27*('main page'!$K$24+'main page'!$K$11)+J11)/'main page'!$K$31)</f>
        <v>1</v>
      </c>
      <c r="AI10" s="44">
        <f ca="1">IF(controls!$B$45=1,LOG(AM10,1.01)+LOG(AL10,1.01)-LOG(AK10,1.01),-((T10-('main page'!$K$24+'main page'!$K$11))/(1-'normal case'!$AV$3))+'normal case'!AH10)</f>
        <v>2.0625</v>
      </c>
      <c r="AJ10" s="80">
        <f t="shared" ca="1" si="2"/>
        <v>1.0522476690574327</v>
      </c>
      <c r="AK10" s="44">
        <f t="shared" ca="1" si="3"/>
        <v>1.1276906275967062</v>
      </c>
      <c r="AL10" s="44">
        <f>AL9*(1+'main page'!$K$32/100)</f>
        <v>1</v>
      </c>
      <c r="AM10" s="44">
        <f ca="1">IF(ABS(IF(controls!$B$45=1,$AS$12,AK10*AJ10/AL10)-AM9)&lt;0.00001,AM9,IF(controls!$B$45=1,$AS$12,AK10*AJ10/AL10))</f>
        <v>1.1866098343065477</v>
      </c>
      <c r="AN10" s="44">
        <f>IF(controls!$B$46=0,0,IF(controls!$B$33=2,B11-B10*AC11-('normal case'!H11-D10*AD11-'main page'!$K$27*'normal case'!T10+'main page'!$K$31*'normal case'!AI10)-(('main page'!$K$25*'main page'!$U$13*'main page'!$K$29)/(1+('main page'!$K$25^2)*'main page'!$U$13))*('normal case'!L10-'main page'!$U$8),B11-B10*AC11-('normal case'!I11-D10*AD11-'main page'!$K$27*'normal case'!T10+'main page'!$K$31*'normal case'!AI10)-(('main page'!$K$25*'main page'!$U$13*'main page'!$K$29)/(1+('main page'!$K$25^2)*'main page'!$U$13))*('normal case'!L10-'main page'!$U$8)))</f>
        <v>0</v>
      </c>
      <c r="AO10" s="63" t="s">
        <v>186</v>
      </c>
      <c r="AP10" s="43">
        <f>IF(controls!$B$33=1,($AS$3/(1+('main page'!$K$35/100))^2),B4)</f>
        <v>100</v>
      </c>
      <c r="AS10" s="43" t="s">
        <v>165</v>
      </c>
      <c r="AU10" s="36"/>
      <c r="AV10" s="36"/>
    </row>
    <row r="11" spans="1:60">
      <c r="A11" s="43">
        <v>9</v>
      </c>
      <c r="B11" s="62">
        <f ca="1">IF(controls!$B$33=1,B10*(1+AC11)+AA11,B10*(1+AC11))</f>
        <v>101</v>
      </c>
      <c r="C11" s="67">
        <f t="shared" ca="1" si="4"/>
        <v>-6.1804697156986332E-4</v>
      </c>
      <c r="D11" s="64">
        <f t="shared" ca="1" si="0"/>
        <v>101.0625</v>
      </c>
      <c r="E11" s="64">
        <f ca="1">AN10+IF(controls!$B$33=1,G11,F11)</f>
        <v>101.0625</v>
      </c>
      <c r="F11" s="78">
        <f ca="1">IF(controls!$B$44=0,H11-'main page'!$K$27*T10,H11-'main page'!$K$27*T10+'main page'!$K$31*AI10)</f>
        <v>101.0625</v>
      </c>
      <c r="G11" s="62">
        <f ca="1">IF(controls!$B$44=0,I11-'main page'!$K$27*T10,I11-'main page'!$K$27*T10+'main page'!$K$31*'normal case'!AI10)</f>
        <v>101.0625</v>
      </c>
      <c r="H11" s="62">
        <f ca="1">IF(controls!$B$31=2,H10+D10*AD11+J11,H10+D10*AD11+J11-J10)</f>
        <v>108</v>
      </c>
      <c r="I11" s="62">
        <f ca="1">IF(controls!$B$31=2,I10+D10*AD11+AA11+K11,I10+D10*AD11+AA11+K11-K10)</f>
        <v>108</v>
      </c>
      <c r="J11" s="79">
        <f>IF(controls!B46=1,0,IF(controls!$B$30=4,('main page'!$U$22/100)*'normal case'!H10,))</f>
        <v>0</v>
      </c>
      <c r="K11" s="79">
        <f>IF(controls!B46=1,0,IF(controls!$B$30=4,('main page'!$U$22/100)*'normal case'!I10,))</f>
        <v>0</v>
      </c>
      <c r="L11" s="62">
        <f ca="1">IF(ABS('main page'!G15+'main page'!$K$29*L10+(1-'main page'!$K$29)*($AS$11/100)*100+'main page'!$K$25*(D11-B11)-L10)&lt;0.0000001,L10,'main page'!G15+'main page'!$K$29*L10+(1-'main page'!$K$29)*($AS$11/100)*100+'main page'!$K$25*(D11-B11))</f>
        <v>1.9375</v>
      </c>
      <c r="M11" s="409">
        <f t="shared" ca="1" si="5"/>
        <v>1</v>
      </c>
      <c r="N11" s="409">
        <f t="shared" ca="1" si="7"/>
        <v>6.25E-2</v>
      </c>
      <c r="O11" s="409">
        <f ca="1">'main page'!G15+'main page'!$K$29*M10+(1-'main page'!$K$29)*($AQ$11/100)*100</f>
        <v>1</v>
      </c>
      <c r="P11" s="409">
        <f ca="1">'main page'!$K$25*(D11-B11)-M10</f>
        <v>-0.9375</v>
      </c>
      <c r="Q11" s="409">
        <f ca="1">(1-'main page'!$K$29)*($AS$11/100)*100+'main page'!$K$25*(D11-B11)</f>
        <v>6.25E-2</v>
      </c>
      <c r="R11" s="409">
        <f ca="1">'main page'!G15+'main page'!$K$29*M10</f>
        <v>1</v>
      </c>
      <c r="S11" s="409">
        <f t="shared" ca="1" si="6"/>
        <v>1.0625</v>
      </c>
      <c r="T11" s="79">
        <f ca="1">IF(controls!$B$10=1,T10,IF(SUM(controls!$B$44:$B$46)=2,U11-'main page'!$K$29*'normal case'!L11-(1-'main page'!$K$29)*'main page'!$K$32,U11-'main page'!$K$29*'normal case'!L11-(1-'main page'!$K$29)*'main page'!$U$8))</f>
        <v>3.484375</v>
      </c>
      <c r="U11" s="164">
        <f ca="1">IF(controls!$B$45=1,IF(controls!$B$46=1,'main page'!$K$24+'main page'!$K$11+'main page'!$U$8,'main page'!$K$24+'main page'!$K$11+'main page'!$K$32),IF(controls!$B$44=1,IF(V11&lt;0,0,V11),IF(V11+'main page'!$K$11&lt;0,0,V11+'main page'!$K$11)))</f>
        <v>5.421875</v>
      </c>
      <c r="V11" s="63">
        <f ca="1">IF(controls!$B$10=1,'normal case'!T11+'normal case'!L11,'normal case'!W11)</f>
        <v>5.421875</v>
      </c>
      <c r="W11" s="61">
        <f t="shared" ca="1" si="1"/>
        <v>5.421875</v>
      </c>
      <c r="X11" s="166">
        <f ca="1">IF(controls!$B$44=0,Y11+'main page'!$K$29*L11+(1-'main page'!$K$29)*'main page'!$U$8+(('main page'!$K$25*'main page'!$U$13*'main page'!$K$29)/('main page'!$K$27*(1+('main page'!$K$25^2)*'main page'!$U$13)))*(L11-('main page'!$U$8/100)*100),Y11+'main page'!$K$29*L11+(1-'main page'!$K$29)*'main page'!$U$8+(('main page'!$K$25*'main page'!$U$13*'normal case'!$AV$3)/'normal case'!$AV$4)*('normal case'!L11-'main page'!$U$8))</f>
        <v>5.421875</v>
      </c>
      <c r="Y11" s="81">
        <f ca="1">IF(controls!$B$44=1,'main page'!$K$24+'main page'!$K$11,IF(controls!$B$33=1,((I12-D11*AD12-K12-B12+B11*AC12)/'main page'!$K$27)-'main page'!$K$11,((H12-D11*AD12-J12-B12+B11*AC12)/'main page'!$K$27)-'main page'!$K$11))</f>
        <v>3.5</v>
      </c>
      <c r="AA11" s="58">
        <f>IF(controls!$B$6=1,$AS$3*(1+('main page'!$K$35/100))^AB11-$AS$3*(1+('main page'!$K$35/100))^AB10,$AS$3*(1+('main page'!$G$8/100))*(1+('main page'!$K$35/100))^AB11-$AS$3*(1+('main page'!$G$8/100))*(1+('main page'!$K$35/100))^AB10)</f>
        <v>0</v>
      </c>
      <c r="AB11" s="60">
        <v>4</v>
      </c>
      <c r="AC11" s="125">
        <f ca="1">IF(controls!$B$4=1,IF(controls!$H10=1,controls!$B$34*AC10+RAND()*('main page'!$K$16/100)-RAND()*('main page'!$K$16/100),0),0)</f>
        <v>0</v>
      </c>
      <c r="AD11" s="36">
        <f ca="1">IF(controls!$B$4=1,IF(controls!$I10=1,controls!$B$34*AD10+RAND()*('main page'!$K$16/100)-RAND()*('main page'!$K$16/100),0),0)</f>
        <v>0</v>
      </c>
      <c r="AE11" s="44">
        <f ca="1">IF(controls!$B$33=1,D11-($I$3-'main page'!$K$27*2)*(1+('main page'!$K$35/100))^A10,D11-$AS$4)</f>
        <v>1.0625</v>
      </c>
      <c r="AF11" s="44">
        <f ca="1">ABS(L11-('main page'!$U$8/100)*100)</f>
        <v>6.25E-2</v>
      </c>
      <c r="AH11" s="44">
        <f ca="1">IF(controls!$B$33=1,(B12-B11*AC12-I12+D11*AD12+'main page'!$K$27*('main page'!$K$24+'main page'!$K$11)+K12)/'main page'!$K$31,(B12-B11*AC12+D11*AD12-H12+'main page'!$K$27*('main page'!$K$24+'main page'!$K$11)+J12)/'main page'!$K$31)</f>
        <v>1</v>
      </c>
      <c r="AI11" s="44">
        <f ca="1">IF(controls!$B$45=1,LOG(AM11,1.01)+LOG(AL11,1.01)-LOG(AK11,1.01),-((T11-('main page'!$K$24+'main page'!$K$11))/(1-'normal case'!$AV$3))+'normal case'!AH11)</f>
        <v>2.03125</v>
      </c>
      <c r="AJ11" s="80">
        <f t="shared" ca="1" si="2"/>
        <v>1.051436021497963</v>
      </c>
      <c r="AK11" s="44">
        <f t="shared" ca="1" si="3"/>
        <v>1.1495396335063923</v>
      </c>
      <c r="AL11" s="44">
        <f>AL10*(1+'main page'!$K$32/100)</f>
        <v>1</v>
      </c>
      <c r="AM11" s="44">
        <f ca="1">IF(ABS(IF(controls!$B$45=1,$AS$12,AK11*AJ11/AL11)-AM10)&lt;0.00001,AM10,IF(controls!$B$45=1,$AS$12,AK11*AJ11/AL11))</f>
        <v>1.2086673788081876</v>
      </c>
      <c r="AN11" s="44">
        <f>IF(controls!$B$46=0,0,IF(controls!$B$33=2,B12-B11*AC12-('normal case'!H12-D11*AD12-'main page'!$K$27*'normal case'!T11+'main page'!$K$31*'normal case'!AI11)-(('main page'!$K$25*'main page'!$U$13*'main page'!$K$29)/(1+('main page'!$K$25^2)*'main page'!$U$13))*('normal case'!L11-'main page'!$U$8),B12-B11*AC12-('normal case'!I12-D11*AD12-'main page'!$K$27*'normal case'!T11+'main page'!$K$31*'normal case'!AI11)-(('main page'!$K$25*'main page'!$U$13*'main page'!$K$29)/(1+('main page'!$K$25^2)*'main page'!$U$13))*('normal case'!L11-'main page'!$U$8)))</f>
        <v>0</v>
      </c>
      <c r="AP11" s="52" t="b">
        <v>0</v>
      </c>
      <c r="AR11" s="43" t="s">
        <v>166</v>
      </c>
      <c r="AS11" s="43">
        <f>IF(controls!$B$44+controls!$B$45+controls!$B$46=2,'main page'!$K$32,'main page'!$U$8)</f>
        <v>2</v>
      </c>
      <c r="AU11" s="36"/>
      <c r="AV11" s="36"/>
      <c r="BD11" s="43">
        <f ca="1">IF(ABS((D11/D10-1)-C10)&lt;0.000001,C10,D11/D10-1)</f>
        <v>-6.1804697156986332E-4</v>
      </c>
      <c r="BE11" s="43">
        <f ca="1">IF(E11&gt;0,E11,0.1)</f>
        <v>101.0625</v>
      </c>
      <c r="BF11" s="43">
        <f ca="1">IF(controls!$B$10=1,T10,IF(SUM(controls!$B$44:$B$46)=2,U11-'main page'!$K$29*'normal case'!L11-(1-'main page'!$K$29)*'main page'!$K$32,U11-'main page'!$K$29*'normal case'!L11-(1-'main page'!$K$29)*'main page'!$U$8))</f>
        <v>3.484375</v>
      </c>
      <c r="BG11" s="43">
        <f ca="1">IF(controls!$B$45=1,IF(controls!$B$46=1,'main page'!$K$24+'main page'!$U$8,'main page'!$K$24+'main page'!$K$32),IF(V11&lt;0,0,V11))</f>
        <v>5.421875</v>
      </c>
      <c r="BH11" s="91">
        <f ca="1">'normal case'!L11</f>
        <v>1.9375</v>
      </c>
    </row>
    <row r="12" spans="1:60">
      <c r="A12" s="43">
        <v>10</v>
      </c>
      <c r="B12" s="62">
        <f ca="1">IF(controls!$B$33=1,B11*(1+AC12)+AA12,B11*(1+AC12))</f>
        <v>101</v>
      </c>
      <c r="C12" s="67">
        <f t="shared" ca="1" si="4"/>
        <v>-3.0921459492883052E-4</v>
      </c>
      <c r="D12" s="64">
        <f t="shared" ca="1" si="0"/>
        <v>101.03125</v>
      </c>
      <c r="E12" s="64">
        <f ca="1">AN11+IF(controls!$B$33=1,G12,F12)</f>
        <v>101.03125</v>
      </c>
      <c r="F12" s="64">
        <f ca="1">IF(controls!$B$44=0,H12-'main page'!$K$27*T11,H12-'main page'!$K$27*T11+'main page'!$K$31*AI11)</f>
        <v>101.03125</v>
      </c>
      <c r="G12" s="62">
        <f ca="1">IF(controls!$B$44=0,I12-'main page'!$K$27*T11,I12-'main page'!$K$27*T11+'main page'!$K$31*'normal case'!AI11)</f>
        <v>101.03125</v>
      </c>
      <c r="H12" s="62">
        <f ca="1">IF(controls!$B$31=2,H11+D11*AD12+J12,H11+D11*AD12+J12-J11)</f>
        <v>108</v>
      </c>
      <c r="I12" s="62">
        <f ca="1">IF(controls!$B$31=2,I11+D11*AD12+AA12+K12,I11+D11*AD12+AA12+K12-K11)</f>
        <v>108</v>
      </c>
      <c r="J12" s="79">
        <f>IF(controls!B46=1,0,IF(controls!$B$30=5,('main page'!$U$22/100)*'normal case'!H11,))</f>
        <v>0</v>
      </c>
      <c r="K12" s="79">
        <f>IF(controls!B46=1,0,IF(controls!$B$30=5,('main page'!$U$22/100)*'normal case'!I11,))</f>
        <v>0</v>
      </c>
      <c r="L12" s="62">
        <f ca="1">IF(ABS('main page'!G16+'main page'!$K$29*L11+(1-'main page'!$K$29)*($AS$11/100)*100+'main page'!$K$25*(D12-B12)-L11)&lt;0.0000001,L11,'main page'!G16+'main page'!$K$29*L11+(1-'main page'!$K$29)*($AS$11/100)*100+'main page'!$K$25*(D12-B12))</f>
        <v>1.96875</v>
      </c>
      <c r="M12" s="409">
        <f t="shared" ca="1" si="5"/>
        <v>1</v>
      </c>
      <c r="N12" s="409">
        <f t="shared" ca="1" si="7"/>
        <v>3.125E-2</v>
      </c>
      <c r="O12" s="409">
        <f ca="1">'main page'!G16+'main page'!$K$29*M11+(1-'main page'!$K$29)*($AQ$11/100)*100</f>
        <v>1</v>
      </c>
      <c r="P12" s="409">
        <f ca="1">'main page'!$K$25*(D12-B12)-M11</f>
        <v>-0.96875</v>
      </c>
      <c r="Q12" s="409">
        <f ca="1">(1-'main page'!$K$29)*($AS$11/100)*100+'main page'!$K$25*(D12-B12)</f>
        <v>3.125E-2</v>
      </c>
      <c r="R12" s="409">
        <f ca="1">'main page'!G16+'main page'!$K$29*M11</f>
        <v>1</v>
      </c>
      <c r="S12" s="409">
        <f t="shared" ca="1" si="6"/>
        <v>1.03125</v>
      </c>
      <c r="T12" s="79">
        <f ca="1">IF(controls!$B$10=1,T11,IF(SUM(controls!$B$44:$B$46)=2,U12-'main page'!$K$29*'normal case'!L12-(1-'main page'!$K$29)*'main page'!$K$32,U12-'main page'!$K$29*'normal case'!L12-(1-'main page'!$K$29)*controls!$B$9))</f>
        <v>3.4921875</v>
      </c>
      <c r="U12" s="164">
        <f ca="1">IF(controls!$B$45=1,IF(controls!$B$46=1,'main page'!$K$24+'main page'!$K$11+'main page'!$U$8,'main page'!$K$24+'main page'!$K$11+'main page'!$K$32),IF(controls!$B$44=1,IF(V12&lt;0,0,V12),IF(V12+'main page'!$K$11&lt;0,0,V12+'main page'!$K$11)))</f>
        <v>5.4609375</v>
      </c>
      <c r="V12" s="63">
        <f ca="1">IF(controls!$B$10=1,'normal case'!T12+'normal case'!L12,'normal case'!W12)</f>
        <v>5.4609375</v>
      </c>
      <c r="W12" s="61">
        <f t="shared" ca="1" si="1"/>
        <v>5.4609375</v>
      </c>
      <c r="X12" s="166">
        <f ca="1">IF(controls!$B$44=0,Y12+'main page'!$K$29*L12+(1-'main page'!$K$29)*controls!$B$9+(('main page'!$K$25*'main page'!$U$13*'main page'!$K$29)/('main page'!$K$27*(1+('main page'!$K$25^2)*'main page'!$U$13)))*(L12-controls!$B$9),Y12+'main page'!$K$29*L12+(1-'main page'!$K$29)*controls!$B$9+(('main page'!$K$25*'main page'!$U$13*'normal case'!$AV$3)/'normal case'!$AV$4)*('normal case'!L12-controls!$B$9))</f>
        <v>5.4609375</v>
      </c>
      <c r="Y12" s="81">
        <f ca="1">IF(controls!$B$44=1,'main page'!$K$24+'main page'!$K$11,IF(controls!$B$33=1,((I13-D12*AD13-K13-B13+B12*AC13)/'main page'!$K$27)-'main page'!$K$11,((H13-D12*AD13-J13-B13+B12*AC13)/'main page'!$K$27)-'main page'!$K$11))</f>
        <v>3.5</v>
      </c>
      <c r="Z12" s="43"/>
      <c r="AA12" s="58">
        <f>IF(controls!$B$6=1,$AS$3*(1+('main page'!$K$35/100))^AB12-$AS$3*(1+('main page'!$K$35/100))^AB11,$AS$3*(1+('main page'!$G$8/100))*(1+('main page'!$K$35/100))^AB12-$AS$3*(1+('main page'!$G$8/100))*(1+('main page'!$K$35/100))^AB11)</f>
        <v>0</v>
      </c>
      <c r="AB12" s="60">
        <v>5</v>
      </c>
      <c r="AC12" s="125">
        <v>0</v>
      </c>
      <c r="AD12" s="36">
        <v>0</v>
      </c>
      <c r="AE12" s="44">
        <f ca="1">IF(controls!$B$33=1,D12-($I$3-'main page'!$K$27*2)*(1+('main page'!$K$35/100))^A11,D12-$AS$4)</f>
        <v>1.03125</v>
      </c>
      <c r="AF12" s="44">
        <f ca="1">ABS(L12-(controls!$B$9/100)*100)</f>
        <v>3.125E-2</v>
      </c>
      <c r="AH12" s="44">
        <f ca="1">IF(controls!$B$33=1,(B13-B12*AC13-I13+D12*AD13+'main page'!$K$27*('main page'!$K$24+'main page'!$K$11)+K13)/'main page'!$K$31,(B13-B12*AC13+D12*AD13-H13+'main page'!$K$27*('main page'!$K$24+'main page'!$K$11)+J13)/'main page'!$K$31)</f>
        <v>1</v>
      </c>
      <c r="AI12" s="44">
        <f ca="1">IF(controls!$B$45=1,LOG(AM12,1.01)+LOG(AL12,1.01)-LOG(AK12,1.01),-((T12-('main page'!$K$24+'main page'!$K$11))/(1-'normal case'!$AV$3))+'normal case'!AH12)</f>
        <v>2.015625</v>
      </c>
      <c r="AJ12" s="80">
        <f t="shared" ca="1" si="2"/>
        <v>1.0510304325214839</v>
      </c>
      <c r="AK12" s="44">
        <f t="shared" ca="1" si="3"/>
        <v>1.1721711950410496</v>
      </c>
      <c r="AL12" s="44">
        <f>AL11*(1+'main page'!$K$32/100)</f>
        <v>1</v>
      </c>
      <c r="AM12" s="44">
        <f ca="1">IF(ABS(IF(controls!$B$45=1,$AS$13,AK12*AJ12/AL12)-AM11)&lt;0.00001,AM11,IF(controls!$B$45=1,$AS$13,AK12*AJ12/AL12))</f>
        <v>1.2319875981132189</v>
      </c>
      <c r="AN12" s="44">
        <f>IF(controls!$B$46=0,0,IF(controls!$B$33=2,B13-B12*AC13-('normal case'!H13-D12*AD13-'main page'!$K$27*'normal case'!T12+'main page'!$K$31*(LOG(AM11,1.01)+LOG(AL12,1.01)-LOG(AK12,1.01)))-(('main page'!$K$25*'main page'!$U$13*'main page'!$K$29)/(1+('main page'!$K$25^2)*'main page'!$U$13))*('normal case'!L12-'main page'!$U$8),B13-B12*AC13-('normal case'!I13-D12*AD13-'main page'!$K$27*'normal case'!T12+'main page'!$K$31*(LN(AM11)+LN(AL12)-LN(AK12)))-(('main page'!$K$25*'main page'!$U$13*'main page'!$K$29)/(1+('main page'!$K$25^2)*'main page'!$U$13))*('normal case'!L12-'main page'!$U$8)))</f>
        <v>0</v>
      </c>
      <c r="AR12" s="43" t="s">
        <v>159</v>
      </c>
      <c r="AS12" s="43">
        <v>1</v>
      </c>
      <c r="AU12" s="36"/>
      <c r="AV12" s="36"/>
    </row>
    <row r="13" spans="1:60">
      <c r="A13" s="43">
        <v>11</v>
      </c>
      <c r="B13" s="62">
        <f ca="1">IF(controls!$B$33=1,B12*(1+AC13)+AA13,B12*(1+AC13))</f>
        <v>101</v>
      </c>
      <c r="C13" s="67">
        <f t="shared" ca="1" si="4"/>
        <v>-1.5465511908441254E-4</v>
      </c>
      <c r="D13" s="64">
        <f t="shared" ca="1" si="0"/>
        <v>101.015625</v>
      </c>
      <c r="E13" s="64">
        <f ca="1">AN12+IF(controls!$B$33=1,G13,F13)</f>
        <v>101.015625</v>
      </c>
      <c r="F13" s="78">
        <f ca="1">IF(controls!$B$44=0,H13-'main page'!$K$27*T12,H13-'main page'!$K$27*T12+'main page'!$K$31*AI12)</f>
        <v>101.015625</v>
      </c>
      <c r="G13" s="62">
        <f ca="1">IF(controls!$B$44=0,I13-'main page'!$K$27*T12,I13-'main page'!$K$27*T12+'main page'!$K$31*'normal case'!AI12)</f>
        <v>101.015625</v>
      </c>
      <c r="H13" s="62">
        <f ca="1">IF(controls!$B$31=2,H12+D12*AD13+J13,H12+D12*AD13+J13-J12)</f>
        <v>108</v>
      </c>
      <c r="I13" s="62">
        <f ca="1">IF(controls!$B$31=2,I12+D12*AD13+AA13+K13,I12+D12*AD13+AA13+K13-K12)</f>
        <v>108</v>
      </c>
      <c r="J13" s="79">
        <f>IF(controls!B46=1,0,IF(controls!$B$30=6,('main page'!$U$22/100)*'normal case'!H12,))</f>
        <v>0</v>
      </c>
      <c r="K13" s="79">
        <f>IF(controls!B46=1,0,IF(controls!$B$30=6,('main page'!$U$22/100)*'normal case'!I12,))</f>
        <v>0</v>
      </c>
      <c r="L13" s="62">
        <f ca="1">IF(ABS('main page'!G17+'main page'!$K$29*L12+(1-'main page'!$K$29)*($AS$11/100)*100+'main page'!$K$25*(D13-B13)-L12)&lt;0.0000001,L12,'main page'!G17+'main page'!$K$29*L12+(1-'main page'!$K$29)*($AS$11/100)*100+'main page'!$K$25*(D13-B13))</f>
        <v>1.984375</v>
      </c>
      <c r="M13" s="409">
        <f t="shared" ca="1" si="5"/>
        <v>1</v>
      </c>
      <c r="N13" s="409">
        <f t="shared" ca="1" si="7"/>
        <v>1.5625E-2</v>
      </c>
      <c r="O13" s="409">
        <f ca="1">'main page'!G17+'main page'!$K$29*M12+(1-'main page'!$K$29)*($AQ$11/100)*100</f>
        <v>1</v>
      </c>
      <c r="P13" s="409">
        <f ca="1">'main page'!$K$25*(D13-B13)-M12</f>
        <v>-0.984375</v>
      </c>
      <c r="Q13" s="409">
        <f ca="1">(1-'main page'!$K$29)*($AS$11/100)*100+'main page'!$K$25*(D13-B13)</f>
        <v>1.5625E-2</v>
      </c>
      <c r="R13" s="409">
        <f ca="1">'main page'!G17+'main page'!$K$29*M12</f>
        <v>1</v>
      </c>
      <c r="S13" s="409">
        <f t="shared" ca="1" si="6"/>
        <v>1.015625</v>
      </c>
      <c r="T13" s="79">
        <f ca="1">IF(controls!$B$10=1,T12,IF(SUM(controls!$B$44:$B$46)=2,U13-'main page'!$K$29*'normal case'!L13-(1-'main page'!$K$29)*'main page'!$K$32,U13-'main page'!$K$29*'normal case'!L13-(1-'main page'!$K$29)*controls!$B$9))</f>
        <v>3.49609375</v>
      </c>
      <c r="U13" s="164">
        <f ca="1">IF(controls!$B$45=1,IF(controls!$B$46=1,'main page'!$K$24+'main page'!$K$11+'main page'!$U$8,'main page'!$K$24+'main page'!$K$11+'main page'!$K$32),IF(controls!$B$44=1,IF(V13&lt;0,0,V13),IF(V13+'main page'!$K$11&lt;0,0,V13+'main page'!$K$11)))</f>
        <v>5.48046875</v>
      </c>
      <c r="V13" s="63">
        <f ca="1">IF(controls!$B$10=1,'normal case'!T13+'normal case'!L13,'normal case'!W13)</f>
        <v>5.48046875</v>
      </c>
      <c r="W13" s="61">
        <f t="shared" ca="1" si="1"/>
        <v>5.48046875</v>
      </c>
      <c r="X13" s="166">
        <f ca="1">IF(controls!$B$44=0,Y13+'main page'!$K$29*L13+(1-'main page'!$K$29)*controls!$B$9+(('main page'!$K$25*'main page'!$U$13*'main page'!$K$29)/('main page'!$K$27*(1+('main page'!$K$25^2)*'main page'!$U$13)))*(L13-controls!$B$9),Y13+'main page'!$K$29*L13+(1-'main page'!$K$29)*controls!$B$9+(('main page'!$K$25*'main page'!$U$13*'normal case'!$AV$3)/'normal case'!$AV$4)*('normal case'!L13-controls!$B$9))</f>
        <v>5.48046875</v>
      </c>
      <c r="Y13" s="81">
        <f ca="1">IF(controls!$B$44=1,'main page'!$K$24+'main page'!$K$11,IF(controls!$B$33=1,((I14-D13*AD14-K14-B14+B13*AC14)/'main page'!$K$27)-'main page'!$K$11,((H14-D13*AD14-J14-B14+B13*AC14)/'main page'!$K$27)-'main page'!$K$11))</f>
        <v>3.5</v>
      </c>
      <c r="AA13" s="58">
        <f>IF(controls!$B$6=1,$AS$3*(1+('main page'!$K$35/100))^AB13-$AS$3*(1+('main page'!$K$35/100))^AB12,$AS$3*(1+('main page'!$G$8/100))*(1+('main page'!$K$35/100))^AB13-$AS$3*(1+('main page'!$G$8/100))*(1+('main page'!$K$35/100))^AB12)</f>
        <v>0</v>
      </c>
      <c r="AB13" s="60">
        <v>6</v>
      </c>
      <c r="AC13" s="125">
        <v>0</v>
      </c>
      <c r="AD13" s="36">
        <v>0</v>
      </c>
      <c r="AE13" s="44">
        <f ca="1">IF(controls!$B$33=1,D13-($I$3-'main page'!$K$27*2)*(1+('main page'!$K$35/100))^A12,D13-$AS$4)</f>
        <v>1.015625</v>
      </c>
      <c r="AF13" s="44">
        <f ca="1">ABS(L13-(controls!$B$9/100)*100)</f>
        <v>1.5625E-2</v>
      </c>
      <c r="AH13" s="44">
        <f ca="1">IF(controls!$B$33=1,(B14-B13*AC14-I14+D13*AD14+'main page'!$K$27*('main page'!$K$24+'main page'!$K$11)+K14)/'main page'!$K$31,(B14-B13*AC14+D13*AD14-H14+'main page'!$K$27*('main page'!$K$24+'main page'!$K$11)+J14)/'main page'!$K$31)</f>
        <v>1</v>
      </c>
      <c r="AI13" s="44">
        <f ca="1">IF(controls!$B$45=1,LOG(AM13,1.01)+LOG(AL13,1.01)-LOG(AK13,1.01),-((T13-('main page'!$K$24+'main page'!$K$11))/(1-'normal case'!$AV$3))+'normal case'!AH13)</f>
        <v>2.0078125</v>
      </c>
      <c r="AJ13" s="80">
        <f t="shared" ca="1" si="2"/>
        <v>1.05082769670764</v>
      </c>
      <c r="AK13" s="44">
        <f t="shared" ca="1" si="3"/>
        <v>1.1954314671926454</v>
      </c>
      <c r="AL13" s="44">
        <f>AL12*(1+'main page'!$K$32/100)</f>
        <v>1</v>
      </c>
      <c r="AM13" s="44">
        <f ca="1">IF(ABS(IF(controls!$B$45=1,$AS$13,AK13*AJ13/AL13)-AM12)&lt;0.00001,AM12,IF(controls!$B$45=1,$AS$13,AK13*AJ13/AL13))</f>
        <v>1.2561924952418821</v>
      </c>
      <c r="AN13" s="44">
        <f>IF(controls!$B$46=0,0,IF(controls!$B$33=2,B14-B13*AC14-('normal case'!H14-D13*AD14-'main page'!$K$27*'normal case'!T13+'main page'!$K$31*'normal case'!AI13)-(('main page'!$K$25*'main page'!$U$13*'main page'!$K$29)/(1+('main page'!$K$25^2)*'main page'!$U$13))*('normal case'!L13-'main page'!$U$8),B14-B13*AC14-('normal case'!I14-D13*AD14-'main page'!$K$27*'normal case'!T13+'main page'!$K$31*'normal case'!AI13)-(('main page'!$K$25*'main page'!$U$13*'main page'!$K$29)/(1+('main page'!$K$25^2)*'main page'!$U$13))*('normal case'!L13-'main page'!$U$8)))</f>
        <v>0</v>
      </c>
      <c r="AR13" s="43" t="s">
        <v>160</v>
      </c>
      <c r="AS13" s="43">
        <f>AS12*(1+'main page'!U16/100)</f>
        <v>1</v>
      </c>
      <c r="AU13" s="36"/>
      <c r="AV13" s="36"/>
    </row>
    <row r="14" spans="1:60">
      <c r="A14" s="43">
        <v>12</v>
      </c>
      <c r="B14" s="62">
        <f ca="1">IF(controls!$B$33=1,B13*(1+AC14)+AA14,B13*(1+AC14))</f>
        <v>101</v>
      </c>
      <c r="C14" s="67">
        <f t="shared" ca="1" si="4"/>
        <v>-7.7339520494934533E-5</v>
      </c>
      <c r="D14" s="64">
        <f t="shared" ca="1" si="0"/>
        <v>101.0078125</v>
      </c>
      <c r="E14" s="64">
        <f ca="1">AN13+IF(controls!$B$33=1,G14,F14)</f>
        <v>101.0078125</v>
      </c>
      <c r="F14" s="78">
        <f ca="1">IF(controls!$B$44=0,H14-'main page'!$K$27*T13,H14-'main page'!$K$27*T13+'main page'!$K$31*AI13)</f>
        <v>101.0078125</v>
      </c>
      <c r="G14" s="62">
        <f ca="1">IF(controls!$B$44=0,I14-'main page'!$K$27*T13,I14-'main page'!$K$27*T13+'main page'!$K$31*'normal case'!AI13)</f>
        <v>101.0078125</v>
      </c>
      <c r="H14" s="62">
        <f ca="1">IF(controls!$B$31=2,H13+D13*AD14+J14,H13+D13*AD14+J14-J13)</f>
        <v>108</v>
      </c>
      <c r="I14" s="62">
        <f ca="1">IF(controls!$B$31=2,I13+D13*AD14+AA14+K14,I13+D13*AD14+AA14+K14-K13)</f>
        <v>108</v>
      </c>
      <c r="J14" s="79">
        <f>IF(controls!B46=1,0,IF(controls!$B$30=7,('main page'!$U$22/100)*'normal case'!H13,))</f>
        <v>0</v>
      </c>
      <c r="K14" s="79">
        <f>IF(controls!B46=1,0,IF(controls!$B$30=7,('main page'!$U$22/100)*'normal case'!I13,))</f>
        <v>0</v>
      </c>
      <c r="L14" s="62">
        <f ca="1">IF(ABS('main page'!G18+'main page'!$K$29*L13+(1-'main page'!$K$29)*($AS$11/100)*100+'main page'!$K$25*(D14-B14)-L13)&lt;0.0000001,L13,'main page'!G18+'main page'!$K$29*L13+(1-'main page'!$K$29)*($AS$11/100)*100+'main page'!$K$25*(D14-B14))</f>
        <v>1.9921875</v>
      </c>
      <c r="M14" s="409">
        <f t="shared" ca="1" si="5"/>
        <v>1</v>
      </c>
      <c r="N14" s="409">
        <f t="shared" ca="1" si="7"/>
        <v>7.8125E-3</v>
      </c>
      <c r="O14" s="409">
        <f ca="1">'main page'!G18+'main page'!$K$29*M13+(1-'main page'!$K$29)*($AQ$11/100)*100</f>
        <v>1</v>
      </c>
      <c r="P14" s="409">
        <f ca="1">'main page'!$K$25*(D14-B14)-M13</f>
        <v>-0.9921875</v>
      </c>
      <c r="Q14" s="409">
        <f ca="1">(1-'main page'!$K$29)*($AS$11/100)*100+'main page'!$K$25*(D14-B14)</f>
        <v>7.8125E-3</v>
      </c>
      <c r="R14" s="409">
        <f ca="1">'main page'!G18+'main page'!$K$29*M13</f>
        <v>1</v>
      </c>
      <c r="S14" s="409">
        <f t="shared" ca="1" si="6"/>
        <v>1.0078125</v>
      </c>
      <c r="T14" s="79">
        <f ca="1">IF(controls!$B$10=1,T13,IF(SUM(controls!$B$44:$B$46)=2,U14-'main page'!$K$29*'normal case'!L14-(1-'main page'!$K$29)*'main page'!$K$32,U14-'main page'!$K$29*'normal case'!L14-(1-'main page'!$K$29)*controls!$B$9))</f>
        <v>3.498046875</v>
      </c>
      <c r="U14" s="164">
        <f ca="1">IF(controls!$B$45=1,IF(controls!$B$46=1,'main page'!$K$24+'main page'!$K$11+'main page'!$U$8,'main page'!$K$24+'main page'!$K$11+'main page'!$K$32),IF(controls!$B$44=1,IF(V14&lt;0,0,V14),IF(V14+'main page'!$K$11&lt;0,0,V14+'main page'!$K$11)))</f>
        <v>5.490234375</v>
      </c>
      <c r="V14" s="63">
        <f ca="1">IF(controls!$B$10=1,'normal case'!T14+'normal case'!L14,'normal case'!W14)</f>
        <v>5.490234375</v>
      </c>
      <c r="W14" s="61">
        <f t="shared" ca="1" si="1"/>
        <v>5.490234375</v>
      </c>
      <c r="X14" s="166">
        <f ca="1">IF(controls!$B$44=0,Y14+'main page'!$K$29*L14+(1-'main page'!$K$29)*controls!$B$9+(('main page'!$K$25*'main page'!$U$13*'main page'!$K$29)/('main page'!$K$27*(1+('main page'!$K$25^2)*'main page'!$U$13)))*(L14-controls!$B$9),Y14+'main page'!$K$29*L14+(1-'main page'!$K$29)*controls!$B$9+(('main page'!$K$25*'main page'!$U$13*'normal case'!$AV$3)/'normal case'!$AV$4)*('normal case'!L14-controls!$B$9))</f>
        <v>5.490234375</v>
      </c>
      <c r="Y14" s="81">
        <f ca="1">IF(controls!$B$44=1,'main page'!$K$24+'main page'!$K$11,IF(controls!$B$33=1,((I15-D14*AD15-K15-B15+B14*AC15)/'main page'!$K$27)-'main page'!$K$11,((H15-D14*AD15-J15-B15+B14*AC15)/'main page'!$K$27)-'main page'!$K$11))</f>
        <v>3.5</v>
      </c>
      <c r="AA14" s="58">
        <f>IF(controls!$B$6=1,$AS$3*(1+('main page'!$K$35/100))^AB14-$AS$3*(1+('main page'!$K$35/100))^AB13,$AS$3*(1+('main page'!$G$8/100))*(1+('main page'!$K$35/100))^AB14-$AS$3*(1+('main page'!$G$8/100))*(1+('main page'!$K$35/100))^AB13)</f>
        <v>0</v>
      </c>
      <c r="AB14" s="60">
        <v>7</v>
      </c>
      <c r="AC14" s="125">
        <f ca="1">IF(controls!$B$4=1,IF(controls!$H13=1,controls!$B$34*AC13+RAND()*('main page'!$K$16/100)-RAND()*('main page'!$K$16/100),0),0)</f>
        <v>0</v>
      </c>
      <c r="AD14" s="36">
        <f ca="1">IF(controls!$B$4=1,IF(controls!$I13=1,controls!$B$34*AD13+RAND()*('main page'!$K$16/100)-RAND()*('main page'!$K$16/100),0),0)</f>
        <v>0</v>
      </c>
      <c r="AE14" s="44">
        <f ca="1">IF(controls!$B$33=1,D14-($I$3-'main page'!$K$27*2)*(1+('main page'!$K$35/100))^A13,D14-$AS$4)</f>
        <v>1.0078125</v>
      </c>
      <c r="AF14" s="44">
        <f ca="1">ABS(L14-(controls!$B$9/100)*100)</f>
        <v>7.8125E-3</v>
      </c>
      <c r="AH14" s="44">
        <f ca="1">IF(controls!$B$33=1,(B15-B14*AC15-I15+D14*AD15+'main page'!$K$27*('main page'!$K$24+'main page'!$K$11)+K15)/'main page'!$K$31,(B15-B14*AC15+D14*AD15-H15+'main page'!$K$27*('main page'!$K$24+'main page'!$K$11)+J15)/'main page'!$K$31)</f>
        <v>1</v>
      </c>
      <c r="AI14" s="44">
        <f ca="1">IF(controls!$B$45=1,LOG(AM14,1.01)+LOG(AL14,1.01)-LOG(AK14,1.01),-((T14-('main page'!$K$24+'main page'!$K$11))/(1-'normal case'!$AV$3))+'normal case'!AH14)</f>
        <v>2.00390625</v>
      </c>
      <c r="AJ14" s="80">
        <f t="shared" ca="1" si="2"/>
        <v>1.0507263434660159</v>
      </c>
      <c r="AK14" s="44">
        <f t="shared" ca="1" si="3"/>
        <v>1.219246703453124</v>
      </c>
      <c r="AL14" s="44">
        <f>AL13*(1+'main page'!$K$32/100)</f>
        <v>1</v>
      </c>
      <c r="AM14" s="44">
        <f ca="1">IF(ABS(IF(controls!$B$45=1,$AS$13,AK14*AJ14/AL14)-AM13)&lt;0.00001,AM13,IF(controls!$B$45=1,$AS$13,AK14*AJ14/AL14))</f>
        <v>1.2810946305022948</v>
      </c>
      <c r="AN14" s="44">
        <f>IF(controls!$B$46=0,0,IF(controls!$B$33=2,B15-B14*AC15-('normal case'!H15-D14*AD15-'main page'!$K$27*'normal case'!T14+'main page'!$K$31*'normal case'!AI14)-(('main page'!$K$25*'main page'!$U$13*'main page'!$K$29)/(1+('main page'!$K$25^2)*'main page'!$U$13))*('normal case'!L14-'main page'!$U$8),B15-B14*AC15-('normal case'!I15-D14*AD15-'main page'!$K$27*'normal case'!T14+'main page'!$K$31*'normal case'!AI14)-(('main page'!$K$25*'main page'!$U$13*'main page'!$K$29)/(1+('main page'!$K$25^2)*'main page'!$U$13))*('normal case'!L14-'main page'!$U$8)))</f>
        <v>0</v>
      </c>
      <c r="AU14" s="36"/>
      <c r="AV14" s="36"/>
      <c r="BD14" s="43">
        <f ca="1">IF(ABS((D14/D13-1)-C13)&lt;0.000001,C13,D14/D13-1)</f>
        <v>-7.7339520494934533E-5</v>
      </c>
      <c r="BE14" s="43">
        <f ca="1">IF(E14&gt;0,E14,0.1)</f>
        <v>101.0078125</v>
      </c>
      <c r="BF14" s="43">
        <f ca="1">IF(controls!$B$10=1,T13,IF(SUM(controls!$B$44:$B$46)=2,U14-'main page'!$K$29*'normal case'!L14-(1-'main page'!$K$29)*'main page'!$K$32,U14-'main page'!$K$29*'normal case'!L14-(1-'main page'!$K$29)*'main page'!$U$8))</f>
        <v>3.498046875</v>
      </c>
      <c r="BG14" s="43">
        <f ca="1">IF(controls!$B$45=1,IF(controls!$B$46=1,'main page'!$K$24+'main page'!$U$8,'main page'!$K$24+'main page'!$K$32),IF(V14&lt;0,0,V14))</f>
        <v>5.490234375</v>
      </c>
      <c r="BH14" s="91">
        <f ca="1">'normal case'!L14</f>
        <v>1.9921875</v>
      </c>
    </row>
    <row r="15" spans="1:60">
      <c r="A15" s="43">
        <v>13</v>
      </c>
      <c r="B15" s="62">
        <f ca="1">IF(controls!$B$33=1,B14*(1+AC15)+AA15,B14*(1+AC15))</f>
        <v>101</v>
      </c>
      <c r="C15" s="67">
        <f t="shared" ca="1" si="4"/>
        <v>-3.8672751179524845E-5</v>
      </c>
      <c r="D15" s="64">
        <f t="shared" ca="1" si="0"/>
        <v>101.00390625</v>
      </c>
      <c r="E15" s="64">
        <f ca="1">AN14+IF(controls!$B$33=1,G15,F15)</f>
        <v>101.00390625</v>
      </c>
      <c r="F15" s="78">
        <f ca="1">IF(controls!$B$44=0,H15-'main page'!$K$27*T14,H15-'main page'!$K$27*T14+'main page'!$K$31*AI14)</f>
        <v>101.00390625</v>
      </c>
      <c r="G15" s="62">
        <f ca="1">IF(controls!$B$44=0,I15-'main page'!$K$27*T14,I15-'main page'!$K$27*T14+'main page'!$K$31*'normal case'!AI14)</f>
        <v>101.00390625</v>
      </c>
      <c r="H15" s="62">
        <f ca="1">IF(controls!$B$31=2,H14+D14*AD15+J15,H14+D14*AD15+J15-J14)</f>
        <v>108</v>
      </c>
      <c r="I15" s="62">
        <f ca="1">IF(controls!$B$31=2,I14+D14*AD15+AA15+K15,I14+D14*AD15+AA15+K15-K14)</f>
        <v>108</v>
      </c>
      <c r="J15" s="79">
        <f>IF(controls!B46=1,0,IF(controls!$B$30=8,('main page'!$U$22/100)*'normal case'!H14,))</f>
        <v>0</v>
      </c>
      <c r="K15" s="79">
        <f>IF(controls!B46=1,0,IF(controls!$B$30=8,('main page'!$U$22/100)*'normal case'!I14,))</f>
        <v>0</v>
      </c>
      <c r="L15" s="62">
        <f ca="1">IF(ABS('main page'!G19+'main page'!$K$29*L14+(1-'main page'!$K$29)*($AS$11/100)*100+'main page'!$K$25*(D15-B15)-L14)&lt;0.0000001,L14,'main page'!G19+'main page'!$K$29*L14+(1-'main page'!$K$29)*($AS$11/100)*100+'main page'!$K$25*(D15-B15))</f>
        <v>1.99609375</v>
      </c>
      <c r="M15" s="409">
        <f t="shared" ca="1" si="5"/>
        <v>1</v>
      </c>
      <c r="N15" s="409">
        <f t="shared" ca="1" si="7"/>
        <v>3.90625E-3</v>
      </c>
      <c r="O15" s="409">
        <f ca="1">'main page'!G19+'main page'!$K$29*M14+(1-'main page'!$K$29)*($AQ$11/100)*100</f>
        <v>1</v>
      </c>
      <c r="P15" s="409">
        <f ca="1">'main page'!$K$25*(D15-B15)-M14</f>
        <v>-0.99609375</v>
      </c>
      <c r="Q15" s="409">
        <f ca="1">(1-'main page'!$K$29)*($AS$11/100)*100+'main page'!$K$25*(D15-B15)</f>
        <v>3.90625E-3</v>
      </c>
      <c r="R15" s="409">
        <f ca="1">'main page'!G19+'main page'!$K$29*M14</f>
        <v>1</v>
      </c>
      <c r="S15" s="409">
        <f t="shared" ca="1" si="6"/>
        <v>1.00390625</v>
      </c>
      <c r="T15" s="79">
        <f ca="1">IF(controls!$B$10=1,T14,IF(SUM(controls!$B$44:$B$46)=2,U15-'main page'!$K$29*'normal case'!L15-(1-'main page'!$K$29)*'main page'!$K$32,U15-'main page'!$K$29*'normal case'!L15-(1-'main page'!$K$29)*controls!$B$9))</f>
        <v>3.4990234375</v>
      </c>
      <c r="U15" s="164">
        <f ca="1">IF(controls!$B$45=1,IF(controls!$B$46=1,'main page'!$K$24+'main page'!$K$11+'main page'!$U$8,'main page'!$K$24+'main page'!$K$11+'main page'!$K$32),IF(controls!$B$44=1,IF(V15&lt;0,0,V15),IF(V15+'main page'!$K$11&lt;0,0,V15+'main page'!$K$11)))</f>
        <v>5.4951171875</v>
      </c>
      <c r="V15" s="63">
        <f ca="1">IF(controls!$B$10=1,'normal case'!T15+'normal case'!L15,'normal case'!W15)</f>
        <v>5.4951171875</v>
      </c>
      <c r="W15" s="61">
        <f t="shared" ca="1" si="1"/>
        <v>5.4951171875</v>
      </c>
      <c r="X15" s="166">
        <f ca="1">IF(controls!$B$44=0,Y15+'main page'!$K$29*L15+(1-'main page'!$K$29)*controls!$B$9+(('main page'!$K$25*'main page'!$U$13*'main page'!$K$29)/('main page'!$K$27*(1+('main page'!$K$25^2)*'main page'!$U$13)))*(L15-controls!$B$9),Y15+'main page'!$K$29*L15+(1-'main page'!$K$29)*controls!$B$9+(('main page'!$K$25*'main page'!$U$13*'normal case'!$AV$3)/'normal case'!$AV$4)*('normal case'!L15-controls!$B$9))</f>
        <v>5.4951171875</v>
      </c>
      <c r="Y15" s="81">
        <f ca="1">IF(controls!$B$44=1,'main page'!$K$24+'main page'!$K$11,IF(controls!$B$33=1,((I16-D15*AD16-K16-B16+B15*AC16)/'main page'!$K$27)-'main page'!$K$11,((H16-D15*AD16-J16-B16+B15*AC16)/'main page'!$K$27)-'main page'!$K$11))</f>
        <v>3.5</v>
      </c>
      <c r="AA15" s="58">
        <f>IF(controls!$B$6=1,$AS$3*(1+('main page'!$K$35/100))^AB15-$AS$3*(1+('main page'!$K$35/100))^AB14,$AS$3*(1+('main page'!$G$8/100))*(1+('main page'!$K$35/100))^AB15-$AS$3*(1+('main page'!$G$8/100))*(1+('main page'!$K$35/100))^AB14)</f>
        <v>0</v>
      </c>
      <c r="AB15" s="60">
        <v>8</v>
      </c>
      <c r="AC15" s="125">
        <v>0</v>
      </c>
      <c r="AD15" s="36">
        <v>0</v>
      </c>
      <c r="AE15" s="44">
        <f ca="1">IF(controls!$B$33=1,D15-($I$3-'main page'!$K$27*2)*(1+('main page'!$K$35/100))^A14,D15-$AS$4)</f>
        <v>1.00390625</v>
      </c>
      <c r="AF15" s="44">
        <f ca="1">ABS(L15-(controls!$B$9/100)*100)</f>
        <v>3.90625E-3</v>
      </c>
      <c r="AH15" s="44">
        <f ca="1">IF(controls!$B$33=1,(B16-B15*AC16-I16+D15*AD16+'main page'!$K$27*('main page'!$K$24+'main page'!$K$11)+K16)/'main page'!$K$31,(B16-B15*AC16+D15*AD16-H16+'main page'!$K$27*('main page'!$K$24+'main page'!$K$11)+J16)/'main page'!$K$31)</f>
        <v>1</v>
      </c>
      <c r="AI15" s="44">
        <f ca="1">IF(controls!$B$45=1,LOG(AM15,1.01)+LOG(AL15,1.01)-LOG(AK15,1.01),-((T15-('main page'!$K$24+'main page'!$K$11))/(1-'normal case'!$AV$3))+'normal case'!AH15)</f>
        <v>2.001953125</v>
      </c>
      <c r="AJ15" s="80">
        <f t="shared" ca="1" si="2"/>
        <v>1.0506756705111158</v>
      </c>
      <c r="AK15" s="44">
        <f t="shared" ca="1" si="3"/>
        <v>1.2435840106978329</v>
      </c>
      <c r="AL15" s="44">
        <f>AL14*(1+'main page'!$K$32/100)</f>
        <v>1</v>
      </c>
      <c r="AM15" s="44">
        <f ca="1">IF(ABS(IF(controls!$B$45=1,$AS$13,AK15*AJ15/AL15)-AM14)&lt;0.00001,AM14,IF(controls!$B$45=1,$AS$13,AK15*AJ15/AL15))</f>
        <v>1.306603464276848</v>
      </c>
      <c r="AN15" s="44">
        <f>IF(controls!$B$46=0,0,IF(controls!$B$33=2,B16-B15*AC16-('normal case'!H16-D15*AD16-'main page'!$K$27*'normal case'!T15+'main page'!$K$31*'normal case'!AI15)-(('main page'!$K$25*'main page'!$U$13*'main page'!$K$29)/(1+('main page'!$K$25^2)*'main page'!$U$13))*('normal case'!L15-'main page'!$U$8),B16-B15*AC16-('normal case'!I16-D15*AD16-'main page'!$K$27*'normal case'!T15+'main page'!$K$31*'normal case'!AI15)-(('main page'!$K$25*'main page'!$U$13*'main page'!$K$29)/(1+('main page'!$K$25^2)*'main page'!$U$13))*('normal case'!L15-'main page'!$U$8)))</f>
        <v>0</v>
      </c>
      <c r="AU15" s="36"/>
      <c r="AV15" s="36"/>
    </row>
    <row r="16" spans="1:60">
      <c r="A16" s="43">
        <v>14</v>
      </c>
      <c r="B16" s="62">
        <f ca="1">IF(controls!$B$33=1,B15*(1+AC16)+AA16,B15*(1+AC16))</f>
        <v>101</v>
      </c>
      <c r="C16" s="67">
        <f t="shared" ca="1" si="4"/>
        <v>-1.9337123409512991E-5</v>
      </c>
      <c r="D16" s="64">
        <f t="shared" ca="1" si="0"/>
        <v>101.001953125</v>
      </c>
      <c r="E16" s="64">
        <f ca="1">AN15+IF(controls!$B$33=1,G16,F16)</f>
        <v>101.001953125</v>
      </c>
      <c r="F16" s="78">
        <f ca="1">IF(controls!$B$44=0,H16-'main page'!$K$27*T15,H16-'main page'!$K$27*T15+'main page'!$K$31*AI15)</f>
        <v>101.001953125</v>
      </c>
      <c r="G16" s="62">
        <f ca="1">IF(controls!$B$44=0,I16-'main page'!$K$27*T15,I16-'main page'!$K$27*T15+'main page'!$K$31*'normal case'!AI15)</f>
        <v>101.001953125</v>
      </c>
      <c r="H16" s="62">
        <f ca="1">IF(controls!$B$31=2,H15+D15*AD16+J16,H15+D15*AD16+J16-J15)</f>
        <v>108</v>
      </c>
      <c r="I16" s="62">
        <f ca="1">IF(controls!$B$31=2,I15+D15*AD16+AA16+K16,I15+D15*AD16+AA16+K16-K15)</f>
        <v>108</v>
      </c>
      <c r="J16" s="79">
        <f>IF(controls!B46=1,0,IF(controls!$B$30=9,('main page'!$U$22/100)*'normal case'!H15,))</f>
        <v>0</v>
      </c>
      <c r="K16" s="79">
        <f>IF(controls!B46=1,0,IF(controls!$B$30=9,('main page'!$U$22/100)*'normal case'!I15,))</f>
        <v>0</v>
      </c>
      <c r="L16" s="62">
        <f ca="1">IF(ABS('main page'!G20+'main page'!$K$29*L15+(1-'main page'!$K$29)*($AS$11/100)*100+'main page'!$K$25*(D16-B16)-L15)&lt;0.0000001,L15,'main page'!G20+'main page'!$K$29*L15+(1-'main page'!$K$29)*($AS$11/100)*100+'main page'!$K$25*(D16-B16))</f>
        <v>1.998046875</v>
      </c>
      <c r="M16" s="409">
        <f t="shared" ca="1" si="5"/>
        <v>1</v>
      </c>
      <c r="N16" s="409">
        <f t="shared" ca="1" si="7"/>
        <v>1.953125E-3</v>
      </c>
      <c r="O16" s="409">
        <f ca="1">'main page'!G20+'main page'!$K$29*M15+(1-'main page'!$K$29)*($AQ$11/100)*100</f>
        <v>1</v>
      </c>
      <c r="P16" s="409">
        <f ca="1">'main page'!$K$25*(D16-B16)-M15</f>
        <v>-0.998046875</v>
      </c>
      <c r="Q16" s="409">
        <f ca="1">(1-'main page'!$K$29)*($AS$11/100)*100+'main page'!$K$25*(D16-B16)</f>
        <v>1.953125E-3</v>
      </c>
      <c r="R16" s="409">
        <f ca="1">'main page'!G20+'main page'!$K$29*M15</f>
        <v>1</v>
      </c>
      <c r="S16" s="409">
        <f t="shared" ca="1" si="6"/>
        <v>1.001953125</v>
      </c>
      <c r="T16" s="79">
        <f ca="1">IF(controls!$B$10=1,T15,IF(SUM(controls!$B$44:$B$46)=2,U16-'main page'!$K$29*'normal case'!L16-(1-'main page'!$K$29)*'main page'!$K$32,U16-'main page'!$K$29*'normal case'!L16-(1-'main page'!$K$29)*controls!$B$9))</f>
        <v>3.49951171875</v>
      </c>
      <c r="U16" s="164">
        <f ca="1">IF(controls!$B$45=1,IF(controls!$B$46=1,'main page'!$K$24+'main page'!$K$11+'main page'!$U$8,'main page'!$K$24+'main page'!$K$11+'main page'!$K$32),IF(controls!$B$44=1,IF(V16&lt;0,0,V16),IF(V16+'main page'!$K$11&lt;0,0,V16+'main page'!$K$11)))</f>
        <v>5.49755859375</v>
      </c>
      <c r="V16" s="63">
        <f ca="1">IF(controls!$B$10=1,'normal case'!T16+'normal case'!L16,'normal case'!W16)</f>
        <v>5.49755859375</v>
      </c>
      <c r="W16" s="61">
        <f t="shared" ca="1" si="1"/>
        <v>5.49755859375</v>
      </c>
      <c r="X16" s="166">
        <f ca="1">IF(controls!$B$44=0,Y16+'main page'!$K$29*L16+(1-'main page'!$K$29)*controls!$B$9+(('main page'!$K$25*'main page'!$U$13*'main page'!$K$29)/('main page'!$K$27*(1+('main page'!$K$25^2)*'main page'!$U$13)))*(L16-controls!$B$9),Y16+'main page'!$K$29*L16+(1-'main page'!$K$29)*controls!$B$9+(('main page'!$K$25*'main page'!$U$13*'normal case'!$AV$3)/'normal case'!$AV$4)*('normal case'!L16-controls!$B$9))</f>
        <v>5.49755859375</v>
      </c>
      <c r="Y16" s="81">
        <f ca="1">IF(controls!$B$44=1,'main page'!$K$24+'main page'!$K$11,IF(controls!$B$33=1,((I17-D16*AD17-K17-B17+B16*AC17)/'main page'!$K$27)-'main page'!$K$11,((H17-D16*AD17-J17-B17+B16*AC17)/'main page'!$K$27)-'main page'!$K$11))</f>
        <v>3.5</v>
      </c>
      <c r="AA16" s="58">
        <f>IF(controls!$B$6=1,$AS$3*(1+('main page'!$K$35/100))^AB16-$AS$3*(1+('main page'!$K$35/100))^AB15,$AS$3*(1+('main page'!$G$8/100))*(1+('main page'!$K$35/100))^AB16-$AS$3*(1+('main page'!$G$8/100))*(1+('main page'!$K$35/100))^AB15)</f>
        <v>0</v>
      </c>
      <c r="AB16" s="60">
        <v>9</v>
      </c>
      <c r="AC16" s="125">
        <v>0</v>
      </c>
      <c r="AD16" s="36">
        <v>0</v>
      </c>
      <c r="AE16" s="44">
        <f ca="1">IF(controls!$B$33=1,D16-($I$3-'main page'!$K$27*2)*(1+('main page'!$K$35/100))^A15,D16-$AS$4)</f>
        <v>1.001953125</v>
      </c>
      <c r="AF16" s="44">
        <f ca="1">ABS(L16-(controls!$B$9/100)*100)</f>
        <v>1.953125E-3</v>
      </c>
      <c r="AH16" s="44">
        <f ca="1">IF(controls!$B$33=1,(B17-B16*AC17-I17+D16*AD17+'main page'!$K$27*('main page'!$K$24+'main page'!$K$11)+K17)/'main page'!$K$31,(B17-B16*AC17+D16*AD17-H17+'main page'!$K$27*('main page'!$K$24+'main page'!$K$11)+J17)/'main page'!$K$31)</f>
        <v>1</v>
      </c>
      <c r="AI16" s="44">
        <f ca="1">IF(controls!$B$45=1,LOG(AM16,1.01)+LOG(AL16,1.01)-LOG(AK16,1.01),-((T16-('main page'!$K$24+'main page'!$K$11))/(1-'normal case'!$AV$3))+'normal case'!AH16)</f>
        <v>2.0009765625</v>
      </c>
      <c r="AJ16" s="80">
        <f t="shared" ca="1" si="2"/>
        <v>1.0506503349500922</v>
      </c>
      <c r="AK16" s="44">
        <f t="shared" ca="1" si="3"/>
        <v>1.2684314021615806</v>
      </c>
      <c r="AL16" s="44">
        <f>AL15*(1+'main page'!$K$32/100)</f>
        <v>1</v>
      </c>
      <c r="AM16" s="44">
        <f ca="1">IF(ABS(IF(controls!$B$45=1,$AS$13,AK16*AJ16/AL16)-AM15)&lt;0.00001,AM15,IF(controls!$B$45=1,$AS$13,AK16*AJ16/AL16))</f>
        <v>1.3326778775422796</v>
      </c>
      <c r="AN16" s="44">
        <f>IF(controls!$B$46=0,0,IF(controls!$B$33=2,B17-B16*AC17-('normal case'!H17-D16*AD17-'main page'!$K$27*'normal case'!T16+'main page'!$K$31*'normal case'!AI16)-(('main page'!$K$25*'main page'!$U$13*'main page'!$K$29)/(1+('main page'!$K$25^2)*'main page'!$U$13))*('normal case'!L16-'main page'!$U$8),B17-B16*AC17-('normal case'!I17-D16*AD17-'main page'!$K$27*'normal case'!T16+'main page'!$K$31*'normal case'!AI16)-(('main page'!$K$25*'main page'!$U$13*'main page'!$K$29)/(1+('main page'!$K$25^2)*'main page'!$U$13))*('normal case'!L16-'main page'!$U$8)))</f>
        <v>0</v>
      </c>
      <c r="AU16" s="36"/>
      <c r="AV16" s="36"/>
    </row>
    <row r="17" spans="1:60">
      <c r="A17" s="43">
        <v>15</v>
      </c>
      <c r="B17" s="62">
        <f ca="1">IF(controls!$B$33=1,B16*(1+AC17)+AA17,B16*(1+AC17))</f>
        <v>101</v>
      </c>
      <c r="C17" s="67">
        <f t="shared" ca="1" si="4"/>
        <v>-9.6687486705882009E-6</v>
      </c>
      <c r="D17" s="64">
        <f t="shared" ca="1" si="0"/>
        <v>101.0009765625</v>
      </c>
      <c r="E17" s="64">
        <f ca="1">AN16+IF(controls!$B$33=1,G17,F17)</f>
        <v>101.0009765625</v>
      </c>
      <c r="F17" s="78">
        <f ca="1">IF(controls!$B$44=0,H17-'main page'!$K$27*T16,H17-'main page'!$K$27*T16+'main page'!$K$31*AI16)</f>
        <v>101.0009765625</v>
      </c>
      <c r="G17" s="62">
        <f ca="1">IF(controls!$B$44=0,I17-'main page'!$K$27*T16,I17-'main page'!$K$27*T16+'main page'!$K$31*'normal case'!AI16)</f>
        <v>101.0009765625</v>
      </c>
      <c r="H17" s="62">
        <f ca="1">IF(controls!$B$31=2,H16+D16*AD17+J17,H16+D16*AD17+J17-J16)</f>
        <v>108</v>
      </c>
      <c r="I17" s="62">
        <f ca="1">IF(controls!$B$31=2,I16+D16*AD17+AA17+K17,I16+D16*AD17+AA17+K17-K16)</f>
        <v>108</v>
      </c>
      <c r="J17" s="79">
        <f>IF(controls!B46=1,0,IF(controls!$B$30=10,('main page'!$U$22/100)*'normal case'!H16,))</f>
        <v>0</v>
      </c>
      <c r="K17" s="79">
        <f>IF(controls!B46=1,0,IF(controls!$B$30=10,('main page'!$U$22/100)*'normal case'!I16,))</f>
        <v>0</v>
      </c>
      <c r="L17" s="62">
        <f ca="1">IF(ABS('main page'!G21+'main page'!$K$29*L16+(1-'main page'!$K$29)*($AS$11/100)*100+'main page'!$K$25*(D17-B17)-L16)&lt;0.0000001,L16,'main page'!G21+'main page'!$K$29*L16+(1-'main page'!$K$29)*($AS$11/100)*100+'main page'!$K$25*(D17-B17))</f>
        <v>1.9990234375</v>
      </c>
      <c r="M17" s="409">
        <f t="shared" ca="1" si="5"/>
        <v>1</v>
      </c>
      <c r="N17" s="409">
        <f t="shared" ca="1" si="7"/>
        <v>9.765625E-4</v>
      </c>
      <c r="O17" s="409">
        <f ca="1">'main page'!G21+'main page'!$K$29*M16+(1-'main page'!$K$29)*($AQ$11/100)*100</f>
        <v>1</v>
      </c>
      <c r="P17" s="409">
        <f ca="1">'main page'!$K$25*(D17-B17)-M16</f>
        <v>-0.9990234375</v>
      </c>
      <c r="Q17" s="409">
        <f ca="1">(1-'main page'!$K$29)*($AS$11/100)*100+'main page'!$K$25*(D17-B17)</f>
        <v>9.765625E-4</v>
      </c>
      <c r="R17" s="409">
        <f ca="1">'main page'!G21+'main page'!$K$29*M16</f>
        <v>1</v>
      </c>
      <c r="S17" s="409">
        <f t="shared" ca="1" si="6"/>
        <v>1.0009765625</v>
      </c>
      <c r="T17" s="79">
        <f ca="1">IF(controls!$B$10=1,T16,IF(SUM(controls!$B$44:$B$46)=2,U17-'main page'!$K$29*'normal case'!L17-(1-'main page'!$K$29)*'main page'!$K$32,U17-'main page'!$K$29*'normal case'!L17-(1-'main page'!$K$29)*controls!$B$9))</f>
        <v>3.499755859375</v>
      </c>
      <c r="U17" s="164">
        <f ca="1">IF(controls!$B$45=1,IF(controls!$B$46=1,'main page'!$K$24+'main page'!$K$11+'main page'!$U$8,'main page'!$K$24+'main page'!$K$11+'main page'!$K$32),IF(controls!$B$44=1,IF(V17&lt;0,0,V17),IF(V17+'main page'!$K$11&lt;0,0,V17+'main page'!$K$11)))</f>
        <v>5.498779296875</v>
      </c>
      <c r="V17" s="63">
        <f ca="1">IF(controls!$B$10=1,'normal case'!T17+'normal case'!L17,'normal case'!W17)</f>
        <v>5.498779296875</v>
      </c>
      <c r="W17" s="61">
        <f t="shared" ca="1" si="1"/>
        <v>5.498779296875</v>
      </c>
      <c r="X17" s="166">
        <f ca="1">IF(controls!$B$44=0,Y17+'main page'!$K$29*L17+(1-'main page'!$K$29)*controls!$B$9+(('main page'!$K$25*'main page'!$U$13*'main page'!$K$29)/('main page'!$K$27*(1+('main page'!$K$25^2)*'main page'!$U$13)))*(L17-controls!$B$9),Y17+'main page'!$K$29*L17+(1-'main page'!$K$29)*controls!$B$9+(('main page'!$K$25*'main page'!$U$13*'normal case'!$AV$3)/'normal case'!$AV$4)*('normal case'!L17-controls!$B$9))</f>
        <v>5.498779296875</v>
      </c>
      <c r="Y17" s="81">
        <f ca="1">IF(controls!$B$44=1,'main page'!$K$24+'main page'!$K$11,IF(controls!$B$33=1,((I18-D17*AD18-K18-B18+B17*AC18)/'main page'!$K$27)-'main page'!$K$11,((H18-D17*AD18-J18-B18+B17*AC18)/'main page'!$K$27)-'main page'!$K$11))</f>
        <v>3.5</v>
      </c>
      <c r="AA17" s="58">
        <f>IF(controls!$B$6=1,$AS$3*(1+('main page'!$K$35/100))^AB17-$AS$3*(1+('main page'!$K$35/100))^AB16,$AS$3*(1+('main page'!$G$8/100))*(1+('main page'!$K$35/100))^AB17-$AS$3*(1+('main page'!$G$8/100))*(1+('main page'!$K$35/100))^AB16)</f>
        <v>0</v>
      </c>
      <c r="AB17" s="60">
        <v>10</v>
      </c>
      <c r="AC17" s="125">
        <f ca="1">IF(controls!$B$4=1,IF(controls!$H16=1,controls!$B$34*AC16+RAND()*('main page'!$K$16/100)-RAND()*('main page'!$K$16/100),0),0)</f>
        <v>0</v>
      </c>
      <c r="AD17" s="36">
        <f ca="1">IF(controls!$B$4=1,IF(controls!$I16=1,controls!$B$34*AD16+RAND()*('main page'!$K$16/100)-RAND()*('main page'!$K$16/100),0),0)</f>
        <v>0</v>
      </c>
      <c r="AE17" s="44">
        <f ca="1">IF(controls!$B$33=1,D17-($I$3-'main page'!$K$27*2)*(1+('main page'!$K$35/100))^A16,D17-$AS$4)</f>
        <v>1.0009765625</v>
      </c>
      <c r="AF17" s="44">
        <f ca="1">ABS(L17-(controls!$B$9/100)*100)</f>
        <v>9.765625E-4</v>
      </c>
      <c r="AH17" s="44">
        <f ca="1">IF(controls!$B$33=1,(B18-B17*AC18-I18+D17*AD18+'main page'!$K$27*('main page'!$K$24+'main page'!$K$11)+K18)/'main page'!$K$31,(B18-B17*AC18+D17*AD18-H18+'main page'!$K$27*('main page'!$K$24+'main page'!$K$11)+J18)/'main page'!$K$31)</f>
        <v>1</v>
      </c>
      <c r="AI17" s="44">
        <f ca="1">IF(controls!$B$45=1,LOG(AM17,1.01)+LOG(AL17,1.01)-LOG(AK17,1.01),-((T17-('main page'!$K$24+'main page'!$K$11))/(1-'normal case'!$AV$3))+'normal case'!AH17)</f>
        <v>2.00048828125</v>
      </c>
      <c r="AJ17" s="80">
        <f t="shared" ca="1" si="2"/>
        <v>1.0506376673986806</v>
      </c>
      <c r="AK17" s="44">
        <f t="shared" ca="1" si="3"/>
        <v>1.2937876431794004</v>
      </c>
      <c r="AL17" s="44">
        <f>AL16*(1+'main page'!$K$32/100)</f>
        <v>1</v>
      </c>
      <c r="AM17" s="44">
        <f ca="1">IF(ABS(IF(controls!$B$45=1,$AS$13,AK17*AJ17/AL17)-AM16)&lt;0.00001,AM16,IF(controls!$B$45=1,$AS$13,AK17*AJ17/AL17))</f>
        <v>1.3593020315392417</v>
      </c>
      <c r="AN17" s="44">
        <f>IF(controls!$B$46=0,0,IF(controls!$B$33=2,B18-B17*AC18-('normal case'!H18-D17*AD18-'main page'!$K$27*'normal case'!T17+'main page'!$K$31*'normal case'!AI17)-(('main page'!$K$25*'main page'!$U$13*'main page'!$K$29)/(1+('main page'!$K$25^2)*'main page'!$U$13))*('normal case'!L17-'main page'!$U$8),B18-B17*AC18-('normal case'!I18-D17*AD18-'main page'!$K$27*'normal case'!T17+'main page'!$K$31*'normal case'!AI17)-(('main page'!$K$25*'main page'!$U$13*'main page'!$K$29)/(1+('main page'!$K$25^2)*'main page'!$U$13))*('normal case'!L17-'main page'!$U$8)))</f>
        <v>0</v>
      </c>
      <c r="AU17" s="36"/>
      <c r="AV17" s="36"/>
      <c r="BD17" s="43">
        <f ca="1">IF(ABS((D17/D16-1)-C16)&lt;0.000001,C16,D17/D16-1)</f>
        <v>-9.6687486705882009E-6</v>
      </c>
      <c r="BE17" s="43">
        <f ca="1">IF(E17&gt;0,E17,0.1)</f>
        <v>101.0009765625</v>
      </c>
      <c r="BF17" s="43">
        <f ca="1">IF(controls!$B$10=1,T16,IF(SUM(controls!$B$44:$B$46)=2,U17-'main page'!$K$29*'normal case'!L17-(1-'main page'!$K$29)*'main page'!$K$32,U17-'main page'!$K$29*'normal case'!L17-(1-'main page'!$K$29)*'main page'!$U$8))</f>
        <v>3.499755859375</v>
      </c>
      <c r="BG17" s="43">
        <f ca="1">IF(controls!$B$45=1,IF(controls!$B$46=1,'main page'!$K$24+'main page'!$U$8,'main page'!$K$24+'main page'!$K$32),IF(V17&lt;0,0,V17))</f>
        <v>5.498779296875</v>
      </c>
      <c r="BH17" s="91">
        <f ca="1">'normal case'!L17</f>
        <v>1.9990234375</v>
      </c>
    </row>
    <row r="18" spans="1:60">
      <c r="A18" s="43">
        <v>16</v>
      </c>
      <c r="B18" s="62">
        <f ca="1">IF(controls!$B$33=1,B17*(1+AC18)+AA18,B17*(1+AC18))</f>
        <v>101</v>
      </c>
      <c r="C18" s="67">
        <f t="shared" ca="1" si="4"/>
        <v>-4.8344210781259278E-6</v>
      </c>
      <c r="D18" s="64">
        <f t="shared" ca="1" si="0"/>
        <v>101.00048828125</v>
      </c>
      <c r="E18" s="64">
        <f ca="1">AN17+IF(controls!$B$33=1,G18,F18)</f>
        <v>101.00048828125</v>
      </c>
      <c r="F18" s="78">
        <f ca="1">IF(controls!$B$44=0,H18-'main page'!$K$27*T17,H18-'main page'!$K$27*T17+'main page'!$K$31*AI17)</f>
        <v>101.00048828125</v>
      </c>
      <c r="G18" s="62">
        <f ca="1">IF(controls!$B$44=0,I18-'main page'!$K$27*T17,I18-'main page'!$K$27*T17+'main page'!$K$31*'normal case'!AI17)</f>
        <v>101.00048828125</v>
      </c>
      <c r="H18" s="62">
        <f ca="1">IF(controls!$B$31=2,H17+D17*AD18+J18,H17+D17*AD18+J18-J17)</f>
        <v>108</v>
      </c>
      <c r="I18" s="62">
        <f ca="1">IF(controls!$B$31=2,I17+D17*AD18+AA18+K18,I17+D17*AD18+AA18+K18-K17)</f>
        <v>108</v>
      </c>
      <c r="J18" s="79">
        <f>IF(controls!B46=1,0,IF(controls!$B$30=11,('main page'!$U$22/100)*'normal case'!H17,))</f>
        <v>0</v>
      </c>
      <c r="K18" s="79">
        <f>IF(controls!B46=1,0,IF(controls!$B$30=11,('main page'!$U$22/100)*'normal case'!I17,))</f>
        <v>0</v>
      </c>
      <c r="L18" s="62">
        <f ca="1">IF(ABS('main page'!G22+'main page'!$K$29*L17+(1-'main page'!$K$29)*($AS$11/100)*100+'main page'!$K$25*(D18-B18)-L17)&lt;0.0000001,L17,'main page'!G22+'main page'!$K$29*L17+(1-'main page'!$K$29)*($AS$11/100)*100+'main page'!$K$25*(D18-B18))</f>
        <v>1.99951171875</v>
      </c>
      <c r="M18" s="409">
        <f t="shared" ca="1" si="5"/>
        <v>1</v>
      </c>
      <c r="N18" s="409">
        <f t="shared" ca="1" si="7"/>
        <v>4.8828125E-4</v>
      </c>
      <c r="O18" s="409">
        <f ca="1">'main page'!G22+'main page'!$K$29*M17+(1-'main page'!$K$29)*($AQ$11/100)*100</f>
        <v>1</v>
      </c>
      <c r="P18" s="409">
        <f ca="1">'main page'!$K$25*(D18-B18)-M17</f>
        <v>-0.99951171875</v>
      </c>
      <c r="Q18" s="409">
        <f ca="1">(1-'main page'!$K$29)*($AS$11/100)*100+'main page'!$K$25*(D18-B18)</f>
        <v>4.8828125E-4</v>
      </c>
      <c r="R18" s="409">
        <f ca="1">'main page'!G22+'main page'!$K$29*M17</f>
        <v>1</v>
      </c>
      <c r="S18" s="409">
        <f t="shared" ca="1" si="6"/>
        <v>1.00048828125</v>
      </c>
      <c r="T18" s="79">
        <f ca="1">IF(controls!$B$10=1,T17,IF(SUM(controls!$B$44:$B$46)=2,U18-'main page'!$K$29*'normal case'!L18-(1-'main page'!$K$29)*'main page'!$K$32,U18-'main page'!$K$29*'normal case'!L18-(1-'main page'!$K$29)*controls!$B$9))</f>
        <v>3.4998779296875</v>
      </c>
      <c r="U18" s="164">
        <f ca="1">IF(controls!$B$45=1,IF(controls!$B$46=1,'main page'!$K$24+'main page'!$K$11+'main page'!$U$8,'main page'!$K$24+'main page'!$K$11+'main page'!$K$32),IF(controls!$B$44=1,IF(V18&lt;0,0,V18),IF(V18+'main page'!$K$11&lt;0,0,V18+'main page'!$K$11)))</f>
        <v>5.4993896484375</v>
      </c>
      <c r="V18" s="63">
        <f ca="1">IF(controls!$B$10=1,'normal case'!T18+'normal case'!L18,'normal case'!W18)</f>
        <v>5.4993896484375</v>
      </c>
      <c r="W18" s="61">
        <f t="shared" ca="1" si="1"/>
        <v>5.4993896484375</v>
      </c>
      <c r="X18" s="166">
        <f ca="1">IF(controls!$B$44=0,Y18+'main page'!$K$29*L18+(1-'main page'!$K$29)*controls!$B$9+(('main page'!$K$25*'main page'!$U$13*'main page'!$K$29)/('main page'!$K$27*(1+('main page'!$K$25^2)*'main page'!$U$13)))*(L18-controls!$B$9),Y18+'main page'!$K$29*L18+(1-'main page'!$K$29)*controls!$B$9+(('main page'!$K$25*'main page'!$U$13*'normal case'!$AV$3)/'normal case'!$AV$4)*('normal case'!L18-controls!$B$9))</f>
        <v>5.4993896484375</v>
      </c>
      <c r="Y18" s="81">
        <f ca="1">IF(controls!$B$44=1,'main page'!$K$24+'main page'!$K$11,IF(controls!$B$33=1,((I19-D18*AD19-K19-B19+B18*AC19)/'main page'!$K$27)-'main page'!$K$11,((H19-D18*AD19-J19-B19+B18*AC19)/'main page'!$K$27)-'main page'!$K$11))</f>
        <v>3.5</v>
      </c>
      <c r="AA18" s="58">
        <f>IF(controls!$B$6=1,$AS$3*(1+('main page'!$K$35/100))^AB18-$AS$3*(1+('main page'!$K$35/100))^AB17,$AS$3*(1+('main page'!$G$8/100))*(1+('main page'!$K$35/100))^AB18-$AS$3*(1+('main page'!$G$8/100))*(1+('main page'!$K$35/100))^AB17)</f>
        <v>0</v>
      </c>
      <c r="AB18" s="60">
        <v>11</v>
      </c>
      <c r="AC18" s="125">
        <v>0</v>
      </c>
      <c r="AD18" s="36">
        <v>0</v>
      </c>
      <c r="AE18" s="44">
        <f ca="1">IF(controls!$B$33=1,D18-($I$3-'main page'!$K$27*2)*(1+('main page'!$K$35/100))^A17,D18-$AS$4)</f>
        <v>1.00048828125</v>
      </c>
      <c r="AF18" s="44">
        <f ca="1">ABS(L18-(controls!$B$9/100)*100)</f>
        <v>4.8828125E-4</v>
      </c>
      <c r="AH18" s="44">
        <f ca="1">IF(controls!$B$33=1,(B19-B18*AC19-I19+D18*AD19+'main page'!$K$27*('main page'!$K$24+'main page'!$K$11)+K19)/'main page'!$K$31,(B19-B18*AC19+D18*AD19-H19+'main page'!$K$27*('main page'!$K$24+'main page'!$K$11)+J19)/'main page'!$K$31)</f>
        <v>1</v>
      </c>
      <c r="AI18" s="44">
        <f ca="1">IF(controls!$B$45=1,LOG(AM18,1.01)+LOG(AL18,1.01)-LOG(AK18,1.01),-((T18-('main page'!$K$24+'main page'!$K$11))/(1-'normal case'!$AV$3))+'normal case'!AH18)</f>
        <v>2.000244140625</v>
      </c>
      <c r="AJ18" s="80">
        <f t="shared" ca="1" si="2"/>
        <v>1.0506313336802489</v>
      </c>
      <c r="AK18" s="44">
        <f t="shared" ca="1" si="3"/>
        <v>1.319657078720512</v>
      </c>
      <c r="AL18" s="44">
        <f>AL17*(1+'main page'!$K$32/100)</f>
        <v>1</v>
      </c>
      <c r="AM18" s="44">
        <f ca="1">IF(ABS(IF(controls!$B$45=1,$AS$13,AK18*AJ18/AL18)-AM17)&lt;0.00001,AM17,IF(controls!$B$45=1,$AS$13,AK18*AJ18/AL18))</f>
        <v>1.3864730766167126</v>
      </c>
      <c r="AN18" s="44">
        <f>IF(controls!$B$46=0,0,IF(controls!$B$33=2,B19-B18*AC19-('normal case'!H19-D18*AD19-'main page'!$K$27*'normal case'!T18+'main page'!$K$31*'normal case'!AI18)-(('main page'!$K$25*'main page'!$U$13*'main page'!$K$29)/(1+('main page'!$K$25^2)*'main page'!$U$13))*('normal case'!L18-'main page'!$U$8),B19-B18*AC19-('normal case'!I19-D18*AD19-'main page'!$K$27*'normal case'!T18+'main page'!$K$31*'normal case'!AI18)-(('main page'!$K$25*'main page'!$U$13*'main page'!$K$29)/(1+('main page'!$K$25^2)*'main page'!$U$13))*('normal case'!L18-'main page'!$U$8)))</f>
        <v>0</v>
      </c>
      <c r="AU18" s="36"/>
      <c r="AV18" s="36"/>
    </row>
    <row r="19" spans="1:60">
      <c r="A19" s="43">
        <v>17</v>
      </c>
      <c r="B19" s="62">
        <f ca="1">IF(controls!$B$33=1,B18*(1+AC19)+AA19,B18*(1+AC19))</f>
        <v>101</v>
      </c>
      <c r="C19" s="67">
        <f t="shared" ca="1" si="4"/>
        <v>-2.4172222249374542E-6</v>
      </c>
      <c r="D19" s="64">
        <f t="shared" ca="1" si="0"/>
        <v>101.000244140625</v>
      </c>
      <c r="E19" s="64">
        <f ca="1">AN18+IF(controls!$B$33=1,G19,F19)</f>
        <v>101.000244140625</v>
      </c>
      <c r="F19" s="78">
        <f ca="1">IF(controls!$B$44=0,H19-'main page'!$K$27*T18,H19-'main page'!$K$27*T18+'main page'!$K$31*AI18)</f>
        <v>101.000244140625</v>
      </c>
      <c r="G19" s="62">
        <f ca="1">IF(controls!$B$44=0,I19-'main page'!$K$27*T18,I19-'main page'!$K$27*T18+'main page'!$K$31*'normal case'!AI18)</f>
        <v>101.000244140625</v>
      </c>
      <c r="H19" s="62">
        <f ca="1">IF(controls!$B$31=2,H18+D18*AD19+J19,H18+D18*AD19+J19-J18)</f>
        <v>108</v>
      </c>
      <c r="I19" s="62">
        <f ca="1">IF(controls!$B$31=2,I18+D18*AD19+AA19+K19,I18+D18*AD19+AA19+K19-K18)</f>
        <v>108</v>
      </c>
      <c r="J19" s="79">
        <f>IF(controls!B46=1,0,IF(controls!$B$30=12,('main page'!$U$22/100)*'normal case'!H18,))</f>
        <v>0</v>
      </c>
      <c r="K19" s="79">
        <f>IF(controls!B46=1,0,IF(controls!$B$30=12,('main page'!$U$22/100)*'normal case'!I18,))</f>
        <v>0</v>
      </c>
      <c r="L19" s="62">
        <f ca="1">IF(ABS('main page'!G23+'main page'!$K$29*L18+(1-'main page'!$K$29)*($AS$11/100)*100+'main page'!$K$25*(D19-B19)-L18)&lt;0.0000001,L18,'main page'!G23+'main page'!$K$29*L18+(1-'main page'!$K$29)*($AS$11/100)*100+'main page'!$K$25*(D19-B19))</f>
        <v>1.999755859375</v>
      </c>
      <c r="M19" s="409">
        <f t="shared" ca="1" si="5"/>
        <v>1</v>
      </c>
      <c r="N19" s="409">
        <f t="shared" ca="1" si="7"/>
        <v>2.44140625E-4</v>
      </c>
      <c r="O19" s="409">
        <f ca="1">'main page'!G23+'main page'!$K$29*M18+(1-'main page'!$K$29)*($AQ$11/100)*100</f>
        <v>1</v>
      </c>
      <c r="P19" s="409">
        <f ca="1">'main page'!$K$25*(D19-B19)-M18</f>
        <v>-0.999755859375</v>
      </c>
      <c r="Q19" s="409">
        <f ca="1">(1-'main page'!$K$29)*($AS$11/100)*100+'main page'!$K$25*(D19-B19)</f>
        <v>2.44140625E-4</v>
      </c>
      <c r="R19" s="409">
        <f ca="1">'main page'!G23+'main page'!$K$29*M18</f>
        <v>1</v>
      </c>
      <c r="S19" s="409">
        <f t="shared" ca="1" si="6"/>
        <v>1.000244140625</v>
      </c>
      <c r="T19" s="79">
        <f ca="1">IF(controls!$B$10=1,T18,IF(SUM(controls!$B$44:$B$46)=2,U19-'main page'!$K$29*'normal case'!L19-(1-'main page'!$K$29)*'main page'!$K$32,U19-'main page'!$K$29*'normal case'!L19-(1-'main page'!$K$29)*controls!$B$9))</f>
        <v>3.49993896484375</v>
      </c>
      <c r="U19" s="164">
        <f ca="1">IF(controls!$B$45=1,IF(controls!$B$46=1,'main page'!$K$24+'main page'!$K$11+'main page'!$U$8,'main page'!$K$24+'main page'!$K$11+'main page'!$K$32),IF(controls!$B$44=1,IF(V19&lt;0,0,V19),IF(V19+'main page'!$K$11&lt;0,0,V19+'main page'!$K$11)))</f>
        <v>5.49969482421875</v>
      </c>
      <c r="V19" s="63">
        <f ca="1">IF(controls!$B$10=1,'normal case'!T19+'normal case'!L19,'normal case'!W19)</f>
        <v>5.49969482421875</v>
      </c>
      <c r="W19" s="61">
        <f t="shared" ca="1" si="1"/>
        <v>5.49969482421875</v>
      </c>
      <c r="X19" s="166">
        <f ca="1">IF(controls!$B$44=0,Y19+'main page'!$K$29*L19+(1-'main page'!$K$29)*controls!$B$9+(('main page'!$K$25*'main page'!$U$13*'main page'!$K$29)/('main page'!$K$27*(1+('main page'!$K$25^2)*'main page'!$U$13)))*(L19-controls!$B$9),Y19+'main page'!$K$29*L19+(1-'main page'!$K$29)*controls!$B$9+(('main page'!$K$25*'main page'!$U$13*'normal case'!$AV$3)/'normal case'!$AV$4)*('normal case'!L19-controls!$B$9))</f>
        <v>5.49969482421875</v>
      </c>
      <c r="Y19" s="81">
        <f ca="1">IF(controls!$B$44=1,'main page'!$K$24+'main page'!$K$11,IF(controls!$B$33=1,((I20-D19*AD20-K20-B20+B19*AC20)/'main page'!$K$27)-'main page'!$K$11,((H20-D19*AD20-J20-B20+B19*AC20)/'main page'!$K$27)-'main page'!$K$11))</f>
        <v>3.5</v>
      </c>
      <c r="AA19" s="58">
        <f>IF(controls!$B$6=1,$AS$3*(1+('main page'!$K$35/100))^AB19-$AS$3*(1+('main page'!$K$35/100))^AB18,$AS$3*(1+('main page'!$G$8/100))*(1+('main page'!$K$35/100))^AB19-$AS$3*(1+('main page'!$G$8/100))*(1+('main page'!$K$35/100))^AB18)</f>
        <v>0</v>
      </c>
      <c r="AB19" s="60">
        <v>12</v>
      </c>
      <c r="AC19" s="125">
        <v>0</v>
      </c>
      <c r="AD19" s="36">
        <v>0</v>
      </c>
      <c r="AE19" s="44">
        <f ca="1">IF(controls!$B$33=1,D19-($I$3-'main page'!$K$27*2)*(1+('main page'!$K$35/100))^A18,D19-$AS$4)</f>
        <v>1.000244140625</v>
      </c>
      <c r="AF19" s="44">
        <f ca="1">ABS(L19-(controls!$B$9/100)*100)</f>
        <v>2.44140625E-4</v>
      </c>
      <c r="AH19" s="44">
        <f ca="1">IF(controls!$B$33=1,(B20-B19*AC20-I20+D19*AD20+'main page'!$K$27*('main page'!$K$24+'main page'!$K$11)+K20)/'main page'!$K$31,(B20-B19*AC20+D19*AD20-H20+'main page'!$K$27*('main page'!$K$24+'main page'!$K$11)+J20)/'main page'!$K$31)</f>
        <v>1</v>
      </c>
      <c r="AI19" s="44">
        <f ca="1">IF(controls!$B$45=1,LOG(AM19,1.01)+LOG(AL19,1.01)-LOG(AK19,1.01),-((T19-('main page'!$K$24+'main page'!$K$11))/(1-'normal case'!$AV$3))+'normal case'!AH19)</f>
        <v>2.0001220703125</v>
      </c>
      <c r="AJ19" s="80">
        <f t="shared" ca="1" si="2"/>
        <v>1.0506281668353517</v>
      </c>
      <c r="AK19" s="44">
        <f t="shared" ca="1" si="3"/>
        <v>1.3460469984758823</v>
      </c>
      <c r="AL19" s="44">
        <f>AL18*(1+'main page'!$K$32/100)</f>
        <v>1</v>
      </c>
      <c r="AM19" s="44">
        <f ca="1">IF(ABS(IF(controls!$B$45=1,$AS$13,AK19*AJ19/AL19)-AM18)&lt;0.00001,AM18,IF(controls!$B$45=1,$AS$13,AK19*AJ19/AL19))</f>
        <v>1.4141948904829436</v>
      </c>
      <c r="AN19" s="44">
        <f>IF(controls!$B$46=0,0,IF(controls!$B$33=2,B20-B19*AC20-('normal case'!H20-D19*AD20-'main page'!$K$27*'normal case'!T19+'main page'!$K$31*'normal case'!AI19)-(('main page'!$K$25*'main page'!$U$13*'main page'!$K$29)/(1+('main page'!$K$25^2)*'main page'!$U$13))*('normal case'!L19-'main page'!$U$8),B20-B19*AC20-('normal case'!I20-D19*AD20-'main page'!$K$27*'normal case'!T19+'main page'!$K$31*'normal case'!AI19)-(('main page'!$K$25*'main page'!$U$13*'main page'!$K$29)/(1+('main page'!$K$25^2)*'main page'!$U$13))*('normal case'!L19-'main page'!$U$8)))</f>
        <v>0</v>
      </c>
      <c r="AU19" s="36"/>
      <c r="AV19" s="36"/>
    </row>
    <row r="20" spans="1:60">
      <c r="A20" s="43">
        <v>18</v>
      </c>
      <c r="B20" s="62">
        <f ca="1">IF(controls!$B$33=1,B19*(1+AC20)+AA20,B19*(1+AC20))</f>
        <v>101</v>
      </c>
      <c r="C20" s="67">
        <f t="shared" ca="1" si="4"/>
        <v>-1.2086140339651052E-6</v>
      </c>
      <c r="D20" s="64">
        <f t="shared" ca="1" si="0"/>
        <v>101.0001220703125</v>
      </c>
      <c r="E20" s="64">
        <f ca="1">AN19+IF(controls!$B$33=1,G20,F20)</f>
        <v>101.0001220703125</v>
      </c>
      <c r="F20" s="78">
        <f ca="1">IF(controls!$B$44=0,H20-'main page'!$K$27*T19,H20-'main page'!$K$27*T19+'main page'!$K$31*AI19)</f>
        <v>101.0001220703125</v>
      </c>
      <c r="G20" s="62">
        <f ca="1">IF(controls!$B$44=0,I20-'main page'!$K$27*T19,I20-'main page'!$K$27*T19+'main page'!$K$31*'normal case'!AI19)</f>
        <v>101.0001220703125</v>
      </c>
      <c r="H20" s="62">
        <f ca="1">IF(controls!$B$31=2,H19+D19*AD20+J20,H19+D19*AD20+J20-J19)</f>
        <v>108</v>
      </c>
      <c r="I20" s="62">
        <f ca="1">IF(controls!$B$31=2,I19+D19*AD20+AA20+K20,I19+D19*AD20+AA20+K20-K19)</f>
        <v>108</v>
      </c>
      <c r="J20" s="79">
        <f>IF(controls!B46=1,0,IF(controls!$B$30=13,('main page'!$U$22/100)*'normal case'!H19,))</f>
        <v>0</v>
      </c>
      <c r="K20" s="79">
        <f>IF(controls!B46=1,0,IF(controls!$B$30=13,('main page'!$U$22/100)*'normal case'!I19,))</f>
        <v>0</v>
      </c>
      <c r="L20" s="62">
        <f ca="1">IF(ABS('main page'!G24+'main page'!$K$29*L19+(1-'main page'!$K$29)*($AS$11/100)*100+'main page'!$K$25*(D20-B20)-L19)&lt;0.0000001,L19,'main page'!G24+'main page'!$K$29*L19+(1-'main page'!$K$29)*($AS$11/100)*100+'main page'!$K$25*(D20-B20))</f>
        <v>1.9998779296875</v>
      </c>
      <c r="M20" s="409">
        <f t="shared" ca="1" si="5"/>
        <v>1</v>
      </c>
      <c r="N20" s="409">
        <f t="shared" ca="1" si="7"/>
        <v>1.220703125E-4</v>
      </c>
      <c r="O20" s="409">
        <f ca="1">'main page'!G24+'main page'!$K$29*M19+(1-'main page'!$K$29)*($AQ$11/100)*100</f>
        <v>1</v>
      </c>
      <c r="P20" s="409">
        <f ca="1">'main page'!$K$25*(D20-B20)-M19</f>
        <v>-0.9998779296875</v>
      </c>
      <c r="Q20" s="409">
        <f ca="1">(1-'main page'!$K$29)*($AS$11/100)*100+'main page'!$K$25*(D20-B20)</f>
        <v>1.220703125E-4</v>
      </c>
      <c r="R20" s="409">
        <f ca="1">'main page'!G24+'main page'!$K$29*M19</f>
        <v>1</v>
      </c>
      <c r="S20" s="409">
        <f t="shared" ca="1" si="6"/>
        <v>1.0001220703125</v>
      </c>
      <c r="T20" s="79">
        <f ca="1">IF(controls!$B$10=1,T19,IF(SUM(controls!$B$44:$B$46)=2,U20-'main page'!$K$29*'normal case'!L20-(1-'main page'!$K$29)*'main page'!$K$32,U20-'main page'!$K$29*'normal case'!L20-(1-'main page'!$K$29)*controls!$B$9))</f>
        <v>3.499969482421875</v>
      </c>
      <c r="U20" s="164">
        <f ca="1">IF(controls!$B$45=1,IF(controls!$B$46=1,'main page'!$K$24+'main page'!$K$11+'main page'!$U$8,'main page'!$K$24+'main page'!$K$11+'main page'!$K$32),IF(controls!$B$44=1,IF(V20&lt;0,0,V20),IF(V20+'main page'!$K$11&lt;0,0,V20+'main page'!$K$11)))</f>
        <v>5.499847412109375</v>
      </c>
      <c r="V20" s="63">
        <f ca="1">IF(controls!$B$10=1,'normal case'!T20+'normal case'!L20,'normal case'!W20)</f>
        <v>5.499847412109375</v>
      </c>
      <c r="W20" s="61">
        <f t="shared" ca="1" si="1"/>
        <v>5.499847412109375</v>
      </c>
      <c r="X20" s="166">
        <f ca="1">IF(controls!$B$44=0,Y20+'main page'!$K$29*L20+(1-'main page'!$K$29)*controls!$B$9+(('main page'!$K$25*'main page'!$U$13*'main page'!$K$29)/('main page'!$K$27*(1+('main page'!$K$25^2)*'main page'!$U$13)))*(L20-controls!$B$9),Y20+'main page'!$K$29*L20+(1-'main page'!$K$29)*controls!$B$9+(('main page'!$K$25*'main page'!$U$13*'normal case'!$AV$3)/'normal case'!$AV$4)*('normal case'!L20-controls!$B$9))</f>
        <v>5.499847412109375</v>
      </c>
      <c r="Y20" s="81">
        <f ca="1">IF(controls!$B$44=1,'main page'!$K$24+'main page'!$K$11,IF(controls!$B$33=1,((I21-D20*AD21-K21-B21+B20*AC21)/'main page'!$K$27)-'main page'!$K$11,((H21-D20*AD21-J21-B21+B20*AC21)/'main page'!$K$27)-'main page'!$K$11))</f>
        <v>3.5</v>
      </c>
      <c r="AA20" s="58">
        <f>IF(controls!$B$6=1,$AS$3*(1+('main page'!$K$35/100))^AB20-$AS$3*(1+('main page'!$K$35/100))^AB19,$AS$3*(1+('main page'!$G$8/100))*(1+('main page'!$K$35/100))^AB20-$AS$3*(1+('main page'!$G$8/100))*(1+('main page'!$K$35/100))^AB19)</f>
        <v>0</v>
      </c>
      <c r="AB20" s="60">
        <v>13</v>
      </c>
      <c r="AC20" s="125">
        <f ca="1">IF(controls!$B$4=1,IF(controls!$H19=1,controls!$B$34*AC19+RAND()*('main page'!$K$16/100)-RAND()*('main page'!$K$16/100),0),0)</f>
        <v>0</v>
      </c>
      <c r="AD20" s="36">
        <f ca="1">IF(controls!$B$4=1,IF(controls!$I19=1,controls!$B$34*AD19+RAND()*('main page'!$K$16/100)-RAND()*('main page'!$K$16/100),0),0)</f>
        <v>0</v>
      </c>
      <c r="AE20" s="44">
        <f ca="1">IF(controls!$B$33=1,D20-($I$3-'main page'!$K$27*2)*(1+('main page'!$K$35/100))^A19,D20-$AS$4)</f>
        <v>1.0001220703125</v>
      </c>
      <c r="AF20" s="44">
        <f ca="1">ABS(L20-(controls!$B$9/100)*100)</f>
        <v>1.220703125E-4</v>
      </c>
      <c r="AH20" s="44">
        <f ca="1">IF(controls!$B$33=1,(B21-B20*AC21-I21+D20*AD21+'main page'!$K$27*('main page'!$K$24+'main page'!$K$11)+K21)/'main page'!$K$31,(B21-B20*AC21+D20*AD21-H21+'main page'!$K$27*('main page'!$K$24+'main page'!$K$11)+J21)/'main page'!$K$31)</f>
        <v>1</v>
      </c>
      <c r="AI20" s="44">
        <f ca="1">IF(controls!$B$45=1,LOG(AM20,1.01)+LOG(AL20,1.01)-LOG(AK20,1.01),-((T20-('main page'!$K$24+'main page'!$K$11))/(1-'normal case'!$AV$3))+'normal case'!AH20)</f>
        <v>2.00006103515625</v>
      </c>
      <c r="AJ20" s="80">
        <f t="shared" ca="1" si="2"/>
        <v>1.0506265834164825</v>
      </c>
      <c r="AK20" s="44">
        <f t="shared" ca="1" si="3"/>
        <v>1.3729662953216224</v>
      </c>
      <c r="AL20" s="44">
        <f>AL19*(1+'main page'!$K$32/100)</f>
        <v>1</v>
      </c>
      <c r="AM20" s="44">
        <f ca="1">IF(ABS(IF(controls!$B$45=1,$AS$13,AK20*AJ20/AL20)-AM19)&lt;0.00001,AM19,IF(controls!$B$45=1,$AS$13,AK20*AJ20/AL20))</f>
        <v>1.4424748879997416</v>
      </c>
      <c r="AN20" s="44">
        <f>IF(controls!$B$46=0,0,IF(controls!$B$33=2,B21-B20*AC21-('normal case'!H21-D20*AD21-'main page'!$K$27*'normal case'!T20+'main page'!$K$31*'normal case'!AI20)-(('main page'!$K$25*'main page'!$U$13*'main page'!$K$29)/(1+('main page'!$K$25^2)*'main page'!$U$13))*('normal case'!L20-'main page'!$U$8),B21-B20*AC21-('normal case'!I21-D20*AD21-'main page'!$K$27*'normal case'!T20+'main page'!$K$31*'normal case'!AI20)-(('main page'!$K$25*'main page'!$U$13*'main page'!$K$29)/(1+('main page'!$K$25^2)*'main page'!$U$13))*('normal case'!L20-'main page'!$U$8)))</f>
        <v>0</v>
      </c>
      <c r="AR20" s="43">
        <f>NORMDIST(5,0,2,TRUE)</f>
        <v>0.99379033467422384</v>
      </c>
      <c r="AU20" s="36"/>
      <c r="AV20" s="36"/>
      <c r="BD20" s="43">
        <f ca="1">IF(ABS((D20/D19-1)-C19)&lt;0.000001,C19,D20/D19-1)</f>
        <v>-1.2086140339651052E-6</v>
      </c>
      <c r="BE20" s="43">
        <f ca="1">IF(E20&gt;0,E20,0.1)</f>
        <v>101.0001220703125</v>
      </c>
      <c r="BF20" s="43">
        <f ca="1">IF(controls!$B$10=1,T19,IF(SUM(controls!$B$44:$B$46)=2,U20-'main page'!$K$29*'normal case'!L20-(1-'main page'!$K$29)*'main page'!$K$32,U20-'main page'!$K$29*'normal case'!L20-(1-'main page'!$K$29)*'main page'!$U$8))</f>
        <v>3.499969482421875</v>
      </c>
      <c r="BG20" s="43">
        <f ca="1">IF(controls!$B$45=1,IF(controls!$B$46=1,'main page'!$K$24+'main page'!$U$8,'main page'!$K$24+'main page'!$K$32),IF(V20&lt;0,0,V20))</f>
        <v>5.499847412109375</v>
      </c>
      <c r="BH20" s="91">
        <f ca="1">'normal case'!L20</f>
        <v>1.9998779296875</v>
      </c>
    </row>
    <row r="21" spans="1:60">
      <c r="A21" s="43">
        <v>19</v>
      </c>
      <c r="B21" s="62">
        <f ca="1">IF(controls!$B$33=1,B20*(1+AC21)+AA21,B20*(1+AC21))</f>
        <v>101</v>
      </c>
      <c r="C21" s="67">
        <f t="shared" ca="1" si="4"/>
        <v>-1.2086140339651052E-6</v>
      </c>
      <c r="D21" s="64">
        <f t="shared" ca="1" si="0"/>
        <v>101.00006103515625</v>
      </c>
      <c r="E21" s="64">
        <f ca="1">AN20+IF(controls!$B$33=1,G21,F21)</f>
        <v>101.00006103515625</v>
      </c>
      <c r="F21" s="78">
        <f ca="1">IF(controls!$B$44=0,H21-'main page'!$K$27*T20,H21-'main page'!$K$27*T20+'main page'!$K$31*AI20)</f>
        <v>101.00006103515625</v>
      </c>
      <c r="G21" s="62">
        <f ca="1">IF(controls!$B$44=0,I21-'main page'!$K$27*T20,I21-'main page'!$K$27*T20+'main page'!$K$31*'normal case'!AI20)</f>
        <v>101.00006103515625</v>
      </c>
      <c r="H21" s="62">
        <f ca="1">IF(controls!$B$31=2,H20+D20*AD21+J21,H20+D20*AD21+J21-J20)</f>
        <v>108</v>
      </c>
      <c r="I21" s="62">
        <f ca="1">IF(controls!$B$31=2,I20+D20*AD21+AA21+K21,I20+D20*AD21+AA21+K21-K20)</f>
        <v>108</v>
      </c>
      <c r="J21" s="79">
        <f>IF(controls!B46=1,0,IF(controls!$B$30=14,('main page'!$U$22/100)*'normal case'!H20,))</f>
        <v>0</v>
      </c>
      <c r="K21" s="79">
        <f>IF(controls!B46=1,0,IF(controls!$B$30=14,('main page'!$U$22/100)*'normal case'!I20,))</f>
        <v>0</v>
      </c>
      <c r="L21" s="62">
        <f ca="1">IF(ABS('main page'!G25+'main page'!$K$29*L20+(1-'main page'!$K$29)*($AS$11/100)*100+'main page'!$K$25*(D21-B21)-L20)&lt;0.0000001,L20,'main page'!G25+'main page'!$K$29*L20+(1-'main page'!$K$29)*($AS$11/100)*100+'main page'!$K$25*(D21-B21))</f>
        <v>1.99993896484375</v>
      </c>
      <c r="M21" s="409">
        <f t="shared" ca="1" si="5"/>
        <v>1</v>
      </c>
      <c r="N21" s="409">
        <f t="shared" ca="1" si="7"/>
        <v>6.103515625E-5</v>
      </c>
      <c r="O21" s="409">
        <f ca="1">'main page'!G25+'main page'!$K$29*M20+(1-'main page'!$K$29)*($AQ$11/100)*100</f>
        <v>1</v>
      </c>
      <c r="P21" s="409">
        <f ca="1">'main page'!$K$25*(D21-B21)-M20</f>
        <v>-0.99993896484375</v>
      </c>
      <c r="Q21" s="409">
        <f ca="1">(1-'main page'!$K$29)*($AS$11/100)*100+'main page'!$K$25*(D21-B21)</f>
        <v>6.103515625E-5</v>
      </c>
      <c r="R21" s="409">
        <f ca="1">'main page'!G25+'main page'!$K$29*M20</f>
        <v>1</v>
      </c>
      <c r="S21" s="409">
        <f t="shared" ca="1" si="6"/>
        <v>1.00006103515625</v>
      </c>
      <c r="T21" s="79">
        <f ca="1">IF(controls!$B$10=1,T20,IF(SUM(controls!$B$44:$B$46)=2,U21-'main page'!$K$29*'normal case'!L21-(1-'main page'!$K$29)*'main page'!$K$32,U21-'main page'!$K$29*'normal case'!L21-(1-'main page'!$K$29)*controls!$B$9))</f>
        <v>3.4999847412109375</v>
      </c>
      <c r="U21" s="164">
        <f ca="1">IF(controls!$B$45=1,IF(controls!$B$46=1,'main page'!$K$24+'main page'!$K$11+'main page'!$U$8,'main page'!$K$24+'main page'!$K$11+'main page'!$K$32),IF(controls!$B$44=1,IF(V21&lt;0,0,V21),IF(V21+'main page'!$K$11&lt;0,0,V21+'main page'!$K$11)))</f>
        <v>5.4999237060546875</v>
      </c>
      <c r="V21" s="63">
        <f ca="1">IF(controls!$B$10=1,'normal case'!T21+'normal case'!L21,'normal case'!W21)</f>
        <v>5.4999237060546875</v>
      </c>
      <c r="W21" s="61">
        <f t="shared" ca="1" si="1"/>
        <v>5.4999237060546875</v>
      </c>
      <c r="X21" s="166">
        <f ca="1">IF(controls!$B$44=0,Y21+'main page'!$K$29*L21+(1-'main page'!$K$29)*controls!$B$9+(('main page'!$K$25*'main page'!$U$13*'main page'!$K$29)/('main page'!$K$27*(1+('main page'!$K$25^2)*'main page'!$U$13)))*(L21-controls!$B$9),Y21+'main page'!$K$29*L21+(1-'main page'!$K$29)*controls!$B$9+(('main page'!$K$25*'main page'!$U$13*'normal case'!$AV$3)/'normal case'!$AV$4)*('normal case'!L21-controls!$B$9))</f>
        <v>5.4999237060546875</v>
      </c>
      <c r="Y21" s="81">
        <f ca="1">IF(controls!$B$44=1,'main page'!$K$24+'main page'!$K$11,IF(controls!$B$33=1,((I22-D21*AD22-K22-B22+B21*AC22)/'main page'!$K$27)-'main page'!$K$11,((H22-D21*AD22-J22-B22+B21*AC22)/'main page'!$K$27)-'main page'!$K$11))</f>
        <v>3.5</v>
      </c>
      <c r="AA21" s="58">
        <f>IF(controls!$B$6=1,$AS$3*(1+('main page'!$K$35/100))^AB21-$AS$3*(1+('main page'!$K$35/100))^AB20,$AS$3*(1+('main page'!$G$8/100))*(1+('main page'!$K$35/100))^AB21-$AS$3*(1+('main page'!$G$8/100))*(1+('main page'!$K$35/100))^AB20)</f>
        <v>0</v>
      </c>
      <c r="AB21" s="60">
        <v>14</v>
      </c>
      <c r="AC21" s="125">
        <v>0</v>
      </c>
      <c r="AD21" s="36">
        <v>0</v>
      </c>
      <c r="AE21" s="44">
        <f ca="1">IF(controls!$B$33=1,D21-($I$3-'main page'!$K$27*2)*(1+('main page'!$K$35/100))^A20,D21-$AS$4)</f>
        <v>1.00006103515625</v>
      </c>
      <c r="AF21" s="44">
        <f ca="1">ABS(L21-(controls!$B$9/100)*100)</f>
        <v>6.103515625E-5</v>
      </c>
      <c r="AH21" s="44">
        <f ca="1">IF(controls!$B$33=1,(B22-B21*AC22-I22+D21*AD22+'main page'!$K$27*('main page'!$K$24+'main page'!$K$11)+K22)/'main page'!$K$31,(B22-B21*AC22+D21*AD22-H22+'main page'!$K$27*('main page'!$K$24+'main page'!$K$11)+J22)/'main page'!$K$31)</f>
        <v>1</v>
      </c>
      <c r="AI21" s="44">
        <f ca="1">IF(controls!$B$45=1,LOG(AM21,1.01)+LOG(AL21,1.01)-LOG(AK21,1.01),-((T21-('main page'!$K$24+'main page'!$K$11))/(1-'normal case'!$AV$3))+'normal case'!AH21)</f>
        <v>2.000030517578125</v>
      </c>
      <c r="AJ21" s="80">
        <f t="shared" ca="1" si="2"/>
        <v>1.0506257917079429</v>
      </c>
      <c r="AK21" s="44">
        <f t="shared" ca="1" si="3"/>
        <v>1.4004247832359311</v>
      </c>
      <c r="AL21" s="44">
        <f>AL20*(1+'main page'!$K$32/100)</f>
        <v>1</v>
      </c>
      <c r="AM21" s="44">
        <f ca="1">IF(ABS(IF(controls!$B$45=1,$AS$13,AK21*AJ21/AL21)-AM20)&lt;0.00001,AM20,IF(controls!$B$45=1,$AS$13,AK21*AJ21/AL21))</f>
        <v>1.4713223966146745</v>
      </c>
      <c r="AN21" s="44">
        <f>IF(controls!$B$46=0,0,IF(controls!$B$33=2,B22-B21*AC22-('normal case'!H22-D21*AD22-'main page'!$K$27*'normal case'!T21+'main page'!$K$31*'normal case'!AI21)-(('main page'!$K$25*'main page'!$U$13*'main page'!$K$29)/(1+('main page'!$K$25^2)*'main page'!$U$13))*('normal case'!L21-'main page'!$U$8),B22-B21*AC22-('normal case'!I22-D21*AD22-'main page'!$K$27*'normal case'!T21+'main page'!$K$31*'normal case'!AI21)-(('main page'!$K$25*'main page'!$U$13*'main page'!$K$29)/(1+('main page'!$K$25^2)*'main page'!$U$13))*('normal case'!L21-'main page'!$U$8)))</f>
        <v>0</v>
      </c>
      <c r="AU21" s="36"/>
      <c r="AV21" s="36"/>
    </row>
    <row r="22" spans="1:60">
      <c r="A22" s="43">
        <v>20</v>
      </c>
      <c r="B22" s="62">
        <f ca="1">IF(controls!$B$33=1,B21*(1+AC22)+AA22,B21*(1+AC22))</f>
        <v>101</v>
      </c>
      <c r="C22" s="67">
        <f t="shared" ca="1" si="4"/>
        <v>-1.2086140339651052E-6</v>
      </c>
      <c r="D22" s="64">
        <f t="shared" ca="1" si="0"/>
        <v>101.00003051757813</v>
      </c>
      <c r="E22" s="64">
        <f ca="1">AN21+IF(controls!$B$33=1,G22,F22)</f>
        <v>101.00003051757813</v>
      </c>
      <c r="F22" s="78">
        <f ca="1">IF(controls!$B$44=0,H22-'main page'!$K$27*T21,H22-'main page'!$K$27*T21+'main page'!$K$31*AI21)</f>
        <v>101.00003051757813</v>
      </c>
      <c r="G22" s="62">
        <f ca="1">IF(controls!$B$44=0,I22-'main page'!$K$27*T21,I22-'main page'!$K$27*T21+'main page'!$K$31*'normal case'!AI21)</f>
        <v>101.00003051757813</v>
      </c>
      <c r="H22" s="62">
        <f ca="1">IF(controls!$B$31=2,H21+D21*AD22+J22,H21+D21*AD22+J22-J21)</f>
        <v>108</v>
      </c>
      <c r="I22" s="62">
        <f ca="1">IF(controls!$B$31=2,I21+D21*AD22+AA22+K22,I21+D21*AD22+AA22+K22-K21)</f>
        <v>108</v>
      </c>
      <c r="J22" s="79">
        <f>IF(controls!B46=1,0,IF(controls!$B$30=15,('main page'!$U$22/100)*'normal case'!H21,))</f>
        <v>0</v>
      </c>
      <c r="K22" s="79">
        <f>IF(controls!B46=1,0,IF(controls!$B$30=15,('main page'!$U$22/100)*'normal case'!I21,))</f>
        <v>0</v>
      </c>
      <c r="L22" s="62">
        <f ca="1">IF(ABS('main page'!G26+'main page'!$K$29*L21+(1-'main page'!$K$29)*($AS$11/100)*100+'main page'!$K$25*(D22-B22)-L21)&lt;0.0000001,L21,'main page'!G26+'main page'!$K$29*L21+(1-'main page'!$K$29)*($AS$11/100)*100+'main page'!$K$25*(D22-B22))</f>
        <v>1.999969482421875</v>
      </c>
      <c r="M22" s="409">
        <f t="shared" ca="1" si="5"/>
        <v>1</v>
      </c>
      <c r="N22" s="409">
        <f t="shared" ca="1" si="7"/>
        <v>3.0517578125E-5</v>
      </c>
      <c r="O22" s="409">
        <f ca="1">'main page'!G26+'main page'!$K$29*M21+(1-'main page'!$K$29)*($AQ$11/100)*100</f>
        <v>1</v>
      </c>
      <c r="P22" s="409">
        <f ca="1">'main page'!$K$25*(D22-B22)-M21</f>
        <v>-0.999969482421875</v>
      </c>
      <c r="Q22" s="409">
        <f ca="1">(1-'main page'!$K$29)*($AS$11/100)*100+'main page'!$K$25*(D22-B22)</f>
        <v>3.0517578125E-5</v>
      </c>
      <c r="R22" s="409">
        <f ca="1">'main page'!G26+'main page'!$K$29*M21</f>
        <v>1</v>
      </c>
      <c r="S22" s="409">
        <f t="shared" ca="1" si="6"/>
        <v>1.000030517578125</v>
      </c>
      <c r="T22" s="79">
        <f ca="1">IF(controls!$B$10=1,T21,IF(SUM(controls!$B$44:$B$46)=2,U22-'main page'!$K$29*'normal case'!L22-(1-'main page'!$K$29)*'main page'!$K$32,U22-'main page'!$K$29*'normal case'!L22-(1-'main page'!$K$29)*controls!$B$9))</f>
        <v>3.4999923706054688</v>
      </c>
      <c r="U22" s="164">
        <f ca="1">IF(controls!$B$45=1,IF(controls!$B$46=1,'main page'!$K$24+'main page'!$K$11+'main page'!$U$8,'main page'!$K$24+'main page'!$K$11+'main page'!$K$32),IF(controls!$B$44=1,IF(V22&lt;0,0,V22),IF(V22+'main page'!$K$11&lt;0,0,V22+'main page'!$K$11)))</f>
        <v>5.4999618530273438</v>
      </c>
      <c r="V22" s="63">
        <f ca="1">IF(controls!$B$10=1,'normal case'!T22+'normal case'!L22,'normal case'!W22)</f>
        <v>5.4999618530273438</v>
      </c>
      <c r="W22" s="61">
        <f t="shared" ca="1" si="1"/>
        <v>5.4999618530273438</v>
      </c>
      <c r="X22" s="166">
        <f ca="1">IF(controls!$B$44=0,Y22+'main page'!$K$29*L22+(1-'main page'!$K$29)*controls!$B$9+(('main page'!$K$25*'main page'!$U$13*'main page'!$K$29)/('main page'!$K$27*(1+('main page'!$K$25^2)*'main page'!$U$13)))*(L22-controls!$B$9),Y22+'main page'!$K$29*L22+(1-'main page'!$K$29)*controls!$B$9+(('main page'!$K$25*'main page'!$U$13*'normal case'!$AV$3)/'normal case'!$AV$4)*('normal case'!L22-controls!$B$9))</f>
        <v>5.4999618530273438</v>
      </c>
      <c r="Y22" s="81">
        <f ca="1">IF(controls!$B$44=1,'main page'!$K$24+'main page'!$K$11,IF(controls!$B$33=1,((I23-D22*AD23-K23-B23+B22*AC23)/'main page'!$K$27)-'main page'!$K$11,((H23-D22*AD23-J23-B23+B22*AC23)/'main page'!$K$27)-'main page'!$K$11))</f>
        <v>3.5</v>
      </c>
      <c r="AA22" s="58">
        <f>IF(controls!$B$6=1,$AS$3*(1+('main page'!$K$35/100))^AB22-$AS$3*(1+('main page'!$K$35/100))^AB21,$AS$3*(1+('main page'!$G$8/100))*(1+('main page'!$K$35/100))^AB22-$AS$3*(1+('main page'!$G$8/100))*(1+('main page'!$K$35/100))^AB21)</f>
        <v>0</v>
      </c>
      <c r="AB22" s="60">
        <v>15</v>
      </c>
      <c r="AC22" s="125">
        <v>0</v>
      </c>
      <c r="AD22" s="36">
        <v>0</v>
      </c>
      <c r="AE22" s="44">
        <f ca="1">IF(controls!$B$33=1,D22-($I$3-'main page'!$K$27*2)*(1+('main page'!$K$35/100))^A21,D22-$AS$4)</f>
        <v>1.000030517578125</v>
      </c>
      <c r="AF22" s="44">
        <f ca="1">ABS(L22-(controls!$B$9/100)*100)</f>
        <v>3.0517578125E-5</v>
      </c>
      <c r="AH22" s="44">
        <f ca="1">IF(controls!$B$33=1,(B23-B22*AC23-I23+D22*AD23+'main page'!$K$27*('main page'!$K$24+'main page'!$K$11)+K23)/'main page'!$K$31,(B23-B22*AC23+D22*AD23-H23+'main page'!$K$27*('main page'!$K$24+'main page'!$K$11)+J23)/'main page'!$K$31)</f>
        <v>1</v>
      </c>
      <c r="AI22" s="44">
        <f ca="1">IF(controls!$B$45=1,LOG(AM22,1.01)+LOG(AL22,1.01)-LOG(AK22,1.01),-((T22-('main page'!$K$24+'main page'!$K$11))/(1-'normal case'!$AV$3))+'normal case'!AH22)</f>
        <v>2.0000152587890625</v>
      </c>
      <c r="AJ22" s="80">
        <f t="shared" ca="1" si="2"/>
        <v>1.0506253958538967</v>
      </c>
      <c r="AK22" s="44">
        <f t="shared" ca="1" si="3"/>
        <v>1.4284328515249223</v>
      </c>
      <c r="AL22" s="44">
        <f>AL21*(1+'main page'!$K$32/100)</f>
        <v>1</v>
      </c>
      <c r="AM22" s="44">
        <f ca="1">IF(ABS(IF(controls!$B$45=1,$AS$13,AK22*AJ22/AL22)-AM21)&lt;0.00001,AM21,IF(controls!$B$45=1,$AS$13,AK22*AJ22/AL22))</f>
        <v>1.500747830084082</v>
      </c>
      <c r="AN22" s="44">
        <f>IF(controls!$B$46=0,0,IF(controls!$B$33=2,B23-B22*AC23-('normal case'!H23-D22*AD23-'main page'!$K$27*'normal case'!T22+'main page'!$K$31*'normal case'!AI22)-(('main page'!$K$25*'main page'!$U$13*'main page'!$K$29)/(1+('main page'!$K$25^2)*'main page'!$U$13))*('normal case'!L22-'main page'!$U$8),B23-B22*AC23-('normal case'!I23-D22*AD23-'main page'!$K$27*'normal case'!T22+'main page'!$K$31*'normal case'!AI22)-(('main page'!$K$25*'main page'!$U$13*'main page'!$K$29)/(1+('main page'!$K$25^2)*'main page'!$U$13))*('normal case'!L22-'main page'!$U$8)))</f>
        <v>0</v>
      </c>
      <c r="AU22" s="36"/>
      <c r="AV22" s="36"/>
    </row>
    <row r="23" spans="1:60">
      <c r="A23" s="43">
        <v>21</v>
      </c>
      <c r="B23" s="62">
        <f ca="1">IF(controls!$B$33=1,B22*(1+AC23)+AA23,B22*(1+AC23))</f>
        <v>101</v>
      </c>
      <c r="C23" s="67">
        <f t="shared" ca="1" si="4"/>
        <v>-1.5107707374006907E-7</v>
      </c>
      <c r="D23" s="64">
        <f t="shared" ca="1" si="0"/>
        <v>101.00001525878906</v>
      </c>
      <c r="E23" s="64">
        <f ca="1">AN22+IF(controls!$B$33=1,G23,F23)</f>
        <v>101.00001525878906</v>
      </c>
      <c r="F23" s="78">
        <f ca="1">IF(controls!$B$44=0,H23-'main page'!$K$27*T22,H23-'main page'!$K$27*T22+'main page'!$K$31*AI22)</f>
        <v>101.00001525878906</v>
      </c>
      <c r="G23" s="62">
        <f ca="1">IF(controls!$B$44=0,I23-'main page'!$K$27*T22,I23-'main page'!$K$27*T22+'main page'!$K$31*'normal case'!AI22)</f>
        <v>101.00001525878906</v>
      </c>
      <c r="H23" s="62">
        <f ca="1">IF(controls!$B$31=2,H22+D22*AD23,H22+D22*AD23-J22)</f>
        <v>108</v>
      </c>
      <c r="I23" s="62">
        <f ca="1">IF(controls!$B$31=2,I22+D22*AD23+AA23,I22+D22*AD23+AA23-K22)</f>
        <v>108</v>
      </c>
      <c r="L23" s="62">
        <f ca="1">IF(ABS('main page'!G27+'main page'!$K$29*L22+(1-'main page'!$K$29)*($AS$11/100)*100+'main page'!$K$25*(D23-B23)-L22)&lt;0.0000001,L22,'main page'!G27+'main page'!$K$29*L22+(1-'main page'!$K$29)*($AS$11/100)*100+'main page'!$K$25*(D23-B23))</f>
        <v>1.9999847412109375</v>
      </c>
      <c r="M23" s="409">
        <f t="shared" ca="1" si="5"/>
        <v>1</v>
      </c>
      <c r="N23" s="409">
        <f t="shared" ca="1" si="7"/>
        <v>1.52587890625E-5</v>
      </c>
      <c r="O23" s="409">
        <f ca="1">'main page'!G27+'main page'!$K$29*M22+(1-'main page'!$K$29)*($AQ$11/100)*100</f>
        <v>1</v>
      </c>
      <c r="P23" s="409">
        <f ca="1">'main page'!$K$25*(D23-B23)-M22</f>
        <v>-0.9999847412109375</v>
      </c>
      <c r="Q23" s="409">
        <f ca="1">(1-'main page'!$K$29)*($AS$11/100)*100+'main page'!$K$25*(D23-B23)</f>
        <v>1.52587890625E-5</v>
      </c>
      <c r="R23" s="409">
        <f ca="1">'main page'!G27+'main page'!$K$29*M22</f>
        <v>1</v>
      </c>
      <c r="S23" s="409">
        <f t="shared" ca="1" si="6"/>
        <v>1.0000152587890625</v>
      </c>
      <c r="T23" s="79">
        <f ca="1">IF(controls!$B$10=1,T22,IF(SUM(controls!$B$44:$B$46)=2,U23-'main page'!$K$29*'normal case'!L23-(1-'main page'!$K$29)*'main page'!$K$32,U23-'main page'!$K$29*'normal case'!L23-(1-'main page'!$K$29)*controls!$B$9))</f>
        <v>3.4999961853027344</v>
      </c>
      <c r="U23" s="164">
        <f ca="1">IF(controls!$B$45=1,IF(controls!$B$46=1,'main page'!$K$24+'main page'!$K$11+'main page'!$U$8,'main page'!$K$24+'main page'!$K$11+'main page'!$K$32),IF(controls!$B$44=1,IF(V23&lt;0,0,V23),IF(V23+'main page'!$K$11&lt;0,0,V23+'main page'!$K$11)))</f>
        <v>5.4999809265136719</v>
      </c>
      <c r="V23" s="63">
        <f ca="1">IF(controls!$B$10=1,'normal case'!T23+'normal case'!L23,'normal case'!W23)</f>
        <v>5.4999809265136719</v>
      </c>
      <c r="W23" s="61">
        <f t="shared" ca="1" si="1"/>
        <v>5.4999809265136719</v>
      </c>
      <c r="X23" s="166">
        <f ca="1">IF(controls!$B$44=0,Y23+'main page'!$K$29*L23+(1-'main page'!$K$29)*controls!$B$9+(('main page'!$K$25*'main page'!$U$13*'main page'!$K$29)/('main page'!$K$27*(1+('main page'!$K$25^2)*'main page'!$U$13)))*(L23-controls!$B$9),Y23+'main page'!$K$29*L23+(1-'main page'!$K$29)*controls!$B$9+(('main page'!$K$25*'main page'!$U$13*'normal case'!$AV$3)/'normal case'!$AV$4)*('normal case'!L23-controls!$B$9))</f>
        <v>5.4999809265136719</v>
      </c>
      <c r="Y23" s="81">
        <f ca="1">IF(controls!$B$44=1,'main page'!$K$24+'main page'!$K$11,IF(controls!$B$33=1,((I24-D23*AD24-K24-B24+B23*AC24)/'main page'!$K$27)-'main page'!$K$11,((H24-D23*AD24-J24-B24+B23*AC24)/'main page'!$K$27)-'main page'!$K$11))</f>
        <v>3.5</v>
      </c>
      <c r="AA23" s="58">
        <f>IF(controls!$B$6=1,$AS$3*(1+('main page'!$K$35/100))^AB23-$AS$3*(1+('main page'!$K$35/100))^AB22,$AS$3*(1+('main page'!$G$8/100))*(1+('main page'!$K$35/100))^AB23-$AS$3*(1+('main page'!$G$8/100))*(1+('main page'!$K$35/100))^AB22)</f>
        <v>0</v>
      </c>
      <c r="AB23" s="60">
        <v>16</v>
      </c>
      <c r="AC23" s="125">
        <f ca="1">IF(controls!$B$4=1,IF(controls!$H22=1,controls!$B$34*AC22+RAND()*('main page'!$K$16/100)-RAND()*('main page'!$K$16/100),0),0)</f>
        <v>0</v>
      </c>
      <c r="AD23" s="36">
        <f ca="1">IF(controls!$B$4=1,IF(controls!$I22=1,controls!$B$34*AD22+RAND()*('main page'!$K$16/100)-RAND()*('main page'!$K$16/100),0),0)</f>
        <v>0</v>
      </c>
      <c r="AE23" s="44">
        <f ca="1">IF(controls!$B$33=1,D23-($I$3-'main page'!$K$27*2)*(1+('main page'!$K$35/100))^A22,D23-$AS$4)</f>
        <v>1.0000152587890625</v>
      </c>
      <c r="AF23" s="44">
        <f ca="1">ABS(L23-(controls!$B$9/100)*100)</f>
        <v>1.52587890625E-5</v>
      </c>
      <c r="AH23" s="44">
        <f ca="1">IF(controls!$B$33=1,(B24-B23*AC24-I24+D23*AD24+'main page'!$K$27*('main page'!$K$24+'main page'!$K$11)+K24)/'main page'!$K$31,(B24-B23*AC24+D23*AD24-H24+'main page'!$K$27*('main page'!$K$24+'main page'!$K$11)+J24)/'main page'!$K$31)</f>
        <v>1</v>
      </c>
      <c r="AI23" s="44">
        <f ca="1">IF(controls!$B$45=1,LOG(AM23,1.01)+LOG(AL23,1.01)-LOG(AK23,1.01),-((T23-('main page'!$K$24+'main page'!$K$11))/(1-'normal case'!$AV$3))+'normal case'!AH23)</f>
        <v>2.0000076293945313</v>
      </c>
      <c r="AJ23" s="80">
        <f t="shared" ca="1" si="2"/>
        <v>1.0506251979269297</v>
      </c>
      <c r="AK23" s="44">
        <f t="shared" ca="1" si="3"/>
        <v>1.4570012905938652</v>
      </c>
      <c r="AL23" s="44">
        <f>AL22*(1+'main page'!$K$32/100)</f>
        <v>1</v>
      </c>
      <c r="AM23" s="44">
        <f ca="1">IF(ABS(IF(controls!$B$45=1,$AS$13,AK23*AJ23/AL23)-AM22)&lt;0.00001,AM22,IF(controls!$B$45=1,$AS$13,AK23*AJ23/AL23))</f>
        <v>1.5307622693099716</v>
      </c>
      <c r="AN23" s="44">
        <f>IF(controls!$B$46=0,0,IF(controls!$B$33=2,B24-B23*AC24-('normal case'!H24-D23*AD24-'main page'!$K$27*'normal case'!T23+'main page'!$K$31*'normal case'!AI23)-(('main page'!$K$25*'main page'!$U$13*'main page'!$K$29)/(1+('main page'!$K$25^2)*'main page'!$U$13))*('normal case'!L23-'main page'!$U$8),B24-B23*AC24-('normal case'!I24-D23*AD24-'main page'!$K$27*'normal case'!T23+'main page'!$K$31*'normal case'!AI23)-(('main page'!$K$25*'main page'!$U$13*'main page'!$K$29)/(1+('main page'!$K$25^2)*'main page'!$U$13))*('normal case'!L23-'main page'!$U$8)))</f>
        <v>0</v>
      </c>
      <c r="AU23" s="36"/>
      <c r="AV23" s="36"/>
    </row>
    <row r="24" spans="1:60">
      <c r="A24" s="43">
        <v>22</v>
      </c>
      <c r="B24" s="62">
        <f ca="1">IF(controls!$B$33=1,B23*(1+AC24)+AA24,B23*(1+AC24))</f>
        <v>101</v>
      </c>
      <c r="C24" s="67">
        <f t="shared" ca="1" si="4"/>
        <v>-1.5107707374006907E-7</v>
      </c>
      <c r="D24" s="64">
        <f t="shared" ca="1" si="0"/>
        <v>101.00000762939453</v>
      </c>
      <c r="E24" s="64">
        <f ca="1">AN23+IF(controls!$B$33=1,G24,F24)</f>
        <v>101.00000762939453</v>
      </c>
      <c r="F24" s="78">
        <f ca="1">IF(controls!$B$44=0,H24-'main page'!$K$27*T23,H24-'main page'!$K$27*T23+'main page'!$K$31*AI23)</f>
        <v>101.00000762939453</v>
      </c>
      <c r="G24" s="62">
        <f ca="1">IF(controls!$B$44=0,I24-'main page'!$K$27*T23,I24-'main page'!$K$27*T23+'main page'!$K$31*'normal case'!AI23)</f>
        <v>101.00000762939453</v>
      </c>
      <c r="H24" s="62">
        <f t="shared" ref="H24:H87" ca="1" si="8">H23+D23*AD24</f>
        <v>108</v>
      </c>
      <c r="I24" s="62">
        <f t="shared" ref="I24:I87" ca="1" si="9">I23+D23*AD24+AA24</f>
        <v>108</v>
      </c>
      <c r="L24" s="62">
        <f ca="1">IF(ABS('main page'!G28+'main page'!$K$29*L23+(1-'main page'!$K$29)*($AS$11/100)*100+'main page'!$K$25*(D24-B24)-L23)&lt;0.0000001,L23,'main page'!G28+'main page'!$K$29*L23+(1-'main page'!$K$29)*($AS$11/100)*100+'main page'!$K$25*(D24-B24))</f>
        <v>1.9999923706054688</v>
      </c>
      <c r="M24" s="409">
        <f t="shared" ca="1" si="5"/>
        <v>1</v>
      </c>
      <c r="N24" s="409">
        <f t="shared" ca="1" si="7"/>
        <v>7.62939453125E-6</v>
      </c>
      <c r="O24" s="409">
        <f ca="1">'main page'!G28+'main page'!$K$29*M23+(1-'main page'!$K$29)*($AQ$11/100)*100</f>
        <v>1</v>
      </c>
      <c r="P24" s="409">
        <f ca="1">'main page'!$K$25*(D24-B24)-M23</f>
        <v>-0.99999237060546875</v>
      </c>
      <c r="Q24" s="409">
        <f ca="1">(1-'main page'!$K$29)*($AS$11/100)*100+'main page'!$K$25*(D24-B24)</f>
        <v>7.62939453125E-6</v>
      </c>
      <c r="R24" s="409">
        <f ca="1">'main page'!G28+'main page'!$K$29*M23</f>
        <v>1</v>
      </c>
      <c r="S24" s="409">
        <f t="shared" ca="1" si="6"/>
        <v>1.0000076293945313</v>
      </c>
      <c r="T24" s="79">
        <f ca="1">IF(controls!$B$10=1,T23,IF(SUM(controls!$B$44:$B$46)=2,U24-'main page'!$K$29*'normal case'!L24-(1-'main page'!$K$29)*'main page'!$K$32,U24-'main page'!$K$29*'normal case'!L24-(1-'main page'!$K$29)*controls!$B$9))</f>
        <v>3.4999980926513672</v>
      </c>
      <c r="U24" s="164">
        <f ca="1">IF(controls!$B$45=1,IF(controls!$B$46=1,'main page'!$K$24+'main page'!$K$11+'main page'!$U$8,'main page'!$K$24+'main page'!$K$11+'main page'!$K$32),IF(controls!$B$44=1,IF(V24&lt;0,0,V24),IF(V24+'main page'!$K$11&lt;0,0,V24+'main page'!$K$11)))</f>
        <v>5.4999904632568359</v>
      </c>
      <c r="V24" s="63">
        <f ca="1">IF(controls!$B$10=1,'normal case'!T24+'normal case'!L24,'normal case'!W24)</f>
        <v>5.4999904632568359</v>
      </c>
      <c r="W24" s="61">
        <f t="shared" ca="1" si="1"/>
        <v>5.4999904632568359</v>
      </c>
      <c r="X24" s="166">
        <f ca="1">IF(controls!$B$44=0,Y24+'main page'!$K$29*L24+(1-'main page'!$K$29)*controls!$B$9+(('main page'!$K$25*'main page'!$U$13*'main page'!$K$29)/('main page'!$K$27*(1+('main page'!$K$25^2)*'main page'!$U$13)))*(L24-controls!$B$9),Y24+'main page'!$K$29*L24+(1-'main page'!$K$29)*controls!$B$9+(('main page'!$K$25*'main page'!$U$13*'normal case'!$AV$3)/'normal case'!$AV$4)*('normal case'!L24-controls!$B$9))</f>
        <v>5.4999904632568359</v>
      </c>
      <c r="Y24" s="81">
        <f ca="1">IF(controls!$B$44=1,'main page'!$K$24+'main page'!$K$11,IF(controls!$B$33=1,((I25-D24*AD25-B25+B24*AC25)/'main page'!$K$27)-'main page'!$K$11,((H25-D24*AD25-B25+B24*AC25)/'main page'!$K$27)-'main page'!$K$11))</f>
        <v>3.5</v>
      </c>
      <c r="AA24" s="58">
        <f>IF(controls!$B$6=1,$AS$3*(1+('main page'!$K$35/100))^AB24-$AS$3*(1+('main page'!$K$35/100))^AB23,$AS$3*(1+('main page'!$G$8/100))*(1+('main page'!$K$35/100))^AB24-$AS$3*(1+('main page'!$G$8/100))*(1+('main page'!$K$35/100))^AB23)</f>
        <v>0</v>
      </c>
      <c r="AB24" s="60">
        <v>17</v>
      </c>
      <c r="AC24" s="125">
        <v>0</v>
      </c>
      <c r="AD24" s="36">
        <v>0</v>
      </c>
      <c r="AE24" s="44">
        <f ca="1">IF(controls!$B$33=1,D24-($I$3-'main page'!$K$27*2)*(1+('main page'!$K$35/100))^A23,D24-$AS$4)</f>
        <v>1.0000076293945313</v>
      </c>
      <c r="AF24" s="44">
        <f ca="1">ABS(L24-(controls!$B$9/100)*100)</f>
        <v>7.62939453125E-6</v>
      </c>
      <c r="AH24" s="44">
        <f ca="1">IF(controls!$B$33=1,(B25-B24*AC25-I25+D24*AD25+'main page'!$K$27*('main page'!$K$24+'main page'!$K$11))/'main page'!$K$31,(B25-B24*AC25+D24*AD25-H25+'main page'!$K$27*('main page'!$K$24+'main page'!$K$11))/'main page'!$K$31)</f>
        <v>1</v>
      </c>
      <c r="AI24" s="44">
        <f ca="1">IF(controls!$B$45=1,LOG(AM24,1.01)+LOG(AL24,1.01)-LOG(AK24,1.01),-((T24-('main page'!$K$24+'main page'!$K$11))/(1-'normal case'!$AV$3))+'normal case'!AH24)</f>
        <v>2.0000038146972656</v>
      </c>
      <c r="AJ24" s="80">
        <f t="shared" ca="1" si="2"/>
        <v>1.05062509896346</v>
      </c>
      <c r="AK24" s="44">
        <f t="shared" ca="1" si="3"/>
        <v>1.4861412052453655</v>
      </c>
      <c r="AL24" s="44">
        <f>AL23*(1+'main page'!$K$32/100)</f>
        <v>1</v>
      </c>
      <c r="AM24" s="44">
        <f ca="1">IF(ABS(IF(controls!$B$45=1,$AS$13,AK24*AJ24/AL24)-AM23)&lt;0.00001,AM23,IF(controls!$B$45=1,$AS$13,AK24*AJ24/AL24))</f>
        <v>1.561377250834588</v>
      </c>
      <c r="AN24" s="44">
        <f>IF(controls!$B$46=0,0,IF(controls!$B$33=2,B25-B24*AC25-('normal case'!H25-D24*AD25-'main page'!$K$27*'normal case'!T24+'main page'!$K$31*'normal case'!AI24)-(('main page'!$K$25*'main page'!$U$13*'main page'!$K$29)/(1+('main page'!$K$25^2)*'main page'!$U$13))*('normal case'!L24-'main page'!$U$8),B25-B24*AC25-('normal case'!I25-D24*AD25-'main page'!$K$27*'normal case'!T24+'main page'!$K$31*'normal case'!AI24)-(('main page'!$K$25*'main page'!$U$13*'main page'!$K$29)/(1+('main page'!$K$25^2)*'main page'!$U$13))*('normal case'!L24-'main page'!$U$8)))</f>
        <v>0</v>
      </c>
      <c r="AU24" s="36"/>
      <c r="AV24" s="36"/>
    </row>
    <row r="25" spans="1:60">
      <c r="A25" s="43">
        <v>23</v>
      </c>
      <c r="B25" s="62">
        <f ca="1">IF(controls!$B$33=1,B24*(1+AC25)+AA25,B24*(1+AC25))</f>
        <v>101</v>
      </c>
      <c r="C25" s="67">
        <f t="shared" ca="1" si="4"/>
        <v>-1.5107707374006907E-7</v>
      </c>
      <c r="D25" s="64">
        <f t="shared" ca="1" si="0"/>
        <v>101.00000381469727</v>
      </c>
      <c r="E25" s="64">
        <f ca="1">AN24+IF(controls!$B$33=1,G25,F25)</f>
        <v>101.00000381469727</v>
      </c>
      <c r="F25" s="78">
        <f ca="1">IF(controls!$B$44=0,H25-'main page'!$K$27*T24,H25-'main page'!$K$27*T24+'main page'!$K$31*AI24)</f>
        <v>101.00000381469727</v>
      </c>
      <c r="G25" s="62">
        <f ca="1">IF(controls!$B$44=0,I25-'main page'!$K$27*T24,I25-'main page'!$K$27*T24+'main page'!$K$31*'normal case'!AI24)</f>
        <v>101.00000381469727</v>
      </c>
      <c r="H25" s="62">
        <f t="shared" ca="1" si="8"/>
        <v>108</v>
      </c>
      <c r="I25" s="62">
        <f t="shared" ca="1" si="9"/>
        <v>108</v>
      </c>
      <c r="L25" s="62">
        <f ca="1">IF(ABS('main page'!G29+'main page'!$K$29*L24+(1-'main page'!$K$29)*($AS$11/100)*100+'main page'!$K$25*(D25-B25)-L24)&lt;0.0000001,L24,'main page'!G29+'main page'!$K$29*L24+(1-'main page'!$K$29)*($AS$11/100)*100+'main page'!$K$25*(D25-B25))</f>
        <v>1.9999961853027344</v>
      </c>
      <c r="M25" s="409">
        <f t="shared" ca="1" si="5"/>
        <v>1</v>
      </c>
      <c r="N25" s="409">
        <f t="shared" ca="1" si="7"/>
        <v>3.814697265625E-6</v>
      </c>
      <c r="O25" s="409">
        <f ca="1">'main page'!G29+'main page'!$K$29*M24+(1-'main page'!$K$29)*($AQ$11/100)*100</f>
        <v>1</v>
      </c>
      <c r="P25" s="409">
        <f ca="1">'main page'!$K$25*(D25-B25)-M24</f>
        <v>-0.99999618530273438</v>
      </c>
      <c r="Q25" s="409">
        <f ca="1">(1-'main page'!$K$29)*($AS$11/100)*100+'main page'!$K$25*(D25-B25)</f>
        <v>3.814697265625E-6</v>
      </c>
      <c r="R25" s="409">
        <f ca="1">'main page'!G29+'main page'!$K$29*M24</f>
        <v>1</v>
      </c>
      <c r="S25" s="409">
        <f t="shared" ca="1" si="6"/>
        <v>1.0000038146972656</v>
      </c>
      <c r="T25" s="79">
        <f ca="1">IF(controls!$B$10=1,T24,IF(SUM(controls!$B$44:$B$46)=2,U25-'main page'!$K$29*'normal case'!L25-(1-'main page'!$K$29)*'main page'!$K$32,U25-'main page'!$K$29*'normal case'!L25-(1-'main page'!$K$29)*controls!$B$9))</f>
        <v>3.4999990463256836</v>
      </c>
      <c r="U25" s="164">
        <f ca="1">IF(controls!$B$45=1,IF(controls!$B$46=1,'main page'!$K$24+'main page'!$K$11+'main page'!$U$8,'main page'!$K$24+'main page'!$K$11+'main page'!$K$32),IF(controls!$B$44=1,IF(V25&lt;0,0,V25),IF(V25+'main page'!$K$11&lt;0,0,V25+'main page'!$K$11)))</f>
        <v>5.499995231628418</v>
      </c>
      <c r="V25" s="63">
        <f ca="1">IF(controls!$B$10=1,'normal case'!T25+'normal case'!L25,'normal case'!W25)</f>
        <v>5.499995231628418</v>
      </c>
      <c r="W25" s="61">
        <f t="shared" ca="1" si="1"/>
        <v>5.499995231628418</v>
      </c>
      <c r="X25" s="166">
        <f ca="1">IF(controls!$B$44=0,Y25+'main page'!$K$29*L25+(1-'main page'!$K$29)*controls!$B$9+(('main page'!$K$25*'main page'!$U$13*'main page'!$K$29)/('main page'!$K$27*(1+('main page'!$K$25^2)*'main page'!$U$13)))*(L25-controls!$B$9),Y25+'main page'!$K$29*L25+(1-'main page'!$K$29)*controls!$B$9+(('main page'!$K$25*'main page'!$U$13*'normal case'!$AV$3)/'normal case'!$AV$4)*('normal case'!L25-controls!$B$9))</f>
        <v>5.499995231628418</v>
      </c>
      <c r="Y25" s="81">
        <f ca="1">IF(controls!$B$44=1,'main page'!$K$24+'main page'!$K$11,IF(controls!$B$33=1,((I26-D25*AD26-B26+B25*AC26)/'main page'!$K$27)-'main page'!$K$11,((H26-D25*AD26-B26+B25*AC26)/'main page'!$K$27)-'main page'!$K$11))</f>
        <v>3.5</v>
      </c>
      <c r="AA25" s="58">
        <f>IF(controls!$B$6=1,$AS$3*(1+('main page'!$K$35/100))^AB25-$AS$3*(1+('main page'!$K$35/100))^AB24,$AS$3*(1+('main page'!$G$8/100))*(1+('main page'!$K$35/100))^AB25-$AS$3*(1+('main page'!$G$8/100))*(1+('main page'!$K$35/100))^AB24)</f>
        <v>0</v>
      </c>
      <c r="AB25" s="60">
        <v>18</v>
      </c>
      <c r="AC25" s="125">
        <v>0</v>
      </c>
      <c r="AD25" s="36">
        <v>0</v>
      </c>
      <c r="AE25" s="44">
        <f ca="1">IF(controls!$B$33=1,D25-($I$3-'main page'!$K$27*2)*(1+('main page'!$K$35/100))^A24,D25-$AS$4)</f>
        <v>1.0000038146972656</v>
      </c>
      <c r="AF25" s="44">
        <f ca="1">ABS(L25-(controls!$B$9/100)*100)</f>
        <v>3.814697265625E-6</v>
      </c>
      <c r="AH25" s="44">
        <f ca="1">IF(controls!$B$33=1,(B26-B25*AC26-I26+D25*AD26+'main page'!$K$27*('main page'!$K$24+'main page'!$K$11))/'main page'!$K$31,(B26-B25*AC26+D25*AD26-H26+'main page'!$K$27*('main page'!$K$24+'main page'!$K$11))/'main page'!$K$31)</f>
        <v>1</v>
      </c>
      <c r="AI25" s="44">
        <f ca="1">IF(controls!$B$45=1,LOG(AM25,1.01)+LOG(AL25,1.01)-LOG(AK25,1.01),-((T25-('main page'!$K$24+'main page'!$K$11))/(1-'normal case'!$AV$3))+'normal case'!AH25)</f>
        <v>2.0000019073486328</v>
      </c>
      <c r="AJ25" s="80">
        <f t="shared" ca="1" si="2"/>
        <v>1.0506250494817289</v>
      </c>
      <c r="AK25" s="44">
        <f t="shared" ca="1" si="3"/>
        <v>1.5158639726584848</v>
      </c>
      <c r="AL25" s="44">
        <f>AL24*(1+'main page'!$K$32/100)</f>
        <v>1</v>
      </c>
      <c r="AM25" s="44">
        <f ca="1">IF(ABS(IF(controls!$B$45=1,$AS$13,AK25*AJ25/AL25)-AM24)&lt;0.00001,AM24,IF(controls!$B$45=1,$AS$13,AK25*AJ25/AL25))</f>
        <v>1.5926046612818907</v>
      </c>
      <c r="AN25" s="44">
        <f>IF(controls!$B$46=0,0,IF(controls!$B$33=2,B26-B25*AC26-('normal case'!H26-D25*AD26-'main page'!$K$27*'normal case'!T25+'main page'!$K$31*'normal case'!AI25)-(('main page'!$K$25*'main page'!$U$13*'main page'!$K$29)/(1+('main page'!$K$25^2)*'main page'!$U$13))*('normal case'!L25-'main page'!$U$8),B26-B25*AC26-('normal case'!I26-D25*AD26-'main page'!$K$27*'normal case'!T25+'main page'!$K$31*'normal case'!AI25)-(('main page'!$K$25*'main page'!$U$13*'main page'!$K$29)/(1+('main page'!$K$25^2)*'main page'!$U$13))*('normal case'!L25-'main page'!$U$8)))</f>
        <v>0</v>
      </c>
      <c r="AU25" s="36"/>
      <c r="AV25" s="36"/>
    </row>
    <row r="26" spans="1:60">
      <c r="A26" s="43">
        <v>24</v>
      </c>
      <c r="B26" s="62">
        <f ca="1">IF(controls!$B$33=1,B25*(1+AC26)+AA26,B25*(1+AC26))</f>
        <v>101</v>
      </c>
      <c r="C26" s="67">
        <f t="shared" ca="1" si="4"/>
        <v>-1.5107707374006907E-7</v>
      </c>
      <c r="D26" s="64">
        <f t="shared" ca="1" si="0"/>
        <v>101.00000190734863</v>
      </c>
      <c r="E26" s="64">
        <f ca="1">AN25+IF(controls!$B$33=1,G26,F26)</f>
        <v>101.00000190734863</v>
      </c>
      <c r="F26" s="78">
        <f ca="1">IF(controls!$B$44=0,H26-'main page'!$K$27*T25,H26-'main page'!$K$27*T25+'main page'!$K$31*AI25)</f>
        <v>101.00000190734863</v>
      </c>
      <c r="G26" s="62">
        <f ca="1">IF(controls!$B$44=0,I26-'main page'!$K$27*T25,I26-'main page'!$K$27*T25+'main page'!$K$31*'normal case'!AI25)</f>
        <v>101.00000190734863</v>
      </c>
      <c r="H26" s="62">
        <f t="shared" ca="1" si="8"/>
        <v>108</v>
      </c>
      <c r="I26" s="62">
        <f t="shared" ca="1" si="9"/>
        <v>108</v>
      </c>
      <c r="L26" s="62">
        <f ca="1">IF(ABS('main page'!G30+'main page'!$K$29*L25+(1-'main page'!$K$29)*($AS$11/100)*100+'main page'!$K$25*(D26-B26)-L25)&lt;0.0000001,L25,'main page'!G30+'main page'!$K$29*L25+(1-'main page'!$K$29)*($AS$11/100)*100+'main page'!$K$25*(D26-B26))</f>
        <v>1.9999980926513672</v>
      </c>
      <c r="M26" s="409">
        <f t="shared" ca="1" si="5"/>
        <v>1</v>
      </c>
      <c r="N26" s="409">
        <f t="shared" ca="1" si="7"/>
        <v>1.9073486328125E-6</v>
      </c>
      <c r="O26" s="409">
        <f ca="1">'main page'!G30+'main page'!$K$29*M25+(1-'main page'!$K$29)*($AQ$11/100)*100</f>
        <v>1</v>
      </c>
      <c r="P26" s="409">
        <f ca="1">'main page'!$K$25*(D26-B26)-M25</f>
        <v>-0.99999809265136719</v>
      </c>
      <c r="Q26" s="409">
        <f ca="1">(1-'main page'!$K$29)*($AS$11/100)*100+'main page'!$K$25*(D26-B26)</f>
        <v>1.9073486328125E-6</v>
      </c>
      <c r="R26" s="409">
        <f ca="1">'main page'!G30+'main page'!$K$29*M25</f>
        <v>1</v>
      </c>
      <c r="S26" s="409">
        <f t="shared" ca="1" si="6"/>
        <v>1.0000019073486328</v>
      </c>
      <c r="T26" s="79">
        <f ca="1">IF(controls!$B$10=1,T25,IF(SUM(controls!$B$44:$B$46)=2,U26-'main page'!$K$29*'normal case'!L26-(1-'main page'!$K$29)*'main page'!$K$32,U26-'main page'!$K$29*'normal case'!L26-(1-'main page'!$K$29)*controls!$B$9))</f>
        <v>3.4999995231628418</v>
      </c>
      <c r="U26" s="164">
        <f ca="1">IF(controls!$B$45=1,IF(controls!$B$46=1,'main page'!$K$24+'main page'!$K$11+'main page'!$U$8,'main page'!$K$24+'main page'!$K$11+'main page'!$K$32),IF(controls!$B$44=1,IF(V26&lt;0,0,V26),IF(V26+'main page'!$K$11&lt;0,0,V26+'main page'!$K$11)))</f>
        <v>5.499997615814209</v>
      </c>
      <c r="V26" s="63">
        <f ca="1">IF(controls!$B$10=1,'normal case'!T26+'normal case'!L26,'normal case'!W26)</f>
        <v>5.499997615814209</v>
      </c>
      <c r="W26" s="61">
        <f t="shared" ca="1" si="1"/>
        <v>5.499997615814209</v>
      </c>
      <c r="X26" s="166">
        <f ca="1">IF(controls!$B$44=0,Y26+'main page'!$K$29*L26+(1-'main page'!$K$29)*controls!$B$9+(('main page'!$K$25*'main page'!$U$13*'main page'!$K$29)/('main page'!$K$27*(1+('main page'!$K$25^2)*'main page'!$U$13)))*(L26-controls!$B$9),Y26+'main page'!$K$29*L26+(1-'main page'!$K$29)*controls!$B$9+(('main page'!$K$25*'main page'!$U$13*'normal case'!$AV$3)/'normal case'!$AV$4)*('normal case'!L26-controls!$B$9))</f>
        <v>5.499997615814209</v>
      </c>
      <c r="Y26" s="81">
        <f ca="1">IF(controls!$B$44=1,'main page'!$K$24+'main page'!$K$11,IF(controls!$B$33=1,((I27-D26*AD27-B27+B26*AC27)/'main page'!$K$27)-'main page'!$K$11,((H27-D26*AD27-B27+B26*AC27)/'main page'!$K$27)-'main page'!$K$11))</f>
        <v>3.5</v>
      </c>
      <c r="AA26" s="58">
        <f>IF(controls!$B$6=1,$AS$3*(1+('main page'!$K$35/100))^AB26-$AS$3*(1+('main page'!$K$35/100))^AB25,$AS$3*(1+('main page'!$G$8/100))*(1+('main page'!$K$35/100))^AB26-$AS$3*(1+('main page'!$G$8/100))*(1+('main page'!$K$35/100))^AB25)</f>
        <v>0</v>
      </c>
      <c r="AB26" s="60">
        <v>19</v>
      </c>
      <c r="AC26" s="125">
        <f ca="1">IF(controls!$B$4=1,IF(controls!$H25=1,controls!$B$34*AC25+RAND()*('main page'!$K$16/100)-RAND()*('main page'!$K$16/100),0),0)</f>
        <v>0</v>
      </c>
      <c r="AD26" s="36">
        <f ca="1">IF(controls!$B$4=1,IF(controls!$I25=1,controls!$B$34*AD25+RAND()*('main page'!$K$16/100)-RAND()*('main page'!$K$16/100),0),0)</f>
        <v>0</v>
      </c>
      <c r="AE26" s="44">
        <f ca="1">IF(controls!$B$33=1,D26-($I$3-'main page'!$K$27*2)*(1+('main page'!$K$35/100))^A25,D26-$AS$4)</f>
        <v>1.0000019073486328</v>
      </c>
      <c r="AF26" s="44">
        <f ca="1">ABS(L26-(controls!$B$9/100)*100)</f>
        <v>1.9073486328125E-6</v>
      </c>
      <c r="AH26" s="44">
        <f ca="1">IF(controls!$B$33=1,(B27-B26*AC27-I27+D26*AD27+'main page'!$K$27*('main page'!$K$24+'main page'!$K$11))/'main page'!$K$31,(B27-B26*AC27+D26*AD27-H27+'main page'!$K$27*('main page'!$K$24+'main page'!$K$11))/'main page'!$K$31)</f>
        <v>1</v>
      </c>
      <c r="AI26" s="44">
        <f ca="1">IF(controls!$B$45=1,LOG(AM26,1.01)+LOG(AL26,1.01)-LOG(AK26,1.01),-((T26-('main page'!$K$24+'main page'!$K$11))/(1-'normal case'!$AV$3))+'normal case'!AH26)</f>
        <v>2.0000009536743164</v>
      </c>
      <c r="AJ26" s="80">
        <f t="shared" ca="1" si="2"/>
        <v>1.0506250247408639</v>
      </c>
      <c r="AK26" s="44">
        <f t="shared" ca="1" si="3"/>
        <v>1.5461812231988437</v>
      </c>
      <c r="AL26" s="44">
        <f>AL25*(1+'main page'!$K$32/100)</f>
        <v>1</v>
      </c>
      <c r="AM26" s="44">
        <f ca="1">IF(ABS(IF(controls!$B$45=1,$AS$13,AK26*AJ26/AL26)-AM25)&lt;0.00001,AM25,IF(controls!$B$45=1,$AS$13,AK26*AJ26/AL26))</f>
        <v>1.6244566858771443</v>
      </c>
      <c r="AN26" s="44">
        <f>IF(controls!$B$46=0,0,IF(controls!$B$33=2,B27-B26*AC27-('normal case'!H27-D26*AD27-'main page'!$K$27*'normal case'!T26+'main page'!$K$31*'normal case'!AI26)-(('main page'!$K$25*'main page'!$U$13*'main page'!$K$29)/(1+('main page'!$K$25^2)*'main page'!$U$13))*('normal case'!L26-'main page'!$U$8),B27-B26*AC27-('normal case'!I27-D26*AD27-'main page'!$K$27*'normal case'!T26+'main page'!$K$31*'normal case'!AI26)-(('main page'!$K$25*'main page'!$U$13*'main page'!$K$29)/(1+('main page'!$K$25^2)*'main page'!$U$13))*('normal case'!L26-'main page'!$U$8)))</f>
        <v>0</v>
      </c>
      <c r="AU26" s="36"/>
      <c r="AV26" s="36"/>
    </row>
    <row r="27" spans="1:60">
      <c r="A27" s="43">
        <v>25</v>
      </c>
      <c r="B27" s="62">
        <f ca="1">IF(controls!$B$33=1,B26*(1+AC27)+AA27,B26*(1+AC27))</f>
        <v>101</v>
      </c>
      <c r="C27" s="67">
        <f t="shared" ca="1" si="4"/>
        <v>-1.5107707374006907E-7</v>
      </c>
      <c r="D27" s="64">
        <f t="shared" ca="1" si="0"/>
        <v>101.00000095367432</v>
      </c>
      <c r="E27" s="64">
        <f ca="1">AN26+IF(controls!$B$33=1,G27,F27)</f>
        <v>101.00000095367432</v>
      </c>
      <c r="F27" s="78">
        <f ca="1">IF(controls!$B$44=0,H27-'main page'!$K$27*T26,H27-'main page'!$K$27*T26+'main page'!$K$31*AI26)</f>
        <v>101.00000095367432</v>
      </c>
      <c r="G27" s="62">
        <f ca="1">IF(controls!$B$44=0,I27-'main page'!$K$27*T26,I27-'main page'!$K$27*T26+'main page'!$K$31*'normal case'!AI26)</f>
        <v>101.00000095367432</v>
      </c>
      <c r="H27" s="62">
        <f t="shared" ca="1" si="8"/>
        <v>108</v>
      </c>
      <c r="I27" s="62">
        <f t="shared" ca="1" si="9"/>
        <v>108</v>
      </c>
      <c r="L27" s="62">
        <f ca="1">IF(ABS('main page'!G31+'main page'!$K$29*L26+(1-'main page'!$K$29)*($AS$11/100)*100+'main page'!$K$25*(D27-B27)-L26)&lt;0.0000001,L26,'main page'!G31+'main page'!$K$29*L26+(1-'main page'!$K$29)*($AS$11/100)*100+'main page'!$K$25*(D27-B27))</f>
        <v>1.9999990463256836</v>
      </c>
      <c r="M27" s="409">
        <f t="shared" ca="1" si="5"/>
        <v>1</v>
      </c>
      <c r="N27" s="409">
        <f t="shared" ca="1" si="7"/>
        <v>9.5367431640625E-7</v>
      </c>
      <c r="O27" s="409">
        <f ca="1">'main page'!G31+'main page'!$K$29*M26+(1-'main page'!$K$29)*($AQ$11/100)*100</f>
        <v>1</v>
      </c>
      <c r="P27" s="409">
        <f ca="1">'main page'!$K$25*(D27-B27)-M26</f>
        <v>-0.99999904632568359</v>
      </c>
      <c r="Q27" s="409">
        <f ca="1">(1-'main page'!$K$29)*($AS$11/100)*100+'main page'!$K$25*(D27-B27)</f>
        <v>9.5367431640625E-7</v>
      </c>
      <c r="R27" s="409">
        <f ca="1">'main page'!G31+'main page'!$K$29*M26</f>
        <v>1</v>
      </c>
      <c r="S27" s="409">
        <f t="shared" ca="1" si="6"/>
        <v>1.0000009536743164</v>
      </c>
      <c r="T27" s="79">
        <f ca="1">IF(controls!$B$10=1,T26,IF(SUM(controls!$B$44:$B$46)=2,U27-'main page'!$K$29*'normal case'!L27-(1-'main page'!$K$29)*'main page'!$K$32,U27-'main page'!$K$29*'normal case'!L27-(1-'main page'!$K$29)*controls!$B$9))</f>
        <v>3.4999997615814209</v>
      </c>
      <c r="U27" s="164">
        <f ca="1">IF(controls!$B$45=1,IF(controls!$B$46=1,'main page'!$K$24+'main page'!$K$11+'main page'!$U$8,'main page'!$K$24+'main page'!$K$11+'main page'!$K$32),IF(controls!$B$44=1,IF(V27&lt;0,0,V27),IF(V27+'main page'!$K$11&lt;0,0,V27+'main page'!$K$11)))</f>
        <v>5.4999988079071045</v>
      </c>
      <c r="V27" s="63">
        <f ca="1">IF(controls!$B$10=1,'normal case'!T27+'normal case'!L27,'normal case'!W27)</f>
        <v>5.4999988079071045</v>
      </c>
      <c r="W27" s="61">
        <f t="shared" ca="1" si="1"/>
        <v>5.4999988079071045</v>
      </c>
      <c r="X27" s="166">
        <f ca="1">IF(controls!$B$44=0,Y27+'main page'!$K$29*L27+(1-'main page'!$K$29)*controls!$B$9+(('main page'!$K$25*'main page'!$U$13*'main page'!$K$29)/('main page'!$K$27*(1+('main page'!$K$25^2)*'main page'!$U$13)))*(L27-controls!$B$9),Y27+'main page'!$K$29*L27+(1-'main page'!$K$29)*controls!$B$9+(('main page'!$K$25*'main page'!$U$13*'normal case'!$AV$3)/'normal case'!$AV$4)*('normal case'!L27-controls!$B$9))</f>
        <v>5.4999988079071045</v>
      </c>
      <c r="Y27" s="81">
        <f ca="1">IF(controls!$B$44=1,'main page'!$K$24+'main page'!$K$11,IF(controls!$B$33=1,((I28-D27*AD28-B28+B27*AC28)/'main page'!$K$27)-'main page'!$K$11,((H28-D27*AD28-B28+B27*AC28)/'main page'!$K$27)-'main page'!$K$11))</f>
        <v>3.5</v>
      </c>
      <c r="AA27" s="58">
        <f>IF(controls!$B$6=1,$AS$3*(1+('main page'!$K$35/100))^AB27-$AS$3*(1+('main page'!$K$35/100))^AB26,$AS$3*(1+('main page'!$G$8/100))*(1+('main page'!$K$35/100))^AB27-$AS$3*(1+('main page'!$G$8/100))*(1+('main page'!$K$35/100))^AB26)</f>
        <v>0</v>
      </c>
      <c r="AB27" s="60">
        <v>20</v>
      </c>
      <c r="AC27" s="125">
        <v>0</v>
      </c>
      <c r="AD27" s="36">
        <v>0</v>
      </c>
      <c r="AE27" s="44">
        <f ca="1">IF(controls!$B$33=1,D27-($I$3-'main page'!$K$27*2)*(1+('main page'!$K$35/100))^A26,D27-$AS$4)</f>
        <v>1.0000009536743164</v>
      </c>
      <c r="AF27" s="44">
        <f ca="1">ABS(L27-(controls!$B$9/100)*100)</f>
        <v>9.5367431640625E-7</v>
      </c>
      <c r="AH27" s="44">
        <f ca="1">IF(controls!$B$33=1,(B28-B27*AC28-I28+D27*AD28+'main page'!$K$27*('main page'!$K$24+'main page'!$K$11))/'main page'!$K$31,(B28-B27*AC28+D27*AD28-H28+'main page'!$K$27*('main page'!$K$24+'main page'!$K$11))/'main page'!$K$31)</f>
        <v>1</v>
      </c>
      <c r="AI27" s="44">
        <f ca="1">IF(controls!$B$45=1,LOG(AM27,1.01)+LOG(AL27,1.01)-LOG(AK27,1.01),-((T27-('main page'!$K$24+'main page'!$K$11))/(1-'normal case'!$AV$3))+'normal case'!AH27)</f>
        <v>2.0000004768371582</v>
      </c>
      <c r="AJ27" s="80">
        <f t="shared" ca="1" si="2"/>
        <v>1.0506250123704319</v>
      </c>
      <c r="AK27" s="44">
        <f t="shared" ca="1" si="3"/>
        <v>1.5771048329172874</v>
      </c>
      <c r="AL27" s="44">
        <f>AL26*(1+'main page'!$K$32/100)</f>
        <v>1</v>
      </c>
      <c r="AM27" s="44">
        <f ca="1">IF(ABS(IF(controls!$B$45=1,$AS$13,AK27*AJ27/AL27)-AM26)&lt;0.00001,AM26,IF(controls!$B$45=1,$AS$13,AK27*AJ27/AL27))</f>
        <v>1.6569457845931932</v>
      </c>
      <c r="AN27" s="44">
        <f>IF(controls!$B$46=0,0,IF(controls!$B$33=2,B28-B27*AC28-('normal case'!H28-D27*AD28-'main page'!$K$27*'normal case'!T27+'main page'!$K$31*'normal case'!AI27)-(('main page'!$K$25*'main page'!$U$13*'main page'!$K$29)/(1+('main page'!$K$25^2)*'main page'!$U$13))*('normal case'!L27-'main page'!$U$8),B28-B27*AC28-('normal case'!I28-D27*AD28-'main page'!$K$27*'normal case'!T27+'main page'!$K$31*'normal case'!AI27)-(('main page'!$K$25*'main page'!$U$13*'main page'!$K$29)/(1+('main page'!$K$25^2)*'main page'!$U$13))*('normal case'!L27-'main page'!$U$8)))</f>
        <v>0</v>
      </c>
      <c r="AU27" s="36"/>
      <c r="AV27" s="36"/>
    </row>
    <row r="28" spans="1:60">
      <c r="A28" s="43">
        <v>26</v>
      </c>
      <c r="B28" s="62">
        <f ca="1">IF(controls!$B$33=1,B27*(1+AC28)+AA28,B27*(1+AC28))</f>
        <v>101</v>
      </c>
      <c r="C28" s="67">
        <f t="shared" ca="1" si="4"/>
        <v>-1.5107707374006907E-7</v>
      </c>
      <c r="D28" s="64">
        <f t="shared" ca="1" si="0"/>
        <v>101.00000047683716</v>
      </c>
      <c r="E28" s="64">
        <f ca="1">AN27+IF(controls!$B$33=1,G28,F28)</f>
        <v>101.00000047683716</v>
      </c>
      <c r="F28" s="78">
        <f ca="1">IF(controls!$B$44=0,H28-'main page'!$K$27*T27,H28-'main page'!$K$27*T27+'main page'!$K$31*AI27)</f>
        <v>101.00000047683716</v>
      </c>
      <c r="G28" s="62">
        <f ca="1">IF(controls!$B$44=0,I28-'main page'!$K$27*T27,I28-'main page'!$K$27*T27+'main page'!$K$31*'normal case'!AI27)</f>
        <v>101.00000047683716</v>
      </c>
      <c r="H28" s="62">
        <f t="shared" ca="1" si="8"/>
        <v>108</v>
      </c>
      <c r="I28" s="62">
        <f t="shared" ca="1" si="9"/>
        <v>108</v>
      </c>
      <c r="L28" s="62">
        <f ca="1">IF(ABS('main page'!G32+'main page'!$K$29*L27+(1-'main page'!$K$29)*($AS$11/100)*100+'main page'!$K$25*(D28-B28)-L27)&lt;0.0000001,L27,'main page'!G32+'main page'!$K$29*L27+(1-'main page'!$K$29)*($AS$11/100)*100+'main page'!$K$25*(D28-B28))</f>
        <v>1.9999995231628418</v>
      </c>
      <c r="M28" s="409">
        <f t="shared" ca="1" si="5"/>
        <v>1</v>
      </c>
      <c r="N28" s="409">
        <f t="shared" ca="1" si="7"/>
        <v>4.76837158203125E-7</v>
      </c>
      <c r="O28" s="409">
        <f ca="1">'main page'!G32+'main page'!$K$29*M27+(1-'main page'!$K$29)*($AQ$11/100)*100</f>
        <v>1</v>
      </c>
      <c r="P28" s="409">
        <f ca="1">'main page'!$K$25*(D28-B28)-M27</f>
        <v>-0.9999995231628418</v>
      </c>
      <c r="Q28" s="409">
        <f ca="1">(1-'main page'!$K$29)*($AS$11/100)*100+'main page'!$K$25*(D28-B28)</f>
        <v>4.76837158203125E-7</v>
      </c>
      <c r="R28" s="409">
        <f ca="1">'main page'!G32+'main page'!$K$29*M27</f>
        <v>1</v>
      </c>
      <c r="S28" s="409">
        <f t="shared" ca="1" si="6"/>
        <v>1.0000004768371582</v>
      </c>
      <c r="T28" s="79">
        <f ca="1">IF(controls!$B$10=1,T27,IF(SUM(controls!$B$44:$B$46)=2,U28-'main page'!$K$29*'normal case'!L28-(1-'main page'!$K$29)*'main page'!$K$32,U28-'main page'!$K$29*'normal case'!L28-(1-'main page'!$K$29)*controls!$B$9))</f>
        <v>3.4999998807907104</v>
      </c>
      <c r="U28" s="164">
        <f ca="1">IF(controls!$B$45=1,IF(controls!$B$46=1,'main page'!$K$24+'main page'!$K$11+'main page'!$U$8,'main page'!$K$24+'main page'!$K$11+'main page'!$K$32),IF(controls!$B$44=1,IF(V28&lt;0,0,V28),IF(V28+'main page'!$K$11&lt;0,0,V28+'main page'!$K$11)))</f>
        <v>5.4999994039535522</v>
      </c>
      <c r="V28" s="63">
        <f ca="1">IF(controls!$B$10=1,'normal case'!T28+'normal case'!L28,'normal case'!W28)</f>
        <v>5.4999994039535522</v>
      </c>
      <c r="W28" s="61">
        <f t="shared" ca="1" si="1"/>
        <v>5.4999994039535522</v>
      </c>
      <c r="X28" s="166">
        <f ca="1">IF(controls!$B$44=0,Y28+'main page'!$K$29*L28+(1-'main page'!$K$29)*controls!$B$9+(('main page'!$K$25*'main page'!$U$13*'main page'!$K$29)/('main page'!$K$27*(1+('main page'!$K$25^2)*'main page'!$U$13)))*(L28-controls!$B$9),Y28+'main page'!$K$29*L28+(1-'main page'!$K$29)*controls!$B$9+(('main page'!$K$25*'main page'!$U$13*'normal case'!$AV$3)/'normal case'!$AV$4)*('normal case'!L28-controls!$B$9))</f>
        <v>5.4999994039535522</v>
      </c>
      <c r="Y28" s="81">
        <f ca="1">IF(controls!$B$44=1,'main page'!$K$24+'main page'!$K$11,IF(controls!$B$33=1,((I29-D28*AD29-B29+B28*AC29)/'main page'!$K$27)-'main page'!$K$11,((H29-D28*AD29-B29+B28*AC29)/'main page'!$K$27)-'main page'!$K$11))</f>
        <v>3.5</v>
      </c>
      <c r="AA28" s="58">
        <f>IF(controls!$B$6=1,$AS$3*(1+('main page'!$K$35/100))^AB28-$AS$3*(1+('main page'!$K$35/100))^AB27,$AS$3*(1+('main page'!$G$8/100))*(1+('main page'!$K$35/100))^AB28-$AS$3*(1+('main page'!$G$8/100))*(1+('main page'!$K$35/100))^AB27)</f>
        <v>0</v>
      </c>
      <c r="AB28" s="60">
        <v>21</v>
      </c>
      <c r="AC28" s="125">
        <v>0</v>
      </c>
      <c r="AD28" s="36">
        <v>0</v>
      </c>
      <c r="AE28" s="44">
        <f ca="1">IF(controls!$B$33=1,D28-($I$3-'main page'!$K$27*2)*(1+('main page'!$K$35/100))^A27,D28-$AS$4)</f>
        <v>1.0000004768371582</v>
      </c>
      <c r="AF28" s="44">
        <f ca="1">ABS(L28-(controls!$B$9/100)*100)</f>
        <v>4.76837158203125E-7</v>
      </c>
      <c r="AH28" s="44">
        <f ca="1">IF(controls!$B$33=1,(B29-B28*AC29-I29+D28*AD29+'main page'!$K$27*('main page'!$K$24+'main page'!$K$11))/'main page'!$K$31,(B29-B28*AC29+D28*AD29-H29+'main page'!$K$27*('main page'!$K$24+'main page'!$K$11))/'main page'!$K$31)</f>
        <v>1</v>
      </c>
      <c r="AI28" s="44">
        <f ca="1">IF(controls!$B$45=1,LOG(AM28,1.01)+LOG(AL28,1.01)-LOG(AK28,1.01),-((T28-('main page'!$K$24+'main page'!$K$11))/(1-'normal case'!$AV$3))+'normal case'!AH28)</f>
        <v>2.0000002384185791</v>
      </c>
      <c r="AJ28" s="80">
        <f t="shared" ca="1" si="2"/>
        <v>1.0506250061852158</v>
      </c>
      <c r="AK28" s="44">
        <f t="shared" ca="1" si="3"/>
        <v>1.6086469220554112</v>
      </c>
      <c r="AL28" s="44">
        <f>AL27*(1+'main page'!$K$32/100)</f>
        <v>1</v>
      </c>
      <c r="AM28" s="44">
        <f ca="1">IF(ABS(IF(controls!$B$45=1,$AS$13,AK28*AJ28/AL28)-AM27)&lt;0.00001,AM27,IF(controls!$B$45=1,$AS$13,AK28*AJ28/AL28))</f>
        <v>1.6900846824342948</v>
      </c>
      <c r="AN28" s="44">
        <f>IF(controls!$B$46=0,0,IF(controls!$B$33=2,B29-B28*AC29-('normal case'!H29-D28*AD29-'main page'!$K$27*'normal case'!T28+'main page'!$K$31*'normal case'!AI28)-(('main page'!$K$25*'main page'!$U$13*'main page'!$K$29)/(1+('main page'!$K$25^2)*'main page'!$U$13))*('normal case'!L28-'main page'!$U$8),B29-B28*AC29-('normal case'!I29-D28*AD29-'main page'!$K$27*'normal case'!T28+'main page'!$K$31*'normal case'!AI28)-(('main page'!$K$25*'main page'!$U$13*'main page'!$K$29)/(1+('main page'!$K$25^2)*'main page'!$U$13))*('normal case'!L28-'main page'!$U$8)))</f>
        <v>0</v>
      </c>
      <c r="AU28" s="36"/>
      <c r="AV28" s="36"/>
    </row>
    <row r="29" spans="1:60">
      <c r="A29" s="43">
        <v>27</v>
      </c>
      <c r="B29" s="62">
        <f ca="1">IF(controls!$B$33=1,B28*(1+AC29)+AA29,B28*(1+AC29))</f>
        <v>101</v>
      </c>
      <c r="C29" s="67">
        <f t="shared" ca="1" si="4"/>
        <v>-1.5107707374006907E-7</v>
      </c>
      <c r="D29" s="64">
        <f t="shared" ca="1" si="0"/>
        <v>101.00000023841858</v>
      </c>
      <c r="E29" s="64">
        <f ca="1">AN28+IF(controls!$B$33=1,G29,F29)</f>
        <v>101.00000023841858</v>
      </c>
      <c r="F29" s="78">
        <f ca="1">IF(controls!$B$44=0,H29-'main page'!$K$27*T28,H29-'main page'!$K$27*T28+'main page'!$K$31*AI28)</f>
        <v>101.00000023841858</v>
      </c>
      <c r="G29" s="62">
        <f ca="1">IF(controls!$B$44=0,I29-'main page'!$K$27*T28,I29-'main page'!$K$27*T28+'main page'!$K$31*'normal case'!AI28)</f>
        <v>101.00000023841858</v>
      </c>
      <c r="H29" s="62">
        <f t="shared" ca="1" si="8"/>
        <v>108</v>
      </c>
      <c r="I29" s="62">
        <f t="shared" ca="1" si="9"/>
        <v>108</v>
      </c>
      <c r="L29" s="62">
        <f ca="1">IF(ABS('main page'!G33+'main page'!$K$29*L28+(1-'main page'!$K$29)*($AS$11/100)*100+'main page'!$K$25*(D29-B29)-L28)&lt;0.0000001,L28,'main page'!G33+'main page'!$K$29*L28+(1-'main page'!$K$29)*($AS$11/100)*100+'main page'!$K$25*(D29-B29))</f>
        <v>1.9999997615814209</v>
      </c>
      <c r="M29" s="409">
        <f t="shared" ca="1" si="5"/>
        <v>1</v>
      </c>
      <c r="N29" s="409">
        <f t="shared" ca="1" si="7"/>
        <v>2.384185791015625E-7</v>
      </c>
      <c r="O29" s="409">
        <f ca="1">'main page'!G33+'main page'!$K$29*M28+(1-'main page'!$K$29)*($AQ$11/100)*100</f>
        <v>1</v>
      </c>
      <c r="P29" s="409">
        <f ca="1">'main page'!$K$25*(D29-B29)-M28</f>
        <v>-0.9999997615814209</v>
      </c>
      <c r="Q29" s="409">
        <f ca="1">(1-'main page'!$K$29)*($AS$11/100)*100+'main page'!$K$25*(D29-B29)</f>
        <v>2.384185791015625E-7</v>
      </c>
      <c r="R29" s="409">
        <f ca="1">'main page'!G33+'main page'!$K$29*M28</f>
        <v>1</v>
      </c>
      <c r="S29" s="409">
        <f t="shared" ca="1" si="6"/>
        <v>1.0000002384185791</v>
      </c>
      <c r="T29" s="79">
        <f ca="1">IF(controls!$B$10=1,T28,IF(SUM(controls!$B$44:$B$46)=2,U29-'main page'!$K$29*'normal case'!L29-(1-'main page'!$K$29)*'main page'!$K$32,U29-'main page'!$K$29*'normal case'!L29-(1-'main page'!$K$29)*controls!$B$9))</f>
        <v>3.4999999403953552</v>
      </c>
      <c r="U29" s="164">
        <f ca="1">IF(controls!$B$45=1,IF(controls!$B$46=1,'main page'!$K$24+'main page'!$K$11+'main page'!$U$8,'main page'!$K$24+'main page'!$K$11+'main page'!$K$32),IF(controls!$B$44=1,IF(V29&lt;0,0,V29),IF(V29+'main page'!$K$11&lt;0,0,V29+'main page'!$K$11)))</f>
        <v>5.4999997019767761</v>
      </c>
      <c r="V29" s="63">
        <f ca="1">IF(controls!$B$10=1,'normal case'!T29+'normal case'!L29,'normal case'!W29)</f>
        <v>5.4999997019767761</v>
      </c>
      <c r="W29" s="61">
        <f t="shared" ca="1" si="1"/>
        <v>5.4999997019767761</v>
      </c>
      <c r="X29" s="166">
        <f ca="1">IF(controls!$B$44=0,Y29+'main page'!$K$29*L29+(1-'main page'!$K$29)*controls!$B$9+(('main page'!$K$25*'main page'!$U$13*'main page'!$K$29)/('main page'!$K$27*(1+('main page'!$K$25^2)*'main page'!$U$13)))*(L29-controls!$B$9),Y29+'main page'!$K$29*L29+(1-'main page'!$K$29)*controls!$B$9+(('main page'!$K$25*'main page'!$U$13*'normal case'!$AV$3)/'normal case'!$AV$4)*('normal case'!L29-controls!$B$9))</f>
        <v>5.4999997019767761</v>
      </c>
      <c r="Y29" s="81">
        <f ca="1">IF(controls!$B$44=1,'main page'!$K$24+'main page'!$K$11,IF(controls!$B$33=1,((I30-D29*AD30-B30+B29*AC30)/'main page'!$K$27)-'main page'!$K$11,((H30-D29*AD30-B30+B29*AC30)/'main page'!$K$27)-'main page'!$K$11))</f>
        <v>3.5</v>
      </c>
      <c r="AA29" s="58">
        <f>IF(controls!$B$6=1,$AS$3*(1+('main page'!$K$35/100))^AB29-$AS$3*(1+('main page'!$K$35/100))^AB28,$AS$3*(1+('main page'!$G$8/100))*(1+('main page'!$K$35/100))^AB29-$AS$3*(1+('main page'!$G$8/100))*(1+('main page'!$K$35/100))^AB28)</f>
        <v>0</v>
      </c>
      <c r="AB29" s="60">
        <v>22</v>
      </c>
      <c r="AC29" s="125">
        <f ca="1">IF(controls!$B$4=1,IF(controls!$H28=1,controls!$B$34*AC28+RAND()*('main page'!$K$16/100)-RAND()*('main page'!$K$16/100),0),0)</f>
        <v>0</v>
      </c>
      <c r="AD29" s="36">
        <f ca="1">IF(controls!$B$4=1,IF(controls!$I28=1,controls!$B$34*AD28+RAND()*('main page'!$K$16/100)-RAND()*('main page'!$K$16/100),0),0)</f>
        <v>0</v>
      </c>
      <c r="AE29" s="44">
        <f ca="1">IF(controls!$B$33=1,D29-($I$3-'main page'!$K$27*2)*(1+('main page'!$K$35/100))^A28,D29-$AS$4)</f>
        <v>1.0000002384185791</v>
      </c>
      <c r="AF29" s="44">
        <f ca="1">ABS(L29-(controls!$B$9/100)*100)</f>
        <v>2.384185791015625E-7</v>
      </c>
      <c r="AH29" s="44">
        <f ca="1">IF(controls!$B$33=1,(B30-B29*AC30-I30+D29*AD30+'main page'!$K$27*('main page'!$K$24+'main page'!$K$11))/'main page'!$K$31,(B30-B29*AC30+D29*AD30-H30+'main page'!$K$27*('main page'!$K$24+'main page'!$K$11))/'main page'!$K$31)</f>
        <v>1</v>
      </c>
      <c r="AI29" s="44">
        <f ca="1">IF(controls!$B$45=1,LOG(AM29,1.01)+LOG(AL29,1.01)-LOG(AK29,1.01),-((T29-('main page'!$K$24+'main page'!$K$11))/(1-'normal case'!$AV$3))+'normal case'!AH29)</f>
        <v>2.0000001192092896</v>
      </c>
      <c r="AJ29" s="80">
        <f t="shared" ca="1" si="2"/>
        <v>1.0506250030926079</v>
      </c>
      <c r="AK29" s="44">
        <f t="shared" ca="1" si="3"/>
        <v>1.6408198566612064</v>
      </c>
      <c r="AL29" s="44">
        <f>AL28*(1+'main page'!$K$32/100)</f>
        <v>1</v>
      </c>
      <c r="AM29" s="44">
        <f ca="1">IF(ABS(IF(controls!$B$45=1,$AS$13,AK29*AJ29/AL29)-AM28)&lt;0.00001,AM28,IF(controls!$B$45=1,$AS$13,AK29*AJ29/AL29))</f>
        <v>1.7238863669790925</v>
      </c>
      <c r="AN29" s="44">
        <f>IF(controls!$B$46=0,0,IF(controls!$B$33=2,B30-B29*AC30-('normal case'!H30-D29*AD30-'main page'!$K$27*'normal case'!T29+'main page'!$K$31*'normal case'!AI29)-(('main page'!$K$25*'main page'!$U$13*'main page'!$K$29)/(1+('main page'!$K$25^2)*'main page'!$U$13))*('normal case'!L29-'main page'!$U$8),B30-B29*AC30-('normal case'!I30-D29*AD30-'main page'!$K$27*'normal case'!T29+'main page'!$K$31*'normal case'!AI29)-(('main page'!$K$25*'main page'!$U$13*'main page'!$K$29)/(1+('main page'!$K$25^2)*'main page'!$U$13))*('normal case'!L29-'main page'!$U$8)))</f>
        <v>0</v>
      </c>
      <c r="AU29" s="36"/>
      <c r="AV29" s="36"/>
    </row>
    <row r="30" spans="1:60">
      <c r="A30" s="43">
        <v>28</v>
      </c>
      <c r="B30" s="62">
        <f ca="1">IF(controls!$B$33=1,B29*(1+AC30)+AA30,B29*(1+AC30))</f>
        <v>101</v>
      </c>
      <c r="C30" s="67">
        <f t="shared" ca="1" si="4"/>
        <v>-1.5107707374006907E-7</v>
      </c>
      <c r="D30" s="64">
        <f t="shared" ca="1" si="0"/>
        <v>101.00000011920929</v>
      </c>
      <c r="E30" s="64">
        <f ca="1">AN29+IF(controls!$B$33=1,G30,F30)</f>
        <v>101.00000011920929</v>
      </c>
      <c r="F30" s="78">
        <f ca="1">IF(controls!$B$44=0,H30-'main page'!$K$27*T29,H30-'main page'!$K$27*T29+'main page'!$K$31*AI29)</f>
        <v>101.00000011920929</v>
      </c>
      <c r="G30" s="62">
        <f ca="1">IF(controls!$B$44=0,I30-'main page'!$K$27*T29,I30-'main page'!$K$27*T29+'main page'!$K$31*'normal case'!AI29)</f>
        <v>101.00000011920929</v>
      </c>
      <c r="H30" s="62">
        <f t="shared" ca="1" si="8"/>
        <v>108</v>
      </c>
      <c r="I30" s="62">
        <f t="shared" ca="1" si="9"/>
        <v>108</v>
      </c>
      <c r="L30" s="62">
        <f ca="1">IF(ABS('main page'!G34+'main page'!$K$29*L29+(1-'main page'!$K$29)*($AS$11/100)*100+'main page'!$K$25*(D30-B30)-L29)&lt;0.0000001,L29,'main page'!G34+'main page'!$K$29*L29+(1-'main page'!$K$29)*($AS$11/100)*100+'main page'!$K$25*(D30-B30))</f>
        <v>1.9999998807907104</v>
      </c>
      <c r="M30" s="409">
        <f t="shared" ca="1" si="5"/>
        <v>1</v>
      </c>
      <c r="N30" s="409">
        <f t="shared" ca="1" si="7"/>
        <v>1.1920928955078125E-7</v>
      </c>
      <c r="O30" s="409">
        <f ca="1">'main page'!G34+'main page'!$K$29*M29+(1-'main page'!$K$29)*($AQ$11/100)*100</f>
        <v>1</v>
      </c>
      <c r="P30" s="409">
        <f ca="1">'main page'!$K$25*(D30-B30)-M29</f>
        <v>-0.99999988079071045</v>
      </c>
      <c r="Q30" s="409">
        <f ca="1">(1-'main page'!$K$29)*($AS$11/100)*100+'main page'!$K$25*(D30-B30)</f>
        <v>1.1920928955078125E-7</v>
      </c>
      <c r="R30" s="409">
        <f ca="1">'main page'!G34+'main page'!$K$29*M29</f>
        <v>1</v>
      </c>
      <c r="S30" s="409">
        <f t="shared" ca="1" si="6"/>
        <v>1.0000001192092896</v>
      </c>
      <c r="T30" s="79">
        <f ca="1">IF(controls!$B$10=1,T29,IF(SUM(controls!$B$44:$B$46)=2,U30-'main page'!$K$29*'normal case'!L30-(1-'main page'!$K$29)*'main page'!$K$32,U30-'main page'!$K$29*'normal case'!L30-(1-'main page'!$K$29)*controls!$B$9))</f>
        <v>3.4999999701976776</v>
      </c>
      <c r="U30" s="164">
        <f ca="1">IF(controls!$B$45=1,IF(controls!$B$46=1,'main page'!$K$24+'main page'!$K$11+'main page'!$U$8,'main page'!$K$24+'main page'!$K$11+'main page'!$K$32),IF(controls!$B$44=1,IF(V30&lt;0,0,V30),IF(V30+'main page'!$K$11&lt;0,0,V30+'main page'!$K$11)))</f>
        <v>5.4999998509883881</v>
      </c>
      <c r="V30" s="63">
        <f ca="1">IF(controls!$B$10=1,'normal case'!T30+'normal case'!L30,'normal case'!W30)</f>
        <v>5.4999998509883881</v>
      </c>
      <c r="W30" s="61">
        <f t="shared" ca="1" si="1"/>
        <v>5.4999998509883881</v>
      </c>
      <c r="X30" s="166">
        <f ca="1">IF(controls!$B$44=0,Y30+'main page'!$K$29*L30+(1-'main page'!$K$29)*controls!$B$9+(('main page'!$K$25*'main page'!$U$13*'main page'!$K$29)/('main page'!$K$27*(1+('main page'!$K$25^2)*'main page'!$U$13)))*(L30-controls!$B$9),Y30+'main page'!$K$29*L30+(1-'main page'!$K$29)*controls!$B$9+(('main page'!$K$25*'main page'!$U$13*'normal case'!$AV$3)/'normal case'!$AV$4)*('normal case'!L30-controls!$B$9))</f>
        <v>5.4999998509883881</v>
      </c>
      <c r="Y30" s="81">
        <f ca="1">IF(controls!$B$44=1,'main page'!$K$24+'main page'!$K$11,IF(controls!$B$33=1,((I31-D30*AD31-B31+B30*AC31)/'main page'!$K$27)-'main page'!$K$11,((H31-D30*AD31-B31+B30*AC31)/'main page'!$K$27)-'main page'!$K$11))</f>
        <v>3.5</v>
      </c>
      <c r="AA30" s="58">
        <f>IF(controls!$B$6=1,$AS$3*(1+('main page'!$K$35/100))^AB30-$AS$3*(1+('main page'!$K$35/100))^AB29,$AS$3*(1+('main page'!$G$8/100))*(1+('main page'!$K$35/100))^AB30-$AS$3*(1+('main page'!$G$8/100))*(1+('main page'!$K$35/100))^AB29)</f>
        <v>0</v>
      </c>
      <c r="AB30" s="60">
        <v>23</v>
      </c>
      <c r="AC30" s="125">
        <v>0</v>
      </c>
      <c r="AD30" s="36">
        <v>0</v>
      </c>
      <c r="AE30" s="44">
        <f ca="1">IF(controls!$B$33=1,D30-($I$3-'main page'!$K$27*2)*(1+('main page'!$K$35/100))^A29,D30-$AS$4)</f>
        <v>1.0000001192092896</v>
      </c>
      <c r="AF30" s="44">
        <f ca="1">ABS(L30-(controls!$B$9/100)*100)</f>
        <v>1.1920928955078125E-7</v>
      </c>
      <c r="AH30" s="44">
        <f ca="1">IF(controls!$B$33=1,(B31-B30*AC31-I31+D30*AD31+'main page'!$K$27*('main page'!$K$24+'main page'!$K$11))/'main page'!$K$31,(B31-B30*AC31+D30*AD31-H31+'main page'!$K$27*('main page'!$K$24+'main page'!$K$11))/'main page'!$K$31)</f>
        <v>1</v>
      </c>
      <c r="AI30" s="44">
        <f ca="1">IF(controls!$B$45=1,LOG(AM30,1.01)+LOG(AL30,1.01)-LOG(AK30,1.01),-((T30-('main page'!$K$24+'main page'!$K$11))/(1-'normal case'!$AV$3))+'normal case'!AH30)</f>
        <v>2.0000000596046448</v>
      </c>
      <c r="AJ30" s="80">
        <f t="shared" ca="1" si="2"/>
        <v>1.0506250015463039</v>
      </c>
      <c r="AK30" s="44">
        <f t="shared" ca="1" si="3"/>
        <v>1.6736362518384209</v>
      </c>
      <c r="AL30" s="44">
        <f>AL29*(1+'main page'!$K$32/100)</f>
        <v>1</v>
      </c>
      <c r="AM30" s="44">
        <f ca="1">IF(ABS(IF(controls!$B$45=1,$AS$13,AK30*AJ30/AL30)-AM29)&lt;0.00001,AM29,IF(controls!$B$45=1,$AS$13,AK30*AJ30/AL30))</f>
        <v>1.7583640896756911</v>
      </c>
      <c r="AN30" s="44">
        <f>IF(controls!$B$46=0,0,IF(controls!$B$33=2,B31-B30*AC31-('normal case'!H31-D30*AD31-'main page'!$K$27*'normal case'!T30+'main page'!$K$31*'normal case'!AI30)-(('main page'!$K$25*'main page'!$U$13*'main page'!$K$29)/(1+('main page'!$K$25^2)*'main page'!$U$13))*('normal case'!L30-'main page'!$U$8),B31-B30*AC31-('normal case'!I31-D30*AD31-'main page'!$K$27*'normal case'!T30+'main page'!$K$31*'normal case'!AI30)-(('main page'!$K$25*'main page'!$U$13*'main page'!$K$29)/(1+('main page'!$K$25^2)*'main page'!$U$13))*('normal case'!L30-'main page'!$U$8)))</f>
        <v>0</v>
      </c>
      <c r="AU30" s="36"/>
      <c r="AV30" s="36"/>
    </row>
    <row r="31" spans="1:60">
      <c r="A31" s="43">
        <v>29</v>
      </c>
      <c r="B31" s="62">
        <f ca="1">IF(controls!$B$33=1,B30*(1+AC31)+AA31,B30*(1+AC31))</f>
        <v>101</v>
      </c>
      <c r="C31" s="67">
        <f t="shared" ca="1" si="4"/>
        <v>-1.5107707374006907E-7</v>
      </c>
      <c r="D31" s="64">
        <f t="shared" ca="1" si="0"/>
        <v>101.00000005960464</v>
      </c>
      <c r="E31" s="64">
        <f ca="1">AN30+IF(controls!$B$33=1,G31,F31)</f>
        <v>101.00000005960464</v>
      </c>
      <c r="F31" s="78">
        <f ca="1">IF(controls!$B$44=0,H31-'main page'!$K$27*T30,H31-'main page'!$K$27*T30+'main page'!$K$31*AI30)</f>
        <v>101.00000005960464</v>
      </c>
      <c r="G31" s="62">
        <f ca="1">IF(controls!$B$44=0,I31-'main page'!$K$27*T30,I31-'main page'!$K$27*T30+'main page'!$K$31*'normal case'!AI30)</f>
        <v>101.00000005960464</v>
      </c>
      <c r="H31" s="62">
        <f t="shared" ca="1" si="8"/>
        <v>108</v>
      </c>
      <c r="I31" s="62">
        <f t="shared" ca="1" si="9"/>
        <v>108</v>
      </c>
      <c r="L31" s="62">
        <f ca="1">IF(ABS('main page'!G35+'main page'!$K$29*L30+(1-'main page'!$K$29)*($AS$11/100)*100+'main page'!$K$25*(D31-B31)-L30)&lt;0.0000001,L30,'main page'!G35+'main page'!$K$29*L30+(1-'main page'!$K$29)*($AS$11/100)*100+'main page'!$K$25*(D31-B31))</f>
        <v>1.9999998807907104</v>
      </c>
      <c r="M31" s="409">
        <f t="shared" ca="1" si="5"/>
        <v>0</v>
      </c>
      <c r="N31" s="409">
        <f t="shared" ca="1" si="7"/>
        <v>5.9604644775390625E-8</v>
      </c>
      <c r="O31" s="409">
        <f ca="1">'main page'!G35+'main page'!$K$29*M30+(1-'main page'!$K$29)*($AQ$11/100)*100</f>
        <v>1</v>
      </c>
      <c r="P31" s="409">
        <f ca="1">'main page'!$K$25*(D31-B31)-M30</f>
        <v>-0.99999994039535522</v>
      </c>
      <c r="Q31" s="409">
        <f ca="1">(1-'main page'!$K$29)*($AS$11/100)*100+'main page'!$K$25*(D31-B31)</f>
        <v>5.9604644775390625E-8</v>
      </c>
      <c r="R31" s="409">
        <f ca="1">'main page'!G35+'main page'!$K$29*M30</f>
        <v>1</v>
      </c>
      <c r="S31" s="409">
        <f t="shared" ca="1" si="6"/>
        <v>1.0000000596046448</v>
      </c>
      <c r="T31" s="79">
        <f ca="1">IF(controls!$B$10=1,T30,IF(SUM(controls!$B$44:$B$46)=2,U31-'main page'!$K$29*'normal case'!L31-(1-'main page'!$K$29)*'main page'!$K$32,U31-'main page'!$K$29*'normal case'!L31-(1-'main page'!$K$29)*controls!$B$9))</f>
        <v>3.4999999701976776</v>
      </c>
      <c r="U31" s="164">
        <f ca="1">IF(controls!$B$45=1,IF(controls!$B$46=1,'main page'!$K$24+'main page'!$K$11+'main page'!$U$8,'main page'!$K$24+'main page'!$K$11+'main page'!$K$32),IF(controls!$B$44=1,IF(V31&lt;0,0,V31),IF(V31+'main page'!$K$11&lt;0,0,V31+'main page'!$K$11)))</f>
        <v>5.4999998509883881</v>
      </c>
      <c r="V31" s="63">
        <f ca="1">IF(controls!$B$10=1,'normal case'!T31+'normal case'!L31,'normal case'!W31)</f>
        <v>5.4999998509883881</v>
      </c>
      <c r="W31" s="61">
        <f t="shared" ca="1" si="1"/>
        <v>5.4999998509883881</v>
      </c>
      <c r="X31" s="166">
        <f ca="1">IF(controls!$B$44=0,Y31+'main page'!$K$29*L31+(1-'main page'!$K$29)*controls!$B$9+(('main page'!$K$25*'main page'!$U$13*'main page'!$K$29)/('main page'!$K$27*(1+('main page'!$K$25^2)*'main page'!$U$13)))*(L31-controls!$B$9),Y31+'main page'!$K$29*L31+(1-'main page'!$K$29)*controls!$B$9+(('main page'!$K$25*'main page'!$U$13*'normal case'!$AV$3)/'normal case'!$AV$4)*('normal case'!L31-controls!$B$9))</f>
        <v>5.4999998509883881</v>
      </c>
      <c r="Y31" s="81">
        <f ca="1">IF(controls!$B$44=1,'main page'!$K$24+'main page'!$K$11,IF(controls!$B$33=1,((I32-D31*AD32-B32+B31*AC32)/'main page'!$K$27)-'main page'!$K$11,((H32-D31*AD32-B32+B31*AC32)/'main page'!$K$27)-'main page'!$K$11))</f>
        <v>3.5</v>
      </c>
      <c r="AA31" s="58">
        <f>IF(controls!$B$6=1,$AS$3*(1+('main page'!$K$35/100))^AB31-$AS$3*(1+('main page'!$K$35/100))^AB30,$AS$3*(1+('main page'!$G$8/100))*(1+('main page'!$K$35/100))^AB31-$AS$3*(1+('main page'!$G$8/100))*(1+('main page'!$K$35/100))^AB30)</f>
        <v>0</v>
      </c>
      <c r="AB31" s="60">
        <v>24</v>
      </c>
      <c r="AC31" s="125">
        <v>0</v>
      </c>
      <c r="AD31" s="36">
        <v>0</v>
      </c>
      <c r="AE31" s="44">
        <f ca="1">IF(controls!$B$33=1,D31-($I$3-'main page'!$K$27*2)*(1+('main page'!$K$35/100))^A30,D31-$AS$4)</f>
        <v>1.0000000596046448</v>
      </c>
      <c r="AF31" s="44">
        <f ca="1">ABS(L31-(controls!$B$9/100)*100)</f>
        <v>1.1920928955078125E-7</v>
      </c>
      <c r="AH31" s="44">
        <f ca="1">IF(controls!$B$33=1,(B32-B31*AC32-I32+D31*AD32+'main page'!$K$27*('main page'!$K$24+'main page'!$K$11))/'main page'!$K$31,(B32-B31*AC32+D31*AD32-H32+'main page'!$K$27*('main page'!$K$24+'main page'!$K$11))/'main page'!$K$31)</f>
        <v>1</v>
      </c>
      <c r="AI31" s="44">
        <f ca="1">IF(controls!$B$45=1,LOG(AM31,1.01)+LOG(AL31,1.01)-LOG(AK31,1.01),-((T31-('main page'!$K$24+'main page'!$K$11))/(1-'normal case'!$AV$3))+'normal case'!AH31)</f>
        <v>2.0000000596046448</v>
      </c>
      <c r="AJ31" s="80">
        <f t="shared" ca="1" si="2"/>
        <v>1.0506250015463039</v>
      </c>
      <c r="AK31" s="44">
        <f t="shared" ca="1" si="3"/>
        <v>1.7071089748800594</v>
      </c>
      <c r="AL31" s="44">
        <f>AL30*(1+'main page'!$K$32/100)</f>
        <v>1</v>
      </c>
      <c r="AM31" s="44">
        <f ca="1">IF(ABS(IF(controls!$B$45=1,$AS$13,AK31*AJ31/AL31)-AM30)&lt;0.00001,AM30,IF(controls!$B$45=1,$AS$13,AK31*AJ31/AL31))</f>
        <v>1.7935313693730717</v>
      </c>
      <c r="AN31" s="44">
        <f>IF(controls!$B$46=0,0,IF(controls!$B$33=2,B32-B31*AC32-('normal case'!H32-D31*AD32-'main page'!$K$27*'normal case'!T31+'main page'!$K$31*'normal case'!AI31)-(('main page'!$K$25*'main page'!$U$13*'main page'!$K$29)/(1+('main page'!$K$25^2)*'main page'!$U$13))*('normal case'!L31-'main page'!$U$8),B32-B31*AC32-('normal case'!I32-D31*AD32-'main page'!$K$27*'normal case'!T31+'main page'!$K$31*'normal case'!AI31)-(('main page'!$K$25*'main page'!$U$13*'main page'!$K$29)/(1+('main page'!$K$25^2)*'main page'!$U$13))*('normal case'!L31-'main page'!$U$8)))</f>
        <v>0</v>
      </c>
      <c r="AU31" s="36"/>
      <c r="AV31" s="36"/>
    </row>
    <row r="32" spans="1:60">
      <c r="A32" s="43">
        <v>30</v>
      </c>
      <c r="B32" s="62">
        <f ca="1">IF(controls!$B$33=1,B31*(1+AC32)+AA32,B31*(1+AC32))</f>
        <v>101</v>
      </c>
      <c r="C32" s="67">
        <f t="shared" ca="1" si="4"/>
        <v>-1.5107707374006907E-7</v>
      </c>
      <c r="D32" s="64">
        <f t="shared" ca="1" si="0"/>
        <v>101.00000005960464</v>
      </c>
      <c r="E32" s="64">
        <f ca="1">AN31+IF(controls!$B$33=1,G32,F32)</f>
        <v>101.00000005960464</v>
      </c>
      <c r="F32" s="78">
        <f ca="1">IF(controls!$B$44=0,H32-'main page'!$K$27*T31,H32-'main page'!$K$27*T31+'main page'!$K$31*AI31)</f>
        <v>101.00000005960464</v>
      </c>
      <c r="G32" s="62">
        <f ca="1">IF(controls!$B$44=0,I32-'main page'!$K$27*T31,I32-'main page'!$K$27*T31+'main page'!$K$31*'normal case'!AI31)</f>
        <v>101.00000005960464</v>
      </c>
      <c r="H32" s="62">
        <f t="shared" ca="1" si="8"/>
        <v>108</v>
      </c>
      <c r="I32" s="62">
        <f t="shared" ca="1" si="9"/>
        <v>108</v>
      </c>
      <c r="L32" s="62">
        <f ca="1">IF(ABS('main page'!G36+'main page'!$K$29*L31+(1-'main page'!$K$29)*($AS$11/100)*100+'main page'!$K$25*(D32-B32)-L31)&lt;0.0000001,L31,'main page'!G36+'main page'!$K$29*L31+(1-'main page'!$K$29)*($AS$11/100)*100+'main page'!$K$25*(D32-B32))</f>
        <v>1.9999998807907104</v>
      </c>
      <c r="M32" s="409">
        <f t="shared" ca="1" si="5"/>
        <v>0</v>
      </c>
      <c r="N32" s="409">
        <f t="shared" ca="1" si="7"/>
        <v>5.9604644775390625E-8</v>
      </c>
      <c r="O32" s="409">
        <f ca="1">'main page'!G36+'main page'!$K$29*M31+(1-'main page'!$K$29)*($AQ$11/100)*100</f>
        <v>0</v>
      </c>
      <c r="P32" s="409">
        <f ca="1">'main page'!$K$25*(D32-B32)-M31</f>
        <v>5.9604644775390625E-8</v>
      </c>
      <c r="Q32" s="409">
        <f ca="1">(1-'main page'!$K$29)*($AS$11/100)*100+'main page'!$K$25*(D32-B32)</f>
        <v>5.9604644775390625E-8</v>
      </c>
      <c r="R32" s="409">
        <f ca="1">'main page'!G36+'main page'!$K$29*M31</f>
        <v>0</v>
      </c>
      <c r="S32" s="409">
        <f t="shared" ca="1" si="6"/>
        <v>5.9604644775390625E-8</v>
      </c>
      <c r="T32" s="79">
        <f ca="1">IF(controls!$B$10=1,T31,IF(SUM(controls!$B$44:$B$46)=2,U32-'main page'!$K$29*'normal case'!L32-(1-'main page'!$K$29)*'main page'!$K$32,U32-'main page'!$K$29*'normal case'!L32-(1-'main page'!$K$29)*controls!$B$9))</f>
        <v>3.4999999701976776</v>
      </c>
      <c r="U32" s="164">
        <f ca="1">IF(controls!$B$45=1,IF(controls!$B$46=1,'main page'!$K$24+'main page'!$K$11+'main page'!$U$8,'main page'!$K$24+'main page'!$K$11+'main page'!$K$32),IF(controls!$B$44=1,IF(V32&lt;0,0,V32),IF(V32+'main page'!$K$11&lt;0,0,V32+'main page'!$K$11)))</f>
        <v>5.4999998509883881</v>
      </c>
      <c r="V32" s="63">
        <f ca="1">IF(controls!$B$10=1,'normal case'!T32+'normal case'!L32,'normal case'!W32)</f>
        <v>5.4999998509883881</v>
      </c>
      <c r="W32" s="61">
        <f t="shared" ca="1" si="1"/>
        <v>5.4999998509883881</v>
      </c>
      <c r="X32" s="166">
        <f ca="1">IF(controls!$B$44=0,Y32+'main page'!$K$29*L32+(1-'main page'!$K$29)*controls!$B$9+(('main page'!$K$25*'main page'!$U$13*'main page'!$K$29)/('main page'!$K$27*(1+('main page'!$K$25^2)*'main page'!$U$13)))*(L32-controls!$B$9),Y32+'main page'!$K$29*L32+(1-'main page'!$K$29)*controls!$B$9+(('main page'!$K$25*'main page'!$U$13*'normal case'!$AV$3)/'normal case'!$AV$4)*('normal case'!L32-controls!$B$9))</f>
        <v>5.4999998509883881</v>
      </c>
      <c r="Y32" s="81">
        <f ca="1">IF(controls!$B$44=1,'main page'!$K$24+'main page'!$K$11,IF(controls!$B$33=1,((I33-D32*AD33-B33+B32*AC33)/'main page'!$K$27)-'main page'!$K$11,((H33-D32*AD33-B33+B32*AC33)/'main page'!$K$27)-'main page'!$K$11))</f>
        <v>3.5</v>
      </c>
      <c r="AA32" s="58">
        <f>IF(controls!$B$6=1,$AS$3*(1+('main page'!$K$35/100))^AB32-$AS$3*(1+('main page'!$K$35/100))^AB31,$AS$3*(1+('main page'!$G$8/100))*(1+('main page'!$K$35/100))^AB32-$AS$3*(1+('main page'!$G$8/100))*(1+('main page'!$K$35/100))^AB31)</f>
        <v>0</v>
      </c>
      <c r="AB32" s="60">
        <v>25</v>
      </c>
      <c r="AC32" s="125">
        <f ca="1">IF(controls!$B$4=1,IF(controls!$H31=1,controls!$B$34*AC31+RAND()*('main page'!$K$16/100)-RAND()*('main page'!$K$16/100),0),0)</f>
        <v>0</v>
      </c>
      <c r="AD32" s="36">
        <f ca="1">IF(controls!$B$4=1,IF(controls!$I31=1,controls!$B$34*AD31+RAND()*('main page'!$K$16/100)-RAND()*('main page'!$K$16/100),0),0)</f>
        <v>0</v>
      </c>
      <c r="AE32" s="44">
        <f ca="1">IF(controls!$B$33=1,D32-($I$3-'main page'!$K$27*2)*(1+('main page'!$K$35/100))^A31,D32-$AS$4)</f>
        <v>1.0000000596046448</v>
      </c>
      <c r="AF32" s="44">
        <f ca="1">ABS(L32-(controls!$B$9/100)*100)</f>
        <v>1.1920928955078125E-7</v>
      </c>
      <c r="AH32" s="44">
        <f ca="1">IF(controls!$B$33=1,(B33-B32*AC33-I33+D32*AD33+'main page'!$K$27*('main page'!$K$24+'main page'!$K$11))/'main page'!$K$31,(B33-B32*AC33+D32*AD33-H33+'main page'!$K$27*('main page'!$K$24+'main page'!$K$11))/'main page'!$K$31)</f>
        <v>1</v>
      </c>
      <c r="AI32" s="44">
        <f ca="1">IF(controls!$B$45=1,LOG(AM32,1.01)+LOG(AL32,1.01)-LOG(AK32,1.01),-((T32-('main page'!$K$24+'main page'!$K$11))/(1-'normal case'!$AV$3))+'normal case'!AH32)</f>
        <v>2.0000000596046448</v>
      </c>
      <c r="AJ32" s="80">
        <f t="shared" ca="1" si="2"/>
        <v>1.0506250015463039</v>
      </c>
      <c r="AK32" s="44">
        <f t="shared" ca="1" si="3"/>
        <v>1.7412511523426282</v>
      </c>
      <c r="AL32" s="44">
        <f>AL31*(1+'main page'!$K$32/100)</f>
        <v>1</v>
      </c>
      <c r="AM32" s="44">
        <f ca="1">IF(ABS(IF(controls!$B$45=1,$AS$13,AK32*AJ32/AL32)-AM31)&lt;0.00001,AM31,IF(controls!$B$45=1,$AS$13,AK32*AJ32/AL32))</f>
        <v>1.8294019946224771</v>
      </c>
      <c r="AN32" s="44">
        <f>IF(controls!$B$46=0,0,IF(controls!$B$33=2,B33-B32*AC33-('normal case'!H33-D32*AD33-'main page'!$K$27*'normal case'!T32+'main page'!$K$31*'normal case'!AI32)-(('main page'!$K$25*'main page'!$U$13*'main page'!$K$29)/(1+('main page'!$K$25^2)*'main page'!$U$13))*('normal case'!L32-'main page'!$U$8),B33-B32*AC33-('normal case'!I33-D32*AD33-'main page'!$K$27*'normal case'!T32+'main page'!$K$31*'normal case'!AI32)-(('main page'!$K$25*'main page'!$U$13*'main page'!$K$29)/(1+('main page'!$K$25^2)*'main page'!$U$13))*('normal case'!L32-'main page'!$U$8)))</f>
        <v>0</v>
      </c>
      <c r="AU32" s="36"/>
      <c r="AV32" s="36"/>
    </row>
    <row r="33" spans="1:48">
      <c r="A33" s="43">
        <v>31</v>
      </c>
      <c r="B33" s="62">
        <f ca="1">IF(controls!$B$33=1,B32*(1+AC33)+AA33,B32*(1+AC33))</f>
        <v>101</v>
      </c>
      <c r="C33" s="67">
        <f t="shared" ca="1" si="4"/>
        <v>-1.5107707374006907E-7</v>
      </c>
      <c r="D33" s="64">
        <f t="shared" ca="1" si="0"/>
        <v>101.00000005960464</v>
      </c>
      <c r="E33" s="64">
        <f ca="1">AN32+IF(controls!$B$33=1,G33,F33)</f>
        <v>101.00000005960464</v>
      </c>
      <c r="F33" s="78">
        <f ca="1">IF(controls!$B$44=0,H33-'main page'!$K$27*T32,H33-'main page'!$K$27*T32+'main page'!$K$31*AI32)</f>
        <v>101.00000005960464</v>
      </c>
      <c r="G33" s="62">
        <f ca="1">IF(controls!$B$44=0,I33-'main page'!$K$27*T32,I33-'main page'!$K$27*T32+'main page'!$K$31*'normal case'!AI32)</f>
        <v>101.00000005960464</v>
      </c>
      <c r="H33" s="62">
        <f t="shared" ca="1" si="8"/>
        <v>108</v>
      </c>
      <c r="I33" s="62">
        <f t="shared" ca="1" si="9"/>
        <v>108</v>
      </c>
      <c r="L33" s="62">
        <f ca="1">IF(ABS('main page'!G37+'main page'!$K$29*L32+(1-'main page'!$K$29)*($AS$11/100)*100+'main page'!$K$25*(D33-B33)-L32)&lt;0.0000001,L32,'main page'!G37+'main page'!$K$29*L32+(1-'main page'!$K$29)*($AS$11/100)*100+'main page'!$K$25*(D33-B33))</f>
        <v>1.9999998807907104</v>
      </c>
      <c r="M33" s="409">
        <f t="shared" ca="1" si="5"/>
        <v>0</v>
      </c>
      <c r="N33" s="409">
        <f t="shared" ca="1" si="7"/>
        <v>5.9604644775390625E-8</v>
      </c>
      <c r="O33" s="409">
        <f ca="1">'main page'!G37+'main page'!$K$29*M32+(1-'main page'!$K$29)*($AQ$11/100)*100</f>
        <v>0</v>
      </c>
      <c r="P33" s="409">
        <f ca="1">'main page'!$K$25*(D33-B33)-M32</f>
        <v>5.9604644775390625E-8</v>
      </c>
      <c r="Q33" s="409">
        <f ca="1">(1-'main page'!$K$29)*($AS$11/100)*100+'main page'!$K$25*(D33-B33)</f>
        <v>5.9604644775390625E-8</v>
      </c>
      <c r="R33" s="409">
        <f ca="1">'main page'!G37+'main page'!$K$29*M32</f>
        <v>0</v>
      </c>
      <c r="S33" s="409">
        <f t="shared" ca="1" si="6"/>
        <v>5.9604644775390625E-8</v>
      </c>
      <c r="T33" s="79">
        <f ca="1">IF(controls!$B$10=1,T32,IF(SUM(controls!$B$44:$B$46)=2,U33-'main page'!$K$29*'normal case'!L33-(1-'main page'!$K$29)*'main page'!$K$32,U33-'main page'!$K$29*'normal case'!L33-(1-'main page'!$K$29)*controls!$B$9))</f>
        <v>3.4999999701976776</v>
      </c>
      <c r="U33" s="164">
        <f ca="1">IF(controls!$B$45=1,IF(controls!$B$46=1,'main page'!$K$24+'main page'!$K$11+'main page'!$U$8,'main page'!$K$24+'main page'!$K$11+'main page'!$K$32),IF(controls!$B$44=1,IF(V33&lt;0,0,V33),IF(V33+'main page'!$K$11&lt;0,0,V33+'main page'!$K$11)))</f>
        <v>5.4999998509883881</v>
      </c>
      <c r="V33" s="63">
        <f ca="1">IF(controls!$B$10=1,'normal case'!T33+'normal case'!L33,'normal case'!W33)</f>
        <v>5.4999998509883881</v>
      </c>
      <c r="W33" s="61">
        <f t="shared" ca="1" si="1"/>
        <v>5.4999998509883881</v>
      </c>
      <c r="X33" s="166">
        <f ca="1">IF(controls!$B$44=0,Y33+'main page'!$K$29*L33+(1-'main page'!$K$29)*controls!$B$9+(('main page'!$K$25*'main page'!$U$13*'main page'!$K$29)/('main page'!$K$27*(1+('main page'!$K$25^2)*'main page'!$U$13)))*(L33-controls!$B$9),Y33+'main page'!$K$29*L33+(1-'main page'!$K$29)*controls!$B$9+(('main page'!$K$25*'main page'!$U$13*'normal case'!$AV$3)/'normal case'!$AV$4)*('normal case'!L33-controls!$B$9))</f>
        <v>5.4999998509883881</v>
      </c>
      <c r="Y33" s="81">
        <f ca="1">IF(controls!$B$44=1,'main page'!$K$24+'main page'!$K$11,IF(controls!$B$33=1,((I34-D33*AD34-B34+B33*AC34)/'main page'!$K$27)-'main page'!$K$11,((H34-D33*AD34-B34+B33*AC34)/'main page'!$K$27)-'main page'!$K$11))</f>
        <v>3.5</v>
      </c>
      <c r="AA33" s="58">
        <f>IF(controls!$B$6=1,$AS$3*(1+('main page'!$K$35/100))^AB33-$AS$3*(1+('main page'!$K$35/100))^AB32,$AS$3*(1+('main page'!$G$8/100))*(1+('main page'!$K$35/100))^AB33-$AS$3*(1+('main page'!$G$8/100))*(1+('main page'!$K$35/100))^AB32)</f>
        <v>0</v>
      </c>
      <c r="AB33" s="60">
        <v>26</v>
      </c>
      <c r="AC33" s="125">
        <v>0</v>
      </c>
      <c r="AD33" s="36">
        <v>0</v>
      </c>
      <c r="AE33" s="44">
        <f ca="1">IF(controls!$B$33=1,D33-($I$3-'main page'!$K$27*2)*(1+('main page'!$K$35/100))^A32,D33-$AS$4)</f>
        <v>1.0000000596046448</v>
      </c>
      <c r="AF33" s="44">
        <f ca="1">ABS(L33-(controls!$B$9/100)*100)</f>
        <v>1.1920928955078125E-7</v>
      </c>
      <c r="AH33" s="44">
        <f ca="1">IF(controls!$B$33=1,(B34-B33*AC34-I34+D33*AD34+'main page'!$K$27*('main page'!$K$24+'main page'!$K$11))/'main page'!$K$31,(B34-B33*AC34+D33*AD34-H34+'main page'!$K$27*('main page'!$K$24+'main page'!$K$11))/'main page'!$K$31)</f>
        <v>1</v>
      </c>
      <c r="AI33" s="44">
        <f ca="1">IF(controls!$B$45=1,LOG(AM33,1.01)+LOG(AL33,1.01)-LOG(AK33,1.01),-((T33-('main page'!$K$24+'main page'!$K$11))/(1-'normal case'!$AV$3))+'normal case'!AH33)</f>
        <v>2.0000000596046448</v>
      </c>
      <c r="AJ33" s="80">
        <f t="shared" ca="1" si="2"/>
        <v>1.0506250015463039</v>
      </c>
      <c r="AK33" s="44">
        <f t="shared" ca="1" si="3"/>
        <v>1.7760761733137478</v>
      </c>
      <c r="AL33" s="44">
        <f>AL32*(1+'main page'!$K$32/100)</f>
        <v>1</v>
      </c>
      <c r="AM33" s="44">
        <f ca="1">IF(ABS(IF(controls!$B$45=1,$AS$13,AK33*AJ33/AL33)-AM32)&lt;0.00001,AM32,IF(controls!$B$45=1,$AS$13,AK33*AJ33/AL33))</f>
        <v>1.8659900323341099</v>
      </c>
      <c r="AN33" s="44">
        <f>IF(controls!$B$46=0,0,IF(controls!$B$33=2,B34-B33*AC34-('normal case'!H34-D33*AD34-'main page'!$K$27*'normal case'!T33+'main page'!$K$31*'normal case'!AI33)-(('main page'!$K$25*'main page'!$U$13*'main page'!$K$29)/(1+('main page'!$K$25^2)*'main page'!$U$13))*('normal case'!L33-'main page'!$U$8),B34-B33*AC34-('normal case'!I34-D33*AD34-'main page'!$K$27*'normal case'!T33+'main page'!$K$31*'normal case'!AI33)-(('main page'!$K$25*'main page'!$U$13*'main page'!$K$29)/(1+('main page'!$K$25^2)*'main page'!$U$13))*('normal case'!L33-'main page'!$U$8)))</f>
        <v>0</v>
      </c>
      <c r="AU33" s="36"/>
      <c r="AV33" s="36"/>
    </row>
    <row r="34" spans="1:48">
      <c r="A34" s="43">
        <v>32</v>
      </c>
      <c r="B34" s="62">
        <f ca="1">IF(controls!$B$33=1,B33*(1+AC34)+AA34,B33*(1+AC34))</f>
        <v>101</v>
      </c>
      <c r="C34" s="67">
        <f t="shared" ca="1" si="4"/>
        <v>-1.5107707374006907E-7</v>
      </c>
      <c r="D34" s="64">
        <f t="shared" ca="1" si="0"/>
        <v>101.00000005960464</v>
      </c>
      <c r="E34" s="64">
        <f ca="1">AN33+IF(controls!$B$33=1,G34,F34)</f>
        <v>101.00000005960464</v>
      </c>
      <c r="F34" s="78">
        <f ca="1">IF(controls!$B$44=0,H34-'main page'!$K$27*T33,H34-'main page'!$K$27*T33+'main page'!$K$31*AI33)</f>
        <v>101.00000005960464</v>
      </c>
      <c r="G34" s="62">
        <f ca="1">IF(controls!$B$44=0,I34-'main page'!$K$27*T33,I34-'main page'!$K$27*T33+'main page'!$K$31*'normal case'!AI33)</f>
        <v>101.00000005960464</v>
      </c>
      <c r="H34" s="62">
        <f t="shared" ca="1" si="8"/>
        <v>108</v>
      </c>
      <c r="I34" s="62">
        <f t="shared" ca="1" si="9"/>
        <v>108</v>
      </c>
      <c r="L34" s="62">
        <f ca="1">IF(ABS('main page'!G38+'main page'!$K$29*L33+(1-'main page'!$K$29)*($AS$11/100)*100+'main page'!$K$25*(D34-B34)-L33)&lt;0.0000001,L33,'main page'!G38+'main page'!$K$29*L33+(1-'main page'!$K$29)*($AS$11/100)*100+'main page'!$K$25*(D34-B34))</f>
        <v>1.9999998807907104</v>
      </c>
      <c r="M34" s="409">
        <f t="shared" ca="1" si="5"/>
        <v>0</v>
      </c>
      <c r="N34" s="409">
        <f t="shared" ca="1" si="7"/>
        <v>5.9604644775390625E-8</v>
      </c>
      <c r="O34" s="409">
        <f ca="1">'main page'!G38+'main page'!$K$29*M33+(1-'main page'!$K$29)*($AQ$11/100)*100</f>
        <v>0</v>
      </c>
      <c r="P34" s="409">
        <f ca="1">'main page'!$K$25*(D34-B34)-M33</f>
        <v>5.9604644775390625E-8</v>
      </c>
      <c r="Q34" s="409">
        <f ca="1">(1-'main page'!$K$29)*($AS$11/100)*100+'main page'!$K$25*(D34-B34)</f>
        <v>5.9604644775390625E-8</v>
      </c>
      <c r="R34" s="409">
        <f ca="1">'main page'!G38+'main page'!$K$29*M33</f>
        <v>0</v>
      </c>
      <c r="S34" s="409">
        <f t="shared" ca="1" si="6"/>
        <v>5.9604644775390625E-8</v>
      </c>
      <c r="T34" s="79">
        <f ca="1">IF(controls!$B$10=1,T33,IF(SUM(controls!$B$44:$B$46)=2,U34-'main page'!$K$29*'normal case'!L34-(1-'main page'!$K$29)*'main page'!$K$32,U34-'main page'!$K$29*'normal case'!L34-(1-'main page'!$K$29)*controls!$B$9))</f>
        <v>3.4999999701976776</v>
      </c>
      <c r="U34" s="164">
        <f ca="1">IF(controls!$B$45=1,IF(controls!$B$46=1,'main page'!$K$24+'main page'!$K$11+'main page'!$U$8,'main page'!$K$24+'main page'!$K$11+'main page'!$K$32),IF(controls!$B$44=1,IF(V34&lt;0,0,V34),IF(V34+'main page'!$K$11&lt;0,0,V34+'main page'!$K$11)))</f>
        <v>5.4999998509883881</v>
      </c>
      <c r="V34" s="63">
        <f ca="1">IF(controls!$B$10=1,'normal case'!T34+'normal case'!L34,'normal case'!W34)</f>
        <v>5.4999998509883881</v>
      </c>
      <c r="W34" s="61">
        <f t="shared" ca="1" si="1"/>
        <v>5.4999998509883881</v>
      </c>
      <c r="X34" s="166">
        <f ca="1">IF(controls!$B$44=0,Y34+'main page'!$K$29*L34+(1-'main page'!$K$29)*controls!$B$9+(('main page'!$K$25*'main page'!$U$13*'main page'!$K$29)/('main page'!$K$27*(1+('main page'!$K$25^2)*'main page'!$U$13)))*(L34-controls!$B$9),Y34+'main page'!$K$29*L34+(1-'main page'!$K$29)*controls!$B$9+(('main page'!$K$25*'main page'!$U$13*'normal case'!$AV$3)/'normal case'!$AV$4)*('normal case'!L34-controls!$B$9))</f>
        <v>5.4999998509883881</v>
      </c>
      <c r="Y34" s="81">
        <f ca="1">IF(controls!$B$44=1,'main page'!$K$24+'main page'!$K$11,IF(controls!$B$33=1,((I35-D34*AD35-B35+B34*AC35)/'main page'!$K$27)-'main page'!$K$11,((H35-D34*AD35-B35+B34*AC35)/'main page'!$K$27)-'main page'!$K$11))</f>
        <v>3.5</v>
      </c>
      <c r="AA34" s="58">
        <f>IF(controls!$B$6=1,$AS$3*(1+('main page'!$K$35/100))^AB34-$AS$3*(1+('main page'!$K$35/100))^AB33,$AS$3*(1+('main page'!$G$8/100))*(1+('main page'!$K$35/100))^AB34-$AS$3*(1+('main page'!$G$8/100))*(1+('main page'!$K$35/100))^AB33)</f>
        <v>0</v>
      </c>
      <c r="AB34" s="60">
        <v>27</v>
      </c>
      <c r="AC34" s="125">
        <v>0</v>
      </c>
      <c r="AD34" s="36">
        <v>0</v>
      </c>
      <c r="AE34" s="44">
        <f ca="1">IF(controls!$B$33=1,D34-($I$3-'main page'!$K$27*2)*(1+('main page'!$K$35/100))^A33,D34-$AS$4)</f>
        <v>1.0000000596046448</v>
      </c>
      <c r="AF34" s="44">
        <f ca="1">ABS(L34-(controls!$B$9/100)*100)</f>
        <v>1.1920928955078125E-7</v>
      </c>
      <c r="AH34" s="44">
        <f ca="1">IF(controls!$B$33=1,(B35-B34*AC35-I35+D34*AD35+'main page'!$K$27*('main page'!$K$24+'main page'!$K$11))/'main page'!$K$31,(B35-B34*AC35+D34*AD35-H35+'main page'!$K$27*('main page'!$K$24+'main page'!$K$11))/'main page'!$K$31)</f>
        <v>1</v>
      </c>
      <c r="AI34" s="44">
        <f ca="1">IF(controls!$B$45=1,LOG(AM34,1.01)+LOG(AL34,1.01)-LOG(AK34,1.01),-((T34-('main page'!$K$24+'main page'!$K$11))/(1-'normal case'!$AV$3))+'normal case'!AH34)</f>
        <v>2.0000000596046448</v>
      </c>
      <c r="AJ34" s="80">
        <f t="shared" ca="1" si="2"/>
        <v>1.0506250015463039</v>
      </c>
      <c r="AK34" s="44">
        <f t="shared" ca="1" si="3"/>
        <v>1.811597694662775</v>
      </c>
      <c r="AL34" s="44">
        <f>AL33*(1+'main page'!$K$32/100)</f>
        <v>1</v>
      </c>
      <c r="AM34" s="44">
        <f ca="1">IF(ABS(IF(controls!$B$45=1,$AS$13,AK34*AJ34/AL34)-AM33)&lt;0.00001,AM33,IF(controls!$B$45=1,$AS$13,AK34*AJ34/AL34))</f>
        <v>1.9033098307563585</v>
      </c>
      <c r="AN34" s="44">
        <f>IF(controls!$B$46=0,0,IF(controls!$B$33=2,B35-B34*AC35-('normal case'!H35-D34*AD35-'main page'!$K$27*'normal case'!T34+'main page'!$K$31*'normal case'!AI34)-(('main page'!$K$25*'main page'!$U$13*'main page'!$K$29)/(1+('main page'!$K$25^2)*'main page'!$U$13))*('normal case'!L34-'main page'!$U$8),B35-B34*AC35-('normal case'!I35-D34*AD35-'main page'!$K$27*'normal case'!T34+'main page'!$K$31*'normal case'!AI34)-(('main page'!$K$25*'main page'!$U$13*'main page'!$K$29)/(1+('main page'!$K$25^2)*'main page'!$U$13))*('normal case'!L34-'main page'!$U$8)))</f>
        <v>0</v>
      </c>
      <c r="AU34" s="36"/>
      <c r="AV34" s="36"/>
    </row>
    <row r="35" spans="1:48">
      <c r="A35" s="43">
        <v>33</v>
      </c>
      <c r="B35" s="62">
        <f ca="1">IF(controls!$B$33=1,B34*(1+AC35)+AA35,B34*(1+AC35))</f>
        <v>101</v>
      </c>
      <c r="C35" s="67">
        <f t="shared" ca="1" si="4"/>
        <v>-1.5107707374006907E-7</v>
      </c>
      <c r="D35" s="64">
        <f t="shared" ca="1" si="0"/>
        <v>101.00000005960464</v>
      </c>
      <c r="E35" s="64">
        <f ca="1">AN34+IF(controls!$B$33=1,G35,F35)</f>
        <v>101.00000005960464</v>
      </c>
      <c r="F35" s="78">
        <f ca="1">IF(controls!$B$44=0,H35-'main page'!$K$27*T34,H35-'main page'!$K$27*T34+'main page'!$K$31*AI34)</f>
        <v>101.00000005960464</v>
      </c>
      <c r="G35" s="62">
        <f ca="1">IF(controls!$B$44=0,I35-'main page'!$K$27*T34,I35-'main page'!$K$27*T34+'main page'!$K$31*'normal case'!AI34)</f>
        <v>101.00000005960464</v>
      </c>
      <c r="H35" s="62">
        <f t="shared" ca="1" si="8"/>
        <v>108</v>
      </c>
      <c r="I35" s="62">
        <f t="shared" ca="1" si="9"/>
        <v>108</v>
      </c>
      <c r="L35" s="62">
        <f ca="1">IF(ABS('main page'!G39+'main page'!$K$29*L34+(1-'main page'!$K$29)*($AS$11/100)*100+'main page'!$K$25*(D35-B35)-L34)&lt;0.0000001,L34,'main page'!G39+'main page'!$K$29*L34+(1-'main page'!$K$29)*($AS$11/100)*100+'main page'!$K$25*(D35-B35))</f>
        <v>1.9999998807907104</v>
      </c>
      <c r="M35" s="409">
        <f t="shared" ca="1" si="5"/>
        <v>0</v>
      </c>
      <c r="N35" s="409">
        <f t="shared" ca="1" si="7"/>
        <v>5.9604644775390625E-8</v>
      </c>
      <c r="O35" s="409">
        <f ca="1">'main page'!G39+'main page'!$K$29*M34+(1-'main page'!$K$29)*($AQ$11/100)*100</f>
        <v>0</v>
      </c>
      <c r="P35" s="409">
        <f ca="1">'main page'!$K$25*(D35-B35)-M34</f>
        <v>5.9604644775390625E-8</v>
      </c>
      <c r="Q35" s="409">
        <f ca="1">(1-'main page'!$K$29)*($AS$11/100)*100+'main page'!$K$25*(D35-B35)</f>
        <v>5.9604644775390625E-8</v>
      </c>
      <c r="R35" s="409">
        <f ca="1">'main page'!G39+'main page'!$K$29*M34</f>
        <v>0</v>
      </c>
      <c r="S35" s="409">
        <f t="shared" ca="1" si="6"/>
        <v>5.9604644775390625E-8</v>
      </c>
      <c r="T35" s="79">
        <f ca="1">IF(controls!$B$10=1,T34,IF(SUM(controls!$B$44:$B$46)=2,U35-'main page'!$K$29*'normal case'!L35-(1-'main page'!$K$29)*'main page'!$K$32,U35-'main page'!$K$29*'normal case'!L35-(1-'main page'!$K$29)*controls!$B$9))</f>
        <v>3.4999999701976776</v>
      </c>
      <c r="U35" s="164">
        <f ca="1">IF(controls!$B$45=1,IF(controls!$B$46=1,'main page'!$K$24+'main page'!$K$11+'main page'!$U$8,'main page'!$K$24+'main page'!$K$11+'main page'!$K$32),IF(controls!$B$44=1,IF(V35&lt;0,0,V35),IF(V35+'main page'!$K$11&lt;0,0,V35+'main page'!$K$11)))</f>
        <v>5.4999998509883881</v>
      </c>
      <c r="V35" s="63">
        <f ca="1">IF(controls!$B$10=1,'normal case'!T35+'normal case'!L35,'normal case'!W35)</f>
        <v>5.4999998509883881</v>
      </c>
      <c r="W35" s="61">
        <f t="shared" ca="1" si="1"/>
        <v>5.4999998509883881</v>
      </c>
      <c r="X35" s="166">
        <f ca="1">IF(controls!$B$44=0,Y35+'main page'!$K$29*L35+(1-'main page'!$K$29)*controls!$B$9+(('main page'!$K$25*'main page'!$U$13*'main page'!$K$29)/('main page'!$K$27*(1+('main page'!$K$25^2)*'main page'!$U$13)))*(L35-controls!$B$9),Y35+'main page'!$K$29*L35+(1-'main page'!$K$29)*controls!$B$9+(('main page'!$K$25*'main page'!$U$13*'normal case'!$AV$3)/'normal case'!$AV$4)*('normal case'!L35-controls!$B$9))</f>
        <v>5.4999998509883881</v>
      </c>
      <c r="Y35" s="81">
        <f ca="1">IF(controls!$B$44=1,'main page'!$K$24+'main page'!$K$11,IF(controls!$B$33=1,((I36-D35*AD36-B36+B35*AC36)/'main page'!$K$27)-'main page'!$K$11,((H36-D35*AD36-B36+B35*AC36)/'main page'!$K$27)-'main page'!$K$11))</f>
        <v>3.5</v>
      </c>
      <c r="AA35" s="58">
        <f>IF(controls!$B$6=1,$AS$3*(1+('main page'!$K$35/100))^AB35-$AS$3*(1+('main page'!$K$35/100))^AB34,$AS$3*(1+('main page'!$G$8/100))*(1+('main page'!$K$35/100))^AB35-$AS$3*(1+('main page'!$G$8/100))*(1+('main page'!$K$35/100))^AB34)</f>
        <v>0</v>
      </c>
      <c r="AB35" s="60">
        <v>28</v>
      </c>
      <c r="AC35" s="125">
        <f ca="1">IF(controls!$B$4=1,IF(controls!$H34=1,controls!$B$34*AC34+RAND()*('main page'!$K$16/100)-RAND()*('main page'!$K$16/100),0),0)</f>
        <v>0</v>
      </c>
      <c r="AD35" s="36">
        <f ca="1">IF(controls!$B$4=1,IF(controls!$I34=1,controls!$B$34*AD34+RAND()*('main page'!$K$16/100)-RAND()*('main page'!$K$16/100),0),0)</f>
        <v>0</v>
      </c>
      <c r="AE35" s="44">
        <f ca="1">IF(controls!$B$33=1,D35-($I$3-'main page'!$K$27*2)*(1+('main page'!$K$35/100))^A34,D35-$AS$4)</f>
        <v>1.0000000596046448</v>
      </c>
      <c r="AF35" s="44">
        <f ca="1">ABS(L35-(controls!$B$9/100)*100)</f>
        <v>1.1920928955078125E-7</v>
      </c>
      <c r="AH35" s="44">
        <f ca="1">IF(controls!$B$33=1,(B36-B35*AC36-I36+D35*AD36+'main page'!$K$27*('main page'!$K$24+'main page'!$K$11))/'main page'!$K$31,(B36-B35*AC36+D35*AD36-H36+'main page'!$K$27*('main page'!$K$24+'main page'!$K$11))/'main page'!$K$31)</f>
        <v>1</v>
      </c>
      <c r="AI35" s="44">
        <f ca="1">IF(controls!$B$45=1,LOG(AM35,1.01)+LOG(AL35,1.01)-LOG(AK35,1.01),-((T35-('main page'!$K$24+'main page'!$K$11))/(1-'normal case'!$AV$3))+'normal case'!AH35)</f>
        <v>2.0000000596046448</v>
      </c>
      <c r="AJ35" s="80">
        <f t="shared" ca="1" si="2"/>
        <v>1.0506250015463039</v>
      </c>
      <c r="AK35" s="44">
        <f t="shared" ca="1" si="3"/>
        <v>1.8478296463964379</v>
      </c>
      <c r="AL35" s="44">
        <f>AL34*(1+'main page'!$K$32/100)</f>
        <v>1</v>
      </c>
      <c r="AM35" s="44">
        <f ca="1">IF(ABS(IF(controls!$B$45=1,$AS$13,AK35*AJ35/AL35)-AM34)&lt;0.00001,AM34,IF(controls!$B$45=1,$AS$13,AK35*AJ35/AL35))</f>
        <v>1.9413760251025638</v>
      </c>
      <c r="AN35" s="44">
        <f>IF(controls!$B$46=0,0,IF(controls!$B$33=2,B36-B35*AC36-('normal case'!H36-D35*AD36-'main page'!$K$27*'normal case'!T35+'main page'!$K$31*'normal case'!AI35)-(('main page'!$K$25*'main page'!$U$13*'main page'!$K$29)/(1+('main page'!$K$25^2)*'main page'!$U$13))*('normal case'!L35-'main page'!$U$8),B36-B35*AC36-('normal case'!I36-D35*AD36-'main page'!$K$27*'normal case'!T35+'main page'!$K$31*'normal case'!AI35)-(('main page'!$K$25*'main page'!$U$13*'main page'!$K$29)/(1+('main page'!$K$25^2)*'main page'!$U$13))*('normal case'!L35-'main page'!$U$8)))</f>
        <v>0</v>
      </c>
      <c r="AU35" s="36"/>
      <c r="AV35" s="36"/>
    </row>
    <row r="36" spans="1:48">
      <c r="A36" s="43">
        <v>34</v>
      </c>
      <c r="B36" s="62">
        <f ca="1">IF(controls!$B$33=1,B35*(1+AC36)+AA36,B35*(1+AC36))</f>
        <v>101</v>
      </c>
      <c r="C36" s="67">
        <f t="shared" ca="1" si="4"/>
        <v>-1.5107707374006907E-7</v>
      </c>
      <c r="D36" s="64">
        <f t="shared" ca="1" si="0"/>
        <v>101.00000005960464</v>
      </c>
      <c r="E36" s="64">
        <f ca="1">AN35+IF(controls!$B$33=1,G36,F36)</f>
        <v>101.00000005960464</v>
      </c>
      <c r="F36" s="78">
        <f ca="1">IF(controls!$B$44=0,H36-'main page'!$K$27*T35,H36-'main page'!$K$27*T35+'main page'!$K$31*AI35)</f>
        <v>101.00000005960464</v>
      </c>
      <c r="G36" s="62">
        <f ca="1">IF(controls!$B$44=0,I36-'main page'!$K$27*T35,I36-'main page'!$K$27*T35+'main page'!$K$31*'normal case'!AI35)</f>
        <v>101.00000005960464</v>
      </c>
      <c r="H36" s="62">
        <f t="shared" ca="1" si="8"/>
        <v>108</v>
      </c>
      <c r="I36" s="62">
        <f t="shared" ca="1" si="9"/>
        <v>108</v>
      </c>
      <c r="L36" s="62">
        <f ca="1">IF(ABS('main page'!G40+'main page'!$K$29*L35+(1-'main page'!$K$29)*($AS$11/100)*100+'main page'!$K$25*(D36-B36)-L35)&lt;0.0000001,L35,'main page'!G40+'main page'!$K$29*L35+(1-'main page'!$K$29)*($AS$11/100)*100+'main page'!$K$25*(D36-B36))</f>
        <v>1.9999998807907104</v>
      </c>
      <c r="M36" s="409">
        <f t="shared" ca="1" si="5"/>
        <v>0</v>
      </c>
      <c r="N36" s="409">
        <f t="shared" ca="1" si="7"/>
        <v>5.9604644775390625E-8</v>
      </c>
      <c r="O36" s="409">
        <f ca="1">'main page'!G40+'main page'!$K$29*M35+(1-'main page'!$K$29)*($AQ$11/100)*100</f>
        <v>0</v>
      </c>
      <c r="P36" s="409">
        <f ca="1">'main page'!$K$25*(D36-B36)-M35</f>
        <v>5.9604644775390625E-8</v>
      </c>
      <c r="Q36" s="409">
        <f ca="1">(1-'main page'!$K$29)*($AS$11/100)*100+'main page'!$K$25*(D36-B36)</f>
        <v>5.9604644775390625E-8</v>
      </c>
      <c r="R36" s="409">
        <f ca="1">'main page'!G40+'main page'!$K$29*M35</f>
        <v>0</v>
      </c>
      <c r="S36" s="409">
        <f t="shared" ca="1" si="6"/>
        <v>5.9604644775390625E-8</v>
      </c>
      <c r="T36" s="79">
        <f ca="1">IF(controls!$B$10=1,T35,IF(SUM(controls!$B$44:$B$46)=2,U36-'main page'!$K$29*'normal case'!L36-(1-'main page'!$K$29)*'main page'!$K$32,U36-'main page'!$K$29*'normal case'!L36-(1-'main page'!$K$29)*controls!$B$9))</f>
        <v>3.4999999701976776</v>
      </c>
      <c r="U36" s="164">
        <f ca="1">IF(controls!$B$45=1,IF(controls!$B$46=1,'main page'!$K$24+'main page'!$K$11+'main page'!$U$8,'main page'!$K$24+'main page'!$K$11+'main page'!$K$32),IF(controls!$B$44=1,IF(V36&lt;0,0,V36),IF(V36+'main page'!$K$11&lt;0,0,V36+'main page'!$K$11)))</f>
        <v>5.4999998509883881</v>
      </c>
      <c r="V36" s="63">
        <f ca="1">IF(controls!$B$10=1,'normal case'!T36+'normal case'!L36,'normal case'!W36)</f>
        <v>5.4999998509883881</v>
      </c>
      <c r="W36" s="61">
        <f t="shared" ca="1" si="1"/>
        <v>5.4999998509883881</v>
      </c>
      <c r="X36" s="166">
        <f ca="1">IF(controls!$B$44=0,Y36+'main page'!$K$29*L36+(1-'main page'!$K$29)*controls!$B$9+(('main page'!$K$25*'main page'!$U$13*'main page'!$K$29)/('main page'!$K$27*(1+('main page'!$K$25^2)*'main page'!$U$13)))*(L36-controls!$B$9),Y36+'main page'!$K$29*L36+(1-'main page'!$K$29)*controls!$B$9+(('main page'!$K$25*'main page'!$U$13*'normal case'!$AV$3)/'normal case'!$AV$4)*('normal case'!L36-controls!$B$9))</f>
        <v>5.4999998509883881</v>
      </c>
      <c r="Y36" s="81">
        <f ca="1">IF(controls!$B$44=1,'main page'!$K$24+'main page'!$K$11,IF(controls!$B$33=1,((I37-D36*AD37-B37+B36*AC37)/'main page'!$K$27)-'main page'!$K$11,((H37-D36*AD37-B37+B36*AC37)/'main page'!$K$27)-'main page'!$K$11))</f>
        <v>3.5</v>
      </c>
      <c r="AA36" s="58">
        <f>IF(controls!$B$6=1,$AS$3*(1+('main page'!$K$35/100))^AB36-$AS$3*(1+('main page'!$K$35/100))^AB35,$AS$3*(1+('main page'!$G$8/100))*(1+('main page'!$K$35/100))^AB36-$AS$3*(1+('main page'!$G$8/100))*(1+('main page'!$K$35/100))^AB35)</f>
        <v>0</v>
      </c>
      <c r="AB36" s="60">
        <v>29</v>
      </c>
      <c r="AC36" s="125">
        <v>0</v>
      </c>
      <c r="AD36" s="36">
        <v>0</v>
      </c>
      <c r="AE36" s="44">
        <f ca="1">IF(controls!$B$33=1,D36-($I$3-'main page'!$K$27*2)*(1+('main page'!$K$35/100))^A35,D36-$AS$4)</f>
        <v>1.0000000596046448</v>
      </c>
      <c r="AF36" s="44">
        <f ca="1">ABS(L36-(controls!$B$9/100)*100)</f>
        <v>1.1920928955078125E-7</v>
      </c>
      <c r="AH36" s="44">
        <f ca="1">IF(controls!$B$33=1,(B37-B36*AC37-I37+D36*AD37+'main page'!$K$27*('main page'!$K$24+'main page'!$K$11))/'main page'!$K$31,(B37-B36*AC37+D36*AD37-H37+'main page'!$K$27*('main page'!$K$24+'main page'!$K$11))/'main page'!$K$31)</f>
        <v>1</v>
      </c>
      <c r="AI36" s="44">
        <f ca="1">IF(controls!$B$45=1,LOG(AM36,1.01)+LOG(AL36,1.01)-LOG(AK36,1.01),-((T36-('main page'!$K$24+'main page'!$K$11))/(1-'normal case'!$AV$3))+'normal case'!AH36)</f>
        <v>2.0000000596046448</v>
      </c>
      <c r="AJ36" s="80">
        <f t="shared" ca="1" si="2"/>
        <v>1.0506250015463039</v>
      </c>
      <c r="AK36" s="44">
        <f t="shared" ca="1" si="3"/>
        <v>1.8847862371215822</v>
      </c>
      <c r="AL36" s="44">
        <f>AL35*(1+'main page'!$K$32/100)</f>
        <v>1</v>
      </c>
      <c r="AM36" s="44">
        <f ca="1">IF(ABS(IF(controls!$B$45=1,$AS$13,AK36*AJ36/AL36)-AM35)&lt;0.00001,AM35,IF(controls!$B$45=1,$AS$13,AK36*AJ36/AL36))</f>
        <v>1.9802035432903147</v>
      </c>
      <c r="AN36" s="44">
        <f>IF(controls!$B$46=0,0,IF(controls!$B$33=2,B37-B36*AC37-('normal case'!H37-D36*AD37-'main page'!$K$27*'normal case'!T36+'main page'!$K$31*'normal case'!AI36)-(('main page'!$K$25*'main page'!$U$13*'main page'!$K$29)/(1+('main page'!$K$25^2)*'main page'!$U$13))*('normal case'!L36-'main page'!$U$8),B37-B36*AC37-('normal case'!I37-D36*AD37-'main page'!$K$27*'normal case'!T36+'main page'!$K$31*'normal case'!AI36)-(('main page'!$K$25*'main page'!$U$13*'main page'!$K$29)/(1+('main page'!$K$25^2)*'main page'!$U$13))*('normal case'!L36-'main page'!$U$8)))</f>
        <v>0</v>
      </c>
      <c r="AU36" s="36"/>
      <c r="AV36" s="36"/>
    </row>
    <row r="37" spans="1:48">
      <c r="A37" s="43">
        <v>35</v>
      </c>
      <c r="B37" s="62">
        <f ca="1">IF(controls!$B$33=1,B36*(1+AC37)+AA37,B36*(1+AC37))</f>
        <v>101</v>
      </c>
      <c r="C37" s="67">
        <f t="shared" ca="1" si="4"/>
        <v>-1.5107707374006907E-7</v>
      </c>
      <c r="D37" s="64">
        <f t="shared" ca="1" si="0"/>
        <v>101.00000005960464</v>
      </c>
      <c r="E37" s="64">
        <f ca="1">AN36+IF(controls!$B$33=1,G37,F37)</f>
        <v>101.00000005960464</v>
      </c>
      <c r="F37" s="78">
        <f ca="1">IF(controls!$B$44=0,H37-'main page'!$K$27*T36,H37-'main page'!$K$27*T36+'main page'!$K$31*AI36)</f>
        <v>101.00000005960464</v>
      </c>
      <c r="G37" s="62">
        <f ca="1">IF(controls!$B$44=0,I37-'main page'!$K$27*T36,I37-'main page'!$K$27*T36+'main page'!$K$31*'normal case'!AI36)</f>
        <v>101.00000005960464</v>
      </c>
      <c r="H37" s="62">
        <f t="shared" ca="1" si="8"/>
        <v>108</v>
      </c>
      <c r="I37" s="62">
        <f t="shared" ca="1" si="9"/>
        <v>108</v>
      </c>
      <c r="L37" s="62">
        <f ca="1">IF(ABS('main page'!G41+'main page'!$K$29*L36+(1-'main page'!$K$29)*($AS$11/100)*100+'main page'!$K$25*(D37-B37)-L36)&lt;0.0000001,L36,'main page'!G41+'main page'!$K$29*L36+(1-'main page'!$K$29)*($AS$11/100)*100+'main page'!$K$25*(D37-B37))</f>
        <v>1.9999998807907104</v>
      </c>
      <c r="M37" s="409">
        <f t="shared" ca="1" si="5"/>
        <v>0</v>
      </c>
      <c r="N37" s="409">
        <f t="shared" ca="1" si="7"/>
        <v>5.9604644775390625E-8</v>
      </c>
      <c r="O37" s="409">
        <f ca="1">'main page'!G41+'main page'!$K$29*M36+(1-'main page'!$K$29)*($AQ$11/100)*100</f>
        <v>0</v>
      </c>
      <c r="P37" s="409">
        <f ca="1">'main page'!$K$25*(D37-B37)-M36</f>
        <v>5.9604644775390625E-8</v>
      </c>
      <c r="Q37" s="409">
        <f ca="1">(1-'main page'!$K$29)*($AS$11/100)*100+'main page'!$K$25*(D37-B37)</f>
        <v>5.9604644775390625E-8</v>
      </c>
      <c r="R37" s="409">
        <f ca="1">'main page'!G41+'main page'!$K$29*M36</f>
        <v>0</v>
      </c>
      <c r="S37" s="409">
        <f t="shared" ca="1" si="6"/>
        <v>5.9604644775390625E-8</v>
      </c>
      <c r="T37" s="79">
        <f ca="1">IF(controls!$B$10=1,T36,IF(SUM(controls!$B$44:$B$46)=2,U37-'main page'!$K$29*'normal case'!L37-(1-'main page'!$K$29)*'main page'!$K$32,U37-'main page'!$K$29*'normal case'!L37-(1-'main page'!$K$29)*controls!$B$9))</f>
        <v>3.4999999701976776</v>
      </c>
      <c r="U37" s="164">
        <f ca="1">IF(controls!$B$45=1,IF(controls!$B$46=1,'main page'!$K$24+'main page'!$K$11+'main page'!$U$8,'main page'!$K$24+'main page'!$K$11+'main page'!$K$32),IF(controls!$B$44=1,IF(V37&lt;0,0,V37),IF(V37+'main page'!$K$11&lt;0,0,V37+'main page'!$K$11)))</f>
        <v>5.4999998509883881</v>
      </c>
      <c r="V37" s="63">
        <f ca="1">IF(controls!$B$10=1,'normal case'!T37+'normal case'!L37,'normal case'!W37)</f>
        <v>5.4999998509883881</v>
      </c>
      <c r="W37" s="61">
        <f t="shared" ca="1" si="1"/>
        <v>5.4999998509883881</v>
      </c>
      <c r="X37" s="166">
        <f ca="1">IF(controls!$B$44=0,Y37+'main page'!$K$29*L37+(1-'main page'!$K$29)*controls!$B$9+(('main page'!$K$25*'main page'!$U$13*'main page'!$K$29)/('main page'!$K$27*(1+('main page'!$K$25^2)*'main page'!$U$13)))*(L37-controls!$B$9),Y37+'main page'!$K$29*L37+(1-'main page'!$K$29)*controls!$B$9+(('main page'!$K$25*'main page'!$U$13*'normal case'!$AV$3)/'normal case'!$AV$4)*('normal case'!L37-controls!$B$9))</f>
        <v>5.4999998509883881</v>
      </c>
      <c r="Y37" s="81">
        <f ca="1">IF(controls!$B$44=1,'main page'!$K$24+'main page'!$K$11,IF(controls!$B$33=1,((I38-D37*AD38-B38+B37*AC38)/'main page'!$K$27)-'main page'!$K$11,((H38-D37*AD38-B38+B37*AC38)/'main page'!$K$27)-'main page'!$K$11))</f>
        <v>3.5</v>
      </c>
      <c r="AA37" s="58">
        <f>IF(controls!$B$6=1,$AS$3*(1+('main page'!$K$35/100))^AB37-$AS$3*(1+('main page'!$K$35/100))^AB36,$AS$3*(1+('main page'!$G$8/100))*(1+('main page'!$K$35/100))^AB37-$AS$3*(1+('main page'!$G$8/100))*(1+('main page'!$K$35/100))^AB36)</f>
        <v>0</v>
      </c>
      <c r="AB37" s="60">
        <v>30</v>
      </c>
      <c r="AC37" s="125">
        <v>0</v>
      </c>
      <c r="AD37" s="36">
        <v>0</v>
      </c>
      <c r="AE37" s="44">
        <f ca="1">IF(controls!$B$33=1,D37-($I$3-'main page'!$K$27*2)*(1+('main page'!$K$35/100))^A36,D37-$AS$4)</f>
        <v>1.0000000596046448</v>
      </c>
      <c r="AF37" s="44">
        <f ca="1">ABS(L37-(controls!$B$9/100)*100)</f>
        <v>1.1920928955078125E-7</v>
      </c>
      <c r="AH37" s="44">
        <f ca="1">IF(controls!$B$33=1,(B38-B37*AC38-I38+D37*AD38+'main page'!$K$27*('main page'!$K$24+'main page'!$K$11))/'main page'!$K$31,(B38-B37*AC38+D37*AD38-H38+'main page'!$K$27*('main page'!$K$24+'main page'!$K$11))/'main page'!$K$31)</f>
        <v>1</v>
      </c>
      <c r="AI37" s="44">
        <f ca="1">IF(controls!$B$45=1,LOG(AM37,1.01)+LOG(AL37,1.01)-LOG(AK37,1.01),-((T37-('main page'!$K$24+'main page'!$K$11))/(1-'normal case'!$AV$3))+'normal case'!AH37)</f>
        <v>2.0000000596046448</v>
      </c>
      <c r="AJ37" s="80">
        <f t="shared" ca="1" si="2"/>
        <v>1.0506250015463039</v>
      </c>
      <c r="AK37" s="44">
        <f t="shared" ca="1" si="3"/>
        <v>1.9224819596171736</v>
      </c>
      <c r="AL37" s="44">
        <f>AL36*(1+'main page'!$K$32/100)</f>
        <v>1</v>
      </c>
      <c r="AM37" s="44">
        <f ca="1">IF(ABS(IF(controls!$B$45=1,$AS$13,AK37*AJ37/AL37)-AM36)&lt;0.00001,AM36,IF(controls!$B$45=1,$AS$13,AK37*AJ37/AL37))</f>
        <v>2.0198076117955344</v>
      </c>
      <c r="AN37" s="44">
        <f>IF(controls!$B$46=0,0,IF(controls!$B$33=2,B38-B37*AC38-('normal case'!H38-D37*AD38-'main page'!$K$27*'normal case'!T37+'main page'!$K$31*'normal case'!AI37)-(('main page'!$K$25*'main page'!$U$13*'main page'!$K$29)/(1+('main page'!$K$25^2)*'main page'!$U$13))*('normal case'!L37-'main page'!$U$8),B38-B37*AC38-('normal case'!I38-D37*AD38-'main page'!$K$27*'normal case'!T37+'main page'!$K$31*'normal case'!AI37)-(('main page'!$K$25*'main page'!$U$13*'main page'!$K$29)/(1+('main page'!$K$25^2)*'main page'!$U$13))*('normal case'!L37-'main page'!$U$8)))</f>
        <v>0</v>
      </c>
      <c r="AU37" s="36"/>
      <c r="AV37" s="36"/>
    </row>
    <row r="38" spans="1:48">
      <c r="A38" s="43">
        <v>36</v>
      </c>
      <c r="B38" s="62">
        <f ca="1">IF(controls!$B$33=1,B37*(1+AC38)+AA38,B37*(1+AC38))</f>
        <v>101</v>
      </c>
      <c r="C38" s="67">
        <f t="shared" ca="1" si="4"/>
        <v>-1.5107707374006907E-7</v>
      </c>
      <c r="D38" s="64">
        <f t="shared" ca="1" si="0"/>
        <v>101.00000005960464</v>
      </c>
      <c r="E38" s="64">
        <f ca="1">AN37+IF(controls!$B$33=1,G38,F38)</f>
        <v>101.00000005960464</v>
      </c>
      <c r="F38" s="78">
        <f ca="1">IF(controls!$B$44=0,H38-'main page'!$K$27*T37,H38-'main page'!$K$27*T37+'main page'!$K$31*AI37)</f>
        <v>101.00000005960464</v>
      </c>
      <c r="G38" s="62">
        <f ca="1">IF(controls!$B$44=0,I38-'main page'!$K$27*T37,I38-'main page'!$K$27*T37+'main page'!$K$31*'normal case'!AI37)</f>
        <v>101.00000005960464</v>
      </c>
      <c r="H38" s="62">
        <f t="shared" ca="1" si="8"/>
        <v>108</v>
      </c>
      <c r="I38" s="62">
        <f t="shared" ca="1" si="9"/>
        <v>108</v>
      </c>
      <c r="L38" s="62">
        <f ca="1">IF(ABS('main page'!G42+'main page'!$K$29*L37+(1-'main page'!$K$29)*($AS$11/100)*100+'main page'!$K$25*(D38-B38)-L37)&lt;0.0000001,L37,'main page'!G42+'main page'!$K$29*L37+(1-'main page'!$K$29)*($AS$11/100)*100+'main page'!$K$25*(D38-B38))</f>
        <v>1.9999998807907104</v>
      </c>
      <c r="M38" s="409">
        <f t="shared" ca="1" si="5"/>
        <v>0</v>
      </c>
      <c r="N38" s="409">
        <f t="shared" ca="1" si="7"/>
        <v>5.9604644775390625E-8</v>
      </c>
      <c r="O38" s="409">
        <f ca="1">'main page'!G42+'main page'!$K$29*M37+(1-'main page'!$K$29)*($AQ$11/100)*100</f>
        <v>0</v>
      </c>
      <c r="P38" s="409">
        <f ca="1">'main page'!$K$25*(D38-B38)-M37</f>
        <v>5.9604644775390625E-8</v>
      </c>
      <c r="Q38" s="409">
        <f ca="1">(1-'main page'!$K$29)*($AS$11/100)*100+'main page'!$K$25*(D38-B38)</f>
        <v>5.9604644775390625E-8</v>
      </c>
      <c r="R38" s="409">
        <f ca="1">'main page'!G42+'main page'!$K$29*M37</f>
        <v>0</v>
      </c>
      <c r="S38" s="409">
        <f t="shared" ca="1" si="6"/>
        <v>5.9604644775390625E-8</v>
      </c>
      <c r="T38" s="79">
        <f ca="1">IF(controls!$B$10=1,T37,IF(SUM(controls!$B$44:$B$46)=2,U38-'main page'!$K$29*'normal case'!L38-(1-'main page'!$K$29)*'main page'!$K$32,U38-'main page'!$K$29*'normal case'!L38-(1-'main page'!$K$29)*controls!$B$9))</f>
        <v>3.4999999701976776</v>
      </c>
      <c r="U38" s="164">
        <f ca="1">IF(controls!$B$45=1,IF(controls!$B$46=1,'main page'!$K$24+'main page'!$K$11+'main page'!$U$8,'main page'!$K$24+'main page'!$K$11+'main page'!$K$32),IF(controls!$B$44=1,IF(V38&lt;0,0,V38),IF(V38+'main page'!$K$11&lt;0,0,V38+'main page'!$K$11)))</f>
        <v>5.4999998509883881</v>
      </c>
      <c r="V38" s="63">
        <f ca="1">IF(controls!$B$10=1,'normal case'!T38+'normal case'!L38,'normal case'!W38)</f>
        <v>5.4999998509883881</v>
      </c>
      <c r="W38" s="61">
        <f t="shared" ca="1" si="1"/>
        <v>5.4999998509883881</v>
      </c>
      <c r="X38" s="166">
        <f ca="1">IF(controls!$B$44=0,Y38+'main page'!$K$29*L38+(1-'main page'!$K$29)*controls!$B$9+(('main page'!$K$25*'main page'!$U$13*'main page'!$K$29)/('main page'!$K$27*(1+('main page'!$K$25^2)*'main page'!$U$13)))*(L38-controls!$B$9),Y38+'main page'!$K$29*L38+(1-'main page'!$K$29)*controls!$B$9+(('main page'!$K$25*'main page'!$U$13*'normal case'!$AV$3)/'normal case'!$AV$4)*('normal case'!L38-controls!$B$9))</f>
        <v>5.4999998509883881</v>
      </c>
      <c r="Y38" s="81">
        <f ca="1">IF(controls!$B$44=1,'main page'!$K$24+'main page'!$K$11,IF(controls!$B$33=1,((I39-D38*AD39-B39+B38*AC39)/'main page'!$K$27)-'main page'!$K$11,((H39-D38*AD39-B39+B38*AC39)/'main page'!$K$27)-'main page'!$K$11))</f>
        <v>3.5</v>
      </c>
      <c r="AA38" s="58">
        <f>IF(controls!$B$6=1,$AS$3*(1+('main page'!$K$35/100))^AB38-$AS$3*(1+('main page'!$K$35/100))^AB37,$AS$3*(1+('main page'!$G$8/100))*(1+('main page'!$K$35/100))^AB38-$AS$3*(1+('main page'!$G$8/100))*(1+('main page'!$K$35/100))^AB37)</f>
        <v>0</v>
      </c>
      <c r="AB38" s="60">
        <v>31</v>
      </c>
      <c r="AC38" s="125">
        <f ca="1">IF(controls!$B$4=1,IF(controls!$H37=1,controls!$B$34*AC37+RAND()*('main page'!$K$16/100)-RAND()*('main page'!$K$16/100),0),0)</f>
        <v>0</v>
      </c>
      <c r="AD38" s="36">
        <f ca="1">IF(controls!$B$4=1,IF(controls!$I37=1,controls!$B$34*AD37+RAND()*('main page'!$K$16/100)-RAND()*('main page'!$K$16/100),0),0)</f>
        <v>0</v>
      </c>
      <c r="AE38" s="44">
        <f ca="1">IF(controls!$B$33=1,D38-($I$3-'main page'!$K$27*2)*(1+('main page'!$K$35/100))^A37,D38-$AS$4)</f>
        <v>1.0000000596046448</v>
      </c>
      <c r="AF38" s="44">
        <f ca="1">ABS(L38-(controls!$B$9/100)*100)</f>
        <v>1.1920928955078125E-7</v>
      </c>
      <c r="AH38" s="44">
        <f ca="1">IF(controls!$B$33=1,(B39-B38*AC39-I39+D38*AD39+'main page'!$K$27*('main page'!$K$24+'main page'!$K$11))/'main page'!$K$31,(B39-B38*AC39+D38*AD39-H39+'main page'!$K$27*('main page'!$K$24+'main page'!$K$11))/'main page'!$K$31)</f>
        <v>1</v>
      </c>
      <c r="AI38" s="44">
        <f ca="1">IF(controls!$B$45=1,LOG(AM38,1.01)+LOG(AL38,1.01)-LOG(AK38,1.01),-((T38-('main page'!$K$24+'main page'!$K$11))/(1-'normal case'!$AV$3))+'normal case'!AH38)</f>
        <v>2.0000000596046448</v>
      </c>
      <c r="AJ38" s="80">
        <f t="shared" ca="1" si="2"/>
        <v>1.0506250015463039</v>
      </c>
      <c r="AK38" s="44">
        <f t="shared" ca="1" si="3"/>
        <v>1.9609315965177401</v>
      </c>
      <c r="AL38" s="44">
        <f>AL37*(1+'main page'!$K$32/100)</f>
        <v>1</v>
      </c>
      <c r="AM38" s="44">
        <f ca="1">IF(ABS(IF(controls!$B$45=1,$AS$13,AK38*AJ38/AL38)-AM37)&lt;0.00001,AM37,IF(controls!$B$45=1,$AS$13,AK38*AJ38/AL38))</f>
        <v>2.0602037616236468</v>
      </c>
      <c r="AN38" s="44">
        <f>IF(controls!$B$46=0,0,IF(controls!$B$33=2,B39-B38*AC39-('normal case'!H39-D38*AD39-'main page'!$K$27*'normal case'!T38+'main page'!$K$31*'normal case'!AI38)-(('main page'!$K$25*'main page'!$U$13*'main page'!$K$29)/(1+('main page'!$K$25^2)*'main page'!$U$13))*('normal case'!L38-'main page'!$U$8),B39-B38*AC39-('normal case'!I39-D38*AD39-'main page'!$K$27*'normal case'!T38+'main page'!$K$31*'normal case'!AI38)-(('main page'!$K$25*'main page'!$U$13*'main page'!$K$29)/(1+('main page'!$K$25^2)*'main page'!$U$13))*('normal case'!L38-'main page'!$U$8)))</f>
        <v>0</v>
      </c>
      <c r="AU38" s="36"/>
      <c r="AV38" s="36"/>
    </row>
    <row r="39" spans="1:48">
      <c r="A39" s="43">
        <v>37</v>
      </c>
      <c r="B39" s="62">
        <f ca="1">IF(controls!$B$33=1,B38*(1+AC39)+AA39,B38*(1+AC39))</f>
        <v>101</v>
      </c>
      <c r="C39" s="67">
        <f t="shared" ca="1" si="4"/>
        <v>-1.5107707374006907E-7</v>
      </c>
      <c r="D39" s="64">
        <f t="shared" ca="1" si="0"/>
        <v>101.00000005960464</v>
      </c>
      <c r="E39" s="64">
        <f ca="1">AN38+IF(controls!$B$33=1,G39,F39)</f>
        <v>101.00000005960464</v>
      </c>
      <c r="F39" s="78">
        <f ca="1">IF(controls!$B$44=0,H39-'main page'!$K$27*T38,H39-'main page'!$K$27*T38+'main page'!$K$31*AI38)</f>
        <v>101.00000005960464</v>
      </c>
      <c r="G39" s="62">
        <f ca="1">IF(controls!$B$44=0,I39-'main page'!$K$27*T38,I39-'main page'!$K$27*T38+'main page'!$K$31*'normal case'!AI38)</f>
        <v>101.00000005960464</v>
      </c>
      <c r="H39" s="62">
        <f t="shared" ca="1" si="8"/>
        <v>108</v>
      </c>
      <c r="I39" s="62">
        <f t="shared" ca="1" si="9"/>
        <v>108</v>
      </c>
      <c r="L39" s="62">
        <f ca="1">IF(ABS('main page'!G43+'main page'!$K$29*L38+(1-'main page'!$K$29)*($AS$11/100)*100+'main page'!$K$25*(D39-B39)-L38)&lt;0.0000001,L38,'main page'!G43+'main page'!$K$29*L38+(1-'main page'!$K$29)*($AS$11/100)*100+'main page'!$K$25*(D39-B39))</f>
        <v>1.9999998807907104</v>
      </c>
      <c r="M39" s="409">
        <f t="shared" ca="1" si="5"/>
        <v>0</v>
      </c>
      <c r="N39" s="409">
        <f t="shared" ca="1" si="7"/>
        <v>5.9604644775390625E-8</v>
      </c>
      <c r="O39" s="409">
        <f ca="1">'main page'!G43+'main page'!$K$29*M38+(1-'main page'!$K$29)*($AQ$11/100)*100</f>
        <v>0</v>
      </c>
      <c r="P39" s="409">
        <f ca="1">'main page'!$K$25*(D39-B39)-M38</f>
        <v>5.9604644775390625E-8</v>
      </c>
      <c r="Q39" s="409">
        <f ca="1">(1-'main page'!$K$29)*($AS$11/100)*100+'main page'!$K$25*(D39-B39)</f>
        <v>5.9604644775390625E-8</v>
      </c>
      <c r="R39" s="409">
        <f ca="1">'main page'!G43+'main page'!$K$29*M38</f>
        <v>0</v>
      </c>
      <c r="S39" s="409">
        <f t="shared" ca="1" si="6"/>
        <v>5.9604644775390625E-8</v>
      </c>
      <c r="T39" s="79">
        <f ca="1">IF(controls!$B$10=1,T38,IF(SUM(controls!$B$44:$B$46)=2,U39-'main page'!$K$29*'normal case'!L39-(1-'main page'!$K$29)*'main page'!$K$32,U39-'main page'!$K$29*'normal case'!L39-(1-'main page'!$K$29)*controls!$B$9))</f>
        <v>3.4999999701976776</v>
      </c>
      <c r="U39" s="164">
        <f ca="1">IF(controls!$B$45=1,IF(controls!$B$46=1,'main page'!$K$24+'main page'!$K$11+'main page'!$U$8,'main page'!$K$24+'main page'!$K$11+'main page'!$K$32),IF(controls!$B$44=1,IF(V39&lt;0,0,V39),IF(V39+'main page'!$K$11&lt;0,0,V39+'main page'!$K$11)))</f>
        <v>5.4999998509883881</v>
      </c>
      <c r="V39" s="63">
        <f ca="1">IF(controls!$B$10=1,'normal case'!T39+'normal case'!L39,'normal case'!W39)</f>
        <v>5.4999998509883881</v>
      </c>
      <c r="W39" s="61">
        <f t="shared" ca="1" si="1"/>
        <v>5.4999998509883881</v>
      </c>
      <c r="X39" s="166">
        <f ca="1">IF(controls!$B$44=0,Y39+'main page'!$K$29*L39+(1-'main page'!$K$29)*controls!$B$9+(('main page'!$K$25*'main page'!$U$13*'main page'!$K$29)/('main page'!$K$27*(1+('main page'!$K$25^2)*'main page'!$U$13)))*(L39-controls!$B$9),Y39+'main page'!$K$29*L39+(1-'main page'!$K$29)*controls!$B$9+(('main page'!$K$25*'main page'!$U$13*'normal case'!$AV$3)/'normal case'!$AV$4)*('normal case'!L39-controls!$B$9))</f>
        <v>5.4999998509883881</v>
      </c>
      <c r="Y39" s="81">
        <f ca="1">IF(controls!$B$44=1,'main page'!$K$24+'main page'!$K$11,IF(controls!$B$33=1,((I40-D39*AD40-B40+B39*AC40)/'main page'!$K$27)-'main page'!$K$11,((H40-D39*AD40-B40+B39*AC40)/'main page'!$K$27)-'main page'!$K$11))</f>
        <v>3.5</v>
      </c>
      <c r="AA39" s="58">
        <f>IF(controls!$B$6=1,$AS$3*(1+('main page'!$K$35/100))^AB39-$AS$3*(1+('main page'!$K$35/100))^AB38,$AS$3*(1+('main page'!$G$8/100))*(1+('main page'!$K$35/100))^AB39-$AS$3*(1+('main page'!$G$8/100))*(1+('main page'!$K$35/100))^AB38)</f>
        <v>0</v>
      </c>
      <c r="AB39" s="60">
        <v>32</v>
      </c>
      <c r="AC39" s="125">
        <v>0</v>
      </c>
      <c r="AD39" s="36">
        <v>0</v>
      </c>
      <c r="AE39" s="44">
        <f ca="1">IF(controls!$B$33=1,D39-($I$3-'main page'!$K$27*2)*(1+('main page'!$K$35/100))^A38,D39-$AS$4)</f>
        <v>1.0000000596046448</v>
      </c>
      <c r="AF39" s="44">
        <f ca="1">ABS(L39-(controls!$B$9/100)*100)</f>
        <v>1.1920928955078125E-7</v>
      </c>
      <c r="AH39" s="44">
        <f ca="1">IF(controls!$B$33=1,(B40-B39*AC40-I40+D39*AD40+'main page'!$K$27*('main page'!$K$24+'main page'!$K$11))/'main page'!$K$31,(B40-B39*AC40+D39*AD40-H40+'main page'!$K$27*('main page'!$K$24+'main page'!$K$11))/'main page'!$K$31)</f>
        <v>1</v>
      </c>
      <c r="AI39" s="44">
        <f ca="1">IF(controls!$B$45=1,LOG(AM39,1.01)+LOG(AL39,1.01)-LOG(AK39,1.01),-((T39-('main page'!$K$24+'main page'!$K$11))/(1-'normal case'!$AV$3))+'normal case'!AH39)</f>
        <v>2.0000000596046448</v>
      </c>
      <c r="AJ39" s="80">
        <f t="shared" ca="1" si="2"/>
        <v>1.0506250015463039</v>
      </c>
      <c r="AK39" s="44">
        <f t="shared" ca="1" si="3"/>
        <v>2.0001502261104824</v>
      </c>
      <c r="AL39" s="44">
        <f>AL38*(1+'main page'!$K$32/100)</f>
        <v>1</v>
      </c>
      <c r="AM39" s="44">
        <f ca="1">IF(ABS(IF(controls!$B$45=1,$AS$13,AK39*AJ39/AL39)-AM38)&lt;0.00001,AM38,IF(controls!$B$45=1,$AS$13,AK39*AJ39/AL39))</f>
        <v>2.1014078344001659</v>
      </c>
      <c r="AN39" s="44">
        <f>IF(controls!$B$46=0,0,IF(controls!$B$33=2,B40-B39*AC40-('normal case'!H40-D39*AD40-'main page'!$K$27*'normal case'!T39+'main page'!$K$31*'normal case'!AI39)-(('main page'!$K$25*'main page'!$U$13*'main page'!$K$29)/(1+('main page'!$K$25^2)*'main page'!$U$13))*('normal case'!L39-'main page'!$U$8),B40-B39*AC40-('normal case'!I40-D39*AD40-'main page'!$K$27*'normal case'!T39+'main page'!$K$31*'normal case'!AI39)-(('main page'!$K$25*'main page'!$U$13*'main page'!$K$29)/(1+('main page'!$K$25^2)*'main page'!$U$13))*('normal case'!L39-'main page'!$U$8)))</f>
        <v>0</v>
      </c>
      <c r="AU39" s="36"/>
      <c r="AV39" s="36"/>
    </row>
    <row r="40" spans="1:48">
      <c r="A40" s="43">
        <v>38</v>
      </c>
      <c r="B40" s="62">
        <f ca="1">IF(controls!$B$33=1,B39*(1+AC40)+AA40,B39*(1+AC40))</f>
        <v>101</v>
      </c>
      <c r="C40" s="67">
        <f t="shared" ca="1" si="4"/>
        <v>-1.5107707374006907E-7</v>
      </c>
      <c r="D40" s="64">
        <f t="shared" ca="1" si="0"/>
        <v>101.00000005960464</v>
      </c>
      <c r="E40" s="64">
        <f ca="1">AN39+IF(controls!$B$33=1,G40,F40)</f>
        <v>101.00000005960464</v>
      </c>
      <c r="F40" s="78">
        <f ca="1">IF(controls!$B$44=0,H40-'main page'!$K$27*T39,H40-'main page'!$K$27*T39+'main page'!$K$31*AI39)</f>
        <v>101.00000005960464</v>
      </c>
      <c r="G40" s="62">
        <f ca="1">IF(controls!$B$44=0,I40-'main page'!$K$27*T39,I40-'main page'!$K$27*T39+'main page'!$K$31*'normal case'!AI39)</f>
        <v>101.00000005960464</v>
      </c>
      <c r="H40" s="62">
        <f t="shared" ca="1" si="8"/>
        <v>108</v>
      </c>
      <c r="I40" s="62">
        <f t="shared" ca="1" si="9"/>
        <v>108</v>
      </c>
      <c r="L40" s="62">
        <f ca="1">IF(ABS('main page'!G44+'main page'!$K$29*L39+(1-'main page'!$K$29)*($AS$11/100)*100+'main page'!$K$25*(D40-B40)-L39)&lt;0.0000001,L39,'main page'!G44+'main page'!$K$29*L39+(1-'main page'!$K$29)*($AS$11/100)*100+'main page'!$K$25*(D40-B40))</f>
        <v>1.9999998807907104</v>
      </c>
      <c r="M40" s="409">
        <f t="shared" ca="1" si="5"/>
        <v>0</v>
      </c>
      <c r="N40" s="409">
        <f t="shared" ca="1" si="7"/>
        <v>5.9604644775390625E-8</v>
      </c>
      <c r="O40" s="409">
        <f ca="1">'main page'!G44+'main page'!$K$29*M39+(1-'main page'!$K$29)*($AQ$11/100)*100</f>
        <v>0</v>
      </c>
      <c r="P40" s="409">
        <f ca="1">'main page'!$K$25*(D40-B40)-M39</f>
        <v>5.9604644775390625E-8</v>
      </c>
      <c r="Q40" s="409">
        <f ca="1">(1-'main page'!$K$29)*($AS$11/100)*100+'main page'!$K$25*(D40-B40)</f>
        <v>5.9604644775390625E-8</v>
      </c>
      <c r="R40" s="409">
        <f ca="1">'main page'!G44+'main page'!$K$29*M39</f>
        <v>0</v>
      </c>
      <c r="S40" s="409">
        <f t="shared" ca="1" si="6"/>
        <v>5.9604644775390625E-8</v>
      </c>
      <c r="T40" s="79">
        <f ca="1">IF(controls!$B$10=1,T39,IF(SUM(controls!$B$44:$B$46)=2,U40-'main page'!$K$29*'normal case'!L40-(1-'main page'!$K$29)*'main page'!$K$32,U40-'main page'!$K$29*'normal case'!L40-(1-'main page'!$K$29)*controls!$B$9))</f>
        <v>3.4999999701976776</v>
      </c>
      <c r="U40" s="164">
        <f ca="1">IF(controls!$B$45=1,IF(controls!$B$46=1,'main page'!$K$24+'main page'!$K$11+'main page'!$U$8,'main page'!$K$24+'main page'!$K$11+'main page'!$K$32),IF(controls!$B$44=1,IF(V40&lt;0,0,V40),IF(V40+'main page'!$K$11&lt;0,0,V40+'main page'!$K$11)))</f>
        <v>5.4999998509883881</v>
      </c>
      <c r="V40" s="63">
        <f ca="1">IF(controls!$B$10=1,'normal case'!T40+'normal case'!L40,'normal case'!W40)</f>
        <v>5.4999998509883881</v>
      </c>
      <c r="W40" s="61">
        <f t="shared" ca="1" si="1"/>
        <v>5.4999998509883881</v>
      </c>
      <c r="X40" s="166">
        <f ca="1">IF(controls!$B$44=0,Y40+'main page'!$K$29*L40+(1-'main page'!$K$29)*controls!$B$9+(('main page'!$K$25*'main page'!$U$13*'main page'!$K$29)/('main page'!$K$27*(1+('main page'!$K$25^2)*'main page'!$U$13)))*(L40-controls!$B$9),Y40+'main page'!$K$29*L40+(1-'main page'!$K$29)*controls!$B$9+(('main page'!$K$25*'main page'!$U$13*'normal case'!$AV$3)/'normal case'!$AV$4)*('normal case'!L40-controls!$B$9))</f>
        <v>5.4999998509883881</v>
      </c>
      <c r="Y40" s="81">
        <f ca="1">IF(controls!$B$44=1,'main page'!$K$24+'main page'!$K$11,IF(controls!$B$33=1,((I41-D40*AD41-B41+B40*AC41)/'main page'!$K$27)-'main page'!$K$11,((H41-D40*AD41-B41+B40*AC41)/'main page'!$K$27)-'main page'!$K$11))</f>
        <v>3.5</v>
      </c>
      <c r="AA40" s="58">
        <f>IF(controls!$B$6=1,$AS$3*(1+('main page'!$K$35/100))^AB40-$AS$3*(1+('main page'!$K$35/100))^AB39,$AS$3*(1+('main page'!$G$8/100))*(1+('main page'!$K$35/100))^AB40-$AS$3*(1+('main page'!$G$8/100))*(1+('main page'!$K$35/100))^AB39)</f>
        <v>0</v>
      </c>
      <c r="AB40" s="60">
        <v>33</v>
      </c>
      <c r="AC40" s="125">
        <v>0</v>
      </c>
      <c r="AD40" s="36">
        <v>0</v>
      </c>
      <c r="AE40" s="44">
        <f ca="1">IF(controls!$B$33=1,D40-($I$3-'main page'!$K$27*2)*(1+('main page'!$K$35/100))^A39,D40-$AS$4)</f>
        <v>1.0000000596046448</v>
      </c>
      <c r="AF40" s="44">
        <f ca="1">ABS(L40-(controls!$B$9/100)*100)</f>
        <v>1.1920928955078125E-7</v>
      </c>
      <c r="AH40" s="44">
        <f ca="1">IF(controls!$B$33=1,(B41-B40*AC41-I41+D40*AD41+'main page'!$K$27*('main page'!$K$24+'main page'!$K$11))/'main page'!$K$31,(B41-B40*AC41+D40*AD41-H41+'main page'!$K$27*('main page'!$K$24+'main page'!$K$11))/'main page'!$K$31)</f>
        <v>1</v>
      </c>
      <c r="AI40" s="44">
        <f ca="1">IF(controls!$B$45=1,LOG(AM40,1.01)+LOG(AL40,1.01)-LOG(AK40,1.01),-((T40-('main page'!$K$24+'main page'!$K$11))/(1-'normal case'!$AV$3))+'normal case'!AH40)</f>
        <v>2.0000000596046448</v>
      </c>
      <c r="AJ40" s="80">
        <f t="shared" ca="1" si="2"/>
        <v>1.0506250015463039</v>
      </c>
      <c r="AK40" s="44">
        <f t="shared" ca="1" si="3"/>
        <v>2.0401532282483275</v>
      </c>
      <c r="AL40" s="44">
        <f>AL39*(1+'main page'!$K$32/100)</f>
        <v>1</v>
      </c>
      <c r="AM40" s="44">
        <f ca="1">IF(ABS(IF(controls!$B$45=1,$AS$13,AK40*AJ40/AL40)-AM39)&lt;0.00001,AM39,IF(controls!$B$45=1,$AS$13,AK40*AJ40/AL40))</f>
        <v>2.143435988583096</v>
      </c>
      <c r="AN40" s="44">
        <f>IF(controls!$B$46=0,0,IF(controls!$B$33=2,B41-B40*AC41-('normal case'!H41-D40*AD41-'main page'!$K$27*'normal case'!T40+'main page'!$K$31*'normal case'!AI40)-(('main page'!$K$25*'main page'!$U$13*'main page'!$K$29)/(1+('main page'!$K$25^2)*'main page'!$U$13))*('normal case'!L40-'main page'!$U$8),B41-B40*AC41-('normal case'!I41-D40*AD41-'main page'!$K$27*'normal case'!T40+'main page'!$K$31*'normal case'!AI40)-(('main page'!$K$25*'main page'!$U$13*'main page'!$K$29)/(1+('main page'!$K$25^2)*'main page'!$U$13))*('normal case'!L40-'main page'!$U$8)))</f>
        <v>0</v>
      </c>
      <c r="AU40" s="36"/>
      <c r="AV40" s="36"/>
    </row>
    <row r="41" spans="1:48">
      <c r="A41" s="43">
        <v>39</v>
      </c>
      <c r="B41" s="62">
        <f ca="1">IF(controls!$B$33=1,B40*(1+AC41)+AA41,B40*(1+AC41))</f>
        <v>101</v>
      </c>
      <c r="C41" s="67">
        <f t="shared" ca="1" si="4"/>
        <v>-1.5107707374006907E-7</v>
      </c>
      <c r="D41" s="64">
        <f t="shared" ca="1" si="0"/>
        <v>101.00000005960464</v>
      </c>
      <c r="E41" s="64">
        <f ca="1">AN40+IF(controls!$B$33=1,G41,F41)</f>
        <v>101.00000005960464</v>
      </c>
      <c r="F41" s="78">
        <f ca="1">IF(controls!$B$44=0,H41-'main page'!$K$27*T40,H41-'main page'!$K$27*T40+'main page'!$K$31*AI40)</f>
        <v>101.00000005960464</v>
      </c>
      <c r="G41" s="62">
        <f ca="1">IF(controls!$B$44=0,I41-'main page'!$K$27*T40,I41-'main page'!$K$27*T40+'main page'!$K$31*'normal case'!AI40)</f>
        <v>101.00000005960464</v>
      </c>
      <c r="H41" s="62">
        <f t="shared" ca="1" si="8"/>
        <v>108</v>
      </c>
      <c r="I41" s="62">
        <f t="shared" ca="1" si="9"/>
        <v>108</v>
      </c>
      <c r="L41" s="62">
        <f ca="1">IF(ABS('main page'!G45+'main page'!$K$29*L40+(1-'main page'!$K$29)*($AS$11/100)*100+'main page'!$K$25*(D41-B41)-L40)&lt;0.0000001,L40,'main page'!G45+'main page'!$K$29*L40+(1-'main page'!$K$29)*($AS$11/100)*100+'main page'!$K$25*(D41-B41))</f>
        <v>1.9999998807907104</v>
      </c>
      <c r="M41" s="409">
        <f t="shared" ca="1" si="5"/>
        <v>0</v>
      </c>
      <c r="N41" s="409">
        <f t="shared" ca="1" si="7"/>
        <v>5.9604644775390625E-8</v>
      </c>
      <c r="O41" s="409">
        <f ca="1">'main page'!G45+'main page'!$K$29*M40+(1-'main page'!$K$29)*($AQ$11/100)*100</f>
        <v>0</v>
      </c>
      <c r="P41" s="409">
        <f ca="1">'main page'!$K$25*(D41-B41)-M40</f>
        <v>5.9604644775390625E-8</v>
      </c>
      <c r="Q41" s="409">
        <f ca="1">(1-'main page'!$K$29)*($AS$11/100)*100+'main page'!$K$25*(D41-B41)</f>
        <v>5.9604644775390625E-8</v>
      </c>
      <c r="R41" s="409">
        <f ca="1">'main page'!G45+'main page'!$K$29*M40</f>
        <v>0</v>
      </c>
      <c r="S41" s="409">
        <f t="shared" ca="1" si="6"/>
        <v>5.9604644775390625E-8</v>
      </c>
      <c r="T41" s="79">
        <f ca="1">IF(controls!$B$10=1,T40,IF(SUM(controls!$B$44:$B$46)=2,U41-'main page'!$K$29*'normal case'!L41-(1-'main page'!$K$29)*'main page'!$K$32,U41-'main page'!$K$29*'normal case'!L41-(1-'main page'!$K$29)*controls!$B$9))</f>
        <v>3.4999999701976776</v>
      </c>
      <c r="U41" s="164">
        <f ca="1">IF(controls!$B$45=1,IF(controls!$B$46=1,'main page'!$K$24+'main page'!$K$11+'main page'!$U$8,'main page'!$K$24+'main page'!$K$11+'main page'!$K$32),IF(controls!$B$44=1,IF(V41&lt;0,0,V41),IF(V41+'main page'!$K$11&lt;0,0,V41+'main page'!$K$11)))</f>
        <v>5.4999998509883881</v>
      </c>
      <c r="V41" s="63">
        <f ca="1">IF(controls!$B$10=1,'normal case'!T41+'normal case'!L41,'normal case'!W41)</f>
        <v>5.4999998509883881</v>
      </c>
      <c r="W41" s="61">
        <f t="shared" ca="1" si="1"/>
        <v>5.4999998509883881</v>
      </c>
      <c r="X41" s="166">
        <f ca="1">IF(controls!$B$44=0,Y41+'main page'!$K$29*L41+(1-'main page'!$K$29)*controls!$B$9+(('main page'!$K$25*'main page'!$U$13*'main page'!$K$29)/('main page'!$K$27*(1+('main page'!$K$25^2)*'main page'!$U$13)))*(L41-controls!$B$9),Y41+'main page'!$K$29*L41+(1-'main page'!$K$29)*controls!$B$9+(('main page'!$K$25*'main page'!$U$13*'normal case'!$AV$3)/'normal case'!$AV$4)*('normal case'!L41-controls!$B$9))</f>
        <v>5.4999998509883881</v>
      </c>
      <c r="Y41" s="81">
        <f ca="1">IF(controls!$B$44=1,'main page'!$K$24+'main page'!$K$11,IF(controls!$B$33=1,((I42-D41*AD42-B42+B41*AC42)/'main page'!$K$27)-'main page'!$K$11,((H42-D41*AD42-B42+B41*AC42)/'main page'!$K$27)-'main page'!$K$11))</f>
        <v>3.5</v>
      </c>
      <c r="AA41" s="58">
        <f>IF(controls!$B$6=1,$AS$3*(1+('main page'!$K$35/100))^AB41-$AS$3*(1+('main page'!$K$35/100))^AB40,$AS$3*(1+('main page'!$G$8/100))*(1+('main page'!$K$35/100))^AB41-$AS$3*(1+('main page'!$G$8/100))*(1+('main page'!$K$35/100))^AB40)</f>
        <v>0</v>
      </c>
      <c r="AB41" s="60">
        <v>34</v>
      </c>
      <c r="AC41" s="125">
        <f ca="1">IF(controls!$B$4=1,IF(controls!$H40=1,controls!$B$34*AC40+RAND()*('main page'!$K$16/100)-RAND()*('main page'!$K$16/100),0),0)</f>
        <v>0</v>
      </c>
      <c r="AD41" s="36">
        <f ca="1">IF(controls!$B$4=1,IF(controls!$I40=1,controls!$B$34*AD40+RAND()*('main page'!$K$16/100)-RAND()*('main page'!$K$16/100),0),0)</f>
        <v>0</v>
      </c>
      <c r="AE41" s="44">
        <f ca="1">IF(controls!$B$33=1,D41-($I$3-'main page'!$K$27*2)*(1+('main page'!$K$35/100))^A40,D41-$AS$4)</f>
        <v>1.0000000596046448</v>
      </c>
      <c r="AF41" s="44">
        <f ca="1">ABS(L41-(controls!$B$9/100)*100)</f>
        <v>1.1920928955078125E-7</v>
      </c>
      <c r="AH41" s="44">
        <f ca="1">IF(controls!$B$33=1,(B42-B41*AC42-I42+D41*AD42+'main page'!$K$27*('main page'!$K$24+'main page'!$K$11))/'main page'!$K$31,(B42-B41*AC42+D41*AD42-H42+'main page'!$K$27*('main page'!$K$24+'main page'!$K$11))/'main page'!$K$31)</f>
        <v>1</v>
      </c>
      <c r="AI41" s="44">
        <f ca="1">IF(controls!$B$45=1,LOG(AM41,1.01)+LOG(AL41,1.01)-LOG(AK41,1.01),-((T41-('main page'!$K$24+'main page'!$K$11))/(1-'normal case'!$AV$3))+'normal case'!AH41)</f>
        <v>2.0000000596046448</v>
      </c>
      <c r="AJ41" s="80">
        <f t="shared" ca="1" si="2"/>
        <v>1.0506250015463039</v>
      </c>
      <c r="AK41" s="44">
        <f t="shared" ca="1" si="3"/>
        <v>2.0809562903812417</v>
      </c>
      <c r="AL41" s="44">
        <f>AL40*(1+'main page'!$K$32/100)</f>
        <v>1</v>
      </c>
      <c r="AM41" s="44">
        <f ca="1">IF(ABS(IF(controls!$B$45=1,$AS$13,AK41*AJ41/AL41)-AM40)&lt;0.00001,AM40,IF(controls!$B$45=1,$AS$13,AK41*AJ41/AL41))</f>
        <v>2.186304705799583</v>
      </c>
      <c r="AN41" s="44">
        <f>IF(controls!$B$46=0,0,IF(controls!$B$33=2,B42-B41*AC42-('normal case'!H42-D41*AD42-'main page'!$K$27*'normal case'!T41+'main page'!$K$31*'normal case'!AI41)-(('main page'!$K$25*'main page'!$U$13*'main page'!$K$29)/(1+('main page'!$K$25^2)*'main page'!$U$13))*('normal case'!L41-'main page'!$U$8),B42-B41*AC42-('normal case'!I42-D41*AD42-'main page'!$K$27*'normal case'!T41+'main page'!$K$31*'normal case'!AI41)-(('main page'!$K$25*'main page'!$U$13*'main page'!$K$29)/(1+('main page'!$K$25^2)*'main page'!$U$13))*('normal case'!L41-'main page'!$U$8)))</f>
        <v>0</v>
      </c>
      <c r="AU41" s="36"/>
      <c r="AV41" s="36"/>
    </row>
    <row r="42" spans="1:48">
      <c r="A42" s="43">
        <v>40</v>
      </c>
      <c r="B42" s="62">
        <f ca="1">IF(controls!$B$33=1,B41*(1+AC42)+AA42,B41*(1+AC42))</f>
        <v>101</v>
      </c>
      <c r="C42" s="67">
        <f t="shared" ca="1" si="4"/>
        <v>-1.5107707374006907E-7</v>
      </c>
      <c r="D42" s="64">
        <f t="shared" ca="1" si="0"/>
        <v>101.00000005960464</v>
      </c>
      <c r="E42" s="64">
        <f ca="1">AN41+IF(controls!$B$33=1,G42,F42)</f>
        <v>101.00000005960464</v>
      </c>
      <c r="F42" s="78">
        <f ca="1">IF(controls!$B$44=0,H42-'main page'!$K$27*T41,H42-'main page'!$K$27*T41+'main page'!$K$31*AI41)</f>
        <v>101.00000005960464</v>
      </c>
      <c r="G42" s="62">
        <f ca="1">IF(controls!$B$44=0,I42-'main page'!$K$27*T41,I42-'main page'!$K$27*T41+'main page'!$K$31*'normal case'!AI41)</f>
        <v>101.00000005960464</v>
      </c>
      <c r="H42" s="62">
        <f t="shared" ca="1" si="8"/>
        <v>108</v>
      </c>
      <c r="I42" s="62">
        <f t="shared" ca="1" si="9"/>
        <v>108</v>
      </c>
      <c r="L42" s="62">
        <f ca="1">IF(ABS('main page'!G46+'main page'!$K$29*L41+(1-'main page'!$K$29)*($AS$11/100)*100+'main page'!$K$25*(D42-B42)-L41)&lt;0.0000001,L41,'main page'!G46+'main page'!$K$29*L41+(1-'main page'!$K$29)*($AS$11/100)*100+'main page'!$K$25*(D42-B42))</f>
        <v>1.9999998807907104</v>
      </c>
      <c r="M42" s="409">
        <f t="shared" ca="1" si="5"/>
        <v>0</v>
      </c>
      <c r="N42" s="409">
        <f t="shared" ca="1" si="7"/>
        <v>5.9604644775390625E-8</v>
      </c>
      <c r="O42" s="409">
        <f ca="1">'main page'!G46+'main page'!$K$29*M41+(1-'main page'!$K$29)*($AQ$11/100)*100</f>
        <v>0</v>
      </c>
      <c r="P42" s="409">
        <f ca="1">'main page'!$K$25*(D42-B42)-M41</f>
        <v>5.9604644775390625E-8</v>
      </c>
      <c r="Q42" s="409">
        <f ca="1">(1-'main page'!$K$29)*($AS$11/100)*100+'main page'!$K$25*(D42-B42)</f>
        <v>5.9604644775390625E-8</v>
      </c>
      <c r="R42" s="409">
        <f ca="1">'main page'!G46+'main page'!$K$29*M41</f>
        <v>0</v>
      </c>
      <c r="S42" s="409">
        <f t="shared" ca="1" si="6"/>
        <v>5.9604644775390625E-8</v>
      </c>
      <c r="T42" s="79">
        <f ca="1">IF(controls!$B$10=1,T41,IF(SUM(controls!$B$44:$B$46)=2,U42-'main page'!$K$29*'normal case'!L42-(1-'main page'!$K$29)*'main page'!$K$32,U42-'main page'!$K$29*'normal case'!L42-(1-'main page'!$K$29)*controls!$B$9))</f>
        <v>3.4999999701976776</v>
      </c>
      <c r="U42" s="164">
        <f ca="1">IF(controls!$B$45=1,IF(controls!$B$46=1,'main page'!$K$24+'main page'!$K$11+'main page'!$U$8,'main page'!$K$24+'main page'!$K$11+'main page'!$K$32),IF(controls!$B$44=1,IF(V42&lt;0,0,V42),IF(V42+'main page'!$K$11&lt;0,0,V42+'main page'!$K$11)))</f>
        <v>5.4999998509883881</v>
      </c>
      <c r="V42" s="63">
        <f ca="1">IF(controls!$B$10=1,'normal case'!T42+'normal case'!L42,'normal case'!W42)</f>
        <v>5.4999998509883881</v>
      </c>
      <c r="W42" s="61">
        <f t="shared" ca="1" si="1"/>
        <v>5.4999998509883881</v>
      </c>
      <c r="X42" s="166">
        <f ca="1">IF(controls!$B$44=0,Y42+'main page'!$K$29*L42+(1-'main page'!$K$29)*controls!$B$9+(('main page'!$K$25*'main page'!$U$13*'main page'!$K$29)/('main page'!$K$27*(1+('main page'!$K$25^2)*'main page'!$U$13)))*(L42-controls!$B$9),Y42+'main page'!$K$29*L42+(1-'main page'!$K$29)*controls!$B$9+(('main page'!$K$25*'main page'!$U$13*'normal case'!$AV$3)/'normal case'!$AV$4)*('normal case'!L42-controls!$B$9))</f>
        <v>5.4999998509883881</v>
      </c>
      <c r="Y42" s="81">
        <f ca="1">IF(controls!$B$44=1,'main page'!$K$24+'main page'!$K$11,IF(controls!$B$33=1,((I43-D42*AD43-B43+B42*AC43)/'main page'!$K$27)-'main page'!$K$11,((H43-D42*AD43-B43+B42*AC43)/'main page'!$K$27)-'main page'!$K$11))</f>
        <v>3.5</v>
      </c>
      <c r="AA42" s="58">
        <f>IF(controls!$B$6=1,$AS$3*(1+('main page'!$K$35/100))^AB42-$AS$3*(1+('main page'!$K$35/100))^AB41,$AS$3*(1+('main page'!$G$8/100))*(1+('main page'!$K$35/100))^AB42-$AS$3*(1+('main page'!$G$8/100))*(1+('main page'!$K$35/100))^AB41)</f>
        <v>0</v>
      </c>
      <c r="AB42" s="60">
        <v>35</v>
      </c>
      <c r="AC42" s="125">
        <v>0</v>
      </c>
      <c r="AD42" s="36">
        <v>0</v>
      </c>
      <c r="AE42" s="44">
        <f ca="1">IF(controls!$B$33=1,D42-($I$3-'main page'!$K$27*2)*(1+('main page'!$K$35/100))^A41,D42-$AS$4)</f>
        <v>1.0000000596046448</v>
      </c>
      <c r="AF42" s="44">
        <f ca="1">ABS(L42-(controls!$B$9/100)*100)</f>
        <v>1.1920928955078125E-7</v>
      </c>
      <c r="AH42" s="44">
        <f ca="1">IF(controls!$B$33=1,(B43-B42*AC43-I43+D42*AD43+'main page'!$K$27*('main page'!$K$24+'main page'!$K$11))/'main page'!$K$31,(B43-B42*AC43+D42*AD43-H43+'main page'!$K$27*('main page'!$K$24+'main page'!$K$11))/'main page'!$K$31)</f>
        <v>1</v>
      </c>
      <c r="AI42" s="44">
        <f ca="1">IF(controls!$B$45=1,LOG(AM42,1.01)+LOG(AL42,1.01)-LOG(AK42,1.01),-((T42-('main page'!$K$24+'main page'!$K$11))/(1-'normal case'!$AV$3))+'normal case'!AH42)</f>
        <v>2.0000000596046448</v>
      </c>
      <c r="AJ42" s="80">
        <f t="shared" ca="1" si="2"/>
        <v>1.0506250015463039</v>
      </c>
      <c r="AK42" s="44">
        <f t="shared" ca="1" si="3"/>
        <v>2.1225754137081734</v>
      </c>
      <c r="AL42" s="44">
        <f>AL41*(1+'main page'!$K$32/100)</f>
        <v>1</v>
      </c>
      <c r="AM42" s="44">
        <f ca="1">IF(ABS(IF(controls!$B$45=1,$AS$13,AK42*AJ42/AL42)-AM41)&lt;0.00001,AM41,IF(controls!$B$45=1,$AS$13,AK42*AJ42/AL42))</f>
        <v>2.2300307973092961</v>
      </c>
      <c r="AN42" s="44">
        <f>IF(controls!$B$46=0,0,IF(controls!$B$33=2,B43-B42*AC43-('normal case'!H43-D42*AD43-'main page'!$K$27*'normal case'!T42+'main page'!$K$31*'normal case'!AI42)-(('main page'!$K$25*'main page'!$U$13*'main page'!$K$29)/(1+('main page'!$K$25^2)*'main page'!$U$13))*('normal case'!L42-'main page'!$U$8),B43-B42*AC43-('normal case'!I43-D42*AD43-'main page'!$K$27*'normal case'!T42+'main page'!$K$31*'normal case'!AI42)-(('main page'!$K$25*'main page'!$U$13*'main page'!$K$29)/(1+('main page'!$K$25^2)*'main page'!$U$13))*('normal case'!L42-'main page'!$U$8)))</f>
        <v>0</v>
      </c>
      <c r="AU42" s="36"/>
      <c r="AV42" s="36"/>
    </row>
    <row r="43" spans="1:48">
      <c r="A43" s="43">
        <v>41</v>
      </c>
      <c r="B43" s="62">
        <f ca="1">IF(controls!$B$33=1,B42*(1+AC43)+AA43,B42*(1+AC43))</f>
        <v>101</v>
      </c>
      <c r="C43" s="67">
        <f t="shared" ca="1" si="4"/>
        <v>-1.5107707374006907E-7</v>
      </c>
      <c r="D43" s="64">
        <f t="shared" ca="1" si="0"/>
        <v>101.00000005960464</v>
      </c>
      <c r="E43" s="64">
        <f ca="1">AN42+IF(controls!$B$33=1,G43,F43)</f>
        <v>101.00000005960464</v>
      </c>
      <c r="F43" s="78">
        <f ca="1">IF(controls!$B$44=0,H43-'main page'!$K$27*T42,H43-'main page'!$K$27*T42+'main page'!$K$31*AI42)</f>
        <v>101.00000005960464</v>
      </c>
      <c r="G43" s="62">
        <f ca="1">IF(controls!$B$44=0,I43-'main page'!$K$27*T42,I43-'main page'!$K$27*T42+'main page'!$K$31*'normal case'!AI42)</f>
        <v>101.00000005960464</v>
      </c>
      <c r="H43" s="62">
        <f t="shared" ca="1" si="8"/>
        <v>108</v>
      </c>
      <c r="I43" s="62">
        <f t="shared" ca="1" si="9"/>
        <v>108</v>
      </c>
      <c r="L43" s="62">
        <f ca="1">IF(ABS('main page'!G47+'main page'!$K$29*L42+(1-'main page'!$K$29)*($AS$11/100)*100+'main page'!$K$25*(D43-B43)-L42)&lt;0.0000001,L42,'main page'!G47+'main page'!$K$29*L42+(1-'main page'!$K$29)*($AS$11/100)*100+'main page'!$K$25*(D43-B43))</f>
        <v>1.9999998807907104</v>
      </c>
      <c r="M43" s="409">
        <f t="shared" ca="1" si="5"/>
        <v>0</v>
      </c>
      <c r="N43" s="409">
        <f t="shared" ca="1" si="7"/>
        <v>5.9604644775390625E-8</v>
      </c>
      <c r="O43" s="409">
        <f ca="1">'main page'!G47+'main page'!$K$29*M42+(1-'main page'!$K$29)*($AQ$11/100)*100</f>
        <v>0</v>
      </c>
      <c r="P43" s="409">
        <f ca="1">'main page'!$K$25*(D43-B43)-M42</f>
        <v>5.9604644775390625E-8</v>
      </c>
      <c r="Q43" s="409">
        <f ca="1">(1-'main page'!$K$29)*($AS$11/100)*100+'main page'!$K$25*(D43-B43)</f>
        <v>5.9604644775390625E-8</v>
      </c>
      <c r="R43" s="409">
        <f ca="1">'main page'!G47+'main page'!$K$29*M42</f>
        <v>0</v>
      </c>
      <c r="S43" s="409">
        <f t="shared" ca="1" si="6"/>
        <v>5.9604644775390625E-8</v>
      </c>
      <c r="T43" s="79">
        <f ca="1">IF(controls!$B$10=1,T42,IF(SUM(controls!$B$44:$B$46)=2,U43-'main page'!$K$29*'normal case'!L43-(1-'main page'!$K$29)*'main page'!$K$32,U43-'main page'!$K$29*'normal case'!L43-(1-'main page'!$K$29)*controls!$B$9))</f>
        <v>3.4999999701976776</v>
      </c>
      <c r="U43" s="164">
        <f ca="1">IF(controls!$B$45=1,IF(controls!$B$46=1,'main page'!$K$24+'main page'!$K$11+'main page'!$U$8,'main page'!$K$24+'main page'!$K$11+'main page'!$K$32),IF(controls!$B$44=1,IF(V43&lt;0,0,V43),IF(V43+'main page'!$K$11&lt;0,0,V43+'main page'!$K$11)))</f>
        <v>5.4999998509883881</v>
      </c>
      <c r="V43" s="63">
        <f ca="1">IF(controls!$B$10=1,'normal case'!T43+'normal case'!L43,'normal case'!W43)</f>
        <v>5.4999998509883881</v>
      </c>
      <c r="W43" s="61">
        <f t="shared" ca="1" si="1"/>
        <v>5.4999998509883881</v>
      </c>
      <c r="X43" s="166">
        <f ca="1">IF(controls!$B$44=0,Y43+'main page'!$K$29*L43+(1-'main page'!$K$29)*controls!$B$9+(('main page'!$K$25*'main page'!$U$13*'main page'!$K$29)/('main page'!$K$27*(1+('main page'!$K$25^2)*'main page'!$U$13)))*(L43-controls!$B$9),Y43+'main page'!$K$29*L43+(1-'main page'!$K$29)*controls!$B$9+(('main page'!$K$25*'main page'!$U$13*'normal case'!$AV$3)/'normal case'!$AV$4)*('normal case'!L43-controls!$B$9))</f>
        <v>5.4999998509883881</v>
      </c>
      <c r="Y43" s="81">
        <f ca="1">IF(controls!$B$44=1,'main page'!$K$24+'main page'!$K$11,IF(controls!$B$33=1,((I44-D43*AD44-B44+B43*AC44)/'main page'!$K$27)-'main page'!$K$11,((H44-D43*AD44-B44+B43*AC44)/'main page'!$K$27)-'main page'!$K$11))</f>
        <v>3.5</v>
      </c>
      <c r="AA43" s="58">
        <f>IF(controls!$B$6=1,$AS$3*(1+('main page'!$K$35/100))^AB43-$AS$3*(1+('main page'!$K$35/100))^AB42,$AS$3*(1+('main page'!$G$8/100))*(1+('main page'!$K$35/100))^AB43-$AS$3*(1+('main page'!$G$8/100))*(1+('main page'!$K$35/100))^AB42)</f>
        <v>0</v>
      </c>
      <c r="AB43" s="60">
        <v>36</v>
      </c>
      <c r="AC43" s="125">
        <v>0</v>
      </c>
      <c r="AD43" s="36">
        <v>0</v>
      </c>
      <c r="AE43" s="44">
        <f ca="1">IF(controls!$B$33=1,D43-($I$3-'main page'!$K$27*2)*(1+('main page'!$K$35/100))^A42,D43-$AS$4)</f>
        <v>1.0000000596046448</v>
      </c>
      <c r="AF43" s="44">
        <f ca="1">ABS(L43-(controls!$B$9/100)*100)</f>
        <v>1.1920928955078125E-7</v>
      </c>
      <c r="AH43" s="44">
        <f ca="1">IF(controls!$B$33=1,(B44-B43*AC44-I44+D43*AD44+'main page'!$K$27*('main page'!$K$24+'main page'!$K$11))/'main page'!$K$31,(B44-B43*AC44+D43*AD44-H44+'main page'!$K$27*('main page'!$K$24+'main page'!$K$11))/'main page'!$K$31)</f>
        <v>1</v>
      </c>
      <c r="AI43" s="44">
        <f ca="1">IF(controls!$B$45=1,LOG(AM43,1.01)+LOG(AL43,1.01)-LOG(AK43,1.01),-((T43-('main page'!$K$24+'main page'!$K$11))/(1-'normal case'!$AV$3))+'normal case'!AH43)</f>
        <v>2.0000000596046448</v>
      </c>
      <c r="AJ43" s="80">
        <f t="shared" ca="1" si="2"/>
        <v>1.0506250015463039</v>
      </c>
      <c r="AK43" s="44">
        <f t="shared" ca="1" si="3"/>
        <v>2.1650269194520297</v>
      </c>
      <c r="AL43" s="44">
        <f>AL42*(1+'main page'!$K$32/100)</f>
        <v>1</v>
      </c>
      <c r="AM43" s="44">
        <f ca="1">IF(ABS(IF(controls!$B$45=1,$AS$13,AK43*AJ43/AL43)-AM42)&lt;0.00001,AM42,IF(controls!$B$45=1,$AS$13,AK43*AJ43/AL43))</f>
        <v>2.2746314105970784</v>
      </c>
      <c r="AN43" s="44">
        <f>IF(controls!$B$46=0,0,IF(controls!$B$33=2,B44-B43*AC44-('normal case'!H44-D43*AD44-'main page'!$K$27*'normal case'!T43+'main page'!$K$31*'normal case'!AI43)-(('main page'!$K$25*'main page'!$U$13*'main page'!$K$29)/(1+('main page'!$K$25^2)*'main page'!$U$13))*('normal case'!L43-'main page'!$U$8),B44-B43*AC44-('normal case'!I44-D43*AD44-'main page'!$K$27*'normal case'!T43+'main page'!$K$31*'normal case'!AI43)-(('main page'!$K$25*'main page'!$U$13*'main page'!$K$29)/(1+('main page'!$K$25^2)*'main page'!$U$13))*('normal case'!L43-'main page'!$U$8)))</f>
        <v>0</v>
      </c>
      <c r="AU43" s="36"/>
      <c r="AV43" s="36"/>
    </row>
    <row r="44" spans="1:48">
      <c r="A44" s="43">
        <v>42</v>
      </c>
      <c r="B44" s="62">
        <f ca="1">IF(controls!$B$33=1,B43*(1+AC44)+AA44,B43*(1+AC44))</f>
        <v>101</v>
      </c>
      <c r="C44" s="67">
        <f t="shared" ca="1" si="4"/>
        <v>-1.5107707374006907E-7</v>
      </c>
      <c r="D44" s="64">
        <f t="shared" ca="1" si="0"/>
        <v>101.00000005960464</v>
      </c>
      <c r="E44" s="64">
        <f ca="1">AN43+IF(controls!$B$33=1,G44,F44)</f>
        <v>101.00000005960464</v>
      </c>
      <c r="F44" s="78">
        <f ca="1">IF(controls!$B$44=0,H44-'main page'!$K$27*T43,H44-'main page'!$K$27*T43+'main page'!$K$31*AI43)</f>
        <v>101.00000005960464</v>
      </c>
      <c r="G44" s="62">
        <f ca="1">IF(controls!$B$44=0,I44-'main page'!$K$27*T43,I44-'main page'!$K$27*T43+'main page'!$K$31*'normal case'!AI43)</f>
        <v>101.00000005960464</v>
      </c>
      <c r="H44" s="62">
        <f t="shared" ca="1" si="8"/>
        <v>108</v>
      </c>
      <c r="I44" s="62">
        <f t="shared" ca="1" si="9"/>
        <v>108</v>
      </c>
      <c r="L44" s="62">
        <f ca="1">IF(ABS('main page'!G48+'main page'!$K$29*L43+(1-'main page'!$K$29)*($AS$11/100)*100+'main page'!$K$25*(D44-B44)-L43)&lt;0.0000001,L43,'main page'!G48+'main page'!$K$29*L43+(1-'main page'!$K$29)*($AS$11/100)*100+'main page'!$K$25*(D44-B44))</f>
        <v>1.9999998807907104</v>
      </c>
      <c r="M44" s="409">
        <f t="shared" ca="1" si="5"/>
        <v>0</v>
      </c>
      <c r="N44" s="409">
        <f t="shared" ca="1" si="7"/>
        <v>5.9604644775390625E-8</v>
      </c>
      <c r="O44" s="409">
        <f ca="1">'main page'!G48+'main page'!$K$29*M43+(1-'main page'!$K$29)*($AQ$11/100)*100</f>
        <v>0</v>
      </c>
      <c r="P44" s="409">
        <f ca="1">'main page'!$K$25*(D44-B44)-M43</f>
        <v>5.9604644775390625E-8</v>
      </c>
      <c r="Q44" s="409">
        <f ca="1">(1-'main page'!$K$29)*($AS$11/100)*100+'main page'!$K$25*(D44-B44)</f>
        <v>5.9604644775390625E-8</v>
      </c>
      <c r="R44" s="409">
        <f ca="1">'main page'!G48+'main page'!$K$29*M43</f>
        <v>0</v>
      </c>
      <c r="S44" s="409">
        <f t="shared" ca="1" si="6"/>
        <v>5.9604644775390625E-8</v>
      </c>
      <c r="T44" s="79">
        <f ca="1">IF(controls!$B$10=1,T43,IF(SUM(controls!$B$44:$B$46)=2,U44-'main page'!$K$29*'normal case'!L44-(1-'main page'!$K$29)*'main page'!$K$32,U44-'main page'!$K$29*'normal case'!L44-(1-'main page'!$K$29)*controls!$B$9))</f>
        <v>3.4999999701976776</v>
      </c>
      <c r="U44" s="164">
        <f ca="1">IF(controls!$B$45=1,IF(controls!$B$46=1,'main page'!$K$24+'main page'!$K$11+'main page'!$U$8,'main page'!$K$24+'main page'!$K$11+'main page'!$K$32),IF(controls!$B$44=1,IF(V44&lt;0,0,V44),IF(V44+'main page'!$K$11&lt;0,0,V44+'main page'!$K$11)))</f>
        <v>5.4999998509883881</v>
      </c>
      <c r="V44" s="63">
        <f ca="1">IF(controls!$B$10=1,'normal case'!T44+'normal case'!L44,'normal case'!W44)</f>
        <v>5.4999998509883881</v>
      </c>
      <c r="W44" s="61">
        <f t="shared" ca="1" si="1"/>
        <v>5.4999998509883881</v>
      </c>
      <c r="X44" s="166">
        <f ca="1">IF(controls!$B$44=0,Y44+'main page'!$K$29*L44+(1-'main page'!$K$29)*controls!$B$9+(('main page'!$K$25*'main page'!$U$13*'main page'!$K$29)/('main page'!$K$27*(1+('main page'!$K$25^2)*'main page'!$U$13)))*(L44-controls!$B$9),Y44+'main page'!$K$29*L44+(1-'main page'!$K$29)*controls!$B$9+(('main page'!$K$25*'main page'!$U$13*'normal case'!$AV$3)/'normal case'!$AV$4)*('normal case'!L44-controls!$B$9))</f>
        <v>5.4999998509883881</v>
      </c>
      <c r="Y44" s="81">
        <f ca="1">IF(controls!$B$44=1,'main page'!$K$24+'main page'!$K$11,IF(controls!$B$33=1,((I45-D44*AD45-B45+B44*AC45)/'main page'!$K$27)-'main page'!$K$11,((H45-D44*AD45-B45+B44*AC45)/'main page'!$K$27)-'main page'!$K$11))</f>
        <v>3.5</v>
      </c>
      <c r="AA44" s="58">
        <f>IF(controls!$B$6=1,$AS$3*(1+('main page'!$K$35/100))^AB44-$AS$3*(1+('main page'!$K$35/100))^AB43,$AS$3*(1+('main page'!$G$8/100))*(1+('main page'!$K$35/100))^AB44-$AS$3*(1+('main page'!$G$8/100))*(1+('main page'!$K$35/100))^AB43)</f>
        <v>0</v>
      </c>
      <c r="AB44" s="60">
        <v>37</v>
      </c>
      <c r="AC44" s="125">
        <f ca="1">IF(controls!$B$4=1,IF(controls!$H43=1,controls!$B$34*AC43+RAND()*('main page'!$K$16/100)-RAND()*('main page'!$K$16/100),0),0)</f>
        <v>0</v>
      </c>
      <c r="AD44" s="36">
        <f ca="1">IF(controls!$B$4=1,IF(controls!$I43=1,controls!$B$34*AD43+RAND()*('main page'!$K$16/100)-RAND()*('main page'!$K$16/100),0),0)</f>
        <v>0</v>
      </c>
      <c r="AE44" s="44">
        <f ca="1">IF(controls!$B$33=1,D44-($I$3-'main page'!$K$27*2)*(1+('main page'!$K$35/100))^A43,D44-$AS$4)</f>
        <v>1.0000000596046448</v>
      </c>
      <c r="AF44" s="44">
        <f ca="1">ABS(L44-(controls!$B$9/100)*100)</f>
        <v>1.1920928955078125E-7</v>
      </c>
      <c r="AH44" s="44">
        <f ca="1">IF(controls!$B$33=1,(B45-B44*AC45-I45+D44*AD45+'main page'!$K$27*('main page'!$K$24+'main page'!$K$11))/'main page'!$K$31,(B45-B44*AC45+D44*AD45-H45+'main page'!$K$27*('main page'!$K$24+'main page'!$K$11))/'main page'!$K$31)</f>
        <v>1</v>
      </c>
      <c r="AI44" s="44">
        <f ca="1">IF(controls!$B$45=1,LOG(AM44,1.01)+LOG(AL44,1.01)-LOG(AK44,1.01),-((T44-('main page'!$K$24+'main page'!$K$11))/(1-'normal case'!$AV$3))+'normal case'!AH44)</f>
        <v>2.0000000596046448</v>
      </c>
      <c r="AJ44" s="80">
        <f t="shared" ca="1" si="2"/>
        <v>1.0506250015463039</v>
      </c>
      <c r="AK44" s="44">
        <f t="shared" ca="1" si="3"/>
        <v>2.2083274552601573</v>
      </c>
      <c r="AL44" s="44">
        <f>AL43*(1+'main page'!$K$32/100)</f>
        <v>1</v>
      </c>
      <c r="AM44" s="44">
        <f ca="1">IF(ABS(IF(controls!$B$45=1,$AS$13,AK44*AJ44/AL44)-AM43)&lt;0.00001,AM43,IF(controls!$B$45=1,$AS$13,AK44*AJ44/AL44))</f>
        <v>2.320124036097448</v>
      </c>
      <c r="AN44" s="44">
        <f>IF(controls!$B$46=0,0,IF(controls!$B$33=2,B45-B44*AC45-('normal case'!H45-D44*AD45-'main page'!$K$27*'normal case'!T44+'main page'!$K$31*'normal case'!AI44)-(('main page'!$K$25*'main page'!$U$13*'main page'!$K$29)/(1+('main page'!$K$25^2)*'main page'!$U$13))*('normal case'!L44-'main page'!$U$8),B45-B44*AC45-('normal case'!I45-D44*AD45-'main page'!$K$27*'normal case'!T44+'main page'!$K$31*'normal case'!AI44)-(('main page'!$K$25*'main page'!$U$13*'main page'!$K$29)/(1+('main page'!$K$25^2)*'main page'!$U$13))*('normal case'!L44-'main page'!$U$8)))</f>
        <v>0</v>
      </c>
      <c r="AU44" s="36"/>
      <c r="AV44" s="36"/>
    </row>
    <row r="45" spans="1:48">
      <c r="A45" s="43">
        <v>43</v>
      </c>
      <c r="B45" s="62">
        <f ca="1">IF(controls!$B$33=1,B44*(1+AC45)+AA45,B44*(1+AC45))</f>
        <v>101</v>
      </c>
      <c r="C45" s="67">
        <f t="shared" ca="1" si="4"/>
        <v>-1.5107707374006907E-7</v>
      </c>
      <c r="D45" s="64">
        <f t="shared" ca="1" si="0"/>
        <v>101.00000005960464</v>
      </c>
      <c r="E45" s="64">
        <f ca="1">AN44+IF(controls!$B$33=1,G45,F45)</f>
        <v>101.00000005960464</v>
      </c>
      <c r="F45" s="78">
        <f ca="1">IF(controls!$B$44=0,H45-'main page'!$K$27*T44,H45-'main page'!$K$27*T44+'main page'!$K$31*AI44)</f>
        <v>101.00000005960464</v>
      </c>
      <c r="G45" s="62">
        <f ca="1">IF(controls!$B$44=0,I45-'main page'!$K$27*T44,I45-'main page'!$K$27*T44+'main page'!$K$31*'normal case'!AI44)</f>
        <v>101.00000005960464</v>
      </c>
      <c r="H45" s="62">
        <f t="shared" ca="1" si="8"/>
        <v>108</v>
      </c>
      <c r="I45" s="62">
        <f t="shared" ca="1" si="9"/>
        <v>108</v>
      </c>
      <c r="L45" s="62">
        <f ca="1">IF(ABS('main page'!G49+'main page'!$K$29*L44+(1-'main page'!$K$29)*($AS$11/100)*100+'main page'!$K$25*(D45-B45)-L44)&lt;0.0000001,L44,'main page'!G49+'main page'!$K$29*L44+(1-'main page'!$K$29)*($AS$11/100)*100+'main page'!$K$25*(D45-B45))</f>
        <v>1.9999998807907104</v>
      </c>
      <c r="M45" s="409">
        <f t="shared" ref="M45" si="10">IF(N45&lt;0.0000001,0,1)</f>
        <v>0</v>
      </c>
      <c r="N45" s="409">
        <f t="shared" si="7"/>
        <v>0</v>
      </c>
      <c r="Q45" s="409">
        <f ca="1">(1-'main page'!$K$29)*($AS$11/100)*100+'main page'!$K$25*(D45-B45)</f>
        <v>5.9604644775390625E-8</v>
      </c>
      <c r="R45" s="409">
        <f ca="1">'main page'!G49+'main page'!$K$29*M44</f>
        <v>0</v>
      </c>
      <c r="S45" s="409">
        <f t="shared" ca="1" si="6"/>
        <v>5.9604644775390625E-8</v>
      </c>
      <c r="T45" s="79">
        <f ca="1">IF(controls!$B$10=1,T44,IF(SUM(controls!$B$44:$B$46)=2,U45-'main page'!$K$29*'normal case'!L45-(1-'main page'!$K$29)*'main page'!$K$32,U45-'main page'!$K$29*'normal case'!L45-(1-'main page'!$K$29)*controls!$B$9))</f>
        <v>3.4999999701976776</v>
      </c>
      <c r="U45" s="164">
        <f ca="1">IF(controls!$B$45=1,IF(controls!$B$46=1,'main page'!$K$24+'main page'!$K$11+'main page'!$U$8,'main page'!$K$24+'main page'!$K$11+'main page'!$K$32),IF(controls!$B$44=1,IF(V45&lt;0,0,V45),IF(V45+'main page'!$K$11&lt;0,0,V45+'main page'!$K$11)))</f>
        <v>5.4999998509883881</v>
      </c>
      <c r="V45" s="63">
        <f ca="1">IF(controls!$B$10=1,'normal case'!T45+'normal case'!L45,'normal case'!W45)</f>
        <v>5.4999998509883881</v>
      </c>
      <c r="W45" s="61">
        <f t="shared" ca="1" si="1"/>
        <v>5.4999998509883881</v>
      </c>
      <c r="X45" s="166">
        <f ca="1">IF(controls!$B$44=0,Y45+'main page'!$K$29*L45+(1-'main page'!$K$29)*controls!$B$9+(('main page'!$K$25*'main page'!$U$13*'main page'!$K$29)/('main page'!$K$27*(1+('main page'!$K$25^2)*'main page'!$U$13)))*(L45-controls!$B$9),Y45+'main page'!$K$29*L45+(1-'main page'!$K$29)*controls!$B$9+(('main page'!$K$25*'main page'!$U$13*'normal case'!$AV$3)/'normal case'!$AV$4)*('normal case'!L45-controls!$B$9))</f>
        <v>5.4999998509883881</v>
      </c>
      <c r="Y45" s="81">
        <f ca="1">IF(controls!$B$44=1,'main page'!$K$24+'main page'!$K$11,IF(controls!$B$33=1,((I46-D45*AD46-B46+B45*AC46)/'main page'!$K$27)-'main page'!$K$11,((H46-D45*AD46-B46+B45*AC46)/'main page'!$K$27)-'main page'!$K$11))</f>
        <v>3.5</v>
      </c>
      <c r="AA45" s="58">
        <f>IF(controls!$B$6=1,$AS$3*(1+('main page'!$K$35/100))^AB45-$AS$3*(1+('main page'!$K$35/100))^AB44,$AS$3*(1+('main page'!$G$8/100))*(1+('main page'!$K$35/100))^AB45-$AS$3*(1+('main page'!$G$8/100))*(1+('main page'!$K$35/100))^AB44)</f>
        <v>0</v>
      </c>
      <c r="AB45" s="60">
        <v>38</v>
      </c>
      <c r="AC45" s="125">
        <v>0</v>
      </c>
      <c r="AD45" s="36">
        <v>0</v>
      </c>
      <c r="AE45" s="44">
        <f ca="1">IF(controls!$B$33=1,D45-($I$3-'main page'!$K$27*2)*(1+('main page'!$K$35/100))^A44,D45-$AS$4)</f>
        <v>1.0000000596046448</v>
      </c>
      <c r="AF45" s="44">
        <f ca="1">ABS(L45-(controls!$B$9/100)*100)</f>
        <v>1.1920928955078125E-7</v>
      </c>
      <c r="AH45" s="44">
        <f ca="1">IF(controls!$B$33=1,(B46-B45*AC46-I46+D45*AD46+'main page'!$K$27*('main page'!$K$24+'main page'!$K$11))/'main page'!$K$31,(B46-B45*AC46+D45*AD46-H46+'main page'!$K$27*('main page'!$K$24+'main page'!$K$11))/'main page'!$K$31)</f>
        <v>1</v>
      </c>
      <c r="AI45" s="44">
        <f ca="1">IF(controls!$B$45=1,LOG(AM45,1.01)+LOG(AL45,1.01)-LOG(AK45,1.01),-((T45-('main page'!$K$24+'main page'!$K$11))/(1-'normal case'!$AV$3))+'normal case'!AH45)</f>
        <v>2.0000000596046448</v>
      </c>
      <c r="AJ45" s="80">
        <f t="shared" ca="1" si="2"/>
        <v>1.0506250015463039</v>
      </c>
      <c r="AK45" s="44">
        <f t="shared" ca="1" si="3"/>
        <v>2.252494001732829</v>
      </c>
      <c r="AL45" s="44">
        <f>AL44*(1+'main page'!$K$32/100)</f>
        <v>1</v>
      </c>
      <c r="AM45" s="44">
        <f ca="1">IF(ABS(IF(controls!$B$45=1,$AS$13,AK45*AJ45/AL45)-AM44)&lt;0.00001,AM44,IF(controls!$B$45=1,$AS$13,AK45*AJ45/AL45))</f>
        <v>2.3665265140535938</v>
      </c>
      <c r="AN45" s="44">
        <f>IF(controls!$B$46=0,0,IF(controls!$B$33=2,B46-B45*AC46-('normal case'!H46-D45*AD46-'main page'!$K$27*'normal case'!T45+'main page'!$K$31*'normal case'!AI45)-(('main page'!$K$25*'main page'!$U$13*'main page'!$K$29)/(1+('main page'!$K$25^2)*'main page'!$U$13))*('normal case'!L45-'main page'!$U$8),B46-B45*AC46-('normal case'!I46-D45*AD46-'main page'!$K$27*'normal case'!T45+'main page'!$K$31*'normal case'!AI45)-(('main page'!$K$25*'main page'!$U$13*'main page'!$K$29)/(1+('main page'!$K$25^2)*'main page'!$U$13))*('normal case'!L45-'main page'!$U$8)))</f>
        <v>0</v>
      </c>
      <c r="AU45" s="36"/>
      <c r="AV45" s="36"/>
    </row>
    <row r="46" spans="1:48">
      <c r="A46" s="43">
        <v>44</v>
      </c>
      <c r="B46" s="62">
        <f ca="1">IF(controls!$B$33=1,B45*(1+AC46)+AA46,B45*(1+AC46))</f>
        <v>101</v>
      </c>
      <c r="C46" s="67">
        <f t="shared" ca="1" si="4"/>
        <v>-1.5107707374006907E-7</v>
      </c>
      <c r="D46" s="64">
        <f t="shared" ca="1" si="0"/>
        <v>101.00000005960464</v>
      </c>
      <c r="E46" s="64">
        <f ca="1">AN45+IF(controls!$B$33=1,G46,F46)</f>
        <v>101.00000005960464</v>
      </c>
      <c r="F46" s="78">
        <f ca="1">IF(controls!$B$44=0,H46-'main page'!$K$27*T45,H46-'main page'!$K$27*T45+'main page'!$K$31*AI45)</f>
        <v>101.00000005960464</v>
      </c>
      <c r="G46" s="62">
        <f ca="1">IF(controls!$B$44=0,I46-'main page'!$K$27*T45,I46-'main page'!$K$27*T45+'main page'!$K$31*'normal case'!AI45)</f>
        <v>101.00000005960464</v>
      </c>
      <c r="H46" s="62">
        <f t="shared" ca="1" si="8"/>
        <v>108</v>
      </c>
      <c r="I46" s="62">
        <f t="shared" ca="1" si="9"/>
        <v>108</v>
      </c>
      <c r="L46" s="62">
        <f ca="1">IF(ABS('main page'!$K$29*L45+(1-'main page'!$K$29)*(controls!$B$9/100)*100+'main page'!$K$25*(D46-B46)-L45)&lt;0.0000001,L45,'main page'!$K$29*L45+(1-'main page'!$K$29)*(controls!$B$9/100)*100+'main page'!$K$25*(D46-B46))</f>
        <v>1.9999998807907104</v>
      </c>
      <c r="Q46" s="409">
        <f ca="1">(1-'main page'!$K$29)*($AS$11/100)*100+'main page'!$K$25*(D46-B46)</f>
        <v>5.9604644775390625E-8</v>
      </c>
      <c r="R46" s="409">
        <f>'main page'!G50+'main page'!$K$29*M45</f>
        <v>0</v>
      </c>
      <c r="S46" s="409">
        <f t="shared" ref="S46:S71" ca="1" si="11">Q46+R46</f>
        <v>5.9604644775390625E-8</v>
      </c>
      <c r="T46" s="79">
        <f ca="1">IF(controls!$B$10=1,T45,IF(SUM(controls!$B$44:$B$46)=2,U46-'main page'!$K$29*'normal case'!L46-(1-'main page'!$K$29)*'main page'!$K$32,U46-'main page'!$K$29*'normal case'!L46-(1-'main page'!$K$29)*controls!$B$9))</f>
        <v>3.4999999701976776</v>
      </c>
      <c r="U46" s="164">
        <f ca="1">IF(controls!$B$45=1,IF(controls!$B$46=1,'main page'!$K$24+'main page'!$K$11+'main page'!$U$8,'main page'!$K$24+'main page'!$K$11+'main page'!$K$32),IF(controls!$B$44=1,IF(V46&lt;0,0,V46),IF(V46+'main page'!$K$11&lt;0,0,V46+'main page'!$K$11)))</f>
        <v>5.4999998509883881</v>
      </c>
      <c r="V46" s="63">
        <f ca="1">IF(controls!$B$10=1,'normal case'!T46+'normal case'!L46,'normal case'!W46)</f>
        <v>5.4999998509883881</v>
      </c>
      <c r="W46" s="61">
        <f t="shared" ca="1" si="1"/>
        <v>5.4999998509883881</v>
      </c>
      <c r="X46" s="166">
        <f ca="1">IF(controls!$B$44=0,Y46+'main page'!$K$29*L46+(1-'main page'!$K$29)*controls!$B$9+(('main page'!$K$25*'main page'!$U$13*'main page'!$K$29)/('main page'!$K$27*(1+('main page'!$K$25^2)*'main page'!$U$13)))*(L46-controls!$B$9),Y46+'main page'!$K$29*L46+(1-'main page'!$K$29)*controls!$B$9+(('main page'!$K$25*'main page'!$U$13*'normal case'!$AV$3)/'normal case'!$AV$4)*('normal case'!L46-controls!$B$9))</f>
        <v>5.4999998509883881</v>
      </c>
      <c r="Y46" s="81">
        <f ca="1">IF(controls!$B$44=1,'main page'!$K$24+'main page'!$K$11,IF(controls!$B$33=1,((I47-D46*AD47-B47+B46*AC47)/'main page'!$K$27)-'main page'!$K$11,((H47-D46*AD47-B47+B46*AC47)/'main page'!$K$27)-'main page'!$K$11))</f>
        <v>3.5</v>
      </c>
      <c r="AA46" s="58">
        <f>IF(controls!$B$6=1,$AS$3*(1+('main page'!$K$35/100))^AB46-$AS$3*(1+('main page'!$K$35/100))^AB45,$AS$3*(1+('main page'!$G$8/100))*(1+('main page'!$K$35/100))^AB46-$AS$3*(1+('main page'!$G$8/100))*(1+('main page'!$K$35/100))^AB45)</f>
        <v>0</v>
      </c>
      <c r="AB46" s="60">
        <v>39</v>
      </c>
      <c r="AC46" s="125">
        <v>0</v>
      </c>
      <c r="AD46" s="36">
        <v>0</v>
      </c>
      <c r="AE46" s="44">
        <f ca="1">IF(controls!$B$33=1,D46-($I$3-'main page'!$K$27*2)*(1+('main page'!$K$35/100))^A45,D46-$AS$4)</f>
        <v>1.0000000596046448</v>
      </c>
      <c r="AF46" s="44">
        <f ca="1">ABS(L46-(controls!$B$9/100)*100)</f>
        <v>1.1920928955078125E-7</v>
      </c>
      <c r="AH46" s="44">
        <f ca="1">IF(controls!$B$33=1,(B47-B46*AC47-I47+D46*AD47+'main page'!$K$27*('main page'!$K$24+'main page'!$K$11))/'main page'!$K$31,(B47-B46*AC47+D46*AD47-H47+'main page'!$K$27*('main page'!$K$24+'main page'!$K$11))/'main page'!$K$31)</f>
        <v>1</v>
      </c>
      <c r="AI46" s="44">
        <f ca="1">IF(controls!$B$45=1,LOG(AM46,1.01)+LOG(AL46,1.01)-LOG(AK46,1.01),-((T46-('main page'!$K$24+'main page'!$K$11))/(1-'normal case'!$AV$3))+'normal case'!AH46)</f>
        <v>2.0000000596046448</v>
      </c>
      <c r="AJ46" s="80">
        <f t="shared" ca="1" si="2"/>
        <v>1.0506250015463039</v>
      </c>
      <c r="AK46" s="44">
        <f t="shared" ca="1" si="3"/>
        <v>2.2975438790823035</v>
      </c>
      <c r="AL46" s="44">
        <f>AL45*(1+'main page'!$K$32/100)</f>
        <v>1</v>
      </c>
      <c r="AM46" s="44">
        <f ca="1">IF(ABS(IF(controls!$B$45=1,$AS$13,AK46*AJ46/AL46)-AM45)&lt;0.00001,AM45,IF(controls!$B$45=1,$AS$13,AK46*AJ46/AL46))</f>
        <v>2.4138570415135461</v>
      </c>
      <c r="AN46" s="44">
        <f>IF(controls!$B$46=0,0,IF(controls!$B$33=2,B47-B46*AC47-('normal case'!H47-D46*AD47-'main page'!$K$27*'normal case'!T46+'main page'!$K$31*'normal case'!AI46)-(('main page'!$K$25*'main page'!$U$13*'main page'!$K$29)/(1+('main page'!$K$25^2)*'main page'!$U$13))*('normal case'!L46-'main page'!$U$8),B47-B46*AC47-('normal case'!I47-D46*AD47-'main page'!$K$27*'normal case'!T46+'main page'!$K$31*'normal case'!AI46)-(('main page'!$K$25*'main page'!$U$13*'main page'!$K$29)/(1+('main page'!$K$25^2)*'main page'!$U$13))*('normal case'!L46-'main page'!$U$8)))</f>
        <v>0</v>
      </c>
      <c r="AU46" s="36"/>
      <c r="AV46" s="36"/>
    </row>
    <row r="47" spans="1:48">
      <c r="A47" s="43">
        <v>45</v>
      </c>
      <c r="B47" s="62">
        <f ca="1">IF(controls!$B$33=1,B46*(1+AC47)+AA47,B46*(1+AC47))</f>
        <v>101</v>
      </c>
      <c r="C47" s="67">
        <f t="shared" ca="1" si="4"/>
        <v>-1.5107707374006907E-7</v>
      </c>
      <c r="D47" s="64">
        <f t="shared" ca="1" si="0"/>
        <v>101.00000005960464</v>
      </c>
      <c r="E47" s="64">
        <f ca="1">AN46+IF(controls!$B$33=1,G47,F47)</f>
        <v>101.00000005960464</v>
      </c>
      <c r="F47" s="78">
        <f ca="1">IF(controls!$B$44=0,H47-'main page'!$K$27*T46,H47-'main page'!$K$27*T46+'main page'!$K$31*AI46)</f>
        <v>101.00000005960464</v>
      </c>
      <c r="G47" s="62">
        <f ca="1">IF(controls!$B$44=0,I47-'main page'!$K$27*T46,I47-'main page'!$K$27*T46+'main page'!$K$31*'normal case'!AI46)</f>
        <v>101.00000005960464</v>
      </c>
      <c r="H47" s="62">
        <f t="shared" ca="1" si="8"/>
        <v>108</v>
      </c>
      <c r="I47" s="62">
        <f t="shared" ca="1" si="9"/>
        <v>108</v>
      </c>
      <c r="L47" s="62">
        <f ca="1">IF(ABS('main page'!$K$29*L46+(1-'main page'!$K$29)*(controls!$B$9/100)*100+'main page'!$K$25*(D47-B47)-L46)&lt;0.0000001,L46,'main page'!$K$29*L46+(1-'main page'!$K$29)*(controls!$B$9/100)*100+'main page'!$K$25*(D47-B47))</f>
        <v>1.9999998807907104</v>
      </c>
      <c r="Q47" s="409">
        <f ca="1">(1-'main page'!$K$29)*($AS$11/100)*100+'main page'!$K$25*(D47-B47)</f>
        <v>5.9604644775390625E-8</v>
      </c>
      <c r="R47" s="409">
        <f>'main page'!G51+'main page'!$K$29*M46</f>
        <v>0</v>
      </c>
      <c r="S47" s="409">
        <f t="shared" ca="1" si="11"/>
        <v>5.9604644775390625E-8</v>
      </c>
      <c r="T47" s="79">
        <f ca="1">IF(controls!$B$10=1,T46,IF(SUM(controls!$B$44:$B$46)=2,U47-'main page'!$K$29*'normal case'!L47-(1-'main page'!$K$29)*'main page'!$K$32,U47-'main page'!$K$29*'normal case'!L47-(1-'main page'!$K$29)*controls!$B$9))</f>
        <v>3.4999999701976776</v>
      </c>
      <c r="U47" s="164">
        <f ca="1">IF(controls!$B$45=1,IF(controls!$B$46=1,'main page'!$K$24+'main page'!$K$11+'main page'!$U$8,'main page'!$K$24+'main page'!$K$11+'main page'!$K$32),IF(controls!$B$44=1,IF(V47&lt;0,0,V47),IF(V47+'main page'!$K$11&lt;0,0,V47+'main page'!$K$11)))</f>
        <v>5.4999998509883881</v>
      </c>
      <c r="V47" s="63">
        <f ca="1">IF(controls!$B$10=1,'normal case'!T47+'normal case'!L47,'normal case'!W47)</f>
        <v>5.4999998509883881</v>
      </c>
      <c r="W47" s="61">
        <f t="shared" ca="1" si="1"/>
        <v>5.4999998509883881</v>
      </c>
      <c r="X47" s="166">
        <f ca="1">IF(controls!$B$44=0,Y47+'main page'!$K$29*L47+(1-'main page'!$K$29)*controls!$B$9+(('main page'!$K$25*'main page'!$U$13*'main page'!$K$29)/('main page'!$K$27*(1+('main page'!$K$25^2)*'main page'!$U$13)))*(L47-controls!$B$9),Y47+'main page'!$K$29*L47+(1-'main page'!$K$29)*controls!$B$9+(('main page'!$K$25*'main page'!$U$13*'normal case'!$AV$3)/'normal case'!$AV$4)*('normal case'!L47-controls!$B$9))</f>
        <v>5.4999998509883881</v>
      </c>
      <c r="Y47" s="81">
        <f ca="1">IF(controls!$B$44=1,'main page'!$K$24+'main page'!$K$11,IF(controls!$B$33=1,((I48-D47*AD48-B48+B47*AC48)/'main page'!$K$27)-'main page'!$K$11,((H48-D47*AD48-B48+B47*AC48)/'main page'!$K$27)-'main page'!$K$11))</f>
        <v>3.5</v>
      </c>
      <c r="AA47" s="58">
        <f>IF(controls!$B$6=1,$AS$3*(1+('main page'!$K$35/100))^AB47-$AS$3*(1+('main page'!$K$35/100))^AB46,$AS$3*(1+('main page'!$G$8/100))*(1+('main page'!$K$35/100))^AB47-$AS$3*(1+('main page'!$G$8/100))*(1+('main page'!$K$35/100))^AB46)</f>
        <v>0</v>
      </c>
      <c r="AB47" s="60">
        <v>40</v>
      </c>
      <c r="AC47" s="125">
        <f ca="1">IF(controls!$B$4=1,IF(controls!$H46=1,controls!$B$34*AC46+RAND()*('main page'!$K$16/100)-RAND()*('main page'!$K$16/100),0),0)</f>
        <v>0</v>
      </c>
      <c r="AD47" s="36">
        <f ca="1">IF(controls!$B$4=1,IF(controls!$I46=1,controls!$B$34*AD46+RAND()*('main page'!$K$16/100)-RAND()*('main page'!$K$16/100),0),0)</f>
        <v>0</v>
      </c>
      <c r="AE47" s="44">
        <f ca="1">IF(controls!$B$33=1,D47-($I$3-'main page'!$K$27*2)*(1+('main page'!$K$35/100))^A46,D47-$AS$4)</f>
        <v>1.0000000596046448</v>
      </c>
      <c r="AF47" s="44">
        <f ca="1">ABS(L47-(controls!$B$9/100)*100)</f>
        <v>1.1920928955078125E-7</v>
      </c>
      <c r="AH47" s="44">
        <f ca="1">IF(controls!$B$33=1,(B48-B47*AC48-I48+D47*AD48+'main page'!$K$27*('main page'!$K$24+'main page'!$K$11))/'main page'!$K$31,(B48-B47*AC48+D47*AD48-H48+'main page'!$K$27*('main page'!$K$24+'main page'!$K$11))/'main page'!$K$31)</f>
        <v>1</v>
      </c>
      <c r="AI47" s="44">
        <f ca="1">IF(controls!$B$45=1,LOG(AM47,1.01)+LOG(AL47,1.01)-LOG(AK47,1.01),-((T47-('main page'!$K$24+'main page'!$K$11))/(1-'normal case'!$AV$3))+'normal case'!AH47)</f>
        <v>2.0000000596046448</v>
      </c>
      <c r="AJ47" s="80">
        <f t="shared" ca="1" si="2"/>
        <v>1.0506250015463039</v>
      </c>
      <c r="AK47" s="44">
        <f t="shared" ca="1" si="3"/>
        <v>2.3434947539250639</v>
      </c>
      <c r="AL47" s="44">
        <f>AL46*(1+'main page'!$K$32/100)</f>
        <v>1</v>
      </c>
      <c r="AM47" s="44">
        <f ca="1">IF(ABS(IF(controls!$B$45=1,$AS$13,AK47*AJ47/AL47)-AM46)&lt;0.00001,AM46,IF(controls!$B$45=1,$AS$13,AK47*AJ47/AL47))</f>
        <v>2.4621341794662754</v>
      </c>
      <c r="AN47" s="44">
        <f>IF(controls!$B$46=0,0,IF(controls!$B$33=2,B48-B47*AC48-('normal case'!H48-D47*AD48-'main page'!$K$27*'normal case'!T47+'main page'!$K$31*'normal case'!AI47)-(('main page'!$K$25*'main page'!$U$13*'main page'!$K$29)/(1+('main page'!$K$25^2)*'main page'!$U$13))*('normal case'!L47-'main page'!$U$8),B48-B47*AC48-('normal case'!I48-D47*AD48-'main page'!$K$27*'normal case'!T47+'main page'!$K$31*'normal case'!AI47)-(('main page'!$K$25*'main page'!$U$13*'main page'!$K$29)/(1+('main page'!$K$25^2)*'main page'!$U$13))*('normal case'!L47-'main page'!$U$8)))</f>
        <v>0</v>
      </c>
      <c r="AU47" s="36"/>
      <c r="AV47" s="36"/>
    </row>
    <row r="48" spans="1:48">
      <c r="A48" s="43">
        <v>46</v>
      </c>
      <c r="B48" s="62">
        <f ca="1">IF(controls!$B$33=1,B47*(1+AC48)+AA48,B47*(1+AC48))</f>
        <v>101</v>
      </c>
      <c r="C48" s="67">
        <f t="shared" ca="1" si="4"/>
        <v>-1.5107707374006907E-7</v>
      </c>
      <c r="D48" s="64">
        <f t="shared" ca="1" si="0"/>
        <v>101.00000005960464</v>
      </c>
      <c r="E48" s="64">
        <f ca="1">AN47+IF(controls!$B$33=1,G48,F48)</f>
        <v>101.00000005960464</v>
      </c>
      <c r="F48" s="78">
        <f ca="1">IF(controls!$B$44=0,H48-'main page'!$K$27*T47,H48-'main page'!$K$27*T47+'main page'!$K$31*AI47)</f>
        <v>101.00000005960464</v>
      </c>
      <c r="G48" s="62">
        <f ca="1">IF(controls!$B$44=0,I48-'main page'!$K$27*T47,I48-'main page'!$K$27*T47+'main page'!$K$31*'normal case'!AI47)</f>
        <v>101.00000005960464</v>
      </c>
      <c r="H48" s="62">
        <f t="shared" ca="1" si="8"/>
        <v>108</v>
      </c>
      <c r="I48" s="62">
        <f t="shared" ca="1" si="9"/>
        <v>108</v>
      </c>
      <c r="L48" s="62">
        <f ca="1">IF(ABS('main page'!$K$29*L47+(1-'main page'!$K$29)*(controls!$B$9/100)*100+'main page'!$K$25*(D48-B48)-L47)&lt;0.0000001,L47,'main page'!$K$29*L47+(1-'main page'!$K$29)*(controls!$B$9/100)*100+'main page'!$K$25*(D48-B48))</f>
        <v>1.9999998807907104</v>
      </c>
      <c r="Q48" s="409">
        <f ca="1">(1-'main page'!$K$29)*($AS$11/100)*100+'main page'!$K$25*(D48-B48)</f>
        <v>5.9604644775390625E-8</v>
      </c>
      <c r="R48" s="409">
        <f>'main page'!G52+'main page'!$K$29*M47</f>
        <v>0</v>
      </c>
      <c r="S48" s="409">
        <f t="shared" ca="1" si="11"/>
        <v>5.9604644775390625E-8</v>
      </c>
      <c r="T48" s="79">
        <f ca="1">IF(controls!$B$10=1,T47,IF(SUM(controls!$B$44:$B$46)=2,U48-'main page'!$K$29*'normal case'!L48-(1-'main page'!$K$29)*'main page'!$K$32,U48-'main page'!$K$29*'normal case'!L48-(1-'main page'!$K$29)*controls!$B$9))</f>
        <v>3.4999999701976776</v>
      </c>
      <c r="U48" s="164">
        <f ca="1">IF(controls!$B$45=1,IF(controls!$B$46=1,'main page'!$K$24+'main page'!$K$11+'main page'!$U$8,'main page'!$K$24+'main page'!$K$11+'main page'!$K$32),IF(controls!$B$44=1,IF(V48&lt;0,0,V48),IF(V48+'main page'!$K$11&lt;0,0,V48+'main page'!$K$11)))</f>
        <v>5.4999998509883881</v>
      </c>
      <c r="V48" s="63">
        <f ca="1">IF(controls!$B$10=1,'normal case'!T48+'normal case'!L48,'normal case'!W48)</f>
        <v>5.4999998509883881</v>
      </c>
      <c r="W48" s="61">
        <f t="shared" ca="1" si="1"/>
        <v>5.4999998509883881</v>
      </c>
      <c r="X48" s="166">
        <f ca="1">IF(controls!$B$44=0,Y48+'main page'!$K$29*L48+(1-'main page'!$K$29)*controls!$B$9+(('main page'!$K$25*'main page'!$U$13*'main page'!$K$29)/('main page'!$K$27*(1+('main page'!$K$25^2)*'main page'!$U$13)))*(L48-controls!$B$9),Y48+'main page'!$K$29*L48+(1-'main page'!$K$29)*controls!$B$9+(('main page'!$K$25*'main page'!$U$13*'normal case'!$AV$3)/'normal case'!$AV$4)*('normal case'!L48-controls!$B$9))</f>
        <v>5.4999998509883881</v>
      </c>
      <c r="Y48" s="81">
        <f ca="1">IF(controls!$B$44=1,'main page'!$K$24+'main page'!$K$11,IF(controls!$B$33=1,((I49-D48*AD49-B49+B48*AC49)/'main page'!$K$27)-'main page'!$K$11,((H49-D48*AD49-B49+B48*AC49)/'main page'!$K$27)-'main page'!$K$11))</f>
        <v>3.5</v>
      </c>
      <c r="AA48" s="58">
        <f>IF(controls!$B$6=1,$AS$3*(1+('main page'!$K$35/100))^AB48-$AS$3*(1+('main page'!$K$35/100))^AB47,$AS$3*(1+('main page'!$G$8/100))*(1+('main page'!$K$35/100))^AB48-$AS$3*(1+('main page'!$G$8/100))*(1+('main page'!$K$35/100))^AB47)</f>
        <v>0</v>
      </c>
      <c r="AB48" s="60">
        <v>41</v>
      </c>
      <c r="AC48" s="125">
        <v>0</v>
      </c>
      <c r="AD48" s="36">
        <v>0</v>
      </c>
      <c r="AE48" s="44">
        <f ca="1">IF(controls!$B$33=1,D48-($I$3-'main page'!$K$27*2)*(1+('main page'!$K$35/100))^A47,D48-$AS$4)</f>
        <v>1.0000000596046448</v>
      </c>
      <c r="AF48" s="44">
        <f ca="1">ABS(L48-(controls!$B$9/100)*100)</f>
        <v>1.1920928955078125E-7</v>
      </c>
      <c r="AH48" s="44">
        <f ca="1">IF(controls!$B$33=1,(B49-B48*AC49-I49+D48*AD49+'main page'!$K$27*('main page'!$K$24+'main page'!$K$11))/'main page'!$K$31,(B49-B48*AC49+D48*AD49-H49+'main page'!$K$27*('main page'!$K$24+'main page'!$K$11))/'main page'!$K$31)</f>
        <v>1</v>
      </c>
      <c r="AI48" s="44">
        <f ca="1">IF(controls!$B$45=1,LOG(AM48,1.01)+LOG(AL48,1.01)-LOG(AK48,1.01),-((T48-('main page'!$K$24+'main page'!$K$11))/(1-'normal case'!$AV$3))+'normal case'!AH48)</f>
        <v>2.0000000596046448</v>
      </c>
      <c r="AJ48" s="80">
        <f t="shared" ca="1" si="2"/>
        <v>1.0506250015463039</v>
      </c>
      <c r="AK48" s="44">
        <f t="shared" ca="1" si="3"/>
        <v>2.390364646209902</v>
      </c>
      <c r="AL48" s="44">
        <f>AL47*(1+'main page'!$K$32/100)</f>
        <v>1</v>
      </c>
      <c r="AM48" s="44">
        <f ca="1">IF(ABS(IF(controls!$B$45=1,$AS$13,AK48*AJ48/AL48)-AM47)&lt;0.00001,AM47,IF(controls!$B$45=1,$AS$13,AK48*AJ48/AL48))</f>
        <v>2.5113768601205084</v>
      </c>
      <c r="AN48" s="44">
        <f>IF(controls!$B$46=0,0,IF(controls!$B$33=2,B49-B48*AC49-('normal case'!H49-D48*AD49-'main page'!$K$27*'normal case'!T48+'main page'!$K$31*'normal case'!AI48)-(('main page'!$K$25*'main page'!$U$13*'main page'!$K$29)/(1+('main page'!$K$25^2)*'main page'!$U$13))*('normal case'!L48-'main page'!$U$8),B49-B48*AC49-('normal case'!I49-D48*AD49-'main page'!$K$27*'normal case'!T48+'main page'!$K$31*'normal case'!AI48)-(('main page'!$K$25*'main page'!$U$13*'main page'!$K$29)/(1+('main page'!$K$25^2)*'main page'!$U$13))*('normal case'!L48-'main page'!$U$8)))</f>
        <v>0</v>
      </c>
      <c r="AU48" s="36"/>
      <c r="AV48" s="36"/>
    </row>
    <row r="49" spans="1:48">
      <c r="A49" s="43">
        <v>47</v>
      </c>
      <c r="B49" s="62">
        <f ca="1">IF(controls!$B$33=1,B48*(1+AC49)+AA49,B48*(1+AC49))</f>
        <v>101</v>
      </c>
      <c r="C49" s="67">
        <f t="shared" ca="1" si="4"/>
        <v>-1.5107707374006907E-7</v>
      </c>
      <c r="D49" s="64">
        <f t="shared" ca="1" si="0"/>
        <v>101.00000005960464</v>
      </c>
      <c r="E49" s="64">
        <f ca="1">AN48+IF(controls!$B$33=1,G49,F49)</f>
        <v>101.00000005960464</v>
      </c>
      <c r="F49" s="78">
        <f ca="1">IF(controls!$B$44=0,H49-'main page'!$K$27*T48,H49-'main page'!$K$27*T48+'main page'!$K$31*AI48)</f>
        <v>101.00000005960464</v>
      </c>
      <c r="G49" s="62">
        <f ca="1">IF(controls!$B$44=0,I49-'main page'!$K$27*T48,I49-'main page'!$K$27*T48+'main page'!$K$31*'normal case'!AI48)</f>
        <v>101.00000005960464</v>
      </c>
      <c r="H49" s="62">
        <f t="shared" ca="1" si="8"/>
        <v>108</v>
      </c>
      <c r="I49" s="62">
        <f t="shared" ca="1" si="9"/>
        <v>108</v>
      </c>
      <c r="L49" s="62">
        <f ca="1">IF(ABS('main page'!$K$29*L48+(1-'main page'!$K$29)*(controls!$B$9/100)*100+'main page'!$K$25*(D49-B49)-L48)&lt;0.0000001,L48,'main page'!$K$29*L48+(1-'main page'!$K$29)*(controls!$B$9/100)*100+'main page'!$K$25*(D49-B49))</f>
        <v>1.9999998807907104</v>
      </c>
      <c r="Q49" s="409">
        <f ca="1">(1-'main page'!$K$29)*($AS$11/100)*100+'main page'!$K$25*(D49-B49)</f>
        <v>5.9604644775390625E-8</v>
      </c>
      <c r="R49" s="409">
        <f>'main page'!G53+'main page'!$K$29*M48</f>
        <v>1</v>
      </c>
      <c r="S49" s="409">
        <f t="shared" ca="1" si="11"/>
        <v>1.0000000596046448</v>
      </c>
      <c r="T49" s="79">
        <f ca="1">IF(controls!$B$10=1,T48,IF(SUM(controls!$B$44:$B$46)=2,U49-'main page'!$K$29*'normal case'!L49-(1-'main page'!$K$29)*'main page'!$K$32,U49-'main page'!$K$29*'normal case'!L49-(1-'main page'!$K$29)*controls!$B$9))</f>
        <v>3.4999999701976776</v>
      </c>
      <c r="U49" s="164">
        <f ca="1">IF(controls!$B$45=1,IF(controls!$B$46=1,'main page'!$K$24+'main page'!$K$11+'main page'!$U$8,'main page'!$K$24+'main page'!$K$11+'main page'!$K$32),IF(controls!$B$44=1,IF(V49&lt;0,0,V49),IF(V49+'main page'!$K$11&lt;0,0,V49+'main page'!$K$11)))</f>
        <v>5.4999998509883881</v>
      </c>
      <c r="V49" s="63">
        <f ca="1">IF(controls!$B$10=1,'normal case'!T49+'normal case'!L49,'normal case'!W49)</f>
        <v>5.4999998509883881</v>
      </c>
      <c r="W49" s="61">
        <f t="shared" ca="1" si="1"/>
        <v>5.4999998509883881</v>
      </c>
      <c r="X49" s="166">
        <f ca="1">IF(controls!$B$44=0,Y49+'main page'!$K$29*L49+(1-'main page'!$K$29)*controls!$B$9+(('main page'!$K$25*'main page'!$U$13*'main page'!$K$29)/('main page'!$K$27*(1+('main page'!$K$25^2)*'main page'!$U$13)))*(L49-controls!$B$9),Y49+'main page'!$K$29*L49+(1-'main page'!$K$29)*controls!$B$9+(('main page'!$K$25*'main page'!$U$13*'normal case'!$AV$3)/'normal case'!$AV$4)*('normal case'!L49-controls!$B$9))</f>
        <v>5.4999998509883881</v>
      </c>
      <c r="Y49" s="81">
        <f ca="1">IF(controls!$B$44=1,'main page'!$K$24+'main page'!$K$11,IF(controls!$B$33=1,((I50-D49*AD50-B50+B49*AC50)/'main page'!$K$27)-'main page'!$K$11,((H50-D49*AD50-B50+B49*AC50)/'main page'!$K$27)-'main page'!$K$11))</f>
        <v>3.5</v>
      </c>
      <c r="AA49" s="58">
        <f>IF(controls!$B$6=1,$AS$3*(1+('main page'!$K$35/100))^AB49-$AS$3*(1+('main page'!$K$35/100))^AB48,$AS$3*(1+('main page'!$G$8/100))*(1+('main page'!$K$35/100))^AB49-$AS$3*(1+('main page'!$G$8/100))*(1+('main page'!$K$35/100))^AB48)</f>
        <v>0</v>
      </c>
      <c r="AB49" s="60">
        <v>42</v>
      </c>
      <c r="AC49" s="125">
        <v>0</v>
      </c>
      <c r="AD49" s="36">
        <v>0</v>
      </c>
      <c r="AE49" s="44">
        <f ca="1">IF(controls!$B$33=1,D49-($I$3-'main page'!$K$27*2)*(1+('main page'!$K$35/100))^A48,D49-$AS$4)</f>
        <v>1.0000000596046448</v>
      </c>
      <c r="AF49" s="44">
        <f ca="1">ABS(L49-(controls!$B$9/100)*100)</f>
        <v>1.1920928955078125E-7</v>
      </c>
      <c r="AH49" s="44">
        <f ca="1">IF(controls!$B$33=1,(B50-B49*AC50-I50+D49*AD50+'main page'!$K$27*('main page'!$K$24+'main page'!$K$11))/'main page'!$K$31,(B50-B49*AC50+D49*AD50-H50+'main page'!$K$27*('main page'!$K$24+'main page'!$K$11))/'main page'!$K$31)</f>
        <v>1</v>
      </c>
      <c r="AI49" s="44">
        <f ca="1">IF(controls!$B$45=1,LOG(AM49,1.01)+LOG(AL49,1.01)-LOG(AK49,1.01),-((T49-('main page'!$K$24+'main page'!$K$11))/(1-'normal case'!$AV$3))+'normal case'!AH49)</f>
        <v>2.0000000596046448</v>
      </c>
      <c r="AJ49" s="80">
        <f t="shared" ca="1" si="2"/>
        <v>1.0506250015463039</v>
      </c>
      <c r="AK49" s="44">
        <f t="shared" ca="1" si="3"/>
        <v>2.4381719362845633</v>
      </c>
      <c r="AL49" s="44">
        <f>AL48*(1+'main page'!$K$32/100)</f>
        <v>1</v>
      </c>
      <c r="AM49" s="44">
        <f ca="1">IF(ABS(IF(controls!$B$45=1,$AS$13,AK49*AJ49/AL49)-AM48)&lt;0.00001,AM48,IF(controls!$B$45=1,$AS$13,AK49*AJ49/AL49))</f>
        <v>2.561604394329124</v>
      </c>
      <c r="AN49" s="44">
        <f>IF(controls!$B$46=0,0,IF(controls!$B$33=2,B50-B49*AC50-('normal case'!H50-D49*AD50-'main page'!$K$27*'normal case'!T49+'main page'!$K$31*'normal case'!AI49)-(('main page'!$K$25*'main page'!$U$13*'main page'!$K$29)/(1+('main page'!$K$25^2)*'main page'!$U$13))*('normal case'!L49-'main page'!$U$8),B50-B49*AC50-('normal case'!I50-D49*AD50-'main page'!$K$27*'normal case'!T49+'main page'!$K$31*'normal case'!AI49)-(('main page'!$K$25*'main page'!$U$13*'main page'!$K$29)/(1+('main page'!$K$25^2)*'main page'!$U$13))*('normal case'!L49-'main page'!$U$8)))</f>
        <v>0</v>
      </c>
      <c r="AU49" s="36"/>
      <c r="AV49" s="36"/>
    </row>
    <row r="50" spans="1:48">
      <c r="A50" s="43">
        <v>48</v>
      </c>
      <c r="B50" s="62">
        <f ca="1">IF(controls!$B$33=1,B49*(1+AC50)+AA50,B49*(1+AC50))</f>
        <v>101</v>
      </c>
      <c r="C50" s="67">
        <f t="shared" ca="1" si="4"/>
        <v>-1.5107707374006907E-7</v>
      </c>
      <c r="D50" s="64">
        <f t="shared" ca="1" si="0"/>
        <v>101.00000005960464</v>
      </c>
      <c r="E50" s="64">
        <f ca="1">AN49+IF(controls!$B$33=1,G50,F50)</f>
        <v>101.00000005960464</v>
      </c>
      <c r="F50" s="78">
        <f ca="1">IF(controls!$B$44=0,H50-'main page'!$K$27*T49,H50-'main page'!$K$27*T49+'main page'!$K$31*AI49)</f>
        <v>101.00000005960464</v>
      </c>
      <c r="G50" s="62">
        <f ca="1">IF(controls!$B$44=0,I50-'main page'!$K$27*T49,I50-'main page'!$K$27*T49+'main page'!$K$31*'normal case'!AI49)</f>
        <v>101.00000005960464</v>
      </c>
      <c r="H50" s="62">
        <f t="shared" ca="1" si="8"/>
        <v>108</v>
      </c>
      <c r="I50" s="62">
        <f t="shared" ca="1" si="9"/>
        <v>108</v>
      </c>
      <c r="L50" s="62">
        <f ca="1">IF(ABS('main page'!$K$29*L49+(1-'main page'!$K$29)*(controls!$B$9/100)*100+'main page'!$K$25*(D50-B50)-L49)&lt;0.0000001,L49,'main page'!$K$29*L49+(1-'main page'!$K$29)*(controls!$B$9/100)*100+'main page'!$K$25*(D50-B50))</f>
        <v>1.9999998807907104</v>
      </c>
      <c r="Q50" s="409">
        <f ca="1">(1-'main page'!$K$29)*($AS$11/100)*100+'main page'!$K$25*(D50-B50)</f>
        <v>5.9604644775390625E-8</v>
      </c>
      <c r="R50" s="409">
        <f>'main page'!G54+'main page'!$K$29*M49</f>
        <v>0</v>
      </c>
      <c r="S50" s="409">
        <f t="shared" ca="1" si="11"/>
        <v>5.9604644775390625E-8</v>
      </c>
      <c r="T50" s="79">
        <f ca="1">IF(controls!$B$10=1,T49,IF(SUM(controls!$B$44:$B$46)=2,U50-'main page'!$K$29*'normal case'!L50-(1-'main page'!$K$29)*'main page'!$K$32,U50-'main page'!$K$29*'normal case'!L50-(1-'main page'!$K$29)*controls!$B$9))</f>
        <v>3.4999999701976776</v>
      </c>
      <c r="U50" s="164">
        <f ca="1">IF(controls!$B$45=1,IF(controls!$B$46=1,'main page'!$K$24+'main page'!$K$11+'main page'!$U$8,'main page'!$K$24+'main page'!$K$11+'main page'!$K$32),IF(controls!$B$44=1,IF(V50&lt;0,0,V50),IF(V50+'main page'!$K$11&lt;0,0,V50+'main page'!$K$11)))</f>
        <v>5.4999998509883881</v>
      </c>
      <c r="V50" s="63">
        <f ca="1">IF(controls!$B$10=1,'normal case'!T50+'normal case'!L50,'normal case'!W50)</f>
        <v>5.4999998509883881</v>
      </c>
      <c r="W50" s="61">
        <f t="shared" ca="1" si="1"/>
        <v>5.4999998509883881</v>
      </c>
      <c r="X50" s="166">
        <f ca="1">IF(controls!$B$44=0,Y50+'main page'!$K$29*L50+(1-'main page'!$K$29)*controls!$B$9+(('main page'!$K$25*'main page'!$U$13*'main page'!$K$29)/('main page'!$K$27*(1+('main page'!$K$25^2)*'main page'!$U$13)))*(L50-controls!$B$9),Y50+'main page'!$K$29*L50+(1-'main page'!$K$29)*controls!$B$9+(('main page'!$K$25*'main page'!$U$13*'normal case'!$AV$3)/'normal case'!$AV$4)*('normal case'!L50-controls!$B$9))</f>
        <v>5.4999998509883881</v>
      </c>
      <c r="Y50" s="81">
        <f ca="1">IF(controls!$B$44=1,'main page'!$K$24+'main page'!$K$11,IF(controls!$B$33=1,((I51-D50*AD51-B51+B50*AC51)/'main page'!$K$27)-'main page'!$K$11,((H51-D50*AD51-B51+B50*AC51)/'main page'!$K$27)-'main page'!$K$11))</f>
        <v>3.5</v>
      </c>
      <c r="AA50" s="58">
        <f>IF(controls!$B$6=1,$AS$3*(1+('main page'!$K$35/100))^AB50-$AS$3*(1+('main page'!$K$35/100))^AB49,$AS$3*(1+('main page'!$G$8/100))*(1+('main page'!$K$35/100))^AB50-$AS$3*(1+('main page'!$G$8/100))*(1+('main page'!$K$35/100))^AB49)</f>
        <v>0</v>
      </c>
      <c r="AB50" s="60">
        <v>43</v>
      </c>
      <c r="AC50" s="125">
        <f ca="1">IF(controls!$B$4=1,IF(controls!$H49=1,controls!$B$34*AC49+RAND()*('main page'!$K$16/100)-RAND()*('main page'!$K$16/100),0),0)</f>
        <v>0</v>
      </c>
      <c r="AD50" s="36">
        <f ca="1">IF(controls!$B$4=1,IF(controls!$I49=1,controls!$B$34*AD49+RAND()*('main page'!$K$16/100)-RAND()*('main page'!$K$16/100),0),0)</f>
        <v>0</v>
      </c>
      <c r="AE50" s="44">
        <f ca="1">IF(controls!$B$33=1,D50-($I$3-'main page'!$K$27*2)*(1+('main page'!$K$35/100))^A49,D50-$AS$4)</f>
        <v>1.0000000596046448</v>
      </c>
      <c r="AF50" s="44">
        <f ca="1">ABS(L50-(controls!$B$9/100)*100)</f>
        <v>1.1920928955078125E-7</v>
      </c>
      <c r="AH50" s="44">
        <f ca="1">IF(controls!$B$33=1,(B51-B50*AC51-I51+D50*AD51+'main page'!$K$27*('main page'!$K$24+'main page'!$K$11))/'main page'!$K$31,(B51-B50*AC51+D50*AD51-H51+'main page'!$K$27*('main page'!$K$24+'main page'!$K$11))/'main page'!$K$31)</f>
        <v>1</v>
      </c>
      <c r="AI50" s="44">
        <f ca="1">IF(controls!$B$45=1,LOG(AM50,1.01)+LOG(AL50,1.01)-LOG(AK50,1.01),-((T50-('main page'!$K$24+'main page'!$K$11))/(1-'normal case'!$AV$3))+'normal case'!AH50)</f>
        <v>2.0000000596046448</v>
      </c>
      <c r="AJ50" s="80">
        <f t="shared" ca="1" si="2"/>
        <v>1.0506250015463039</v>
      </c>
      <c r="AK50" s="44">
        <f t="shared" ca="1" si="3"/>
        <v>2.4869353721037273</v>
      </c>
      <c r="AL50" s="44">
        <f>AL49*(1+'main page'!$K$32/100)</f>
        <v>1</v>
      </c>
      <c r="AM50" s="44">
        <f ca="1">IF(ABS(IF(controls!$B$45=1,$AS$13,AK50*AJ50/AL50)-AM49)&lt;0.00001,AM49,IF(controls!$B$45=1,$AS$13,AK50*AJ50/AL50))</f>
        <v>2.6128364791620364</v>
      </c>
      <c r="AN50" s="44">
        <f>IF(controls!$B$46=0,0,IF(controls!$B$33=2,B51-B50*AC51-('normal case'!H51-D50*AD51-'main page'!$K$27*'normal case'!T50+'main page'!$K$31*'normal case'!AI50)-(('main page'!$K$25*'main page'!$U$13*'main page'!$K$29)/(1+('main page'!$K$25^2)*'main page'!$U$13))*('normal case'!L50-'main page'!$U$8),B51-B50*AC51-('normal case'!I51-D50*AD51-'main page'!$K$27*'normal case'!T50+'main page'!$K$31*'normal case'!AI50)-(('main page'!$K$25*'main page'!$U$13*'main page'!$K$29)/(1+('main page'!$K$25^2)*'main page'!$U$13))*('normal case'!L50-'main page'!$U$8)))</f>
        <v>0</v>
      </c>
      <c r="AU50" s="36"/>
      <c r="AV50" s="36"/>
    </row>
    <row r="51" spans="1:48">
      <c r="A51" s="43">
        <v>49</v>
      </c>
      <c r="B51" s="62">
        <f ca="1">IF(controls!$B$33=1,B50*(1+AC51)+AA51,B50*(1+AC51))</f>
        <v>101</v>
      </c>
      <c r="C51" s="67">
        <f t="shared" ca="1" si="4"/>
        <v>-1.5107707374006907E-7</v>
      </c>
      <c r="D51" s="64">
        <f t="shared" ca="1" si="0"/>
        <v>101.00000005960464</v>
      </c>
      <c r="E51" s="64">
        <f ca="1">AN50+IF(controls!$B$33=1,G51,F51)</f>
        <v>101.00000005960464</v>
      </c>
      <c r="F51" s="78">
        <f ca="1">IF(controls!$B$44=0,H51-'main page'!$K$27*T50,H51-'main page'!$K$27*T50+'main page'!$K$31*AI50)</f>
        <v>101.00000005960464</v>
      </c>
      <c r="G51" s="62">
        <f ca="1">IF(controls!$B$44=0,I51-'main page'!$K$27*T50,I51-'main page'!$K$27*T50+'main page'!$K$31*'normal case'!AI50)</f>
        <v>101.00000005960464</v>
      </c>
      <c r="H51" s="62">
        <f t="shared" ca="1" si="8"/>
        <v>108</v>
      </c>
      <c r="I51" s="62">
        <f t="shared" ca="1" si="9"/>
        <v>108</v>
      </c>
      <c r="L51" s="62">
        <f ca="1">IF(ABS('main page'!$K$29*L50+(1-'main page'!$K$29)*(controls!$B$9/100)*100+'main page'!$K$25*(D51-B51)-L50)&lt;0.0000001,L50,'main page'!$K$29*L50+(1-'main page'!$K$29)*(controls!$B$9/100)*100+'main page'!$K$25*(D51-B51))</f>
        <v>1.9999998807907104</v>
      </c>
      <c r="Q51" s="409">
        <f ca="1">(1-'main page'!$K$29)*($AS$11/100)*100+'main page'!$K$25*(D51-B51)</f>
        <v>5.9604644775390625E-8</v>
      </c>
      <c r="R51" s="409">
        <f>'main page'!G55+'main page'!$K$29*M50</f>
        <v>0</v>
      </c>
      <c r="S51" s="409">
        <f t="shared" ca="1" si="11"/>
        <v>5.9604644775390625E-8</v>
      </c>
      <c r="T51" s="79">
        <f ca="1">IF(controls!$B$10=1,T50,IF(SUM(controls!$B$44:$B$46)=2,U51-'main page'!$K$29*'normal case'!L51-(1-'main page'!$K$29)*'main page'!$K$32,U51-'main page'!$K$29*'normal case'!L51-(1-'main page'!$K$29)*controls!$B$9))</f>
        <v>3.4999999701976776</v>
      </c>
      <c r="U51" s="164">
        <f ca="1">IF(controls!$B$45=1,IF(controls!$B$46=1,'main page'!$K$24+'main page'!$K$11+'main page'!$U$8,'main page'!$K$24+'main page'!$K$11+'main page'!$K$32),IF(controls!$B$44=1,IF(V51&lt;0,0,V51),IF(V51+'main page'!$K$11&lt;0,0,V51+'main page'!$K$11)))</f>
        <v>5.4999998509883881</v>
      </c>
      <c r="V51" s="63">
        <f ca="1">IF(controls!$B$10=1,'normal case'!T51+'normal case'!L51,'normal case'!W51)</f>
        <v>5.4999998509883881</v>
      </c>
      <c r="W51" s="61">
        <f t="shared" ca="1" si="1"/>
        <v>5.4999998509883881</v>
      </c>
      <c r="X51" s="166">
        <f ca="1">IF(controls!$B$44=0,Y51+'main page'!$K$29*L51+(1-'main page'!$K$29)*controls!$B$9+(('main page'!$K$25*'main page'!$U$13*'main page'!$K$29)/('main page'!$K$27*(1+('main page'!$K$25^2)*'main page'!$U$13)))*(L51-controls!$B$9),Y51+'main page'!$K$29*L51+(1-'main page'!$K$29)*controls!$B$9+(('main page'!$K$25*'main page'!$U$13*'normal case'!$AV$3)/'normal case'!$AV$4)*('normal case'!L51-controls!$B$9))</f>
        <v>5.4999998509883881</v>
      </c>
      <c r="Y51" s="81">
        <f ca="1">IF(controls!$B$44=1,'main page'!$K$24+'main page'!$K$11,IF(controls!$B$33=1,((I52-D51*AD52-B52+B51*AC52)/'main page'!$K$27)-'main page'!$K$11,((H52-D51*AD52-B52+B51*AC52)/'main page'!$K$27)-'main page'!$K$11))</f>
        <v>3.5</v>
      </c>
      <c r="AA51" s="58">
        <f>IF(controls!$B$6=1,$AS$3*(1+('main page'!$K$35/100))^AB51-$AS$3*(1+('main page'!$K$35/100))^AB50,$AS$3*(1+('main page'!$G$8/100))*(1+('main page'!$K$35/100))^AB51-$AS$3*(1+('main page'!$G$8/100))*(1+('main page'!$K$35/100))^AB50)</f>
        <v>0</v>
      </c>
      <c r="AB51" s="60">
        <v>44</v>
      </c>
      <c r="AC51" s="125">
        <v>0</v>
      </c>
      <c r="AD51" s="36">
        <v>0</v>
      </c>
      <c r="AE51" s="44">
        <f ca="1">IF(controls!$B$33=1,D51-($I$3-'main page'!$K$27*2)*(1+('main page'!$K$35/100))^A50,D51-$AS$4)</f>
        <v>1.0000000596046448</v>
      </c>
      <c r="AF51" s="44">
        <f ca="1">ABS(L51-(controls!$B$9/100)*100)</f>
        <v>1.1920928955078125E-7</v>
      </c>
      <c r="AH51" s="44">
        <f ca="1">IF(controls!$B$33=1,(B52-B51*AC52-I52+D51*AD52+'main page'!$K$27*('main page'!$K$24+'main page'!$K$11))/'main page'!$K$31,(B52-B51*AC52+D51*AD52-H52+'main page'!$K$27*('main page'!$K$24+'main page'!$K$11))/'main page'!$K$31)</f>
        <v>1</v>
      </c>
      <c r="AI51" s="44">
        <f ca="1">IF(controls!$B$45=1,LOG(AM51,1.01)+LOG(AL51,1.01)-LOG(AK51,1.01),-((T51-('main page'!$K$24+'main page'!$K$11))/(1-'normal case'!$AV$3))+'normal case'!AH51)</f>
        <v>2.0000000596046448</v>
      </c>
      <c r="AJ51" s="80">
        <f t="shared" ca="1" si="2"/>
        <v>1.0506250015463039</v>
      </c>
      <c r="AK51" s="44">
        <f t="shared" ca="1" si="3"/>
        <v>2.5366740765811437</v>
      </c>
      <c r="AL51" s="44">
        <f>AL50*(1+'main page'!$K$32/100)</f>
        <v>1</v>
      </c>
      <c r="AM51" s="44">
        <f ca="1">IF(ABS(IF(controls!$B$45=1,$AS$13,AK51*AJ51/AL51)-AM50)&lt;0.00001,AM50,IF(controls!$B$45=1,$AS$13,AK51*AJ51/AL51))</f>
        <v>2.6650932056305332</v>
      </c>
      <c r="AN51" s="44">
        <f>IF(controls!$B$46=0,0,IF(controls!$B$33=2,B52-B51*AC52-('normal case'!H52-D51*AD52-'main page'!$K$27*'normal case'!T51+'main page'!$K$31*'normal case'!AI51)-(('main page'!$K$25*'main page'!$U$13*'main page'!$K$29)/(1+('main page'!$K$25^2)*'main page'!$U$13))*('normal case'!L51-'main page'!$U$8),B52-B51*AC52-('normal case'!I52-D51*AD52-'main page'!$K$27*'normal case'!T51+'main page'!$K$31*'normal case'!AI51)-(('main page'!$K$25*'main page'!$U$13*'main page'!$K$29)/(1+('main page'!$K$25^2)*'main page'!$U$13))*('normal case'!L51-'main page'!$U$8)))</f>
        <v>0</v>
      </c>
      <c r="AU51" s="36"/>
      <c r="AV51" s="36"/>
    </row>
    <row r="52" spans="1:48">
      <c r="A52" s="43">
        <v>50</v>
      </c>
      <c r="B52" s="62">
        <f ca="1">IF(controls!$B$33=1,B51*(1+AC52)+AA52,B51*(1+AC52))</f>
        <v>101</v>
      </c>
      <c r="C52" s="67">
        <f t="shared" ca="1" si="4"/>
        <v>-1.5107707374006907E-7</v>
      </c>
      <c r="D52" s="64">
        <f t="shared" ca="1" si="0"/>
        <v>101.00000005960464</v>
      </c>
      <c r="E52" s="64">
        <f ca="1">AN51+IF(controls!$B$33=1,G52,F52)</f>
        <v>101.00000005960464</v>
      </c>
      <c r="F52" s="78">
        <f ca="1">IF(controls!$B$44=0,H52-'main page'!$K$27*T51,H52-'main page'!$K$27*T51+'main page'!$K$31*AI51)</f>
        <v>101.00000005960464</v>
      </c>
      <c r="G52" s="62">
        <f ca="1">IF(controls!$B$44=0,I52-'main page'!$K$27*T51,I52-'main page'!$K$27*T51+'main page'!$K$31*'normal case'!AI51)</f>
        <v>101.00000005960464</v>
      </c>
      <c r="H52" s="62">
        <f t="shared" ca="1" si="8"/>
        <v>108</v>
      </c>
      <c r="I52" s="62">
        <f t="shared" ca="1" si="9"/>
        <v>108</v>
      </c>
      <c r="L52" s="62">
        <f ca="1">IF(ABS('main page'!$K$29*L51+(1-'main page'!$K$29)*(controls!$B$9/100)*100+'main page'!$K$25*(D52-B52)-L51)&lt;0.0000001,L51,'main page'!$K$29*L51+(1-'main page'!$K$29)*(controls!$B$9/100)*100+'main page'!$K$25*(D52-B52))</f>
        <v>1.9999998807907104</v>
      </c>
      <c r="Q52" s="409">
        <f ca="1">(1-'main page'!$K$29)*($AS$11/100)*100+'main page'!$K$25*(D52-B52)</f>
        <v>5.9604644775390625E-8</v>
      </c>
      <c r="R52" s="409">
        <f>'main page'!G56+'main page'!$K$29*M51</f>
        <v>0</v>
      </c>
      <c r="S52" s="409">
        <f t="shared" ca="1" si="11"/>
        <v>5.9604644775390625E-8</v>
      </c>
      <c r="T52" s="79">
        <f ca="1">IF(controls!$B$10=1,T51,IF(SUM(controls!$B$44:$B$46)=2,U52-'main page'!$K$29*'normal case'!L52-(1-'main page'!$K$29)*'main page'!$K$32,U52-'main page'!$K$29*'normal case'!L52-(1-'main page'!$K$29)*controls!$B$9))</f>
        <v>3.4999999701976776</v>
      </c>
      <c r="U52" s="164">
        <f ca="1">IF(controls!$B$45=1,IF(controls!$B$46=1,'main page'!$K$24+'main page'!$K$11+'main page'!$U$8,'main page'!$K$24+'main page'!$K$11+'main page'!$K$32),IF(controls!$B$44=1,IF(V52&lt;0,0,V52),IF(V52+'main page'!$K$11&lt;0,0,V52+'main page'!$K$11)))</f>
        <v>5.4999998509883881</v>
      </c>
      <c r="V52" s="63">
        <f ca="1">IF(controls!$B$10=1,'normal case'!T52+'normal case'!L52,'normal case'!W52)</f>
        <v>5.4999998509883881</v>
      </c>
      <c r="W52" s="61">
        <f t="shared" ca="1" si="1"/>
        <v>5.4999998509883881</v>
      </c>
      <c r="X52" s="166">
        <f ca="1">IF(controls!$B$44=0,Y52+'main page'!$K$29*L52+(1-'main page'!$K$29)*controls!$B$9+(('main page'!$K$25*'main page'!$U$13*'main page'!$K$29)/('main page'!$K$27*(1+('main page'!$K$25^2)*'main page'!$U$13)))*(L52-controls!$B$9),Y52+'main page'!$K$29*L52+(1-'main page'!$K$29)*controls!$B$9+(('main page'!$K$25*'main page'!$U$13*'normal case'!$AV$3)/'normal case'!$AV$4)*('normal case'!L52-controls!$B$9))</f>
        <v>5.4999998509883881</v>
      </c>
      <c r="Y52" s="81">
        <f ca="1">IF(controls!$B$44=1,'main page'!$K$24+'main page'!$K$11,IF(controls!$B$33=1,((I53-D52*AD53-B53+B52*AC53)/'main page'!$K$27)-'main page'!$K$11,((H53-D52*AD53-B53+B52*AC53)/'main page'!$K$27)-'main page'!$K$11))</f>
        <v>3.5</v>
      </c>
      <c r="AA52" s="58">
        <f>IF(controls!$B$6=1,$AS$3*(1+('main page'!$K$35/100))^AB52-$AS$3*(1+('main page'!$K$35/100))^AB51,$AS$3*(1+('main page'!$G$8/100))*(1+('main page'!$K$35/100))^AB52-$AS$3*(1+('main page'!$G$8/100))*(1+('main page'!$K$35/100))^AB51)</f>
        <v>0</v>
      </c>
      <c r="AB52" s="60">
        <v>45</v>
      </c>
      <c r="AC52" s="125">
        <v>0</v>
      </c>
      <c r="AD52" s="36">
        <v>0</v>
      </c>
      <c r="AE52" s="44">
        <f ca="1">IF(controls!$B$33=1,D52-($I$3-'main page'!$K$27*2)*(1+('main page'!$K$35/100))^A51,D52-$AS$4)</f>
        <v>1.0000000596046448</v>
      </c>
      <c r="AF52" s="44">
        <f ca="1">ABS(L52-(controls!$B$9/100)*100)</f>
        <v>1.1920928955078125E-7</v>
      </c>
      <c r="AH52" s="44">
        <f ca="1">IF(controls!$B$33=1,(B53-B52*AC53-I53+D52*AD53+'main page'!$K$27*('main page'!$K$24+'main page'!$K$11))/'main page'!$K$31,(B53-B52*AC53+D52*AD53-H53+'main page'!$K$27*('main page'!$K$24+'main page'!$K$11))/'main page'!$K$31)</f>
        <v>1</v>
      </c>
      <c r="AI52" s="44">
        <f ca="1">IF(controls!$B$45=1,LOG(AM52,1.01)+LOG(AL52,1.01)-LOG(AK52,1.01),-((T52-('main page'!$K$24+'main page'!$K$11))/(1-'normal case'!$AV$3))+'normal case'!AH52)</f>
        <v>2.0000000596046448</v>
      </c>
      <c r="AJ52" s="80">
        <f t="shared" ca="1" si="2"/>
        <v>1.0506250015463039</v>
      </c>
      <c r="AK52" s="44">
        <f t="shared" ca="1" si="3"/>
        <v>2.5874075550888156</v>
      </c>
      <c r="AL52" s="44">
        <f>AL51*(1+'main page'!$K$32/100)</f>
        <v>1</v>
      </c>
      <c r="AM52" s="44">
        <f ca="1">IF(ABS(IF(controls!$B$45=1,$AS$13,AK52*AJ52/AL52)-AM51)&lt;0.00001,AM51,IF(controls!$B$45=1,$AS$13,AK52*AJ52/AL52))</f>
        <v>2.7183950665661052</v>
      </c>
      <c r="AN52" s="44">
        <f>IF(controls!$B$46=0,0,IF(controls!$B$33=2,B53-B52*AC53-('normal case'!H53-D52*AD53-'main page'!$K$27*'normal case'!T52+'main page'!$K$31*'normal case'!AI52)-(('main page'!$K$25*'main page'!$U$13*'main page'!$K$29)/(1+('main page'!$K$25^2)*'main page'!$U$13))*('normal case'!L52-'main page'!$U$8),B53-B52*AC53-('normal case'!I53-D52*AD53-'main page'!$K$27*'normal case'!T52+'main page'!$K$31*'normal case'!AI52)-(('main page'!$K$25*'main page'!$U$13*'main page'!$K$29)/(1+('main page'!$K$25^2)*'main page'!$U$13))*('normal case'!L52-'main page'!$U$8)))</f>
        <v>0</v>
      </c>
      <c r="AU52" s="36"/>
      <c r="AV52" s="36"/>
    </row>
    <row r="53" spans="1:48">
      <c r="A53" s="43">
        <v>51</v>
      </c>
      <c r="B53" s="62">
        <f ca="1">IF(controls!$B$33=1,B52*(1+AC53)+AA53,B52*(1+AC53))</f>
        <v>101</v>
      </c>
      <c r="C53" s="67">
        <f t="shared" ca="1" si="4"/>
        <v>-1.5107707374006907E-7</v>
      </c>
      <c r="D53" s="64">
        <f t="shared" ca="1" si="0"/>
        <v>101.00000005960464</v>
      </c>
      <c r="E53" s="64">
        <f ca="1">AN52+IF(controls!$B$33=1,G53,F53)</f>
        <v>101.00000005960464</v>
      </c>
      <c r="F53" s="78">
        <f ca="1">IF(controls!$B$44=0,H53-'main page'!$K$27*T52,H53-'main page'!$K$27*T52+'main page'!$K$31*AI52)</f>
        <v>101.00000005960464</v>
      </c>
      <c r="G53" s="62">
        <f ca="1">IF(controls!$B$44=0,I53-'main page'!$K$27*T52,I53-'main page'!$K$27*T52+'main page'!$K$31*'normal case'!AI52)</f>
        <v>101.00000005960464</v>
      </c>
      <c r="H53" s="62">
        <f t="shared" ca="1" si="8"/>
        <v>108</v>
      </c>
      <c r="I53" s="62">
        <f t="shared" ca="1" si="9"/>
        <v>108</v>
      </c>
      <c r="L53" s="62">
        <f ca="1">IF(ABS('main page'!$K$29*L52+(1-'main page'!$K$29)*(controls!$B$9/100)*100+'main page'!$K$25*(D53-B53)-L52)&lt;0.0000001,L52,'main page'!$K$29*L52+(1-'main page'!$K$29)*(controls!$B$9/100)*100+'main page'!$K$25*(D53-B53))</f>
        <v>1.9999998807907104</v>
      </c>
      <c r="Q53" s="409">
        <f ca="1">(1-'main page'!$K$29)*($AS$11/100)*100+'main page'!$K$25*(D53-B53)</f>
        <v>5.9604644775390625E-8</v>
      </c>
      <c r="R53" s="409">
        <f>'main page'!G57+'main page'!$K$29*M52</f>
        <v>0</v>
      </c>
      <c r="S53" s="409">
        <f t="shared" ca="1" si="11"/>
        <v>5.9604644775390625E-8</v>
      </c>
      <c r="T53" s="79">
        <f ca="1">IF(controls!$B$10=1,T52,IF(SUM(controls!$B$44:$B$46)=2,U53-'main page'!$K$29*'normal case'!L53-(1-'main page'!$K$29)*'main page'!$K$32,U53-'main page'!$K$29*'normal case'!L53-(1-'main page'!$K$29)*controls!$B$9))</f>
        <v>3.4999999701976776</v>
      </c>
      <c r="U53" s="164">
        <f ca="1">IF(controls!$B$45=1,IF(controls!$B$46=1,'main page'!$K$24+'main page'!$K$11+'main page'!$U$8,'main page'!$K$24+'main page'!$K$11+'main page'!$K$32),IF(controls!$B$44=1,IF(V53&lt;0,0,V53),IF(V53+'main page'!$K$11&lt;0,0,V53+'main page'!$K$11)))</f>
        <v>5.4999998509883881</v>
      </c>
      <c r="V53" s="63">
        <f ca="1">IF(controls!$B$10=1,'normal case'!T53+'normal case'!L53,'normal case'!W53)</f>
        <v>5.4999998509883881</v>
      </c>
      <c r="W53" s="61">
        <f t="shared" ca="1" si="1"/>
        <v>5.4999998509883881</v>
      </c>
      <c r="X53" s="166">
        <f ca="1">IF(controls!$B$44=0,Y53+'main page'!$K$29*L53+(1-'main page'!$K$29)*controls!$B$9+(('main page'!$K$25*'main page'!$U$13*'main page'!$K$29)/('main page'!$K$27*(1+('main page'!$K$25^2)*'main page'!$U$13)))*(L53-controls!$B$9),Y53+'main page'!$K$29*L53+(1-'main page'!$K$29)*controls!$B$9+(('main page'!$K$25*'main page'!$U$13*'normal case'!$AV$3)/'normal case'!$AV$4)*('normal case'!L53-controls!$B$9))</f>
        <v>5.4999998509883881</v>
      </c>
      <c r="Y53" s="81">
        <f ca="1">IF(controls!$B$44=1,'main page'!$K$24+'main page'!$K$11,IF(controls!$B$33=1,((I54-D53*AD54-B54+B53*AC54)/'main page'!$K$27)-'main page'!$K$11,((H54-D53*AD54-B54+B53*AC54)/'main page'!$K$27)-'main page'!$K$11))</f>
        <v>3.5</v>
      </c>
      <c r="AA53" s="58">
        <f>IF(controls!$B$6=1,$AS$3*(1+('main page'!$K$35/100))^AB53-$AS$3*(1+('main page'!$K$35/100))^AB52,$AS$3*(1+('main page'!$G$8/100))*(1+('main page'!$K$35/100))^AB53-$AS$3*(1+('main page'!$G$8/100))*(1+('main page'!$K$35/100))^AB52)</f>
        <v>0</v>
      </c>
      <c r="AB53" s="60">
        <v>46</v>
      </c>
      <c r="AC53" s="125">
        <f ca="1">IF(controls!$B$4=1,IF(controls!$H52=1,controls!$B$34*AC52+RAND()*('main page'!$K$16/100)-RAND()*('main page'!$K$16/100),0),0)</f>
        <v>0</v>
      </c>
      <c r="AD53" s="36">
        <f ca="1">IF(controls!$B$4=1,IF(controls!$I52=1,controls!$B$34*AD52+RAND()*('main page'!$K$16/100)-RAND()*('main page'!$K$16/100),0),0)</f>
        <v>0</v>
      </c>
      <c r="AE53" s="44">
        <f ca="1">IF(controls!$B$33=1,D53-($I$3-'main page'!$K$27*2)*(1+('main page'!$K$35/100))^A52,D53-$AS$4)</f>
        <v>1.0000000596046448</v>
      </c>
      <c r="AF53" s="44">
        <f ca="1">ABS(L53-(controls!$B$9/100)*100)</f>
        <v>1.1920928955078125E-7</v>
      </c>
      <c r="AH53" s="44">
        <f ca="1">IF(controls!$B$33=1,(B54-B53*AC54-I54+D53*AD54+'main page'!$K$27*('main page'!$K$24+'main page'!$K$11))/'main page'!$K$31,(B54-B53*AC54+D53*AD54-H54+'main page'!$K$27*('main page'!$K$24+'main page'!$K$11))/'main page'!$K$31)</f>
        <v>1</v>
      </c>
      <c r="AI53" s="44">
        <f ca="1">IF(controls!$B$45=1,LOG(AM53,1.01)+LOG(AL53,1.01)-LOG(AK53,1.01),-((T53-('main page'!$K$24+'main page'!$K$11))/(1-'normal case'!$AV$3))+'normal case'!AH53)</f>
        <v>2.0000000596046448</v>
      </c>
      <c r="AJ53" s="80">
        <f t="shared" ca="1" si="2"/>
        <v>1.0506250015463039</v>
      </c>
      <c r="AK53" s="44">
        <f t="shared" ca="1" si="3"/>
        <v>2.6391557031061619</v>
      </c>
      <c r="AL53" s="44">
        <f>AL52*(1+'main page'!$K$32/100)</f>
        <v>1</v>
      </c>
      <c r="AM53" s="44">
        <f ca="1">IF(ABS(IF(controls!$B$45=1,$AS$13,AK53*AJ53/AL53)-AM52)&lt;0.00001,AM52,IF(controls!$B$45=1,$AS$13,AK53*AJ53/AL53))</f>
        <v>2.7727629646568479</v>
      </c>
      <c r="AN53" s="44">
        <f>IF(controls!$B$46=0,0,IF(controls!$B$33=2,B54-B53*AC54-('normal case'!H54-D53*AD54-'main page'!$K$27*'normal case'!T53+'main page'!$K$31*'normal case'!AI53)-(('main page'!$K$25*'main page'!$U$13*'main page'!$K$29)/(1+('main page'!$K$25^2)*'main page'!$U$13))*('normal case'!L53-'main page'!$U$8),B54-B53*AC54-('normal case'!I54-D53*AD54-'main page'!$K$27*'normal case'!T53+'main page'!$K$31*'normal case'!AI53)-(('main page'!$K$25*'main page'!$U$13*'main page'!$K$29)/(1+('main page'!$K$25^2)*'main page'!$U$13))*('normal case'!L53-'main page'!$U$8)))</f>
        <v>0</v>
      </c>
      <c r="AU53" s="36"/>
      <c r="AV53" s="36"/>
    </row>
    <row r="54" spans="1:48">
      <c r="A54" s="43">
        <v>52</v>
      </c>
      <c r="B54" s="62">
        <f ca="1">IF(controls!$B$33=1,B53*(1+AC54)+AA54,B53*(1+AC54))</f>
        <v>101</v>
      </c>
      <c r="C54" s="67">
        <f t="shared" ca="1" si="4"/>
        <v>-1.5107707374006907E-7</v>
      </c>
      <c r="D54" s="64">
        <f t="shared" ca="1" si="0"/>
        <v>101.00000005960464</v>
      </c>
      <c r="E54" s="64">
        <f ca="1">AN53+IF(controls!$B$33=1,G54,F54)</f>
        <v>101.00000005960464</v>
      </c>
      <c r="F54" s="78">
        <f ca="1">IF(controls!$B$44=0,H54-'main page'!$K$27*T53,H54-'main page'!$K$27*T53+'main page'!$K$31*AI53)</f>
        <v>101.00000005960464</v>
      </c>
      <c r="G54" s="62">
        <f ca="1">IF(controls!$B$44=0,I54-'main page'!$K$27*T53,I54-'main page'!$K$27*T53+'main page'!$K$31*'normal case'!AI53)</f>
        <v>101.00000005960464</v>
      </c>
      <c r="H54" s="62">
        <f t="shared" ca="1" si="8"/>
        <v>108</v>
      </c>
      <c r="I54" s="62">
        <f t="shared" ca="1" si="9"/>
        <v>108</v>
      </c>
      <c r="L54" s="62">
        <f ca="1">IF(ABS('main page'!$K$29*L53+(1-'main page'!$K$29)*(controls!$B$9/100)*100+'main page'!$K$25*(D54-B54)-L53)&lt;0.0000001,L53,'main page'!$K$29*L53+(1-'main page'!$K$29)*(controls!$B$9/100)*100+'main page'!$K$25*(D54-B54))</f>
        <v>1.9999998807907104</v>
      </c>
      <c r="Q54" s="409">
        <f ca="1">(1-'main page'!$K$29)*($AS$11/100)*100+'main page'!$K$25*(D54-B54)</f>
        <v>5.9604644775390625E-8</v>
      </c>
      <c r="R54" s="409">
        <f>'main page'!G58+'main page'!$K$29*M53</f>
        <v>0</v>
      </c>
      <c r="S54" s="409">
        <f t="shared" ca="1" si="11"/>
        <v>5.9604644775390625E-8</v>
      </c>
      <c r="T54" s="79">
        <f ca="1">IF(controls!$B$10=1,T53,IF(SUM(controls!$B$44:$B$46)=2,U54-'main page'!$K$29*'normal case'!L54-(1-'main page'!$K$29)*'main page'!$K$32,U54-'main page'!$K$29*'normal case'!L54-(1-'main page'!$K$29)*controls!$B$9))</f>
        <v>3.4999999701976776</v>
      </c>
      <c r="U54" s="164">
        <f ca="1">IF(controls!$B$45=1,IF(controls!$B$46=1,'main page'!$K$24+'main page'!$K$11+'main page'!$U$8,'main page'!$K$24+'main page'!$K$11+'main page'!$K$32),IF(controls!$B$44=1,IF(V54&lt;0,0,V54),IF(V54+'main page'!$K$11&lt;0,0,V54+'main page'!$K$11)))</f>
        <v>5.4999998509883881</v>
      </c>
      <c r="V54" s="63">
        <f ca="1">IF(controls!$B$10=1,'normal case'!T54+'normal case'!L54,'normal case'!W54)</f>
        <v>5.4999998509883881</v>
      </c>
      <c r="W54" s="61">
        <f t="shared" ca="1" si="1"/>
        <v>5.4999998509883881</v>
      </c>
      <c r="X54" s="166">
        <f ca="1">IF(controls!$B$44=0,Y54+'main page'!$K$29*L54+(1-'main page'!$K$29)*controls!$B$9+(('main page'!$K$25*'main page'!$U$13*'main page'!$K$29)/('main page'!$K$27*(1+('main page'!$K$25^2)*'main page'!$U$13)))*(L54-controls!$B$9),Y54+'main page'!$K$29*L54+(1-'main page'!$K$29)*controls!$B$9+(('main page'!$K$25*'main page'!$U$13*'normal case'!$AV$3)/'normal case'!$AV$4)*('normal case'!L54-controls!$B$9))</f>
        <v>5.4999998509883881</v>
      </c>
      <c r="Y54" s="81">
        <f ca="1">IF(controls!$B$44=1,'main page'!$K$24+'main page'!$K$11,IF(controls!$B$33=1,((I55-D54*AD55-B55+B54*AC55)/'main page'!$K$27)-'main page'!$K$11,((H55-D54*AD55-B55+B54*AC55)/'main page'!$K$27)-'main page'!$K$11))</f>
        <v>3.5</v>
      </c>
      <c r="AA54" s="58">
        <f>IF(controls!$B$6=1,$AS$3*(1+('main page'!$K$35/100))^AB54-$AS$3*(1+('main page'!$K$35/100))^AB53,$AS$3*(1+('main page'!$G$8/100))*(1+('main page'!$K$35/100))^AB54-$AS$3*(1+('main page'!$G$8/100))*(1+('main page'!$K$35/100))^AB53)</f>
        <v>0</v>
      </c>
      <c r="AB54" s="60">
        <v>47</v>
      </c>
      <c r="AC54" s="125">
        <v>0</v>
      </c>
      <c r="AD54" s="36">
        <v>0</v>
      </c>
      <c r="AE54" s="44">
        <f ca="1">IF(controls!$B$33=1,D54-($I$3-'main page'!$K$27*2)*(1+('main page'!$K$35/100))^A53,D54-$AS$4)</f>
        <v>1.0000000596046448</v>
      </c>
      <c r="AF54" s="44">
        <f ca="1">ABS(L54-(controls!$B$9/100)*100)</f>
        <v>1.1920928955078125E-7</v>
      </c>
      <c r="AH54" s="44">
        <f ca="1">IF(controls!$B$33=1,(B55-B54*AC55-I55+D54*AD55+'main page'!$K$27*('main page'!$K$24+'main page'!$K$11))/'main page'!$K$31,(B55-B54*AC55+D54*AD55-H55+'main page'!$K$27*('main page'!$K$24+'main page'!$K$11))/'main page'!$K$31)</f>
        <v>1</v>
      </c>
      <c r="AI54" s="44">
        <f ca="1">IF(controls!$B$45=1,LOG(AM54,1.01)+LOG(AL54,1.01)-LOG(AK54,1.01),-((T54-('main page'!$K$24+'main page'!$K$11))/(1-'normal case'!$AV$3))+'normal case'!AH54)</f>
        <v>2.0000000596046448</v>
      </c>
      <c r="AJ54" s="80">
        <f t="shared" ca="1" si="2"/>
        <v>1.0506250015463039</v>
      </c>
      <c r="AK54" s="44">
        <f t="shared" ca="1" si="3"/>
        <v>2.6919388140221665</v>
      </c>
      <c r="AL54" s="44">
        <f>AL53*(1+'main page'!$K$32/100)</f>
        <v>1</v>
      </c>
      <c r="AM54" s="44">
        <f ca="1">IF(ABS(IF(controls!$B$45=1,$AS$13,AK54*AJ54/AL54)-AM53)&lt;0.00001,AM53,IF(controls!$B$45=1,$AS$13,AK54*AJ54/AL54))</f>
        <v>2.8282182206445943</v>
      </c>
      <c r="AN54" s="44">
        <f>IF(controls!$B$46=0,0,IF(controls!$B$33=2,B55-B54*AC55-('normal case'!H55-D54*AD55-'main page'!$K$27*'normal case'!T54+'main page'!$K$31*'normal case'!AI54)-(('main page'!$K$25*'main page'!$U$13*'main page'!$K$29)/(1+('main page'!$K$25^2)*'main page'!$U$13))*('normal case'!L54-'main page'!$U$8),B55-B54*AC55-('normal case'!I55-D54*AD55-'main page'!$K$27*'normal case'!T54+'main page'!$K$31*'normal case'!AI54)-(('main page'!$K$25*'main page'!$U$13*'main page'!$K$29)/(1+('main page'!$K$25^2)*'main page'!$U$13))*('normal case'!L54-'main page'!$U$8)))</f>
        <v>0</v>
      </c>
      <c r="AU54" s="36"/>
      <c r="AV54" s="36"/>
    </row>
    <row r="55" spans="1:48">
      <c r="A55" s="43">
        <v>53</v>
      </c>
      <c r="B55" s="62">
        <f ca="1">IF(controls!$B$33=1,B54*(1+AC55)+AA55,B54*(1+AC55))</f>
        <v>101</v>
      </c>
      <c r="C55" s="67">
        <f t="shared" ca="1" si="4"/>
        <v>-1.5107707374006907E-7</v>
      </c>
      <c r="D55" s="64">
        <f t="shared" ca="1" si="0"/>
        <v>101.00000005960464</v>
      </c>
      <c r="E55" s="64">
        <f ca="1">AN54+IF(controls!$B$33=1,G55,F55)</f>
        <v>101.00000005960464</v>
      </c>
      <c r="F55" s="78">
        <f ca="1">IF(controls!$B$44=0,H55-'main page'!$K$27*T54,H55-'main page'!$K$27*T54+'main page'!$K$31*AI54)</f>
        <v>101.00000005960464</v>
      </c>
      <c r="G55" s="62">
        <f ca="1">IF(controls!$B$44=0,I55-'main page'!$K$27*T54,I55-'main page'!$K$27*T54+'main page'!$K$31*'normal case'!AI54)</f>
        <v>101.00000005960464</v>
      </c>
      <c r="H55" s="62">
        <f t="shared" ca="1" si="8"/>
        <v>108</v>
      </c>
      <c r="I55" s="62">
        <f t="shared" ca="1" si="9"/>
        <v>108</v>
      </c>
      <c r="L55" s="62">
        <f ca="1">IF(ABS('main page'!$K$29*L54+(1-'main page'!$K$29)*(controls!$B$9/100)*100+'main page'!$K$25*(D55-B55)-L54)&lt;0.0000001,L54,'main page'!$K$29*L54+(1-'main page'!$K$29)*(controls!$B$9/100)*100+'main page'!$K$25*(D55-B55))</f>
        <v>1.9999998807907104</v>
      </c>
      <c r="Q55" s="409">
        <f ca="1">(1-'main page'!$K$29)*($AS$11/100)*100+'main page'!$K$25*(D55-B55)</f>
        <v>5.9604644775390625E-8</v>
      </c>
      <c r="R55" s="409">
        <f>'main page'!G59+'main page'!$K$29*M54</f>
        <v>0</v>
      </c>
      <c r="S55" s="409">
        <f t="shared" ca="1" si="11"/>
        <v>5.9604644775390625E-8</v>
      </c>
      <c r="T55" s="79">
        <f ca="1">IF(controls!$B$10=1,T54,IF(SUM(controls!$B$44:$B$46)=2,U55-'main page'!$K$29*'normal case'!L55-(1-'main page'!$K$29)*'main page'!$K$32,U55-'main page'!$K$29*'normal case'!L55-(1-'main page'!$K$29)*controls!$B$9))</f>
        <v>3.4999999701976776</v>
      </c>
      <c r="U55" s="164">
        <f ca="1">IF(controls!$B$45=1,IF(controls!$B$46=1,'main page'!$K$24+'main page'!$K$11+'main page'!$U$8,'main page'!$K$24+'main page'!$K$11+'main page'!$K$32),IF(controls!$B$44=1,IF(V55&lt;0,0,V55),IF(V55+'main page'!$K$11&lt;0,0,V55+'main page'!$K$11)))</f>
        <v>5.4999998509883881</v>
      </c>
      <c r="V55" s="63">
        <f ca="1">IF(controls!$B$10=1,'normal case'!T55+'normal case'!L55,'normal case'!W55)</f>
        <v>5.4999998509883881</v>
      </c>
      <c r="W55" s="61">
        <f t="shared" ca="1" si="1"/>
        <v>5.4999998509883881</v>
      </c>
      <c r="X55" s="166">
        <f ca="1">IF(controls!$B$44=0,Y55+'main page'!$K$29*L55+(1-'main page'!$K$29)*controls!$B$9+(('main page'!$K$25*'main page'!$U$13*'main page'!$K$29)/('main page'!$K$27*(1+('main page'!$K$25^2)*'main page'!$U$13)))*(L55-controls!$B$9),Y55+'main page'!$K$29*L55+(1-'main page'!$K$29)*controls!$B$9+(('main page'!$K$25*'main page'!$U$13*'normal case'!$AV$3)/'normal case'!$AV$4)*('normal case'!L55-controls!$B$9))</f>
        <v>5.4999998509883881</v>
      </c>
      <c r="Y55" s="81">
        <f ca="1">IF(controls!$B$44=1,'main page'!$K$24+'main page'!$K$11,IF(controls!$B$33=1,((I56-D55*AD56-B56+B55*AC56)/'main page'!$K$27)-'main page'!$K$11,((H56-D55*AD56-B56+B55*AC56)/'main page'!$K$27)-'main page'!$K$11))</f>
        <v>3.5</v>
      </c>
      <c r="AA55" s="58">
        <f>IF(controls!$B$6=1,$AS$3*(1+('main page'!$K$35/100))^AB55-$AS$3*(1+('main page'!$K$35/100))^AB54,$AS$3*(1+('main page'!$G$8/100))*(1+('main page'!$K$35/100))^AB55-$AS$3*(1+('main page'!$G$8/100))*(1+('main page'!$K$35/100))^AB54)</f>
        <v>0</v>
      </c>
      <c r="AB55" s="60">
        <v>48</v>
      </c>
      <c r="AC55" s="125">
        <v>0</v>
      </c>
      <c r="AD55" s="36">
        <v>0</v>
      </c>
      <c r="AE55" s="44">
        <f ca="1">IF(controls!$B$33=1,D55-($I$3-'main page'!$K$27*2)*(1+('main page'!$K$35/100))^A54,D55-$AS$4)</f>
        <v>1.0000000596046448</v>
      </c>
      <c r="AF55" s="44">
        <f ca="1">ABS(L55-(controls!$B$9/100)*100)</f>
        <v>1.1920928955078125E-7</v>
      </c>
      <c r="AH55" s="44">
        <f ca="1">IF(controls!$B$33=1,(B56-B55*AC56-I56+D55*AD56+'main page'!$K$27*('main page'!$K$24+'main page'!$K$11))/'main page'!$K$31,(B56-B55*AC56+D55*AD56-H56+'main page'!$K$27*('main page'!$K$24+'main page'!$K$11))/'main page'!$K$31)</f>
        <v>1</v>
      </c>
      <c r="AI55" s="44">
        <f ca="1">IF(controls!$B$45=1,LOG(AM55,1.01)+LOG(AL55,1.01)-LOG(AK55,1.01),-((T55-('main page'!$K$24+'main page'!$K$11))/(1-'normal case'!$AV$3))+'normal case'!AH55)</f>
        <v>2.0000000596046448</v>
      </c>
      <c r="AJ55" s="80">
        <f t="shared" ca="1" si="2"/>
        <v>1.0506250015463039</v>
      </c>
      <c r="AK55" s="44">
        <f t="shared" ca="1" si="3"/>
        <v>2.7457775870935688</v>
      </c>
      <c r="AL55" s="44">
        <f>AL54*(1+'main page'!$K$32/100)</f>
        <v>1</v>
      </c>
      <c r="AM55" s="44">
        <f ca="1">IF(ABS(IF(controls!$B$45=1,$AS$13,AK55*AJ55/AL55)-AM54)&lt;0.00001,AM54,IF(controls!$B$45=1,$AS$13,AK55*AJ55/AL55))</f>
        <v>2.8847825816859873</v>
      </c>
      <c r="AN55" s="44">
        <f>IF(controls!$B$46=0,0,IF(controls!$B$33=2,B56-B55*AC56-('normal case'!H56-D55*AD56-'main page'!$K$27*'normal case'!T55+'main page'!$K$31*'normal case'!AI55)-(('main page'!$K$25*'main page'!$U$13*'main page'!$K$29)/(1+('main page'!$K$25^2)*'main page'!$U$13))*('normal case'!L55-'main page'!$U$8),B56-B55*AC56-('normal case'!I56-D55*AD56-'main page'!$K$27*'normal case'!T55+'main page'!$K$31*'normal case'!AI55)-(('main page'!$K$25*'main page'!$U$13*'main page'!$K$29)/(1+('main page'!$K$25^2)*'main page'!$U$13))*('normal case'!L55-'main page'!$U$8)))</f>
        <v>0</v>
      </c>
      <c r="AU55" s="36"/>
      <c r="AV55" s="36"/>
    </row>
    <row r="56" spans="1:48">
      <c r="A56" s="43">
        <v>54</v>
      </c>
      <c r="B56" s="62">
        <f ca="1">IF(controls!$B$33=1,B55*(1+AC56)+AA56,B55*(1+AC56))</f>
        <v>101</v>
      </c>
      <c r="C56" s="67">
        <f t="shared" ca="1" si="4"/>
        <v>-1.5107707374006907E-7</v>
      </c>
      <c r="D56" s="64">
        <f t="shared" ca="1" si="0"/>
        <v>101.00000005960464</v>
      </c>
      <c r="E56" s="64">
        <f ca="1">AN55+IF(controls!$B$33=1,G56,F56)</f>
        <v>101.00000005960464</v>
      </c>
      <c r="F56" s="78">
        <f ca="1">IF(controls!$B$44=0,H56-'main page'!$K$27*T55,H56-'main page'!$K$27*T55+'main page'!$K$31*AI55)</f>
        <v>101.00000005960464</v>
      </c>
      <c r="G56" s="62">
        <f ca="1">IF(controls!$B$44=0,I56-'main page'!$K$27*T55,I56-'main page'!$K$27*T55+'main page'!$K$31*'normal case'!AI55)</f>
        <v>101.00000005960464</v>
      </c>
      <c r="H56" s="62">
        <f t="shared" ca="1" si="8"/>
        <v>108</v>
      </c>
      <c r="I56" s="62">
        <f t="shared" ca="1" si="9"/>
        <v>108</v>
      </c>
      <c r="L56" s="62">
        <f ca="1">IF(ABS('main page'!$K$29*L55+(1-'main page'!$K$29)*(controls!$B$9/100)*100+'main page'!$K$25*(D56-B56)-L55)&lt;0.0000001,L55,'main page'!$K$29*L55+(1-'main page'!$K$29)*(controls!$B$9/100)*100+'main page'!$K$25*(D56-B56))</f>
        <v>1.9999998807907104</v>
      </c>
      <c r="Q56" s="409">
        <f ca="1">(1-'main page'!$K$29)*($AS$11/100)*100+'main page'!$K$25*(D56-B56)</f>
        <v>5.9604644775390625E-8</v>
      </c>
      <c r="R56" s="409">
        <f>'main page'!G60+'main page'!$K$29*M55</f>
        <v>0</v>
      </c>
      <c r="S56" s="409">
        <f t="shared" ca="1" si="11"/>
        <v>5.9604644775390625E-8</v>
      </c>
      <c r="T56" s="79">
        <f ca="1">IF(controls!$B$10=1,T55,IF(SUM(controls!$B$44:$B$46)=2,U56-'main page'!$K$29*'normal case'!L56-(1-'main page'!$K$29)*'main page'!$K$32,U56-'main page'!$K$29*'normal case'!L56-(1-'main page'!$K$29)*controls!$B$9))</f>
        <v>3.4999999701976776</v>
      </c>
      <c r="U56" s="164">
        <f ca="1">IF(controls!$B$45=1,IF(controls!$B$46=1,'main page'!$K$24+'main page'!$K$11+'main page'!$U$8,'main page'!$K$24+'main page'!$K$11+'main page'!$K$32),IF(controls!$B$44=1,IF(V56&lt;0,0,V56),IF(V56+'main page'!$K$11&lt;0,0,V56+'main page'!$K$11)))</f>
        <v>5.4999998509883881</v>
      </c>
      <c r="V56" s="63">
        <f ca="1">IF(controls!$B$10=1,'normal case'!T56+'normal case'!L56,'normal case'!W56)</f>
        <v>5.4999998509883881</v>
      </c>
      <c r="W56" s="61">
        <f t="shared" ca="1" si="1"/>
        <v>5.4999998509883881</v>
      </c>
      <c r="X56" s="166">
        <f ca="1">IF(controls!$B$44=0,Y56+'main page'!$K$29*L56+(1-'main page'!$K$29)*controls!$B$9+(('main page'!$K$25*'main page'!$U$13*'main page'!$K$29)/('main page'!$K$27*(1+('main page'!$K$25^2)*'main page'!$U$13)))*(L56-controls!$B$9),Y56+'main page'!$K$29*L56+(1-'main page'!$K$29)*controls!$B$9+(('main page'!$K$25*'main page'!$U$13*'normal case'!$AV$3)/'normal case'!$AV$4)*('normal case'!L56-controls!$B$9))</f>
        <v>5.4999998509883881</v>
      </c>
      <c r="Y56" s="81">
        <f ca="1">IF(controls!$B$44=1,'main page'!$K$24+'main page'!$K$11,IF(controls!$B$33=1,((I57-D56*AD57-B57+B56*AC57)/'main page'!$K$27)-'main page'!$K$11,((H57-D56*AD57-B57+B56*AC57)/'main page'!$K$27)-'main page'!$K$11))</f>
        <v>3.5</v>
      </c>
      <c r="AA56" s="58">
        <f>IF(controls!$B$6=1,$AS$3*(1+('main page'!$K$35/100))^AB56-$AS$3*(1+('main page'!$K$35/100))^AB55,$AS$3*(1+('main page'!$G$8/100))*(1+('main page'!$K$35/100))^AB56-$AS$3*(1+('main page'!$G$8/100))*(1+('main page'!$K$35/100))^AB55)</f>
        <v>0</v>
      </c>
      <c r="AB56" s="60">
        <v>49</v>
      </c>
      <c r="AC56" s="125">
        <f ca="1">IF(controls!$B$4=1,IF(controls!$H55=1,controls!$B$34*AC55+RAND()*('main page'!$K$16/100)-RAND()*('main page'!$K$16/100),0),0)</f>
        <v>0</v>
      </c>
      <c r="AD56" s="36">
        <f ca="1">IF(controls!$B$4=1,IF(controls!$I55=1,controls!$B$34*AD55+RAND()*('main page'!$K$16/100)-RAND()*('main page'!$K$16/100),0),0)</f>
        <v>0</v>
      </c>
      <c r="AE56" s="44">
        <f ca="1">IF(controls!$B$33=1,D56-($I$3-'main page'!$K$27*2)*(1+('main page'!$K$35/100))^A55,D56-$AS$4)</f>
        <v>1.0000000596046448</v>
      </c>
      <c r="AF56" s="44">
        <f ca="1">ABS(L56-(controls!$B$9/100)*100)</f>
        <v>1.1920928955078125E-7</v>
      </c>
      <c r="AH56" s="44">
        <f ca="1">IF(controls!$B$33=1,(B57-B56*AC57-I57+D56*AD57+'main page'!$K$27*('main page'!$K$24+'main page'!$K$11))/'main page'!$K$31,(B57-B56*AC57+D56*AD57-H57+'main page'!$K$27*('main page'!$K$24+'main page'!$K$11))/'main page'!$K$31)</f>
        <v>1</v>
      </c>
      <c r="AI56" s="44">
        <f ca="1">IF(controls!$B$45=1,LOG(AM56,1.01)+LOG(AL56,1.01)-LOG(AK56,1.01),-((T56-('main page'!$K$24+'main page'!$K$11))/(1-'normal case'!$AV$3))+'normal case'!AH56)</f>
        <v>2.0000000596046448</v>
      </c>
      <c r="AJ56" s="80">
        <f t="shared" ca="1" si="2"/>
        <v>1.0506250015463039</v>
      </c>
      <c r="AK56" s="44">
        <f t="shared" ca="1" si="3"/>
        <v>2.8006931355622182</v>
      </c>
      <c r="AL56" s="44">
        <f>AL55*(1+'main page'!$K$32/100)</f>
        <v>1</v>
      </c>
      <c r="AM56" s="44">
        <f ca="1">IF(ABS(IF(controls!$B$45=1,$AS$13,AK56*AJ56/AL56)-AM55)&lt;0.00001,AM55,IF(controls!$B$45=1,$AS$13,AK56*AJ56/AL56))</f>
        <v>2.9424782298807783</v>
      </c>
      <c r="AN56" s="44">
        <f>IF(controls!$B$46=0,0,IF(controls!$B$33=2,B57-B56*AC57-('normal case'!H57-D56*AD57-'main page'!$K$27*'normal case'!T56+'main page'!$K$31*'normal case'!AI56)-(('main page'!$K$25*'main page'!$U$13*'main page'!$K$29)/(1+('main page'!$K$25^2)*'main page'!$U$13))*('normal case'!L56-'main page'!$U$8),B57-B56*AC57-('normal case'!I57-D56*AD57-'main page'!$K$27*'normal case'!T56+'main page'!$K$31*'normal case'!AI56)-(('main page'!$K$25*'main page'!$U$13*'main page'!$K$29)/(1+('main page'!$K$25^2)*'main page'!$U$13))*('normal case'!L56-'main page'!$U$8)))</f>
        <v>0</v>
      </c>
      <c r="AU56" s="36"/>
      <c r="AV56" s="36"/>
    </row>
    <row r="57" spans="1:48">
      <c r="A57" s="43">
        <v>55</v>
      </c>
      <c r="B57" s="62">
        <f ca="1">IF(controls!$B$33=1,B56*(1+AC57)+AA57,B56*(1+AC57))</f>
        <v>101</v>
      </c>
      <c r="C57" s="67">
        <f t="shared" ca="1" si="4"/>
        <v>-1.5107707374006907E-7</v>
      </c>
      <c r="D57" s="64">
        <f t="shared" ca="1" si="0"/>
        <v>101.00000005960464</v>
      </c>
      <c r="E57" s="64">
        <f ca="1">AN56+IF(controls!$B$33=1,G57,F57)</f>
        <v>101.00000005960464</v>
      </c>
      <c r="F57" s="78">
        <f ca="1">IF(controls!$B$44=0,H57-'main page'!$K$27*T56,H57-'main page'!$K$27*T56+'main page'!$K$31*AI56)</f>
        <v>101.00000005960464</v>
      </c>
      <c r="G57" s="62">
        <f ca="1">IF(controls!$B$44=0,I57-'main page'!$K$27*T56,I57-'main page'!$K$27*T56+'main page'!$K$31*'normal case'!AI56)</f>
        <v>101.00000005960464</v>
      </c>
      <c r="H57" s="62">
        <f t="shared" ca="1" si="8"/>
        <v>108</v>
      </c>
      <c r="I57" s="62">
        <f t="shared" ca="1" si="9"/>
        <v>108</v>
      </c>
      <c r="L57" s="62">
        <f ca="1">IF(ABS('main page'!$K$29*L56+(1-'main page'!$K$29)*(controls!$B$9/100)*100+'main page'!$K$25*(D57-B57)-L56)&lt;0.0000001,L56,'main page'!$K$29*L56+(1-'main page'!$K$29)*(controls!$B$9/100)*100+'main page'!$K$25*(D57-B57))</f>
        <v>1.9999998807907104</v>
      </c>
      <c r="Q57" s="409">
        <f ca="1">(1-'main page'!$K$29)*($AS$11/100)*100+'main page'!$K$25*(D57-B57)</f>
        <v>5.9604644775390625E-8</v>
      </c>
      <c r="R57" s="409">
        <f>'main page'!G61+'main page'!$K$29*M56</f>
        <v>0</v>
      </c>
      <c r="S57" s="409">
        <f t="shared" ca="1" si="11"/>
        <v>5.9604644775390625E-8</v>
      </c>
      <c r="T57" s="79">
        <f ca="1">IF(controls!$B$10=1,T56,IF(SUM(controls!$B$44:$B$46)=2,U57-'main page'!$K$29*'normal case'!L57-(1-'main page'!$K$29)*'main page'!$K$32,U57-'main page'!$K$29*'normal case'!L57-(1-'main page'!$K$29)*controls!$B$9))</f>
        <v>3.4999999701976776</v>
      </c>
      <c r="U57" s="164">
        <f ca="1">IF(controls!$B$45=1,IF(controls!$B$46=1,'main page'!$K$24+'main page'!$K$11+'main page'!$U$8,'main page'!$K$24+'main page'!$K$11+'main page'!$K$32),IF(controls!$B$44=1,IF(V57&lt;0,0,V57),IF(V57+'main page'!$K$11&lt;0,0,V57+'main page'!$K$11)))</f>
        <v>5.4999998509883881</v>
      </c>
      <c r="V57" s="63">
        <f ca="1">IF(controls!$B$10=1,'normal case'!T57+'normal case'!L57,'normal case'!W57)</f>
        <v>5.4999998509883881</v>
      </c>
      <c r="W57" s="61">
        <f t="shared" ca="1" si="1"/>
        <v>5.4999998509883881</v>
      </c>
      <c r="X57" s="166">
        <f ca="1">IF(controls!$B$44=0,Y57+'main page'!$K$29*L57+(1-'main page'!$K$29)*controls!$B$9+(('main page'!$K$25*'main page'!$U$13*'main page'!$K$29)/('main page'!$K$27*(1+('main page'!$K$25^2)*'main page'!$U$13)))*(L57-controls!$B$9),Y57+'main page'!$K$29*L57+(1-'main page'!$K$29)*controls!$B$9+(('main page'!$K$25*'main page'!$U$13*'normal case'!$AV$3)/'normal case'!$AV$4)*('normal case'!L57-controls!$B$9))</f>
        <v>5.4999998509883881</v>
      </c>
      <c r="Y57" s="81">
        <f ca="1">IF(controls!$B$44=1,'main page'!$K$24+'main page'!$K$11,IF(controls!$B$33=1,((I58-D57*AD58-B58+B57*AC58)/'main page'!$K$27)-'main page'!$K$11,((H58-D57*AD58-B58+B57*AC58)/'main page'!$K$27)-'main page'!$K$11))</f>
        <v>3.5</v>
      </c>
      <c r="AA57" s="58">
        <f>IF(controls!$B$6=1,$AS$3*(1+('main page'!$K$35/100))^AB57-$AS$3*(1+('main page'!$K$35/100))^AB56,$AS$3*(1+('main page'!$G$8/100))*(1+('main page'!$K$35/100))^AB57-$AS$3*(1+('main page'!$G$8/100))*(1+('main page'!$K$35/100))^AB56)</f>
        <v>0</v>
      </c>
      <c r="AB57" s="60">
        <v>50</v>
      </c>
      <c r="AC57" s="125">
        <v>0</v>
      </c>
      <c r="AD57" s="36">
        <v>0</v>
      </c>
      <c r="AE57" s="44">
        <f ca="1">IF(controls!$B$33=1,D57-($I$3-'main page'!$K$27*2)*(1+('main page'!$K$35/100))^A56,D57-$AS$4)</f>
        <v>1.0000000596046448</v>
      </c>
      <c r="AF57" s="44">
        <f ca="1">ABS(L57-(controls!$B$9/100)*100)</f>
        <v>1.1920928955078125E-7</v>
      </c>
      <c r="AH57" s="44">
        <f ca="1">IF(controls!$B$33=1,(B58-B57*AC58-I58+D57*AD58+'main page'!$K$27*('main page'!$K$24+'main page'!$K$11))/'main page'!$K$31,(B58-B57*AC58+D57*AD58-H58+'main page'!$K$27*('main page'!$K$24+'main page'!$K$11))/'main page'!$K$31)</f>
        <v>1</v>
      </c>
      <c r="AI57" s="44">
        <f ca="1">IF(controls!$B$45=1,LOG(AM57,1.01)+LOG(AL57,1.01)-LOG(AK57,1.01),-((T57-('main page'!$K$24+'main page'!$K$11))/(1-'normal case'!$AV$3))+'normal case'!AH57)</f>
        <v>2.0000000596046448</v>
      </c>
      <c r="AJ57" s="80">
        <f t="shared" ca="1" si="2"/>
        <v>1.0506250015463039</v>
      </c>
      <c r="AK57" s="44">
        <f t="shared" ca="1" si="3"/>
        <v>2.8567069949347763</v>
      </c>
      <c r="AL57" s="44">
        <f>AL56*(1+'main page'!$K$32/100)</f>
        <v>1</v>
      </c>
      <c r="AM57" s="44">
        <f ca="1">IF(ABS(IF(controls!$B$45=1,$AS$13,AK57*AJ57/AL57)-AM56)&lt;0.00001,AM56,IF(controls!$B$45=1,$AS$13,AK57*AJ57/AL57))</f>
        <v>3.0013277909706866</v>
      </c>
      <c r="AN57" s="44">
        <f>IF(controls!$B$46=0,0,IF(controls!$B$33=2,B58-B57*AC58-('normal case'!H58-D57*AD58-'main page'!$K$27*'normal case'!T57+'main page'!$K$31*'normal case'!AI57)-(('main page'!$K$25*'main page'!$U$13*'main page'!$K$29)/(1+('main page'!$K$25^2)*'main page'!$U$13))*('normal case'!L57-'main page'!$U$8),B58-B57*AC58-('normal case'!I58-D57*AD58-'main page'!$K$27*'normal case'!T57+'main page'!$K$31*'normal case'!AI57)-(('main page'!$K$25*'main page'!$U$13*'main page'!$K$29)/(1+('main page'!$K$25^2)*'main page'!$U$13))*('normal case'!L57-'main page'!$U$8)))</f>
        <v>0</v>
      </c>
      <c r="AU57" s="36"/>
      <c r="AV57" s="36"/>
    </row>
    <row r="58" spans="1:48">
      <c r="A58" s="43">
        <v>56</v>
      </c>
      <c r="B58" s="62">
        <f ca="1">IF(controls!$B$33=1,B57*(1+AC58)+AA58,B57*(1+AC58))</f>
        <v>101</v>
      </c>
      <c r="C58" s="67">
        <f t="shared" ca="1" si="4"/>
        <v>-1.5107707374006907E-7</v>
      </c>
      <c r="D58" s="64">
        <f t="shared" ca="1" si="0"/>
        <v>101.00000005960464</v>
      </c>
      <c r="E58" s="64">
        <f ca="1">AN57+IF(controls!$B$33=1,G58,F58)</f>
        <v>101.00000005960464</v>
      </c>
      <c r="F58" s="78">
        <f ca="1">IF(controls!$B$44=0,H58-'main page'!$K$27*T57,H58-'main page'!$K$27*T57+'main page'!$K$31*AI57)</f>
        <v>101.00000005960464</v>
      </c>
      <c r="G58" s="62">
        <f ca="1">IF(controls!$B$44=0,I58-'main page'!$K$27*T57,I58-'main page'!$K$27*T57+'main page'!$K$31*'normal case'!AI57)</f>
        <v>101.00000005960464</v>
      </c>
      <c r="H58" s="62">
        <f t="shared" ca="1" si="8"/>
        <v>108</v>
      </c>
      <c r="I58" s="62">
        <f t="shared" ca="1" si="9"/>
        <v>108</v>
      </c>
      <c r="L58" s="62">
        <f ca="1">IF(ABS('main page'!$K$29*L57+(1-'main page'!$K$29)*(controls!$B$9/100)*100+'main page'!$K$25*(D58-B58)-L57)&lt;0.0000001,L57,'main page'!$K$29*L57+(1-'main page'!$K$29)*(controls!$B$9/100)*100+'main page'!$K$25*(D58-B58))</f>
        <v>1.9999998807907104</v>
      </c>
      <c r="Q58" s="409">
        <f ca="1">(1-'main page'!$K$29)*($AS$11/100)*100+'main page'!$K$25*(D58-B58)</f>
        <v>5.9604644775390625E-8</v>
      </c>
      <c r="R58" s="409">
        <f>'main page'!G62+'main page'!$K$29*M57</f>
        <v>0</v>
      </c>
      <c r="S58" s="409">
        <f t="shared" ca="1" si="11"/>
        <v>5.9604644775390625E-8</v>
      </c>
      <c r="T58" s="79">
        <f ca="1">IF(controls!$B$10=1,T57,IF(SUM(controls!$B$44:$B$46)=2,U58-'main page'!$K$29*'normal case'!L58-(1-'main page'!$K$29)*'main page'!$K$32,U58-'main page'!$K$29*'normal case'!L58-(1-'main page'!$K$29)*controls!$B$9))</f>
        <v>3.4999999701976776</v>
      </c>
      <c r="U58" s="164">
        <f ca="1">IF(controls!$B$45=1,IF(controls!$B$46=1,'main page'!$K$24+'main page'!$K$11+'main page'!$U$8,'main page'!$K$24+'main page'!$K$11+'main page'!$K$32),IF(controls!$B$44=1,IF(V58&lt;0,0,V58),IF(V58+'main page'!$K$11&lt;0,0,V58+'main page'!$K$11)))</f>
        <v>5.4999998509883881</v>
      </c>
      <c r="V58" s="63">
        <f ca="1">IF(controls!$B$10=1,'normal case'!T58+'normal case'!L58,'normal case'!W58)</f>
        <v>5.4999998509883881</v>
      </c>
      <c r="W58" s="61">
        <f t="shared" ca="1" si="1"/>
        <v>5.4999998509883881</v>
      </c>
      <c r="X58" s="166">
        <f ca="1">IF(controls!$B$44=0,Y58+'main page'!$K$29*L58+(1-'main page'!$K$29)*controls!$B$9+(('main page'!$K$25*'main page'!$U$13*'main page'!$K$29)/('main page'!$K$27*(1+('main page'!$K$25^2)*'main page'!$U$13)))*(L58-controls!$B$9),Y58+'main page'!$K$29*L58+(1-'main page'!$K$29)*controls!$B$9+(('main page'!$K$25*'main page'!$U$13*'normal case'!$AV$3)/'normal case'!$AV$4)*('normal case'!L58-controls!$B$9))</f>
        <v>5.4999998509883881</v>
      </c>
      <c r="Y58" s="81">
        <f ca="1">IF(controls!$B$44=1,'main page'!$K$24+'main page'!$K$11,IF(controls!$B$33=1,((I59-D58*AD59-B59+B58*AC59)/'main page'!$K$27)-'main page'!$K$11,((H59-D58*AD59-B59+B58*AC59)/'main page'!$K$27)-'main page'!$K$11))</f>
        <v>3.5</v>
      </c>
      <c r="AA58" s="58">
        <f>IF(controls!$B$6=1,$AS$3*(1+('main page'!$K$35/100))^AB58-$AS$3*(1+('main page'!$K$35/100))^AB57,$AS$3*(1+('main page'!$G$8/100))*(1+('main page'!$K$35/100))^AB58-$AS$3*(1+('main page'!$G$8/100))*(1+('main page'!$K$35/100))^AB57)</f>
        <v>0</v>
      </c>
      <c r="AB58" s="60">
        <v>51</v>
      </c>
      <c r="AC58" s="125">
        <v>0</v>
      </c>
      <c r="AD58" s="36">
        <v>0</v>
      </c>
      <c r="AE58" s="44">
        <f ca="1">IF(controls!$B$33=1,D58-($I$3-'main page'!$K$27*2)*(1+('main page'!$K$35/100))^A57,D58-$AS$4)</f>
        <v>1.0000000596046448</v>
      </c>
      <c r="AF58" s="44">
        <f ca="1">ABS(L58-(controls!$B$9/100)*100)</f>
        <v>1.1920928955078125E-7</v>
      </c>
      <c r="AH58" s="44">
        <f ca="1">IF(controls!$B$33=1,(B59-B58*AC59-I59+D58*AD59+'main page'!$K$27*('main page'!$K$24+'main page'!$K$11))/'main page'!$K$31,(B59-B58*AC59+D58*AD59-H59+'main page'!$K$27*('main page'!$K$24+'main page'!$K$11))/'main page'!$K$31)</f>
        <v>1</v>
      </c>
      <c r="AI58" s="44">
        <f ca="1">IF(controls!$B$45=1,LOG(AM58,1.01)+LOG(AL58,1.01)-LOG(AK58,1.01),-((T58-('main page'!$K$24+'main page'!$K$11))/(1-'normal case'!$AV$3))+'normal case'!AH58)</f>
        <v>2.0000000596046448</v>
      </c>
      <c r="AJ58" s="80">
        <f t="shared" ca="1" si="2"/>
        <v>1.0506250015463039</v>
      </c>
      <c r="AK58" s="44">
        <f t="shared" ca="1" si="3"/>
        <v>2.9138411314280117</v>
      </c>
      <c r="AL58" s="44">
        <f>AL57*(1+'main page'!$K$32/100)</f>
        <v>1</v>
      </c>
      <c r="AM58" s="44">
        <f ca="1">IF(ABS(IF(controls!$B$45=1,$AS$13,AK58*AJ58/AL58)-AM57)&lt;0.00001,AM57,IF(controls!$B$45=1,$AS$13,AK58*AJ58/AL58))</f>
        <v>3.0613543432122388</v>
      </c>
      <c r="AN58" s="44">
        <f>IF(controls!$B$46=0,0,IF(controls!$B$33=2,B59-B58*AC59-('normal case'!H59-D58*AD59-'main page'!$K$27*'normal case'!T58+'main page'!$K$31*'normal case'!AI58)-(('main page'!$K$25*'main page'!$U$13*'main page'!$K$29)/(1+('main page'!$K$25^2)*'main page'!$U$13))*('normal case'!L58-'main page'!$U$8),B59-B58*AC59-('normal case'!I59-D58*AD59-'main page'!$K$27*'normal case'!T58+'main page'!$K$31*'normal case'!AI58)-(('main page'!$K$25*'main page'!$U$13*'main page'!$K$29)/(1+('main page'!$K$25^2)*'main page'!$U$13))*('normal case'!L58-'main page'!$U$8)))</f>
        <v>0</v>
      </c>
      <c r="AU58" s="36"/>
      <c r="AV58" s="36"/>
    </row>
    <row r="59" spans="1:48">
      <c r="A59" s="43">
        <v>57</v>
      </c>
      <c r="B59" s="62">
        <f ca="1">IF(controls!$B$33=1,B58*(1+AC59)+AA59,B58*(1+AC59))</f>
        <v>101</v>
      </c>
      <c r="C59" s="67">
        <f t="shared" ca="1" si="4"/>
        <v>-1.5107707374006907E-7</v>
      </c>
      <c r="D59" s="64">
        <f t="shared" ca="1" si="0"/>
        <v>101.00000005960464</v>
      </c>
      <c r="E59" s="64">
        <f ca="1">AN58+IF(controls!$B$33=1,G59,F59)</f>
        <v>101.00000005960464</v>
      </c>
      <c r="F59" s="78">
        <f ca="1">IF(controls!$B$44=0,H59-'main page'!$K$27*T58,H59-'main page'!$K$27*T58+'main page'!$K$31*AI58)</f>
        <v>101.00000005960464</v>
      </c>
      <c r="G59" s="62">
        <f ca="1">IF(controls!$B$44=0,I59-'main page'!$K$27*T58,I59-'main page'!$K$27*T58+'main page'!$K$31*'normal case'!AI58)</f>
        <v>101.00000005960464</v>
      </c>
      <c r="H59" s="62">
        <f t="shared" ca="1" si="8"/>
        <v>108</v>
      </c>
      <c r="I59" s="62">
        <f t="shared" ca="1" si="9"/>
        <v>108</v>
      </c>
      <c r="L59" s="62">
        <f ca="1">IF(ABS('main page'!$K$29*L58+(1-'main page'!$K$29)*(controls!$B$9/100)*100+'main page'!$K$25*(D59-B59)-L58)&lt;0.0000001,L58,'main page'!$K$29*L58+(1-'main page'!$K$29)*(controls!$B$9/100)*100+'main page'!$K$25*(D59-B59))</f>
        <v>1.9999998807907104</v>
      </c>
      <c r="Q59" s="409">
        <f ca="1">(1-'main page'!$K$29)*($AS$11/100)*100+'main page'!$K$25*(D59-B59)</f>
        <v>5.9604644775390625E-8</v>
      </c>
      <c r="R59" s="409">
        <f>'main page'!G63+'main page'!$K$29*M58</f>
        <v>0</v>
      </c>
      <c r="S59" s="409">
        <f t="shared" ca="1" si="11"/>
        <v>5.9604644775390625E-8</v>
      </c>
      <c r="T59" s="79">
        <f ca="1">IF(controls!$B$10=1,T58,IF(SUM(controls!$B$44:$B$46)=2,U59-'main page'!$K$29*'normal case'!L59-(1-'main page'!$K$29)*'main page'!$K$32,U59-'main page'!$K$29*'normal case'!L59-(1-'main page'!$K$29)*controls!$B$9))</f>
        <v>3.4999999701976776</v>
      </c>
      <c r="U59" s="164">
        <f ca="1">IF(controls!$B$45=1,IF(controls!$B$46=1,'main page'!$K$24+'main page'!$K$11+'main page'!$U$8,'main page'!$K$24+'main page'!$K$11+'main page'!$K$32),IF(controls!$B$44=1,IF(V59&lt;0,0,V59),IF(V59+'main page'!$K$11&lt;0,0,V59+'main page'!$K$11)))</f>
        <v>5.4999998509883881</v>
      </c>
      <c r="V59" s="63">
        <f ca="1">IF(controls!$B$10=1,'normal case'!T59+'normal case'!L59,'normal case'!W59)</f>
        <v>5.4999998509883881</v>
      </c>
      <c r="W59" s="61">
        <f t="shared" ca="1" si="1"/>
        <v>5.4999998509883881</v>
      </c>
      <c r="X59" s="166">
        <f ca="1">IF(controls!$B$44=0,Y59+'main page'!$K$29*L59+(1-'main page'!$K$29)*controls!$B$9+(('main page'!$K$25*'main page'!$U$13*'main page'!$K$29)/('main page'!$K$27*(1+('main page'!$K$25^2)*'main page'!$U$13)))*(L59-controls!$B$9),Y59+'main page'!$K$29*L59+(1-'main page'!$K$29)*controls!$B$9+(('main page'!$K$25*'main page'!$U$13*'normal case'!$AV$3)/'normal case'!$AV$4)*('normal case'!L59-controls!$B$9))</f>
        <v>5.4999998509883881</v>
      </c>
      <c r="Y59" s="81">
        <f ca="1">IF(controls!$B$44=1,'main page'!$K$24+'main page'!$K$11,IF(controls!$B$33=1,((I60-D59*AD60-B60+B59*AC60)/'main page'!$K$27)-'main page'!$K$11,((H60-D59*AD60-B60+B59*AC60)/'main page'!$K$27)-'main page'!$K$11))</f>
        <v>3.5</v>
      </c>
      <c r="AA59" s="58">
        <f>IF(controls!$B$6=1,$AS$3*(1+('main page'!$K$35/100))^AB59-$AS$3*(1+('main page'!$K$35/100))^AB58,$AS$3*(1+('main page'!$G$8/100))*(1+('main page'!$K$35/100))^AB59-$AS$3*(1+('main page'!$G$8/100))*(1+('main page'!$K$35/100))^AB58)</f>
        <v>0</v>
      </c>
      <c r="AB59" s="60">
        <v>52</v>
      </c>
      <c r="AC59" s="125">
        <f ca="1">IF(controls!$B$4=1,IF(controls!$H58=1,controls!$B$34*AC58+RAND()*('main page'!$K$16/100)-RAND()*('main page'!$K$16/100),0),0)</f>
        <v>0</v>
      </c>
      <c r="AD59" s="36">
        <f ca="1">IF(controls!$B$4=1,IF(controls!$I58=1,controls!$B$34*AD58+RAND()*('main page'!$K$16/100)-RAND()*('main page'!$K$16/100),0),0)</f>
        <v>0</v>
      </c>
      <c r="AE59" s="44">
        <f ca="1">IF(controls!$B$33=1,D59-($I$3-'main page'!$K$27*2)*(1+('main page'!$K$35/100))^A58,D59-$AS$4)</f>
        <v>1.0000000596046448</v>
      </c>
      <c r="AF59" s="44">
        <f ca="1">ABS(L59-(controls!$B$9/100)*100)</f>
        <v>1.1920928955078125E-7</v>
      </c>
      <c r="AH59" s="44">
        <f ca="1">IF(controls!$B$33=1,(B60-B59*AC60-I60+D59*AD60+'main page'!$K$27*('main page'!$K$24+'main page'!$K$11))/'main page'!$K$31,(B60-B59*AC60+D59*AD60-H60+'main page'!$K$27*('main page'!$K$24+'main page'!$K$11))/'main page'!$K$31)</f>
        <v>1</v>
      </c>
      <c r="AI59" s="44">
        <f ca="1">IF(controls!$B$45=1,LOG(AM59,1.01)+LOG(AL59,1.01)-LOG(AK59,1.01),-((T59-('main page'!$K$24+'main page'!$K$11))/(1-'normal case'!$AV$3))+'normal case'!AH59)</f>
        <v>2.0000000596046448</v>
      </c>
      <c r="AJ59" s="80">
        <f t="shared" ca="1" si="2"/>
        <v>1.0506250015463039</v>
      </c>
      <c r="AK59" s="44">
        <f t="shared" ca="1" si="3"/>
        <v>2.9721179505830029</v>
      </c>
      <c r="AL59" s="44">
        <f>AL58*(1+'main page'!$K$32/100)</f>
        <v>1</v>
      </c>
      <c r="AM59" s="44">
        <f ca="1">IF(ABS(IF(controls!$B$45=1,$AS$13,AK59*AJ59/AL59)-AM58)&lt;0.00001,AM58,IF(controls!$B$45=1,$AS$13,AK59*AJ59/AL59))</f>
        <v>3.122581426427065</v>
      </c>
      <c r="AN59" s="44">
        <f>IF(controls!$B$46=0,0,IF(controls!$B$33=2,B60-B59*AC60-('normal case'!H60-D59*AD60-'main page'!$K$27*'normal case'!T59+'main page'!$K$31*'normal case'!AI59)-(('main page'!$K$25*'main page'!$U$13*'main page'!$K$29)/(1+('main page'!$K$25^2)*'main page'!$U$13))*('normal case'!L59-'main page'!$U$8),B60-B59*AC60-('normal case'!I60-D59*AD60-'main page'!$K$27*'normal case'!T59+'main page'!$K$31*'normal case'!AI59)-(('main page'!$K$25*'main page'!$U$13*'main page'!$K$29)/(1+('main page'!$K$25^2)*'main page'!$U$13))*('normal case'!L59-'main page'!$U$8)))</f>
        <v>0</v>
      </c>
      <c r="AU59" s="36"/>
      <c r="AV59" s="36"/>
    </row>
    <row r="60" spans="1:48">
      <c r="A60" s="43">
        <v>58</v>
      </c>
      <c r="B60" s="62">
        <f ca="1">IF(controls!$B$33=1,B59*(1+AC60)+AA60,B59*(1+AC60))</f>
        <v>101</v>
      </c>
      <c r="C60" s="67">
        <f t="shared" ca="1" si="4"/>
        <v>-1.5107707374006907E-7</v>
      </c>
      <c r="D60" s="64">
        <f t="shared" ca="1" si="0"/>
        <v>101.00000005960464</v>
      </c>
      <c r="E60" s="64">
        <f ca="1">AN59+IF(controls!$B$33=1,G60,F60)</f>
        <v>101.00000005960464</v>
      </c>
      <c r="F60" s="78">
        <f ca="1">IF(controls!$B$44=0,H60-'main page'!$K$27*T59,H60-'main page'!$K$27*T59+'main page'!$K$31*AI59)</f>
        <v>101.00000005960464</v>
      </c>
      <c r="G60" s="62">
        <f ca="1">IF(controls!$B$44=0,I60-'main page'!$K$27*T59,I60-'main page'!$K$27*T59+'main page'!$K$31*'normal case'!AI59)</f>
        <v>101.00000005960464</v>
      </c>
      <c r="H60" s="62">
        <f t="shared" ca="1" si="8"/>
        <v>108</v>
      </c>
      <c r="I60" s="62">
        <f t="shared" ca="1" si="9"/>
        <v>108</v>
      </c>
      <c r="L60" s="62">
        <f ca="1">IF(ABS('main page'!$K$29*L59+(1-'main page'!$K$29)*(controls!$B$9/100)*100+'main page'!$K$25*(D60-B60)-L59)&lt;0.0000001,L59,'main page'!$K$29*L59+(1-'main page'!$K$29)*(controls!$B$9/100)*100+'main page'!$K$25*(D60-B60))</f>
        <v>1.9999998807907104</v>
      </c>
      <c r="Q60" s="409">
        <f ca="1">(1-'main page'!$K$29)*($AS$11/100)*100+'main page'!$K$25*(D60-B60)</f>
        <v>5.9604644775390625E-8</v>
      </c>
      <c r="R60" s="409">
        <f>'main page'!G64+'main page'!$K$29*M59</f>
        <v>0</v>
      </c>
      <c r="S60" s="409">
        <f t="shared" ca="1" si="11"/>
        <v>5.9604644775390625E-8</v>
      </c>
      <c r="T60" s="79">
        <f ca="1">IF(controls!$B$10=1,T59,IF(SUM(controls!$B$44:$B$46)=2,U60-'main page'!$K$29*'normal case'!L60-(1-'main page'!$K$29)*'main page'!$K$32,U60-'main page'!$K$29*'normal case'!L60-(1-'main page'!$K$29)*controls!$B$9))</f>
        <v>3.4999999701976776</v>
      </c>
      <c r="U60" s="164">
        <f ca="1">IF(controls!$B$45=1,IF(controls!$B$46=1,'main page'!$K$24+'main page'!$K$11+'main page'!$U$8,'main page'!$K$24+'main page'!$K$11+'main page'!$K$32),IF(controls!$B$44=1,IF(V60&lt;0,0,V60),IF(V60+'main page'!$K$11&lt;0,0,V60+'main page'!$K$11)))</f>
        <v>5.4999998509883881</v>
      </c>
      <c r="V60" s="63">
        <f ca="1">IF(controls!$B$10=1,'normal case'!T60+'normal case'!L60,'normal case'!W60)</f>
        <v>5.4999998509883881</v>
      </c>
      <c r="W60" s="61">
        <f t="shared" ca="1" si="1"/>
        <v>5.4999998509883881</v>
      </c>
      <c r="X60" s="166">
        <f ca="1">IF(controls!$B$44=0,Y60+'main page'!$K$29*L60+(1-'main page'!$K$29)*controls!$B$9+(('main page'!$K$25*'main page'!$U$13*'main page'!$K$29)/('main page'!$K$27*(1+('main page'!$K$25^2)*'main page'!$U$13)))*(L60-controls!$B$9),Y60+'main page'!$K$29*L60+(1-'main page'!$K$29)*controls!$B$9+(('main page'!$K$25*'main page'!$U$13*'normal case'!$AV$3)/'normal case'!$AV$4)*('normal case'!L60-controls!$B$9))</f>
        <v>5.4999998509883881</v>
      </c>
      <c r="Y60" s="81">
        <f ca="1">IF(controls!$B$44=1,'main page'!$K$24+'main page'!$K$11,IF(controls!$B$33=1,((I61-D60*AD61-B61+B60*AC61)/'main page'!$K$27)-'main page'!$K$11,((H61-D60*AD61-B61+B60*AC61)/'main page'!$K$27)-'main page'!$K$11))</f>
        <v>3.5</v>
      </c>
      <c r="AA60" s="58">
        <f>IF(controls!$B$6=1,$AS$3*(1+('main page'!$K$35/100))^AB60-$AS$3*(1+('main page'!$K$35/100))^AB59,$AS$3*(1+('main page'!$G$8/100))*(1+('main page'!$K$35/100))^AB60-$AS$3*(1+('main page'!$G$8/100))*(1+('main page'!$K$35/100))^AB59)</f>
        <v>0</v>
      </c>
      <c r="AB60" s="60">
        <v>53</v>
      </c>
      <c r="AC60" s="125">
        <v>0</v>
      </c>
      <c r="AD60" s="36">
        <v>0</v>
      </c>
      <c r="AE60" s="44">
        <f ca="1">IF(controls!$B$33=1,D60-($I$3-'main page'!$K$27*2)*(1+('main page'!$K$35/100))^A59,D60-$AS$4)</f>
        <v>1.0000000596046448</v>
      </c>
      <c r="AF60" s="44">
        <f ca="1">ABS(L60-(controls!$B$9/100)*100)</f>
        <v>1.1920928955078125E-7</v>
      </c>
      <c r="AH60" s="44">
        <f ca="1">IF(controls!$B$33=1,(B61-B60*AC61-I61+D60*AD61+'main page'!$K$27*('main page'!$K$24+'main page'!$K$11))/'main page'!$K$31,(B61-B60*AC61+D60*AD61-H61+'main page'!$K$27*('main page'!$K$24+'main page'!$K$11))/'main page'!$K$31)</f>
        <v>1</v>
      </c>
      <c r="AI60" s="44">
        <f ca="1">IF(controls!$B$45=1,LOG(AM60,1.01)+LOG(AL60,1.01)-LOG(AK60,1.01),-((T60-('main page'!$K$24+'main page'!$K$11))/(1-'normal case'!$AV$3))+'normal case'!AH60)</f>
        <v>2.0000000596046448</v>
      </c>
      <c r="AJ60" s="80">
        <f t="shared" ca="1" si="2"/>
        <v>1.0506250015463039</v>
      </c>
      <c r="AK60" s="44">
        <f t="shared" ca="1" si="3"/>
        <v>3.0315603060516225</v>
      </c>
      <c r="AL60" s="44">
        <f>AL59*(1+'main page'!$K$32/100)</f>
        <v>1</v>
      </c>
      <c r="AM60" s="44">
        <f ca="1">IF(ABS(IF(controls!$B$45=1,$AS$13,AK60*AJ60/AL60)-AM59)&lt;0.00001,AM59,IF(controls!$B$45=1,$AS$13,AK60*AJ60/AL60))</f>
        <v>3.1850330512331992</v>
      </c>
      <c r="AN60" s="44">
        <f>IF(controls!$B$46=0,0,IF(controls!$B$33=2,B61-B60*AC61-('normal case'!H61-D60*AD61-'main page'!$K$27*'normal case'!T60+'main page'!$K$31*'normal case'!AI60)-(('main page'!$K$25*'main page'!$U$13*'main page'!$K$29)/(1+('main page'!$K$25^2)*'main page'!$U$13))*('normal case'!L60-'main page'!$U$8),B61-B60*AC61-('normal case'!I61-D60*AD61-'main page'!$K$27*'normal case'!T60+'main page'!$K$31*'normal case'!AI60)-(('main page'!$K$25*'main page'!$U$13*'main page'!$K$29)/(1+('main page'!$K$25^2)*'main page'!$U$13))*('normal case'!L60-'main page'!$U$8)))</f>
        <v>0</v>
      </c>
      <c r="AU60" s="36"/>
      <c r="AV60" s="36"/>
    </row>
    <row r="61" spans="1:48">
      <c r="A61" s="43">
        <v>59</v>
      </c>
      <c r="B61" s="62">
        <f ca="1">IF(controls!$B$33=1,B60*(1+AC61)+AA61,B60*(1+AC61))</f>
        <v>101</v>
      </c>
      <c r="C61" s="67">
        <f t="shared" ca="1" si="4"/>
        <v>-1.5107707374006907E-7</v>
      </c>
      <c r="D61" s="64">
        <f t="shared" ca="1" si="0"/>
        <v>101.00000005960464</v>
      </c>
      <c r="E61" s="64">
        <f ca="1">AN60+IF(controls!$B$33=1,G61,F61)</f>
        <v>101.00000005960464</v>
      </c>
      <c r="F61" s="78">
        <f ca="1">IF(controls!$B$44=0,H61-'main page'!$K$27*T60,H61-'main page'!$K$27*T60+'main page'!$K$31*AI60)</f>
        <v>101.00000005960464</v>
      </c>
      <c r="G61" s="62">
        <f ca="1">IF(controls!$B$44=0,I61-'main page'!$K$27*T60,I61-'main page'!$K$27*T60+'main page'!$K$31*'normal case'!AI60)</f>
        <v>101.00000005960464</v>
      </c>
      <c r="H61" s="62">
        <f t="shared" ca="1" si="8"/>
        <v>108</v>
      </c>
      <c r="I61" s="62">
        <f t="shared" ca="1" si="9"/>
        <v>108</v>
      </c>
      <c r="L61" s="62">
        <f ca="1">IF(ABS('main page'!$K$29*L60+(1-'main page'!$K$29)*(controls!$B$9/100)*100+'main page'!$K$25*(D61-B61)-L60)&lt;0.0000001,L60,'main page'!$K$29*L60+(1-'main page'!$K$29)*(controls!$B$9/100)*100+'main page'!$K$25*(D61-B61))</f>
        <v>1.9999998807907104</v>
      </c>
      <c r="Q61" s="409">
        <f ca="1">(1-'main page'!$K$29)*($AS$11/100)*100+'main page'!$K$25*(D61-B61)</f>
        <v>5.9604644775390625E-8</v>
      </c>
      <c r="R61" s="409">
        <f>'main page'!G65+'main page'!$K$29*M60</f>
        <v>0</v>
      </c>
      <c r="S61" s="409">
        <f t="shared" ca="1" si="11"/>
        <v>5.9604644775390625E-8</v>
      </c>
      <c r="T61" s="79">
        <f ca="1">IF(controls!$B$10=1,T60,IF(SUM(controls!$B$44:$B$46)=2,U61-'main page'!$K$29*'normal case'!L61-(1-'main page'!$K$29)*'main page'!$K$32,U61-'main page'!$K$29*'normal case'!L61-(1-'main page'!$K$29)*controls!$B$9))</f>
        <v>3.4999999701976776</v>
      </c>
      <c r="U61" s="164">
        <f ca="1">IF(controls!$B$45=1,IF(controls!$B$46=1,'main page'!$K$24+'main page'!$K$11+'main page'!$U$8,'main page'!$K$24+'main page'!$K$11+'main page'!$K$32),IF(controls!$B$44=1,IF(V61&lt;0,0,V61),IF(V61+'main page'!$K$11&lt;0,0,V61+'main page'!$K$11)))</f>
        <v>5.4999998509883881</v>
      </c>
      <c r="V61" s="63">
        <f ca="1">IF(controls!$B$10=1,'normal case'!T61+'normal case'!L61,'normal case'!W61)</f>
        <v>5.4999998509883881</v>
      </c>
      <c r="W61" s="61">
        <f t="shared" ca="1" si="1"/>
        <v>5.4999998509883881</v>
      </c>
      <c r="X61" s="166">
        <f ca="1">IF(controls!$B$44=0,Y61+'main page'!$K$29*L61+(1-'main page'!$K$29)*controls!$B$9+(('main page'!$K$25*'main page'!$U$13*'main page'!$K$29)/('main page'!$K$27*(1+('main page'!$K$25^2)*'main page'!$U$13)))*(L61-controls!$B$9),Y61+'main page'!$K$29*L61+(1-'main page'!$K$29)*controls!$B$9+(('main page'!$K$25*'main page'!$U$13*'normal case'!$AV$3)/'normal case'!$AV$4)*('normal case'!L61-controls!$B$9))</f>
        <v>5.4999998509883881</v>
      </c>
      <c r="Y61" s="81">
        <f ca="1">IF(controls!$B$44=1,'main page'!$K$24+'main page'!$K$11,IF(controls!$B$33=1,((I62-D61*AD62-B62+B61*AC62)/'main page'!$K$27)-'main page'!$K$11,((H62-D61*AD62-B62+B61*AC62)/'main page'!$K$27)-'main page'!$K$11))</f>
        <v>3.5</v>
      </c>
      <c r="AA61" s="58">
        <f>IF(controls!$B$6=1,$AS$3*(1+('main page'!$K$35/100))^AB61-$AS$3*(1+('main page'!$K$35/100))^AB60,$AS$3*(1+('main page'!$G$8/100))*(1+('main page'!$K$35/100))^AB61-$AS$3*(1+('main page'!$G$8/100))*(1+('main page'!$K$35/100))^AB60)</f>
        <v>0</v>
      </c>
      <c r="AB61" s="60">
        <v>54</v>
      </c>
      <c r="AC61" s="125">
        <v>0</v>
      </c>
      <c r="AD61" s="36">
        <v>0</v>
      </c>
      <c r="AE61" s="44">
        <f ca="1">IF(controls!$B$33=1,D61-($I$3-'main page'!$K$27*2)*(1+('main page'!$K$35/100))^A60,D61-$AS$4)</f>
        <v>1.0000000596046448</v>
      </c>
      <c r="AF61" s="44">
        <f ca="1">ABS(L61-(controls!$B$9/100)*100)</f>
        <v>1.1920928955078125E-7</v>
      </c>
      <c r="AH61" s="44">
        <f ca="1">IF(controls!$B$33=1,(B62-B61*AC62-I62+D61*AD62+'main page'!$K$27*('main page'!$K$24+'main page'!$K$11))/'main page'!$K$31,(B62-B61*AC62+D61*AD62-H62+'main page'!$K$27*('main page'!$K$24+'main page'!$K$11))/'main page'!$K$31)</f>
        <v>1</v>
      </c>
      <c r="AI61" s="44">
        <f ca="1">IF(controls!$B$45=1,LOG(AM61,1.01)+LOG(AL61,1.01)-LOG(AK61,1.01),-((T61-('main page'!$K$24+'main page'!$K$11))/(1-'normal case'!$AV$3))+'normal case'!AH61)</f>
        <v>2.0000000596046448</v>
      </c>
      <c r="AJ61" s="80">
        <f t="shared" ca="1" si="2"/>
        <v>1.0506250015463039</v>
      </c>
      <c r="AK61" s="44">
        <f t="shared" ca="1" si="3"/>
        <v>3.0921915085587535</v>
      </c>
      <c r="AL61" s="44">
        <f>AL60*(1+'main page'!$K$32/100)</f>
        <v>1</v>
      </c>
      <c r="AM61" s="44">
        <f ca="1">IF(ABS(IF(controls!$B$45=1,$AS$13,AK61*AJ61/AL61)-AM60)&lt;0.00001,AM60,IF(controls!$B$45=1,$AS$13,AK61*AJ61/AL61))</f>
        <v>3.2487337084610082</v>
      </c>
      <c r="AN61" s="44">
        <f>IF(controls!$B$46=0,0,IF(controls!$B$33=2,B62-B61*AC62-('normal case'!H62-D61*AD62-'main page'!$K$27*'normal case'!T61+'main page'!$K$31*'normal case'!AI61)-(('main page'!$K$25*'main page'!$U$13*'main page'!$K$29)/(1+('main page'!$K$25^2)*'main page'!$U$13))*('normal case'!L61-'main page'!$U$8),B62-B61*AC62-('normal case'!I62-D61*AD62-'main page'!$K$27*'normal case'!T61+'main page'!$K$31*'normal case'!AI61)-(('main page'!$K$25*'main page'!$U$13*'main page'!$K$29)/(1+('main page'!$K$25^2)*'main page'!$U$13))*('normal case'!L61-'main page'!$U$8)))</f>
        <v>0</v>
      </c>
      <c r="AU61" s="36"/>
      <c r="AV61" s="36"/>
    </row>
    <row r="62" spans="1:48">
      <c r="A62" s="43">
        <v>60</v>
      </c>
      <c r="B62" s="62">
        <f ca="1">IF(controls!$B$33=1,B61*(1+AC62)+AA62,B61*(1+AC62))</f>
        <v>101</v>
      </c>
      <c r="C62" s="67">
        <f t="shared" ca="1" si="4"/>
        <v>-1.5107707374006907E-7</v>
      </c>
      <c r="D62" s="64">
        <f t="shared" ca="1" si="0"/>
        <v>101.00000005960464</v>
      </c>
      <c r="E62" s="64">
        <f ca="1">AN61+IF(controls!$B$33=1,G62,F62)</f>
        <v>101.00000005960464</v>
      </c>
      <c r="F62" s="78">
        <f ca="1">IF(controls!$B$44=0,H62-'main page'!$K$27*T61,H62-'main page'!$K$27*T61+'main page'!$K$31*AI61)</f>
        <v>101.00000005960464</v>
      </c>
      <c r="G62" s="62">
        <f ca="1">IF(controls!$B$44=0,I62-'main page'!$K$27*T61,I62-'main page'!$K$27*T61+'main page'!$K$31*'normal case'!AI61)</f>
        <v>101.00000005960464</v>
      </c>
      <c r="H62" s="62">
        <f t="shared" ca="1" si="8"/>
        <v>108</v>
      </c>
      <c r="I62" s="62">
        <f t="shared" ca="1" si="9"/>
        <v>108</v>
      </c>
      <c r="L62" s="62">
        <f ca="1">IF(ABS('main page'!$K$29*L61+(1-'main page'!$K$29)*(controls!$B$9/100)*100+'main page'!$K$25*(D62-B62)-L61)&lt;0.0000001,L61,'main page'!$K$29*L61+(1-'main page'!$K$29)*(controls!$B$9/100)*100+'main page'!$K$25*(D62-B62))</f>
        <v>1.9999998807907104</v>
      </c>
      <c r="Q62" s="409">
        <f ca="1">(1-'main page'!$K$29)*($AS$11/100)*100+'main page'!$K$25*(D62-B62)</f>
        <v>5.9604644775390625E-8</v>
      </c>
      <c r="R62" s="409">
        <f>'main page'!G66+'main page'!$K$29*M61</f>
        <v>0</v>
      </c>
      <c r="S62" s="409">
        <f t="shared" ca="1" si="11"/>
        <v>5.9604644775390625E-8</v>
      </c>
      <c r="T62" s="79">
        <f ca="1">IF(controls!$B$10=1,T61,IF(SUM(controls!$B$44:$B$46)=2,U62-'main page'!$K$29*'normal case'!L62-(1-'main page'!$K$29)*'main page'!$K$32,U62-'main page'!$K$29*'normal case'!L62-(1-'main page'!$K$29)*controls!$B$9))</f>
        <v>3.4999999701976776</v>
      </c>
      <c r="U62" s="164">
        <f ca="1">IF(controls!$B$45=1,IF(controls!$B$46=1,'main page'!$K$24+'main page'!$K$11+'main page'!$U$8,'main page'!$K$24+'main page'!$K$11+'main page'!$K$32),IF(controls!$B$44=1,IF(V62&lt;0,0,V62),IF(V62+'main page'!$K$11&lt;0,0,V62+'main page'!$K$11)))</f>
        <v>5.4999998509883881</v>
      </c>
      <c r="V62" s="63">
        <f ca="1">IF(controls!$B$10=1,'normal case'!T62+'normal case'!L62,'normal case'!W62)</f>
        <v>5.4999998509883881</v>
      </c>
      <c r="W62" s="61">
        <f t="shared" ca="1" si="1"/>
        <v>5.4999998509883881</v>
      </c>
      <c r="X62" s="166">
        <f ca="1">IF(controls!$B$44=0,Y62+'main page'!$K$29*L62+(1-'main page'!$K$29)*controls!$B$9+(('main page'!$K$25*'main page'!$U$13*'main page'!$K$29)/('main page'!$K$27*(1+('main page'!$K$25^2)*'main page'!$U$13)))*(L62-controls!$B$9),Y62+'main page'!$K$29*L62+(1-'main page'!$K$29)*controls!$B$9+(('main page'!$K$25*'main page'!$U$13*'normal case'!$AV$3)/'normal case'!$AV$4)*('normal case'!L62-controls!$B$9))</f>
        <v>5.4999998509883881</v>
      </c>
      <c r="Y62" s="81">
        <f ca="1">IF(controls!$B$44=1,'main page'!$K$24+'main page'!$K$11,IF(controls!$B$33=1,((I63-D62*AD63-B63+B62*AC63)/'main page'!$K$27)-'main page'!$K$11,((H63-D62*AD63-B63+B62*AC63)/'main page'!$K$27)-'main page'!$K$11))</f>
        <v>3.5</v>
      </c>
      <c r="AA62" s="58">
        <f>IF(controls!$B$6=1,$AS$3*(1+('main page'!$K$35/100))^AB62-$AS$3*(1+('main page'!$K$35/100))^AB61,$AS$3*(1+('main page'!$G$8/100))*(1+('main page'!$K$35/100))^AB62-$AS$3*(1+('main page'!$G$8/100))*(1+('main page'!$K$35/100))^AB61)</f>
        <v>0</v>
      </c>
      <c r="AB62" s="60">
        <v>55</v>
      </c>
      <c r="AC62" s="125">
        <f ca="1">IF(controls!$B$4=1,IF(controls!$H61=1,controls!$B$34*AC61+RAND()*('main page'!$K$16/100)-RAND()*('main page'!$K$16/100),0),0)</f>
        <v>0</v>
      </c>
      <c r="AD62" s="36">
        <f ca="1">IF(controls!$B$4=1,IF(controls!$I61=1,controls!$B$34*AD61+RAND()*('main page'!$K$16/100)-RAND()*('main page'!$K$16/100),0),0)</f>
        <v>0</v>
      </c>
      <c r="AE62" s="44">
        <f ca="1">IF(controls!$B$33=1,D62-($I$3-'main page'!$K$27*2)*(1+('main page'!$K$35/100))^A61,D62-$AS$4)</f>
        <v>1.0000000596046448</v>
      </c>
      <c r="AF62" s="44">
        <f ca="1">ABS(L62-(controls!$B$9/100)*100)</f>
        <v>1.1920928955078125E-7</v>
      </c>
      <c r="AH62" s="44">
        <f ca="1">IF(controls!$B$33=1,(B63-B62*AC63-I63+D62*AD63+'main page'!$K$27*('main page'!$K$24+'main page'!$K$11))/'main page'!$K$31,(B63-B62*AC63+D62*AD63-H63+'main page'!$K$27*('main page'!$K$24+'main page'!$K$11))/'main page'!$K$31)</f>
        <v>1</v>
      </c>
      <c r="AI62" s="44">
        <f ca="1">IF(controls!$B$45=1,LOG(AM62,1.01)+LOG(AL62,1.01)-LOG(AK62,1.01),-((T62-('main page'!$K$24+'main page'!$K$11))/(1-'normal case'!$AV$3))+'normal case'!AH62)</f>
        <v>2.0000000596046448</v>
      </c>
      <c r="AJ62" s="80">
        <f t="shared" ca="1" si="2"/>
        <v>1.0506250015463039</v>
      </c>
      <c r="AK62" s="44">
        <f t="shared" ca="1" si="3"/>
        <v>3.1540353350437491</v>
      </c>
      <c r="AL62" s="44">
        <f>AL61*(1+'main page'!$K$32/100)</f>
        <v>1</v>
      </c>
      <c r="AM62" s="44">
        <f ca="1">IF(ABS(IF(controls!$B$45=1,$AS$13,AK62*AJ62/AL62)-AM61)&lt;0.00001,AM61,IF(controls!$B$45=1,$AS$13,AK62*AJ62/AL62))</f>
        <v>3.3137083787574362</v>
      </c>
      <c r="AN62" s="44">
        <f>IF(controls!$B$46=0,0,IF(controls!$B$33=2,B63-B62*AC63-('normal case'!H63-D62*AD63-'main page'!$K$27*'normal case'!T62+'main page'!$K$31*'normal case'!AI62)-(('main page'!$K$25*'main page'!$U$13*'main page'!$K$29)/(1+('main page'!$K$25^2)*'main page'!$U$13))*('normal case'!L62-'main page'!$U$8),B63-B62*AC63-('normal case'!I63-D62*AD63-'main page'!$K$27*'normal case'!T62+'main page'!$K$31*'normal case'!AI62)-(('main page'!$K$25*'main page'!$U$13*'main page'!$K$29)/(1+('main page'!$K$25^2)*'main page'!$U$13))*('normal case'!L62-'main page'!$U$8)))</f>
        <v>0</v>
      </c>
      <c r="AU62" s="36"/>
      <c r="AV62" s="36"/>
    </row>
    <row r="63" spans="1:48">
      <c r="A63" s="43">
        <v>61</v>
      </c>
      <c r="B63" s="62">
        <f ca="1">IF(controls!$B$33=1,B62*(1+AC63)+AA63,B62*(1+AC63))</f>
        <v>101</v>
      </c>
      <c r="C63" s="67">
        <f t="shared" ca="1" si="4"/>
        <v>-1.5107707374006907E-7</v>
      </c>
      <c r="D63" s="64">
        <f t="shared" ca="1" si="0"/>
        <v>101.00000005960464</v>
      </c>
      <c r="E63" s="64">
        <f ca="1">AN62+IF(controls!$B$33=1,G63,F63)</f>
        <v>101.00000005960464</v>
      </c>
      <c r="F63" s="78">
        <f ca="1">IF(controls!$B$44=0,H63-'main page'!$K$27*T62,H63-'main page'!$K$27*T62+'main page'!$K$31*AI62)</f>
        <v>101.00000005960464</v>
      </c>
      <c r="G63" s="62">
        <f ca="1">IF(controls!$B$44=0,I63-'main page'!$K$27*T62,I63-'main page'!$K$27*T62+'main page'!$K$31*'normal case'!AI62)</f>
        <v>101.00000005960464</v>
      </c>
      <c r="H63" s="62">
        <f t="shared" ca="1" si="8"/>
        <v>108</v>
      </c>
      <c r="I63" s="62">
        <f t="shared" ca="1" si="9"/>
        <v>108</v>
      </c>
      <c r="L63" s="62">
        <f ca="1">IF(ABS('main page'!$K$29*L62+(1-'main page'!$K$29)*(controls!$B$9/100)*100+'main page'!$K$25*(D63-B63)-L62)&lt;0.0000001,L62,'main page'!$K$29*L62+(1-'main page'!$K$29)*(controls!$B$9/100)*100+'main page'!$K$25*(D63-B63))</f>
        <v>1.9999998807907104</v>
      </c>
      <c r="Q63" s="409">
        <f ca="1">(1-'main page'!$K$29)*($AS$11/100)*100+'main page'!$K$25*(D63-B63)</f>
        <v>5.9604644775390625E-8</v>
      </c>
      <c r="R63" s="409">
        <f>'main page'!G67+'main page'!$K$29*M62</f>
        <v>0</v>
      </c>
      <c r="S63" s="409">
        <f t="shared" ca="1" si="11"/>
        <v>5.9604644775390625E-8</v>
      </c>
      <c r="T63" s="79">
        <f ca="1">IF(controls!$B$10=1,T62,IF(SUM(controls!$B$44:$B$46)=2,U63-'main page'!$K$29*'normal case'!L63-(1-'main page'!$K$29)*'main page'!$K$32,U63-'main page'!$K$29*'normal case'!L63-(1-'main page'!$K$29)*controls!$B$9))</f>
        <v>3.4999999701976776</v>
      </c>
      <c r="U63" s="164">
        <f ca="1">IF(controls!$B$45=1,IF(controls!$B$46=1,'main page'!$K$24+'main page'!$K$11+'main page'!$U$8,'main page'!$K$24+'main page'!$K$11+'main page'!$K$32),IF(controls!$B$44=1,IF(V63&lt;0,0,V63),IF(V63+'main page'!$K$11&lt;0,0,V63+'main page'!$K$11)))</f>
        <v>5.4999998509883881</v>
      </c>
      <c r="V63" s="63">
        <f ca="1">IF(controls!$B$10=1,'normal case'!T63+'normal case'!L63,'normal case'!W63)</f>
        <v>5.4999998509883881</v>
      </c>
      <c r="W63" s="61">
        <f t="shared" ca="1" si="1"/>
        <v>5.4999998509883881</v>
      </c>
      <c r="X63" s="166">
        <f ca="1">IF(controls!$B$44=0,Y63+'main page'!$K$29*L63+(1-'main page'!$K$29)*controls!$B$9+(('main page'!$K$25*'main page'!$U$13*'main page'!$K$29)/('main page'!$K$27*(1+('main page'!$K$25^2)*'main page'!$U$13)))*(L63-controls!$B$9),Y63+'main page'!$K$29*L63+(1-'main page'!$K$29)*controls!$B$9+(('main page'!$K$25*'main page'!$U$13*'normal case'!$AV$3)/'normal case'!$AV$4)*('normal case'!L63-controls!$B$9))</f>
        <v>5.4999998509883881</v>
      </c>
      <c r="Y63" s="81">
        <f ca="1">IF(controls!$B$44=1,'main page'!$K$24+'main page'!$K$11,IF(controls!$B$33=1,((I64-D63*AD64-B64+B63*AC64)/'main page'!$K$27)-'main page'!$K$11,((H64-D63*AD64-B64+B63*AC64)/'main page'!$K$27)-'main page'!$K$11))</f>
        <v>3.5</v>
      </c>
      <c r="AA63" s="58">
        <f>IF(controls!$B$6=1,$AS$3*(1+('main page'!$K$35/100))^AB63-$AS$3*(1+('main page'!$K$35/100))^AB62,$AS$3*(1+('main page'!$G$8/100))*(1+('main page'!$K$35/100))^AB63-$AS$3*(1+('main page'!$G$8/100))*(1+('main page'!$K$35/100))^AB62)</f>
        <v>0</v>
      </c>
      <c r="AB63" s="60">
        <v>56</v>
      </c>
      <c r="AC63" s="125">
        <v>0</v>
      </c>
      <c r="AD63" s="36">
        <v>0</v>
      </c>
      <c r="AE63" s="44">
        <f ca="1">IF(controls!$B$33=1,D63-($I$3-'main page'!$K$27*2)*(1+('main page'!$K$35/100))^A62,D63-$AS$4)</f>
        <v>1.0000000596046448</v>
      </c>
      <c r="AF63" s="44">
        <f ca="1">ABS(L63-(controls!$B$9/100)*100)</f>
        <v>1.1920928955078125E-7</v>
      </c>
      <c r="AH63" s="44">
        <f ca="1">IF(controls!$B$33=1,(B64-B63*AC64-I64+D63*AD64+'main page'!$K$27*('main page'!$K$24+'main page'!$K$11))/'main page'!$K$31,(B64-B63*AC64+D63*AD64-H64+'main page'!$K$27*('main page'!$K$24+'main page'!$K$11))/'main page'!$K$31)</f>
        <v>1</v>
      </c>
      <c r="AI63" s="44">
        <f ca="1">IF(controls!$B$45=1,LOG(AM63,1.01)+LOG(AL63,1.01)-LOG(AK63,1.01),-((T63-('main page'!$K$24+'main page'!$K$11))/(1-'normal case'!$AV$3))+'normal case'!AH63)</f>
        <v>2.0000000596046448</v>
      </c>
      <c r="AJ63" s="80">
        <f t="shared" ca="1" si="2"/>
        <v>1.0506250015463039</v>
      </c>
      <c r="AK63" s="44">
        <f t="shared" ca="1" si="3"/>
        <v>3.217116037984721</v>
      </c>
      <c r="AL63" s="44">
        <f>AL62*(1+'main page'!$K$32/100)</f>
        <v>1</v>
      </c>
      <c r="AM63" s="44">
        <f ca="1">IF(ABS(IF(controls!$B$45=1,$AS$13,AK63*AJ63/AL63)-AM62)&lt;0.00001,AM62,IF(controls!$B$45=1,$AS$13,AK63*AJ63/AL63))</f>
        <v>3.3799825423823364</v>
      </c>
      <c r="AN63" s="44">
        <f>IF(controls!$B$46=0,0,IF(controls!$B$33=2,B64-B63*AC64-('normal case'!H64-D63*AD64-'main page'!$K$27*'normal case'!T63+'main page'!$K$31*'normal case'!AI63)-(('main page'!$K$25*'main page'!$U$13*'main page'!$K$29)/(1+('main page'!$K$25^2)*'main page'!$U$13))*('normal case'!L63-'main page'!$U$8),B64-B63*AC64-('normal case'!I64-D63*AD64-'main page'!$K$27*'normal case'!T63+'main page'!$K$31*'normal case'!AI63)-(('main page'!$K$25*'main page'!$U$13*'main page'!$K$29)/(1+('main page'!$K$25^2)*'main page'!$U$13))*('normal case'!L63-'main page'!$U$8)))</f>
        <v>0</v>
      </c>
      <c r="AU63" s="36"/>
      <c r="AV63" s="36"/>
    </row>
    <row r="64" spans="1:48">
      <c r="A64" s="43">
        <v>62</v>
      </c>
      <c r="B64" s="62">
        <f ca="1">IF(controls!$B$33=1,B63*(1+AC64)+AA64,B63*(1+AC64))</f>
        <v>101</v>
      </c>
      <c r="C64" s="67">
        <f t="shared" ca="1" si="4"/>
        <v>-1.5107707374006907E-7</v>
      </c>
      <c r="D64" s="64">
        <f t="shared" ca="1" si="0"/>
        <v>101.00000005960464</v>
      </c>
      <c r="E64" s="64">
        <f ca="1">AN63+IF(controls!$B$33=1,G64,F64)</f>
        <v>101.00000005960464</v>
      </c>
      <c r="F64" s="78">
        <f ca="1">IF(controls!$B$44=0,H64-'main page'!$K$27*T63,H64-'main page'!$K$27*T63+'main page'!$K$31*AI63)</f>
        <v>101.00000005960464</v>
      </c>
      <c r="G64" s="62">
        <f ca="1">IF(controls!$B$44=0,I64-'main page'!$K$27*T63,I64-'main page'!$K$27*T63+'main page'!$K$31*'normal case'!AI63)</f>
        <v>101.00000005960464</v>
      </c>
      <c r="H64" s="62">
        <f t="shared" ca="1" si="8"/>
        <v>108</v>
      </c>
      <c r="I64" s="62">
        <f t="shared" ca="1" si="9"/>
        <v>108</v>
      </c>
      <c r="L64" s="62">
        <f ca="1">IF(ABS('main page'!$K$29*L63+(1-'main page'!$K$29)*(controls!$B$9/100)*100+'main page'!$K$25*(D64-B64)-L63)&lt;0.0000001,L63,'main page'!$K$29*L63+(1-'main page'!$K$29)*(controls!$B$9/100)*100+'main page'!$K$25*(D64-B64))</f>
        <v>1.9999998807907104</v>
      </c>
      <c r="Q64" s="409">
        <f ca="1">(1-'main page'!$K$29)*($AS$11/100)*100+'main page'!$K$25*(D64-B64)</f>
        <v>5.9604644775390625E-8</v>
      </c>
      <c r="R64" s="409">
        <f>'main page'!G68+'main page'!$K$29*M63</f>
        <v>0</v>
      </c>
      <c r="S64" s="409">
        <f t="shared" ca="1" si="11"/>
        <v>5.9604644775390625E-8</v>
      </c>
      <c r="T64" s="79">
        <f ca="1">IF(controls!$B$10=1,T63,IF(SUM(controls!$B$44:$B$46)=2,U64-'main page'!$K$29*'normal case'!L64-(1-'main page'!$K$29)*'main page'!$K$32,U64-'main page'!$K$29*'normal case'!L64-(1-'main page'!$K$29)*controls!$B$9))</f>
        <v>3.4999999701976776</v>
      </c>
      <c r="U64" s="164">
        <f ca="1">IF(controls!$B$45=1,IF(controls!$B$46=1,'main page'!$K$24+'main page'!$K$11+'main page'!$U$8,'main page'!$K$24+'main page'!$K$11+'main page'!$K$32),IF(controls!$B$44=1,IF(V64&lt;0,0,V64),IF(V64+'main page'!$K$11&lt;0,0,V64+'main page'!$K$11)))</f>
        <v>5.4999998509883881</v>
      </c>
      <c r="V64" s="63">
        <f ca="1">IF(controls!$B$10=1,'normal case'!T64+'normal case'!L64,'normal case'!W64)</f>
        <v>5.4999998509883881</v>
      </c>
      <c r="W64" s="61">
        <f t="shared" ca="1" si="1"/>
        <v>5.4999998509883881</v>
      </c>
      <c r="X64" s="166">
        <f ca="1">IF(controls!$B$44=0,Y64+'main page'!$K$29*L64+(1-'main page'!$K$29)*controls!$B$9+(('main page'!$K$25*'main page'!$U$13*'main page'!$K$29)/('main page'!$K$27*(1+('main page'!$K$25^2)*'main page'!$U$13)))*(L64-controls!$B$9),Y64+'main page'!$K$29*L64+(1-'main page'!$K$29)*controls!$B$9+(('main page'!$K$25*'main page'!$U$13*'normal case'!$AV$3)/'normal case'!$AV$4)*('normal case'!L64-controls!$B$9))</f>
        <v>5.4999998509883881</v>
      </c>
      <c r="Y64" s="81">
        <f ca="1">IF(controls!$B$44=1,'main page'!$K$24+'main page'!$K$11,IF(controls!$B$33=1,((I65-D64*AD65-B65+B64*AC65)/'main page'!$K$27)-'main page'!$K$11,((H65-D64*AD65-B65+B64*AC65)/'main page'!$K$27)-'main page'!$K$11))</f>
        <v>3.5</v>
      </c>
      <c r="AA64" s="58">
        <f>IF(controls!$B$6=1,$AS$3*(1+('main page'!$K$35/100))^AB64-$AS$3*(1+('main page'!$K$35/100))^AB63,$AS$3*(1+('main page'!$G$8/100))*(1+('main page'!$K$35/100))^AB64-$AS$3*(1+('main page'!$G$8/100))*(1+('main page'!$K$35/100))^AB63)</f>
        <v>0</v>
      </c>
      <c r="AB64" s="60">
        <v>57</v>
      </c>
      <c r="AC64" s="125">
        <v>0</v>
      </c>
      <c r="AD64" s="36">
        <v>0</v>
      </c>
      <c r="AE64" s="44">
        <f ca="1">IF(controls!$B$33=1,D64-($I$3-'main page'!$K$27*2)*(1+('main page'!$K$35/100))^A63,D64-$AS$4)</f>
        <v>1.0000000596046448</v>
      </c>
      <c r="AF64" s="44">
        <f ca="1">ABS(L64-(controls!$B$9/100)*100)</f>
        <v>1.1920928955078125E-7</v>
      </c>
      <c r="AH64" s="44">
        <f ca="1">IF(controls!$B$33=1,(B65-B64*AC65-I65+D64*AD65+'main page'!$K$27*('main page'!$K$24+'main page'!$K$11))/'main page'!$K$31,(B65-B64*AC65+D64*AD65-H65+'main page'!$K$27*('main page'!$K$24+'main page'!$K$11))/'main page'!$K$31)</f>
        <v>1</v>
      </c>
      <c r="AI64" s="44">
        <f ca="1">IF(controls!$B$45=1,LOG(AM64,1.01)+LOG(AL64,1.01)-LOG(AK64,1.01),-((T64-('main page'!$K$24+'main page'!$K$11))/(1-'normal case'!$AV$3))+'normal case'!AH64)</f>
        <v>2.0000000596046448</v>
      </c>
      <c r="AJ64" s="80">
        <f t="shared" ca="1" si="2"/>
        <v>1.0506250015463039</v>
      </c>
      <c r="AK64" s="44">
        <f t="shared" ca="1" si="3"/>
        <v>3.2814583549093146</v>
      </c>
      <c r="AL64" s="44">
        <f>AL63*(1+'main page'!$K$32/100)</f>
        <v>1</v>
      </c>
      <c r="AM64" s="44">
        <f ca="1">IF(ABS(IF(controls!$B$45=1,$AS$13,AK64*AJ64/AL64)-AM63)&lt;0.00001,AM63,IF(controls!$B$45=1,$AS$13,AK64*AJ64/AL64))</f>
        <v>3.4475821892007303</v>
      </c>
      <c r="AN64" s="44">
        <f>IF(controls!$B$46=0,0,IF(controls!$B$33=2,B65-B64*AC65-('normal case'!H65-D64*AD65-'main page'!$K$27*'normal case'!T64+'main page'!$K$31*'normal case'!AI64)-(('main page'!$K$25*'main page'!$U$13*'main page'!$K$29)/(1+('main page'!$K$25^2)*'main page'!$U$13))*('normal case'!L64-'main page'!$U$8),B65-B64*AC65-('normal case'!I65-D64*AD65-'main page'!$K$27*'normal case'!T64+'main page'!$K$31*'normal case'!AI64)-(('main page'!$K$25*'main page'!$U$13*'main page'!$K$29)/(1+('main page'!$K$25^2)*'main page'!$U$13))*('normal case'!L64-'main page'!$U$8)))</f>
        <v>0</v>
      </c>
      <c r="AU64" s="36"/>
      <c r="AV64" s="36"/>
    </row>
    <row r="65" spans="1:48">
      <c r="A65" s="43">
        <v>63</v>
      </c>
      <c r="B65" s="62">
        <f ca="1">IF(controls!$B$33=1,B64*(1+AC65)+AA65,B64*(1+AC65))</f>
        <v>101</v>
      </c>
      <c r="C65" s="67">
        <f t="shared" ca="1" si="4"/>
        <v>-1.5107707374006907E-7</v>
      </c>
      <c r="D65" s="64">
        <f t="shared" ca="1" si="0"/>
        <v>101.00000005960464</v>
      </c>
      <c r="E65" s="64">
        <f ca="1">AN64+IF(controls!$B$33=1,G65,F65)</f>
        <v>101.00000005960464</v>
      </c>
      <c r="F65" s="78">
        <f ca="1">IF(controls!$B$44=0,H65-'main page'!$K$27*T64,H65-'main page'!$K$27*T64+'main page'!$K$31*AI64)</f>
        <v>101.00000005960464</v>
      </c>
      <c r="G65" s="62">
        <f ca="1">IF(controls!$B$44=0,I65-'main page'!$K$27*T64,I65-'main page'!$K$27*T64+'main page'!$K$31*'normal case'!AI64)</f>
        <v>101.00000005960464</v>
      </c>
      <c r="H65" s="62">
        <f t="shared" ca="1" si="8"/>
        <v>108</v>
      </c>
      <c r="I65" s="62">
        <f t="shared" ca="1" si="9"/>
        <v>108</v>
      </c>
      <c r="L65" s="62">
        <f ca="1">IF(ABS('main page'!$K$29*L64+(1-'main page'!$K$29)*(controls!$B$9/100)*100+'main page'!$K$25*(D65-B65)-L64)&lt;0.0000001,L64,'main page'!$K$29*L64+(1-'main page'!$K$29)*(controls!$B$9/100)*100+'main page'!$K$25*(D65-B65))</f>
        <v>1.9999998807907104</v>
      </c>
      <c r="Q65" s="409">
        <f ca="1">(1-'main page'!$K$29)*($AS$11/100)*100+'main page'!$K$25*(D65-B65)</f>
        <v>5.9604644775390625E-8</v>
      </c>
      <c r="R65" s="409">
        <f>'main page'!G69+'main page'!$K$29*M64</f>
        <v>0</v>
      </c>
      <c r="S65" s="409">
        <f t="shared" ca="1" si="11"/>
        <v>5.9604644775390625E-8</v>
      </c>
      <c r="T65" s="79">
        <f ca="1">IF(controls!$B$10=1,T64,IF(SUM(controls!$B$44:$B$46)=2,U65-'main page'!$K$29*'normal case'!L65-(1-'main page'!$K$29)*'main page'!$K$32,U65-'main page'!$K$29*'normal case'!L65-(1-'main page'!$K$29)*controls!$B$9))</f>
        <v>3.4999999701976776</v>
      </c>
      <c r="U65" s="164">
        <f ca="1">IF(controls!$B$45=1,IF(controls!$B$46=1,'main page'!$K$24+'main page'!$K$11+'main page'!$U$8,'main page'!$K$24+'main page'!$K$11+'main page'!$K$32),IF(controls!$B$44=1,IF(V65&lt;0,0,V65),IF(V65+'main page'!$K$11&lt;0,0,V65+'main page'!$K$11)))</f>
        <v>5.4999998509883881</v>
      </c>
      <c r="V65" s="63">
        <f ca="1">IF(controls!$B$10=1,'normal case'!T65+'normal case'!L65,'normal case'!W65)</f>
        <v>5.4999998509883881</v>
      </c>
      <c r="W65" s="61">
        <f t="shared" ca="1" si="1"/>
        <v>5.4999998509883881</v>
      </c>
      <c r="X65" s="166">
        <f ca="1">IF(controls!$B$44=0,Y65+'main page'!$K$29*L65+(1-'main page'!$K$29)*controls!$B$9+(('main page'!$K$25*'main page'!$U$13*'main page'!$K$29)/('main page'!$K$27*(1+('main page'!$K$25^2)*'main page'!$U$13)))*(L65-controls!$B$9),Y65+'main page'!$K$29*L65+(1-'main page'!$K$29)*controls!$B$9+(('main page'!$K$25*'main page'!$U$13*'normal case'!$AV$3)/'normal case'!$AV$4)*('normal case'!L65-controls!$B$9))</f>
        <v>5.4999998509883881</v>
      </c>
      <c r="Y65" s="81">
        <f ca="1">IF(controls!$B$44=1,'main page'!$K$24+'main page'!$K$11,IF(controls!$B$33=1,((I66-D65*AD66-B66+B65*AC66)/'main page'!$K$27)-'main page'!$K$11,((H66-D65*AD66-B66+B65*AC66)/'main page'!$K$27)-'main page'!$K$11))</f>
        <v>3.5</v>
      </c>
      <c r="AA65" s="58">
        <f>IF(controls!$B$6=1,$AS$3*(1+('main page'!$K$35/100))^AB65-$AS$3*(1+('main page'!$K$35/100))^AB64,$AS$3*(1+('main page'!$G$8/100))*(1+('main page'!$K$35/100))^AB65-$AS$3*(1+('main page'!$G$8/100))*(1+('main page'!$K$35/100))^AB64)</f>
        <v>0</v>
      </c>
      <c r="AB65" s="60">
        <v>58</v>
      </c>
      <c r="AC65" s="125">
        <f ca="1">IF(controls!$B$4=1,IF(controls!$H64=1,controls!$B$34*AC64+RAND()*('main page'!$K$16/100)-RAND()*('main page'!$K$16/100),0),0)</f>
        <v>0</v>
      </c>
      <c r="AD65" s="36">
        <f ca="1">IF(controls!$B$4=1,IF(controls!$I64=1,controls!$B$34*AD64+RAND()*('main page'!$K$16/100)-RAND()*('main page'!$K$16/100),0),0)</f>
        <v>0</v>
      </c>
      <c r="AE65" s="44">
        <f ca="1">IF(controls!$B$33=1,D65-($I$3-'main page'!$K$27*2)*(1+('main page'!$K$35/100))^A64,D65-$AS$4)</f>
        <v>1.0000000596046448</v>
      </c>
      <c r="AF65" s="44">
        <f ca="1">ABS(L65-(controls!$B$9/100)*100)</f>
        <v>1.1920928955078125E-7</v>
      </c>
      <c r="AH65" s="44">
        <f ca="1">IF(controls!$B$33=1,(B66-B65*AC66-I66+D65*AD66+'main page'!$K$27*('main page'!$K$24+'main page'!$K$11))/'main page'!$K$31,(B66-B65*AC66+D65*AD66-H66+'main page'!$K$27*('main page'!$K$24+'main page'!$K$11))/'main page'!$K$31)</f>
        <v>1</v>
      </c>
      <c r="AI65" s="44">
        <f ca="1">IF(controls!$B$45=1,LOG(AM65,1.01)+LOG(AL65,1.01)-LOG(AK65,1.01),-((T65-('main page'!$K$24+'main page'!$K$11))/(1-'normal case'!$AV$3))+'normal case'!AH65)</f>
        <v>2.0000000596046448</v>
      </c>
      <c r="AJ65" s="80">
        <f t="shared" ca="1" si="2"/>
        <v>1.0506250015463039</v>
      </c>
      <c r="AK65" s="44">
        <f t="shared" ca="1" si="3"/>
        <v>3.347087518095698</v>
      </c>
      <c r="AL65" s="44">
        <f>AL64*(1+'main page'!$K$32/100)</f>
        <v>1</v>
      </c>
      <c r="AM65" s="44">
        <f ca="1">IF(ABS(IF(controls!$B$45=1,$AS$13,AK65*AJ65/AL65)-AM64)&lt;0.00001,AM64,IF(controls!$B$45=1,$AS$13,AK65*AJ65/AL65))</f>
        <v>3.5165338288749073</v>
      </c>
      <c r="AN65" s="44">
        <f>IF(controls!$B$46=0,0,IF(controls!$B$33=2,B66-B65*AC66-('normal case'!H66-D65*AD66-'main page'!$K$27*'normal case'!T65+'main page'!$K$31*'normal case'!AI65)-(('main page'!$K$25*'main page'!$U$13*'main page'!$K$29)/(1+('main page'!$K$25^2)*'main page'!$U$13))*('normal case'!L65-'main page'!$U$8),B66-B65*AC66-('normal case'!I66-D65*AD66-'main page'!$K$27*'normal case'!T65+'main page'!$K$31*'normal case'!AI65)-(('main page'!$K$25*'main page'!$U$13*'main page'!$K$29)/(1+('main page'!$K$25^2)*'main page'!$U$13))*('normal case'!L65-'main page'!$U$8)))</f>
        <v>0</v>
      </c>
      <c r="AU65" s="36"/>
      <c r="AV65" s="36"/>
    </row>
    <row r="66" spans="1:48">
      <c r="A66" s="43">
        <v>64</v>
      </c>
      <c r="B66" s="62">
        <f ca="1">IF(controls!$B$33=1,B65*(1+AC66)+AA66,B65*(1+AC66))</f>
        <v>101</v>
      </c>
      <c r="C66" s="67">
        <f t="shared" ca="1" si="4"/>
        <v>-1.5107707374006907E-7</v>
      </c>
      <c r="D66" s="64">
        <f t="shared" ca="1" si="0"/>
        <v>101.00000005960464</v>
      </c>
      <c r="E66" s="64">
        <f ca="1">AN65+IF(controls!$B$33=1,G66,F66)</f>
        <v>101.00000005960464</v>
      </c>
      <c r="F66" s="78">
        <f ca="1">IF(controls!$B$44=0,H66-'main page'!$K$27*T65,H66-'main page'!$K$27*T65+'main page'!$K$31*AI65)</f>
        <v>101.00000005960464</v>
      </c>
      <c r="G66" s="62">
        <f ca="1">IF(controls!$B$44=0,I66-'main page'!$K$27*T65,I66-'main page'!$K$27*T65+'main page'!$K$31*'normal case'!AI65)</f>
        <v>101.00000005960464</v>
      </c>
      <c r="H66" s="62">
        <f t="shared" ca="1" si="8"/>
        <v>108</v>
      </c>
      <c r="I66" s="62">
        <f t="shared" ca="1" si="9"/>
        <v>108</v>
      </c>
      <c r="L66" s="62">
        <f ca="1">IF(ABS('main page'!$K$29*L65+(1-'main page'!$K$29)*(controls!$B$9/100)*100+'main page'!$K$25*(D66-B66)-L65)&lt;0.0000001,L65,'main page'!$K$29*L65+(1-'main page'!$K$29)*(controls!$B$9/100)*100+'main page'!$K$25*(D66-B66))</f>
        <v>1.9999998807907104</v>
      </c>
      <c r="Q66" s="409">
        <f ca="1">(1-'main page'!$K$29)*($AS$11/100)*100+'main page'!$K$25*(D66-B66)</f>
        <v>5.9604644775390625E-8</v>
      </c>
      <c r="R66" s="409">
        <f>'main page'!G70+'main page'!$K$29*M65</f>
        <v>0</v>
      </c>
      <c r="S66" s="409">
        <f t="shared" ca="1" si="11"/>
        <v>5.9604644775390625E-8</v>
      </c>
      <c r="T66" s="79">
        <f ca="1">IF(controls!$B$10=1,T65,IF(SUM(controls!$B$44:$B$46)=2,U66-'main page'!$K$29*'normal case'!L66-(1-'main page'!$K$29)*'main page'!$K$32,U66-'main page'!$K$29*'normal case'!L66-(1-'main page'!$K$29)*controls!$B$9))</f>
        <v>3.4999999701976776</v>
      </c>
      <c r="U66" s="164">
        <f ca="1">IF(controls!$B$45=1,IF(controls!$B$46=1,'main page'!$K$24+'main page'!$K$11+'main page'!$U$8,'main page'!$K$24+'main page'!$K$11+'main page'!$K$32),IF(controls!$B$44=1,IF(V66&lt;0,0,V66),IF(V66+'main page'!$K$11&lt;0,0,V66+'main page'!$K$11)))</f>
        <v>5.4999998509883881</v>
      </c>
      <c r="V66" s="63">
        <f ca="1">IF(controls!$B$10=1,'normal case'!T66+'normal case'!L66,'normal case'!W66)</f>
        <v>5.4999998509883881</v>
      </c>
      <c r="W66" s="61">
        <f t="shared" ca="1" si="1"/>
        <v>5.4999998509883881</v>
      </c>
      <c r="X66" s="166">
        <f ca="1">IF(controls!$B$44=0,Y66+'main page'!$K$29*L66+(1-'main page'!$K$29)*controls!$B$9+(('main page'!$K$25*'main page'!$U$13*'main page'!$K$29)/('main page'!$K$27*(1+('main page'!$K$25^2)*'main page'!$U$13)))*(L66-controls!$B$9),Y66+'main page'!$K$29*L66+(1-'main page'!$K$29)*controls!$B$9+(('main page'!$K$25*'main page'!$U$13*'normal case'!$AV$3)/'normal case'!$AV$4)*('normal case'!L66-controls!$B$9))</f>
        <v>5.4999998509883881</v>
      </c>
      <c r="Y66" s="81">
        <f ca="1">IF(controls!$B$44=1,'main page'!$K$24+'main page'!$K$11,IF(controls!$B$33=1,((I67-D66*AD67-B67+B66*AC67)/'main page'!$K$27)-'main page'!$K$11,((H67-D66*AD67-B67+B66*AC67)/'main page'!$K$27)-'main page'!$K$11))</f>
        <v>3.5</v>
      </c>
      <c r="AA66" s="58">
        <f>IF(controls!$B$6=1,$AS$3*(1+('main page'!$K$35/100))^AB66-$AS$3*(1+('main page'!$K$35/100))^AB65,$AS$3*(1+('main page'!$G$8/100))*(1+('main page'!$K$35/100))^AB66-$AS$3*(1+('main page'!$G$8/100))*(1+('main page'!$K$35/100))^AB65)</f>
        <v>0</v>
      </c>
      <c r="AB66" s="60">
        <v>59</v>
      </c>
      <c r="AC66" s="125">
        <v>0</v>
      </c>
      <c r="AD66" s="36">
        <v>0</v>
      </c>
      <c r="AE66" s="44">
        <f ca="1">IF(controls!$B$33=1,D66-($I$3-'main page'!$K$27*2)*(1+('main page'!$K$35/100))^A65,D66-$AS$4)</f>
        <v>1.0000000596046448</v>
      </c>
      <c r="AF66" s="44">
        <f ca="1">ABS(L66-(controls!$B$9/100)*100)</f>
        <v>1.1920928955078125E-7</v>
      </c>
      <c r="AH66" s="44">
        <f ca="1">IF(controls!$B$33=1,(B67-B66*AC67-I67+D66*AD67+'main page'!$K$27*('main page'!$K$24+'main page'!$K$11))/'main page'!$K$31,(B67-B66*AC67+D66*AD67-H67+'main page'!$K$27*('main page'!$K$24+'main page'!$K$11))/'main page'!$K$31)</f>
        <v>1</v>
      </c>
      <c r="AI66" s="44">
        <f ca="1">IF(controls!$B$45=1,LOG(AM66,1.01)+LOG(AL66,1.01)-LOG(AK66,1.01),-((T66-('main page'!$K$24+'main page'!$K$11))/(1-'normal case'!$AV$3))+'normal case'!AH66)</f>
        <v>2.0000000596046448</v>
      </c>
      <c r="AJ66" s="80">
        <f t="shared" ca="1" si="2"/>
        <v>1.0506250015463039</v>
      </c>
      <c r="AK66" s="44">
        <f t="shared" ca="1" si="3"/>
        <v>3.4140292644675729</v>
      </c>
      <c r="AL66" s="44">
        <f>AL65*(1+'main page'!$K$32/100)</f>
        <v>1</v>
      </c>
      <c r="AM66" s="44">
        <f ca="1">IF(ABS(IF(controls!$B$45=1,$AS$13,AK66*AJ66/AL66)-AM65)&lt;0.00001,AM65,IF(controls!$B$45=1,$AS$13,AK66*AJ66/AL66))</f>
        <v>3.5868645012603704</v>
      </c>
      <c r="AN66" s="44">
        <f>IF(controls!$B$46=0,0,IF(controls!$B$33=2,B67-B66*AC67-('normal case'!H67-D66*AD67-'main page'!$K$27*'normal case'!T66+'main page'!$K$31*'normal case'!AI66)-(('main page'!$K$25*'main page'!$U$13*'main page'!$K$29)/(1+('main page'!$K$25^2)*'main page'!$U$13))*('normal case'!L66-'main page'!$U$8),B67-B66*AC67-('normal case'!I67-D66*AD67-'main page'!$K$27*'normal case'!T66+'main page'!$K$31*'normal case'!AI66)-(('main page'!$K$25*'main page'!$U$13*'main page'!$K$29)/(1+('main page'!$K$25^2)*'main page'!$U$13))*('normal case'!L66-'main page'!$U$8)))</f>
        <v>0</v>
      </c>
      <c r="AU66" s="36"/>
      <c r="AV66" s="36"/>
    </row>
    <row r="67" spans="1:48">
      <c r="A67" s="43">
        <v>65</v>
      </c>
      <c r="B67" s="62">
        <f ca="1">IF(controls!$B$33=1,B66*(1+AC67)+AA67,B66*(1+AC67))</f>
        <v>101</v>
      </c>
      <c r="C67" s="67">
        <f t="shared" ca="1" si="4"/>
        <v>-1.5107707374006907E-7</v>
      </c>
      <c r="D67" s="64">
        <f t="shared" ca="1" si="0"/>
        <v>101.00000005960464</v>
      </c>
      <c r="E67" s="64">
        <f ca="1">AN66+IF(controls!$B$33=1,G67,F67)</f>
        <v>101.00000005960464</v>
      </c>
      <c r="F67" s="78">
        <f ca="1">IF(controls!$B$44=0,H67-'main page'!$K$27*T66,H67-'main page'!$K$27*T66+'main page'!$K$31*AI66)</f>
        <v>101.00000005960464</v>
      </c>
      <c r="G67" s="62">
        <f ca="1">IF(controls!$B$44=0,I67-'main page'!$K$27*T66,I67-'main page'!$K$27*T66+'main page'!$K$31*'normal case'!AI66)</f>
        <v>101.00000005960464</v>
      </c>
      <c r="H67" s="62">
        <f t="shared" ca="1" si="8"/>
        <v>108</v>
      </c>
      <c r="I67" s="62">
        <f t="shared" ca="1" si="9"/>
        <v>108</v>
      </c>
      <c r="L67" s="62">
        <f ca="1">IF(ABS('main page'!$K$29*L66+(1-'main page'!$K$29)*(controls!$B$9/100)*100+'main page'!$K$25*(D67-B67)-L66)&lt;0.0000001,L66,'main page'!$K$29*L66+(1-'main page'!$K$29)*(controls!$B$9/100)*100+'main page'!$K$25*(D67-B67))</f>
        <v>1.9999998807907104</v>
      </c>
      <c r="Q67" s="409">
        <f ca="1">(1-'main page'!$K$29)*($AS$11/100)*100+'main page'!$K$25*(D67-B67)</f>
        <v>5.9604644775390625E-8</v>
      </c>
      <c r="R67" s="409">
        <f>'main page'!G71+'main page'!$K$29*M66</f>
        <v>0</v>
      </c>
      <c r="S67" s="409">
        <f t="shared" ca="1" si="11"/>
        <v>5.9604644775390625E-8</v>
      </c>
      <c r="T67" s="79">
        <f ca="1">IF(controls!$B$10=1,T66,IF(SUM(controls!$B$44:$B$46)=2,U67-'main page'!$K$29*'normal case'!L67-(1-'main page'!$K$29)*'main page'!$K$32,U67-'main page'!$K$29*'normal case'!L67-(1-'main page'!$K$29)*controls!$B$9))</f>
        <v>3.4999999701976776</v>
      </c>
      <c r="U67" s="164">
        <f ca="1">IF(controls!$B$45=1,IF(controls!$B$46=1,'main page'!$K$24+'main page'!$K$11+'main page'!$U$8,'main page'!$K$24+'main page'!$K$11+'main page'!$K$32),IF(controls!$B$44=1,IF(V67&lt;0,0,V67),IF(V67+'main page'!$K$11&lt;0,0,V67+'main page'!$K$11)))</f>
        <v>5.4999998509883881</v>
      </c>
      <c r="V67" s="63">
        <f ca="1">IF(controls!$B$10=1,'normal case'!T67+'normal case'!L67,'normal case'!W67)</f>
        <v>5.4999998509883881</v>
      </c>
      <c r="W67" s="61">
        <f t="shared" ca="1" si="1"/>
        <v>5.4999998509883881</v>
      </c>
      <c r="X67" s="166">
        <f ca="1">IF(controls!$B$44=0,Y67+'main page'!$K$29*L67+(1-'main page'!$K$29)*controls!$B$9+(('main page'!$K$25*'main page'!$U$13*'main page'!$K$29)/('main page'!$K$27*(1+('main page'!$K$25^2)*'main page'!$U$13)))*(L67-controls!$B$9),Y67+'main page'!$K$29*L67+(1-'main page'!$K$29)*controls!$B$9+(('main page'!$K$25*'main page'!$U$13*'normal case'!$AV$3)/'normal case'!$AV$4)*('normal case'!L67-controls!$B$9))</f>
        <v>5.4999998509883881</v>
      </c>
      <c r="Y67" s="81">
        <f ca="1">IF(controls!$B$44=1,'main page'!$K$24+'main page'!$K$11,IF(controls!$B$33=1,((I68-D67*AD68-B68+B67*AC68)/'main page'!$K$27)-'main page'!$K$11,((H68-D67*AD68-B68+B67*AC68)/'main page'!$K$27)-'main page'!$K$11))</f>
        <v>3.5</v>
      </c>
      <c r="AA67" s="58">
        <f>IF(controls!$B$6=1,$AS$3*(1+('main page'!$K$35/100))^AB67-$AS$3*(1+('main page'!$K$35/100))^AB66,$AS$3*(1+('main page'!$G$8/100))*(1+('main page'!$K$35/100))^AB67-$AS$3*(1+('main page'!$G$8/100))*(1+('main page'!$K$35/100))^AB66)</f>
        <v>0</v>
      </c>
      <c r="AB67" s="60">
        <v>60</v>
      </c>
      <c r="AC67" s="125">
        <v>0</v>
      </c>
      <c r="AD67" s="36">
        <v>0</v>
      </c>
      <c r="AE67" s="44">
        <f ca="1">IF(controls!$B$33=1,D67-($I$3-'main page'!$K$27*2)*(1+('main page'!$K$35/100))^A66,D67-$AS$4)</f>
        <v>1.0000000596046448</v>
      </c>
      <c r="AF67" s="44">
        <f ca="1">ABS(L67-(controls!$B$9/100)*100)</f>
        <v>1.1920928955078125E-7</v>
      </c>
      <c r="AH67" s="44">
        <f ca="1">IF(controls!$B$33=1,(B68-B67*AC68-I68+D67*AD68+'main page'!$K$27*('main page'!$K$24+'main page'!$K$11))/'main page'!$K$31,(B68-B67*AC68+D67*AD68-H68+'main page'!$K$27*('main page'!$K$24+'main page'!$K$11))/'main page'!$K$31)</f>
        <v>1</v>
      </c>
      <c r="AI67" s="44">
        <f ca="1">IF(controls!$B$45=1,LOG(AM67,1.01)+LOG(AL67,1.01)-LOG(AK67,1.01),-((T67-('main page'!$K$24+'main page'!$K$11))/(1-'normal case'!$AV$3))+'normal case'!AH67)</f>
        <v>2.0000000596046448</v>
      </c>
      <c r="AJ67" s="80">
        <f t="shared" ca="1" si="2"/>
        <v>1.0506250015463039</v>
      </c>
      <c r="AK67" s="44">
        <f t="shared" ca="1" si="3"/>
        <v>3.4823098456870847</v>
      </c>
      <c r="AL67" s="44">
        <f>AL66*(1+'main page'!$K$32/100)</f>
        <v>1</v>
      </c>
      <c r="AM67" s="44">
        <f ca="1">IF(ABS(IF(controls!$B$45=1,$AS$13,AK67*AJ67/AL67)-AM66)&lt;0.00001,AM66,IF(controls!$B$45=1,$AS$13,AK67*AJ67/AL67))</f>
        <v>3.6586017870097027</v>
      </c>
      <c r="AN67" s="44">
        <f>IF(controls!$B$46=0,0,IF(controls!$B$33=2,B68-B67*AC68-('normal case'!H68-D67*AD68-'main page'!$K$27*'normal case'!T67+'main page'!$K$31*'normal case'!AI67)-(('main page'!$K$25*'main page'!$U$13*'main page'!$K$29)/(1+('main page'!$K$25^2)*'main page'!$U$13))*('normal case'!L67-'main page'!$U$8),B68-B67*AC68-('normal case'!I68-D67*AD68-'main page'!$K$27*'normal case'!T67+'main page'!$K$31*'normal case'!AI67)-(('main page'!$K$25*'main page'!$U$13*'main page'!$K$29)/(1+('main page'!$K$25^2)*'main page'!$U$13))*('normal case'!L67-'main page'!$U$8)))</f>
        <v>0</v>
      </c>
      <c r="AU67" s="36"/>
      <c r="AV67" s="36"/>
    </row>
    <row r="68" spans="1:48">
      <c r="A68" s="43">
        <v>66</v>
      </c>
      <c r="B68" s="62">
        <f ca="1">IF(controls!$B$33=1,B67*(1+AC68)+AA68,B67*(1+AC68))</f>
        <v>101</v>
      </c>
      <c r="C68" s="67">
        <f t="shared" ca="1" si="4"/>
        <v>-1.5107707374006907E-7</v>
      </c>
      <c r="D68" s="64">
        <f t="shared" ref="D68:D131" ca="1" si="12">IF(E68&gt;0,E68,0.1)</f>
        <v>101.00000005960464</v>
      </c>
      <c r="E68" s="64">
        <f ca="1">AN67+IF(controls!$B$33=1,G68,F68)</f>
        <v>101.00000005960464</v>
      </c>
      <c r="F68" s="78">
        <f ca="1">IF(controls!$B$44=0,H68-'main page'!$K$27*T67,H68-'main page'!$K$27*T67+'main page'!$K$31*AI67)</f>
        <v>101.00000005960464</v>
      </c>
      <c r="G68" s="62">
        <f ca="1">IF(controls!$B$44=0,I68-'main page'!$K$27*T67,I68-'main page'!$K$27*T67+'main page'!$K$31*'normal case'!AI67)</f>
        <v>101.00000005960464</v>
      </c>
      <c r="H68" s="62">
        <f t="shared" ca="1" si="8"/>
        <v>108</v>
      </c>
      <c r="I68" s="62">
        <f t="shared" ca="1" si="9"/>
        <v>108</v>
      </c>
      <c r="L68" s="62">
        <f ca="1">IF(ABS('main page'!$K$29*L67+(1-'main page'!$K$29)*(controls!$B$9/100)*100+'main page'!$K$25*(D68-B68)-L67)&lt;0.0000001,L67,'main page'!$K$29*L67+(1-'main page'!$K$29)*(controls!$B$9/100)*100+'main page'!$K$25*(D68-B68))</f>
        <v>1.9999998807907104</v>
      </c>
      <c r="Q68" s="409">
        <f ca="1">(1-'main page'!$K$29)*($AS$11/100)*100+'main page'!$K$25*(D68-B68)</f>
        <v>5.9604644775390625E-8</v>
      </c>
      <c r="R68" s="409">
        <f>'main page'!G72+'main page'!$K$29*M67</f>
        <v>0</v>
      </c>
      <c r="S68" s="409">
        <f t="shared" ca="1" si="11"/>
        <v>5.9604644775390625E-8</v>
      </c>
      <c r="T68" s="79">
        <f ca="1">IF(controls!$B$10=1,T67,IF(SUM(controls!$B$44:$B$46)=2,U68-'main page'!$K$29*'normal case'!L68-(1-'main page'!$K$29)*'main page'!$K$32,U68-'main page'!$K$29*'normal case'!L68-(1-'main page'!$K$29)*controls!$B$9))</f>
        <v>3.4999999701976776</v>
      </c>
      <c r="U68" s="164">
        <f ca="1">IF(controls!$B$45=1,IF(controls!$B$46=1,'main page'!$K$24+'main page'!$K$11+'main page'!$U$8,'main page'!$K$24+'main page'!$K$11+'main page'!$K$32),IF(controls!$B$44=1,IF(V68&lt;0,0,V68),IF(V68+'main page'!$K$11&lt;0,0,V68+'main page'!$K$11)))</f>
        <v>5.4999998509883881</v>
      </c>
      <c r="V68" s="63">
        <f ca="1">IF(controls!$B$10=1,'normal case'!T68+'normal case'!L68,'normal case'!W68)</f>
        <v>5.4999998509883881</v>
      </c>
      <c r="W68" s="61">
        <f t="shared" ref="W68:W131" ca="1" si="13">IF(X68&lt;0,0,X68)</f>
        <v>5.4999998509883881</v>
      </c>
      <c r="X68" s="166">
        <f ca="1">IF(controls!$B$44=0,Y68+'main page'!$K$29*L68+(1-'main page'!$K$29)*controls!$B$9+(('main page'!$K$25*'main page'!$U$13*'main page'!$K$29)/('main page'!$K$27*(1+('main page'!$K$25^2)*'main page'!$U$13)))*(L68-controls!$B$9),Y68+'main page'!$K$29*L68+(1-'main page'!$K$29)*controls!$B$9+(('main page'!$K$25*'main page'!$U$13*'normal case'!$AV$3)/'normal case'!$AV$4)*('normal case'!L68-controls!$B$9))</f>
        <v>5.4999998509883881</v>
      </c>
      <c r="Y68" s="81">
        <f ca="1">IF(controls!$B$44=1,'main page'!$K$24+'main page'!$K$11,IF(controls!$B$33=1,((I69-D68*AD69-B69+B68*AC69)/'main page'!$K$27)-'main page'!$K$11,((H69-D68*AD69-B69+B68*AC69)/'main page'!$K$27)-'main page'!$K$11))</f>
        <v>3.5</v>
      </c>
      <c r="AA68" s="58">
        <f>IF(controls!$B$6=1,$AS$3*(1+('main page'!$K$35/100))^AB68-$AS$3*(1+('main page'!$K$35/100))^AB67,$AS$3*(1+('main page'!$G$8/100))*(1+('main page'!$K$35/100))^AB68-$AS$3*(1+('main page'!$G$8/100))*(1+('main page'!$K$35/100))^AB67)</f>
        <v>0</v>
      </c>
      <c r="AB68" s="60">
        <v>61</v>
      </c>
      <c r="AC68" s="125">
        <f ca="1">IF(controls!$B$4=1,IF(controls!$H67=1,controls!$B$34*AC67+RAND()*('main page'!$K$16/100)-RAND()*('main page'!$K$16/100),0),0)</f>
        <v>0</v>
      </c>
      <c r="AD68" s="36">
        <f ca="1">IF(controls!$B$4=1,IF(controls!$I67=1,controls!$B$34*AD67+RAND()*('main page'!$K$16/100)-RAND()*('main page'!$K$16/100),0),0)</f>
        <v>0</v>
      </c>
      <c r="AE68" s="44">
        <f ca="1">IF(controls!$B$33=1,D68-($I$3-'main page'!$K$27*2)*(1+('main page'!$K$35/100))^A67,D68-$AS$4)</f>
        <v>1.0000000596046448</v>
      </c>
      <c r="AF68" s="44">
        <f ca="1">ABS(L68-(controls!$B$9/100)*100)</f>
        <v>1.1920928955078125E-7</v>
      </c>
      <c r="AH68" s="44">
        <f ca="1">IF(controls!$B$33=1,(B69-B68*AC69-I69+D68*AD69+'main page'!$K$27*('main page'!$K$24+'main page'!$K$11))/'main page'!$K$31,(B69-B68*AC69+D68*AD69-H69+'main page'!$K$27*('main page'!$K$24+'main page'!$K$11))/'main page'!$K$31)</f>
        <v>1</v>
      </c>
      <c r="AI68" s="44">
        <f ca="1">IF(controls!$B$45=1,LOG(AM68,1.01)+LOG(AL68,1.01)-LOG(AK68,1.01),-((T68-('main page'!$K$24+'main page'!$K$11))/(1-'normal case'!$AV$3))+'normal case'!AH68)</f>
        <v>2.0000000596046448</v>
      </c>
      <c r="AJ68" s="80">
        <f t="shared" ref="AJ68:AJ131" ca="1" si="14">IF(ABS(1.025^AI68-1)&lt;0.000000000001,1,1.025^AI68)</f>
        <v>1.0506250015463039</v>
      </c>
      <c r="AK68" s="44">
        <f t="shared" ref="AK68:AK131" ca="1" si="15">AK67*(1+L68/100)</f>
        <v>3.5519560384495898</v>
      </c>
      <c r="AL68" s="44">
        <f>AL67*(1+'main page'!$K$32/100)</f>
        <v>1</v>
      </c>
      <c r="AM68" s="44">
        <f ca="1">IF(ABS(IF(controls!$B$45=1,$AS$13,AK68*AJ68/AL68)-AM67)&lt;0.00001,AM67,IF(controls!$B$45=1,$AS$13,AK68*AJ68/AL68))</f>
        <v>3.7317738183885036</v>
      </c>
      <c r="AN68" s="44">
        <f>IF(controls!$B$46=0,0,IF(controls!$B$33=2,B69-B68*AC69-('normal case'!H69-D68*AD69-'main page'!$K$27*'normal case'!T68+'main page'!$K$31*'normal case'!AI68)-(('main page'!$K$25*'main page'!$U$13*'main page'!$K$29)/(1+('main page'!$K$25^2)*'main page'!$U$13))*('normal case'!L68-'main page'!$U$8),B69-B68*AC69-('normal case'!I69-D68*AD69-'main page'!$K$27*'normal case'!T68+'main page'!$K$31*'normal case'!AI68)-(('main page'!$K$25*'main page'!$U$13*'main page'!$K$29)/(1+('main page'!$K$25^2)*'main page'!$U$13))*('normal case'!L68-'main page'!$U$8)))</f>
        <v>0</v>
      </c>
      <c r="AU68" s="36"/>
      <c r="AV68" s="36"/>
    </row>
    <row r="69" spans="1:48">
      <c r="A69" s="43">
        <v>67</v>
      </c>
      <c r="B69" s="62">
        <f ca="1">IF(controls!$B$33=1,B68*(1+AC69)+AA69,B68*(1+AC69))</f>
        <v>101</v>
      </c>
      <c r="C69" s="67">
        <f t="shared" ca="1" si="4"/>
        <v>-1.5107707374006907E-7</v>
      </c>
      <c r="D69" s="64">
        <f t="shared" ca="1" si="12"/>
        <v>101.00000005960464</v>
      </c>
      <c r="E69" s="64">
        <f ca="1">AN68+IF(controls!$B$33=1,G69,F69)</f>
        <v>101.00000005960464</v>
      </c>
      <c r="F69" s="78">
        <f ca="1">IF(controls!$B$44=0,H69-'main page'!$K$27*T68,H69-'main page'!$K$27*T68+'main page'!$K$31*AI68)</f>
        <v>101.00000005960464</v>
      </c>
      <c r="G69" s="62">
        <f ca="1">IF(controls!$B$44=0,I69-'main page'!$K$27*T68,I69-'main page'!$K$27*T68+'main page'!$K$31*'normal case'!AI68)</f>
        <v>101.00000005960464</v>
      </c>
      <c r="H69" s="62">
        <f t="shared" ca="1" si="8"/>
        <v>108</v>
      </c>
      <c r="I69" s="62">
        <f t="shared" ca="1" si="9"/>
        <v>108</v>
      </c>
      <c r="L69" s="62">
        <f ca="1">IF(ABS('main page'!$K$29*L68+(1-'main page'!$K$29)*(controls!$B$9/100)*100+'main page'!$K$25*(D69-B69)-L68)&lt;0.0000001,L68,'main page'!$K$29*L68+(1-'main page'!$K$29)*(controls!$B$9/100)*100+'main page'!$K$25*(D69-B69))</f>
        <v>1.9999998807907104</v>
      </c>
      <c r="Q69" s="409">
        <f ca="1">(1-'main page'!$K$29)*($AS$11/100)*100+'main page'!$K$25*(D69-B69)</f>
        <v>5.9604644775390625E-8</v>
      </c>
      <c r="R69" s="409">
        <f>'main page'!G73+'main page'!$K$29*M68</f>
        <v>0</v>
      </c>
      <c r="S69" s="409">
        <f t="shared" ca="1" si="11"/>
        <v>5.9604644775390625E-8</v>
      </c>
      <c r="T69" s="79">
        <f ca="1">IF(controls!$B$10=1,T68,IF(SUM(controls!$B$44:$B$46)=2,U69-'main page'!$K$29*'normal case'!L69-(1-'main page'!$K$29)*'main page'!$K$32,U69-'main page'!$K$29*'normal case'!L69-(1-'main page'!$K$29)*controls!$B$9))</f>
        <v>3.4999999701976776</v>
      </c>
      <c r="U69" s="164">
        <f ca="1">IF(controls!$B$45=1,IF(controls!$B$46=1,'main page'!$K$24+'main page'!$K$11+'main page'!$U$8,'main page'!$K$24+'main page'!$K$11+'main page'!$K$32),IF(controls!$B$44=1,IF(V69&lt;0,0,V69),IF(V69+'main page'!$K$11&lt;0,0,V69+'main page'!$K$11)))</f>
        <v>5.4999998509883881</v>
      </c>
      <c r="V69" s="63">
        <f ca="1">IF(controls!$B$10=1,'normal case'!T69+'normal case'!L69,'normal case'!W69)</f>
        <v>5.4999998509883881</v>
      </c>
      <c r="W69" s="61">
        <f t="shared" ca="1" si="13"/>
        <v>5.4999998509883881</v>
      </c>
      <c r="X69" s="166">
        <f ca="1">IF(controls!$B$44=0,Y69+'main page'!$K$29*L69+(1-'main page'!$K$29)*controls!$B$9+(('main page'!$K$25*'main page'!$U$13*'main page'!$K$29)/('main page'!$K$27*(1+('main page'!$K$25^2)*'main page'!$U$13)))*(L69-controls!$B$9),Y69+'main page'!$K$29*L69+(1-'main page'!$K$29)*controls!$B$9+(('main page'!$K$25*'main page'!$U$13*'normal case'!$AV$3)/'normal case'!$AV$4)*('normal case'!L69-controls!$B$9))</f>
        <v>5.4999998509883881</v>
      </c>
      <c r="Y69" s="81">
        <f ca="1">IF(controls!$B$44=1,'main page'!$K$24+'main page'!$K$11,IF(controls!$B$33=1,((I70-D69*AD70-B70+B69*AC70)/'main page'!$K$27)-'main page'!$K$11,((H70-D69*AD70-B70+B69*AC70)/'main page'!$K$27)-'main page'!$K$11))</f>
        <v>3.5</v>
      </c>
      <c r="AA69" s="58">
        <f>IF(controls!$B$6=1,$AS$3*(1+('main page'!$K$35/100))^AB69-$AS$3*(1+('main page'!$K$35/100))^AB68,$AS$3*(1+('main page'!$G$8/100))*(1+('main page'!$K$35/100))^AB69-$AS$3*(1+('main page'!$G$8/100))*(1+('main page'!$K$35/100))^AB68)</f>
        <v>0</v>
      </c>
      <c r="AB69" s="60">
        <v>62</v>
      </c>
      <c r="AC69" s="125">
        <v>0</v>
      </c>
      <c r="AD69" s="36">
        <v>0</v>
      </c>
      <c r="AE69" s="44">
        <f ca="1">IF(controls!$B$33=1,D69-($I$3-'main page'!$K$27*2)*(1+('main page'!$K$35/100))^A68,D69-$AS$4)</f>
        <v>1.0000000596046448</v>
      </c>
      <c r="AF69" s="44">
        <f ca="1">ABS(L69-(controls!$B$9/100)*100)</f>
        <v>1.1920928955078125E-7</v>
      </c>
      <c r="AH69" s="44">
        <f ca="1">IF(controls!$B$33=1,(B70-B69*AC70-I70+D69*AD70+'main page'!$K$27*('main page'!$K$24+'main page'!$K$11))/'main page'!$K$31,(B70-B69*AC70+D69*AD70-H70+'main page'!$K$27*('main page'!$K$24+'main page'!$K$11))/'main page'!$K$31)</f>
        <v>1</v>
      </c>
      <c r="AI69" s="44">
        <f ca="1">IF(controls!$B$45=1,LOG(AM69,1.01)+LOG(AL69,1.01)-LOG(AK69,1.01),-((T69-('main page'!$K$24+'main page'!$K$11))/(1-'normal case'!$AV$3))+'normal case'!AH69)</f>
        <v>2.0000000596046448</v>
      </c>
      <c r="AJ69" s="80">
        <f t="shared" ca="1" si="14"/>
        <v>1.0506250015463039</v>
      </c>
      <c r="AK69" s="44">
        <f t="shared" ca="1" si="15"/>
        <v>3.6229951549843205</v>
      </c>
      <c r="AL69" s="44">
        <f>AL68*(1+'main page'!$K$32/100)</f>
        <v>1</v>
      </c>
      <c r="AM69" s="44">
        <f ca="1">IF(ABS(IF(controls!$B$45=1,$AS$13,AK69*AJ69/AL69)-AM68)&lt;0.00001,AM68,IF(controls!$B$45=1,$AS$13,AK69*AJ69/AL69))</f>
        <v>3.8064092903076534</v>
      </c>
      <c r="AN69" s="44">
        <f>IF(controls!$B$46=0,0,IF(controls!$B$33=2,B70-B69*AC70-('normal case'!H70-D69*AD70-'main page'!$K$27*'normal case'!T69+'main page'!$K$31*'normal case'!AI69)-(('main page'!$K$25*'main page'!$U$13*'main page'!$K$29)/(1+('main page'!$K$25^2)*'main page'!$U$13))*('normal case'!L69-'main page'!$U$8),B70-B69*AC70-('normal case'!I70-D69*AD70-'main page'!$K$27*'normal case'!T69+'main page'!$K$31*'normal case'!AI69)-(('main page'!$K$25*'main page'!$U$13*'main page'!$K$29)/(1+('main page'!$K$25^2)*'main page'!$U$13))*('normal case'!L69-'main page'!$U$8)))</f>
        <v>0</v>
      </c>
      <c r="AU69" s="36"/>
      <c r="AV69" s="36"/>
    </row>
    <row r="70" spans="1:48">
      <c r="A70" s="43">
        <v>68</v>
      </c>
      <c r="B70" s="62">
        <f ca="1">IF(controls!$B$33=1,B69*(1+AC70)+AA70,B69*(1+AC70))</f>
        <v>101</v>
      </c>
      <c r="C70" s="67">
        <f t="shared" ref="C70:C133" ca="1" si="16">IF(ABS((D70/D69-1)-C69)&lt;0.000001,C69,D70/D69-1)</f>
        <v>-1.5107707374006907E-7</v>
      </c>
      <c r="D70" s="64">
        <f t="shared" ca="1" si="12"/>
        <v>101.00000005960464</v>
      </c>
      <c r="E70" s="64">
        <f ca="1">AN69+IF(controls!$B$33=1,G70,F70)</f>
        <v>101.00000005960464</v>
      </c>
      <c r="F70" s="78">
        <f ca="1">IF(controls!$B$44=0,H70-'main page'!$K$27*T69,H70-'main page'!$K$27*T69+'main page'!$K$31*AI69)</f>
        <v>101.00000005960464</v>
      </c>
      <c r="G70" s="62">
        <f ca="1">IF(controls!$B$44=0,I70-'main page'!$K$27*T69,I70-'main page'!$K$27*T69+'main page'!$K$31*'normal case'!AI69)</f>
        <v>101.00000005960464</v>
      </c>
      <c r="H70" s="62">
        <f t="shared" ca="1" si="8"/>
        <v>108</v>
      </c>
      <c r="I70" s="62">
        <f t="shared" ca="1" si="9"/>
        <v>108</v>
      </c>
      <c r="L70" s="62">
        <f ca="1">IF(ABS('main page'!$K$29*L69+(1-'main page'!$K$29)*(controls!$B$9/100)*100+'main page'!$K$25*(D70-B70)-L69)&lt;0.0000001,L69,'main page'!$K$29*L69+(1-'main page'!$K$29)*(controls!$B$9/100)*100+'main page'!$K$25*(D70-B70))</f>
        <v>1.9999998807907104</v>
      </c>
      <c r="Q70" s="409">
        <f ca="1">(1-'main page'!$K$29)*($AS$11/100)*100+'main page'!$K$25*(D70-B70)</f>
        <v>5.9604644775390625E-8</v>
      </c>
      <c r="R70" s="409">
        <f>'main page'!G74+'main page'!$K$29*M69</f>
        <v>0</v>
      </c>
      <c r="S70" s="409">
        <f t="shared" ca="1" si="11"/>
        <v>5.9604644775390625E-8</v>
      </c>
      <c r="T70" s="79">
        <f ca="1">IF(controls!$B$10=1,T69,IF(SUM(controls!$B$44:$B$46)=2,U70-'main page'!$K$29*'normal case'!L70-(1-'main page'!$K$29)*'main page'!$K$32,U70-'main page'!$K$29*'normal case'!L70-(1-'main page'!$K$29)*controls!$B$9))</f>
        <v>3.4999999701976776</v>
      </c>
      <c r="U70" s="164">
        <f ca="1">IF(controls!$B$45=1,IF(controls!$B$46=1,'main page'!$K$24+'main page'!$K$11+'main page'!$U$8,'main page'!$K$24+'main page'!$K$11+'main page'!$K$32),IF(controls!$B$44=1,IF(V70&lt;0,0,V70),IF(V70+'main page'!$K$11&lt;0,0,V70+'main page'!$K$11)))</f>
        <v>5.4999998509883881</v>
      </c>
      <c r="V70" s="63">
        <f ca="1">IF(controls!$B$10=1,'normal case'!T70+'normal case'!L70,'normal case'!W70)</f>
        <v>5.4999998509883881</v>
      </c>
      <c r="W70" s="61">
        <f t="shared" ca="1" si="13"/>
        <v>5.4999998509883881</v>
      </c>
      <c r="X70" s="166">
        <f ca="1">IF(controls!$B$44=0,Y70+'main page'!$K$29*L70+(1-'main page'!$K$29)*controls!$B$9+(('main page'!$K$25*'main page'!$U$13*'main page'!$K$29)/('main page'!$K$27*(1+('main page'!$K$25^2)*'main page'!$U$13)))*(L70-controls!$B$9),Y70+'main page'!$K$29*L70+(1-'main page'!$K$29)*controls!$B$9+(('main page'!$K$25*'main page'!$U$13*'normal case'!$AV$3)/'normal case'!$AV$4)*('normal case'!L70-controls!$B$9))</f>
        <v>5.4999998509883881</v>
      </c>
      <c r="Y70" s="81">
        <f ca="1">IF(controls!$B$44=1,'main page'!$K$24+'main page'!$K$11,IF(controls!$B$33=1,((I71-D70*AD71-B71+B70*AC71)/'main page'!$K$27)-'main page'!$K$11,((H71-D70*AD71-B71+B70*AC71)/'main page'!$K$27)-'main page'!$K$11))</f>
        <v>3.5</v>
      </c>
      <c r="AA70" s="58">
        <f>IF(controls!$B$6=1,$AS$3*(1+('main page'!$K$35/100))^AB70-$AS$3*(1+('main page'!$K$35/100))^AB69,$AS$3*(1+('main page'!$G$8/100))*(1+('main page'!$K$35/100))^AB70-$AS$3*(1+('main page'!$G$8/100))*(1+('main page'!$K$35/100))^AB69)</f>
        <v>0</v>
      </c>
      <c r="AB70" s="60">
        <v>63</v>
      </c>
      <c r="AC70" s="125">
        <v>0</v>
      </c>
      <c r="AD70" s="36">
        <v>0</v>
      </c>
      <c r="AE70" s="44">
        <f ca="1">IF(controls!$B$33=1,D70-($I$3-'main page'!$K$27*2)*(1+('main page'!$K$35/100))^A69,D70-$AS$4)</f>
        <v>1.0000000596046448</v>
      </c>
      <c r="AF70" s="44">
        <f ca="1">ABS(L70-(controls!$B$9/100)*100)</f>
        <v>1.1920928955078125E-7</v>
      </c>
      <c r="AH70" s="44">
        <f ca="1">IF(controls!$B$33=1,(B71-B70*AC71-I71+D70*AD71+'main page'!$K$27*('main page'!$K$24+'main page'!$K$11))/'main page'!$K$31,(B71-B70*AC71+D70*AD71-H71+'main page'!$K$27*('main page'!$K$24+'main page'!$K$11))/'main page'!$K$31)</f>
        <v>1</v>
      </c>
      <c r="AI70" s="44">
        <f ca="1">IF(controls!$B$45=1,LOG(AM70,1.01)+LOG(AL70,1.01)-LOG(AK70,1.01),-((T70-('main page'!$K$24+'main page'!$K$11))/(1-'normal case'!$AV$3))+'normal case'!AH70)</f>
        <v>2.0000000596046448</v>
      </c>
      <c r="AJ70" s="80">
        <f t="shared" ca="1" si="14"/>
        <v>1.0506250015463039</v>
      </c>
      <c r="AK70" s="44">
        <f t="shared" ca="1" si="15"/>
        <v>3.6954550537650603</v>
      </c>
      <c r="AL70" s="44">
        <f>AL69*(1+'main page'!$K$32/100)</f>
        <v>1</v>
      </c>
      <c r="AM70" s="44">
        <f ca="1">IF(ABS(IF(controls!$B$45=1,$AS$13,AK70*AJ70/AL70)-AM69)&lt;0.00001,AM69,IF(controls!$B$45=1,$AS$13,AK70*AJ70/AL70))</f>
        <v>3.8825374715762129</v>
      </c>
      <c r="AN70" s="44">
        <f>IF(controls!$B$46=0,0,IF(controls!$B$33=2,B71-B70*AC71-('normal case'!H71-D70*AD71-'main page'!$K$27*'normal case'!T70+'main page'!$K$31*'normal case'!AI70)-(('main page'!$K$25*'main page'!$U$13*'main page'!$K$29)/(1+('main page'!$K$25^2)*'main page'!$U$13))*('normal case'!L70-'main page'!$U$8),B71-B70*AC71-('normal case'!I71-D70*AD71-'main page'!$K$27*'normal case'!T70+'main page'!$K$31*'normal case'!AI70)-(('main page'!$K$25*'main page'!$U$13*'main page'!$K$29)/(1+('main page'!$K$25^2)*'main page'!$U$13))*('normal case'!L70-'main page'!$U$8)))</f>
        <v>0</v>
      </c>
      <c r="AU70" s="36"/>
      <c r="AV70" s="36"/>
    </row>
    <row r="71" spans="1:48">
      <c r="A71" s="43">
        <v>69</v>
      </c>
      <c r="B71" s="62">
        <f ca="1">IF(controls!$B$33=1,B70*(1+AC71)+AA71,B70*(1+AC71))</f>
        <v>101</v>
      </c>
      <c r="C71" s="67">
        <f t="shared" ca="1" si="16"/>
        <v>-1.5107707374006907E-7</v>
      </c>
      <c r="D71" s="64">
        <f t="shared" ca="1" si="12"/>
        <v>101.00000005960464</v>
      </c>
      <c r="E71" s="64">
        <f ca="1">AN70+IF(controls!$B$33=1,G71,F71)</f>
        <v>101.00000005960464</v>
      </c>
      <c r="F71" s="78">
        <f ca="1">IF(controls!$B$44=0,H71-'main page'!$K$27*T70,H71-'main page'!$K$27*T70+'main page'!$K$31*AI70)</f>
        <v>101.00000005960464</v>
      </c>
      <c r="G71" s="62">
        <f ca="1">IF(controls!$B$44=0,I71-'main page'!$K$27*T70,I71-'main page'!$K$27*T70+'main page'!$K$31*'normal case'!AI70)</f>
        <v>101.00000005960464</v>
      </c>
      <c r="H71" s="62">
        <f t="shared" ca="1" si="8"/>
        <v>108</v>
      </c>
      <c r="I71" s="62">
        <f t="shared" ca="1" si="9"/>
        <v>108</v>
      </c>
      <c r="L71" s="62">
        <f ca="1">IF(ABS('main page'!$K$29*L70+(1-'main page'!$K$29)*(controls!$B$9/100)*100+'main page'!$K$25*(D71-B71)-L70)&lt;0.0000001,L70,'main page'!$K$29*L70+(1-'main page'!$K$29)*(controls!$B$9/100)*100+'main page'!$K$25*(D71-B71))</f>
        <v>1.9999998807907104</v>
      </c>
      <c r="Q71" s="409">
        <f ca="1">(1-'main page'!$K$29)*($AS$11/100)*100+'main page'!$K$25*(D71-B71)</f>
        <v>5.9604644775390625E-8</v>
      </c>
      <c r="R71" s="409">
        <f>'main page'!G75+'main page'!$K$29*M70</f>
        <v>0</v>
      </c>
      <c r="S71" s="409">
        <f t="shared" ca="1" si="11"/>
        <v>5.9604644775390625E-8</v>
      </c>
      <c r="T71" s="79">
        <f ca="1">IF(controls!$B$10=1,T70,IF(SUM(controls!$B$44:$B$46)=2,U71-'main page'!$K$29*'normal case'!L71-(1-'main page'!$K$29)*'main page'!$K$32,U71-'main page'!$K$29*'normal case'!L71-(1-'main page'!$K$29)*controls!$B$9))</f>
        <v>3.4999999701976776</v>
      </c>
      <c r="U71" s="164">
        <f ca="1">IF(controls!$B$45=1,IF(controls!$B$46=1,'main page'!$K$24+'main page'!$K$11+'main page'!$U$8,'main page'!$K$24+'main page'!$K$11+'main page'!$K$32),IF(controls!$B$44=1,IF(V71&lt;0,0,V71),IF(V71+'main page'!$K$11&lt;0,0,V71+'main page'!$K$11)))</f>
        <v>5.4999998509883881</v>
      </c>
      <c r="V71" s="63">
        <f ca="1">IF(controls!$B$10=1,'normal case'!T71+'normal case'!L71,'normal case'!W71)</f>
        <v>5.4999998509883881</v>
      </c>
      <c r="W71" s="61">
        <f t="shared" ca="1" si="13"/>
        <v>5.4999998509883881</v>
      </c>
      <c r="X71" s="166">
        <f ca="1">IF(controls!$B$44=0,Y71+'main page'!$K$29*L71+(1-'main page'!$K$29)*controls!$B$9+(('main page'!$K$25*'main page'!$U$13*'main page'!$K$29)/('main page'!$K$27*(1+('main page'!$K$25^2)*'main page'!$U$13)))*(L71-controls!$B$9),Y71+'main page'!$K$29*L71+(1-'main page'!$K$29)*controls!$B$9+(('main page'!$K$25*'main page'!$U$13*'normal case'!$AV$3)/'normal case'!$AV$4)*('normal case'!L71-controls!$B$9))</f>
        <v>5.4999998509883881</v>
      </c>
      <c r="Y71" s="81">
        <f ca="1">IF(controls!$B$44=1,'main page'!$K$24+'main page'!$K$11,IF(controls!$B$33=1,((I72-D71*AD72-B72+B71*AC72)/'main page'!$K$27)-'main page'!$K$11,((H72-D71*AD72-B72+B71*AC72)/'main page'!$K$27)-'main page'!$K$11))</f>
        <v>3.5</v>
      </c>
      <c r="AA71" s="58">
        <f>IF(controls!$B$6=1,$AS$3*(1+('main page'!$K$35/100))^AB71-$AS$3*(1+('main page'!$K$35/100))^AB70,$AS$3*(1+('main page'!$G$8/100))*(1+('main page'!$K$35/100))^AB71-$AS$3*(1+('main page'!$G$8/100))*(1+('main page'!$K$35/100))^AB70)</f>
        <v>0</v>
      </c>
      <c r="AB71" s="60">
        <v>64</v>
      </c>
      <c r="AC71" s="125">
        <f ca="1">IF(controls!$B$4=1,IF(controls!$H70=1,controls!$B$34*AC70+RAND()*('main page'!$K$16/100)-RAND()*('main page'!$K$16/100),0),0)</f>
        <v>0</v>
      </c>
      <c r="AD71" s="36">
        <f ca="1">IF(controls!$B$4=1,IF(controls!$I70=1,controls!$B$34*AD70+RAND()*('main page'!$K$16/100)-RAND()*('main page'!$K$16/100),0),0)</f>
        <v>0</v>
      </c>
      <c r="AE71" s="44">
        <f ca="1">IF(controls!$B$33=1,D71-($I$3-'main page'!$K$27*2)*(1+('main page'!$K$35/100))^A70,D71-$AS$4)</f>
        <v>1.0000000596046448</v>
      </c>
      <c r="AF71" s="44">
        <f ca="1">ABS(L71-(controls!$B$9/100)*100)</f>
        <v>1.1920928955078125E-7</v>
      </c>
      <c r="AH71" s="44">
        <f ca="1">IF(controls!$B$33=1,(B72-B71*AC72-I72+D71*AD72+'main page'!$K$27*('main page'!$K$24+'main page'!$K$11))/'main page'!$K$31,(B72-B71*AC72+D71*AD72-H72+'main page'!$K$27*('main page'!$K$24+'main page'!$K$11))/'main page'!$K$31)</f>
        <v>1</v>
      </c>
      <c r="AI71" s="44">
        <f ca="1">IF(controls!$B$45=1,LOG(AM71,1.01)+LOG(AL71,1.01)-LOG(AK71,1.01),-((T71-('main page'!$K$24+'main page'!$K$11))/(1-'normal case'!$AV$3))+'normal case'!AH71)</f>
        <v>2.0000000596046448</v>
      </c>
      <c r="AJ71" s="80">
        <f t="shared" ca="1" si="14"/>
        <v>1.0506250015463039</v>
      </c>
      <c r="AK71" s="44">
        <f t="shared" ca="1" si="15"/>
        <v>3.7693641504350359</v>
      </c>
      <c r="AL71" s="44">
        <f>AL70*(1+'main page'!$K$32/100)</f>
        <v>1</v>
      </c>
      <c r="AM71" s="44">
        <f ca="1">IF(ABS(IF(controls!$B$45=1,$AS$13,AK71*AJ71/AL71)-AM70)&lt;0.00001,AM70,IF(controls!$B$45=1,$AS$13,AK71*AJ71/AL71))</f>
        <v>3.9601882163793922</v>
      </c>
      <c r="AN71" s="44">
        <f>IF(controls!$B$46=0,0,IF(controls!$B$33=2,B72-B71*AC72-('normal case'!H72-D71*AD72-'main page'!$K$27*'normal case'!T71+'main page'!$K$31*'normal case'!AI71)-(('main page'!$K$25*'main page'!$U$13*'main page'!$K$29)/(1+('main page'!$K$25^2)*'main page'!$U$13))*('normal case'!L71-'main page'!$U$8),B72-B71*AC72-('normal case'!I72-D71*AD72-'main page'!$K$27*'normal case'!T71+'main page'!$K$31*'normal case'!AI71)-(('main page'!$K$25*'main page'!$U$13*'main page'!$K$29)/(1+('main page'!$K$25^2)*'main page'!$U$13))*('normal case'!L71-'main page'!$U$8)))</f>
        <v>0</v>
      </c>
      <c r="AU71" s="36"/>
      <c r="AV71" s="36"/>
    </row>
    <row r="72" spans="1:48">
      <c r="A72" s="43">
        <v>70</v>
      </c>
      <c r="B72" s="62">
        <f ca="1">IF(controls!$B$33=1,B71*(1+AC72)+AA72,B71*(1+AC72))</f>
        <v>101</v>
      </c>
      <c r="C72" s="67">
        <f t="shared" ca="1" si="16"/>
        <v>-1.5107707374006907E-7</v>
      </c>
      <c r="D72" s="64">
        <f t="shared" ca="1" si="12"/>
        <v>101.00000005960464</v>
      </c>
      <c r="E72" s="64">
        <f ca="1">AN71+IF(controls!$B$33=1,G72,F72)</f>
        <v>101.00000005960464</v>
      </c>
      <c r="F72" s="78">
        <f ca="1">IF(controls!$B$44=0,H72-'main page'!$K$27*T71,H72-'main page'!$K$27*T71+'main page'!$K$31*AI71)</f>
        <v>101.00000005960464</v>
      </c>
      <c r="G72" s="62">
        <f ca="1">IF(controls!$B$44=0,I72-'main page'!$K$27*T71,I72-'main page'!$K$27*T71+'main page'!$K$31*'normal case'!AI71)</f>
        <v>101.00000005960464</v>
      </c>
      <c r="H72" s="62">
        <f t="shared" ca="1" si="8"/>
        <v>108</v>
      </c>
      <c r="I72" s="62">
        <f t="shared" ca="1" si="9"/>
        <v>108</v>
      </c>
      <c r="L72" s="62">
        <f ca="1">IF(ABS('main page'!$K$29*L71+(1-'main page'!$K$29)*(controls!$B$9/100)*100+'main page'!$K$25*(D72-B72)-L71)&lt;0.0000001,L71,'main page'!$K$29*L71+(1-'main page'!$K$29)*(controls!$B$9/100)*100+'main page'!$K$25*(D72-B72))</f>
        <v>1.9999998807907104</v>
      </c>
      <c r="Q72" s="409">
        <f ca="1">(1-'main page'!$K$29)*($AS$11/100)*100+'main page'!$K$25*(D72-B72)</f>
        <v>5.9604644775390625E-8</v>
      </c>
      <c r="R72" s="409">
        <f>'main page'!G76+'main page'!$K$29*M71</f>
        <v>0</v>
      </c>
      <c r="S72" s="409">
        <f t="shared" ref="S72:S135" ca="1" si="17">Q72+R72</f>
        <v>5.9604644775390625E-8</v>
      </c>
      <c r="T72" s="79">
        <f ca="1">IF(controls!$B$10=1,T71,IF(SUM(controls!$B$44:$B$46)=2,U72-'main page'!$K$29*'normal case'!L72-(1-'main page'!$K$29)*'main page'!$K$32,U72-'main page'!$K$29*'normal case'!L72-(1-'main page'!$K$29)*controls!$B$9))</f>
        <v>3.4999999701976776</v>
      </c>
      <c r="U72" s="164">
        <f ca="1">IF(controls!$B$45=1,IF(controls!$B$46=1,'main page'!$K$24+'main page'!$K$11+'main page'!$U$8,'main page'!$K$24+'main page'!$K$11+'main page'!$K$32),IF(controls!$B$44=1,IF(V72&lt;0,0,V72),IF(V72+'main page'!$K$11&lt;0,0,V72+'main page'!$K$11)))</f>
        <v>5.4999998509883881</v>
      </c>
      <c r="V72" s="63">
        <f ca="1">IF(controls!$B$10=1,'normal case'!T72+'normal case'!L72,'normal case'!W72)</f>
        <v>5.4999998509883881</v>
      </c>
      <c r="W72" s="61">
        <f t="shared" ca="1" si="13"/>
        <v>5.4999998509883881</v>
      </c>
      <c r="X72" s="166">
        <f ca="1">IF(controls!$B$44=0,Y72+'main page'!$K$29*L72+(1-'main page'!$K$29)*controls!$B$9+(('main page'!$K$25*'main page'!$U$13*'main page'!$K$29)/('main page'!$K$27*(1+('main page'!$K$25^2)*'main page'!$U$13)))*(L72-controls!$B$9),Y72+'main page'!$K$29*L72+(1-'main page'!$K$29)*controls!$B$9+(('main page'!$K$25*'main page'!$U$13*'normal case'!$AV$3)/'normal case'!$AV$4)*('normal case'!L72-controls!$B$9))</f>
        <v>5.4999998509883881</v>
      </c>
      <c r="Y72" s="81">
        <f ca="1">IF(controls!$B$44=1,'main page'!$K$24+'main page'!$K$11,IF(controls!$B$33=1,((I73-D72*AD73-B73+B72*AC73)/'main page'!$K$27)-'main page'!$K$11,((H73-D72*AD73-B73+B72*AC73)/'main page'!$K$27)-'main page'!$K$11))</f>
        <v>3.5</v>
      </c>
      <c r="AA72" s="58">
        <f>IF(controls!$B$6=1,$AS$3*(1+('main page'!$K$35/100))^AB72-$AS$3*(1+('main page'!$K$35/100))^AB71,$AS$3*(1+('main page'!$G$8/100))*(1+('main page'!$K$35/100))^AB72-$AS$3*(1+('main page'!$G$8/100))*(1+('main page'!$K$35/100))^AB71)</f>
        <v>0</v>
      </c>
      <c r="AB72" s="60">
        <v>65</v>
      </c>
      <c r="AC72" s="125">
        <v>0</v>
      </c>
      <c r="AD72" s="36">
        <v>0</v>
      </c>
      <c r="AE72" s="44">
        <f ca="1">IF(controls!$B$33=1,D72-($I$3-'main page'!$K$27*2)*(1+('main page'!$K$35/100))^A71,D72-$AS$4)</f>
        <v>1.0000000596046448</v>
      </c>
      <c r="AF72" s="44">
        <f ca="1">ABS(L72-(controls!$B$9/100)*100)</f>
        <v>1.1920928955078125E-7</v>
      </c>
      <c r="AH72" s="44">
        <f ca="1">IF(controls!$B$33=1,(B73-B72*AC73-I73+D72*AD73+'main page'!$K$27*('main page'!$K$24+'main page'!$K$11))/'main page'!$K$31,(B73-B72*AC73+D72*AD73-H73+'main page'!$K$27*('main page'!$K$24+'main page'!$K$11))/'main page'!$K$31)</f>
        <v>1</v>
      </c>
      <c r="AI72" s="44">
        <f ca="1">IF(controls!$B$45=1,LOG(AM72,1.01)+LOG(AL72,1.01)-LOG(AK72,1.01),-((T72-('main page'!$K$24+'main page'!$K$11))/(1-'normal case'!$AV$3))+'normal case'!AH72)</f>
        <v>2.0000000596046448</v>
      </c>
      <c r="AJ72" s="80">
        <f t="shared" ca="1" si="14"/>
        <v>1.0506250015463039</v>
      </c>
      <c r="AK72" s="44">
        <f t="shared" ca="1" si="15"/>
        <v>3.8447514289503046</v>
      </c>
      <c r="AL72" s="44">
        <f>AL71*(1+'main page'!$K$32/100)</f>
        <v>1</v>
      </c>
      <c r="AM72" s="44">
        <f ca="1">IF(ABS(IF(controls!$B$45=1,$AS$13,AK72*AJ72/AL72)-AM71)&lt;0.00001,AM71,IF(controls!$B$45=1,$AS$13,AK72*AJ72/AL72))</f>
        <v>4.0393919759860681</v>
      </c>
      <c r="AN72" s="44">
        <f>IF(controls!$B$46=0,0,IF(controls!$B$33=2,B73-B72*AC73-('normal case'!H73-D72*AD73-'main page'!$K$27*'normal case'!T72+'main page'!$K$31*'normal case'!AI72)-(('main page'!$K$25*'main page'!$U$13*'main page'!$K$29)/(1+('main page'!$K$25^2)*'main page'!$U$13))*('normal case'!L72-'main page'!$U$8),B73-B72*AC73-('normal case'!I73-D72*AD73-'main page'!$K$27*'normal case'!T72+'main page'!$K$31*'normal case'!AI72)-(('main page'!$K$25*'main page'!$U$13*'main page'!$K$29)/(1+('main page'!$K$25^2)*'main page'!$U$13))*('normal case'!L72-'main page'!$U$8)))</f>
        <v>0</v>
      </c>
      <c r="AU72" s="36"/>
      <c r="AV72" s="36"/>
    </row>
    <row r="73" spans="1:48">
      <c r="A73" s="43">
        <v>71</v>
      </c>
      <c r="B73" s="62">
        <f ca="1">IF(controls!$B$33=1,B72*(1+AC73)+AA73,B72*(1+AC73))</f>
        <v>101</v>
      </c>
      <c r="C73" s="67">
        <f t="shared" ca="1" si="16"/>
        <v>-1.5107707374006907E-7</v>
      </c>
      <c r="D73" s="64">
        <f t="shared" ca="1" si="12"/>
        <v>101.00000005960464</v>
      </c>
      <c r="E73" s="64">
        <f ca="1">AN72+IF(controls!$B$33=1,G73,F73)</f>
        <v>101.00000005960464</v>
      </c>
      <c r="F73" s="78">
        <f ca="1">IF(controls!$B$44=0,H73-'main page'!$K$27*T72,H73-'main page'!$K$27*T72+'main page'!$K$31*AI72)</f>
        <v>101.00000005960464</v>
      </c>
      <c r="G73" s="62">
        <f ca="1">IF(controls!$B$44=0,I73-'main page'!$K$27*T72,I73-'main page'!$K$27*T72+'main page'!$K$31*'normal case'!AI72)</f>
        <v>101.00000005960464</v>
      </c>
      <c r="H73" s="62">
        <f t="shared" ca="1" si="8"/>
        <v>108</v>
      </c>
      <c r="I73" s="62">
        <f t="shared" ca="1" si="9"/>
        <v>108</v>
      </c>
      <c r="L73" s="62">
        <f ca="1">IF(ABS('main page'!$K$29*L72+(1-'main page'!$K$29)*(controls!$B$9/100)*100+'main page'!$K$25*(D73-B73)-L72)&lt;0.0000001,L72,'main page'!$K$29*L72+(1-'main page'!$K$29)*(controls!$B$9/100)*100+'main page'!$K$25*(D73-B73))</f>
        <v>1.9999998807907104</v>
      </c>
      <c r="Q73" s="409">
        <f ca="1">(1-'main page'!$K$29)*($AS$11/100)*100+'main page'!$K$25*(D73-B73)</f>
        <v>5.9604644775390625E-8</v>
      </c>
      <c r="R73" s="409">
        <f>'main page'!G77+'main page'!$K$29*M72</f>
        <v>0</v>
      </c>
      <c r="S73" s="409">
        <f t="shared" ca="1" si="17"/>
        <v>5.9604644775390625E-8</v>
      </c>
      <c r="T73" s="79">
        <f ca="1">IF(controls!$B$10=1,T72,IF(SUM(controls!$B$44:$B$46)=2,U73-'main page'!$K$29*'normal case'!L73-(1-'main page'!$K$29)*'main page'!$K$32,U73-'main page'!$K$29*'normal case'!L73-(1-'main page'!$K$29)*controls!$B$9))</f>
        <v>3.4999999701976776</v>
      </c>
      <c r="U73" s="164">
        <f ca="1">IF(controls!$B$45=1,IF(controls!$B$46=1,'main page'!$K$24+'main page'!$K$11+'main page'!$U$8,'main page'!$K$24+'main page'!$K$11+'main page'!$K$32),IF(controls!$B$44=1,IF(V73&lt;0,0,V73),IF(V73+'main page'!$K$11&lt;0,0,V73+'main page'!$K$11)))</f>
        <v>5.4999998509883881</v>
      </c>
      <c r="V73" s="63">
        <f ca="1">IF(controls!$B$10=1,'normal case'!T73+'normal case'!L73,'normal case'!W73)</f>
        <v>5.4999998509883881</v>
      </c>
      <c r="W73" s="61">
        <f t="shared" ca="1" si="13"/>
        <v>5.4999998509883881</v>
      </c>
      <c r="X73" s="166">
        <f ca="1">IF(controls!$B$44=0,Y73+'main page'!$K$29*L73+(1-'main page'!$K$29)*controls!$B$9+(('main page'!$K$25*'main page'!$U$13*'main page'!$K$29)/('main page'!$K$27*(1+('main page'!$K$25^2)*'main page'!$U$13)))*(L73-controls!$B$9),Y73+'main page'!$K$29*L73+(1-'main page'!$K$29)*controls!$B$9+(('main page'!$K$25*'main page'!$U$13*'normal case'!$AV$3)/'normal case'!$AV$4)*('normal case'!L73-controls!$B$9))</f>
        <v>5.4999998509883881</v>
      </c>
      <c r="Y73" s="81">
        <f ca="1">IF(controls!$B$44=1,'main page'!$K$24+'main page'!$K$11,IF(controls!$B$33=1,((I74-D73*AD74-B74+B73*AC74)/'main page'!$K$27)-'main page'!$K$11,((H74-D73*AD74-B74+B73*AC74)/'main page'!$K$27)-'main page'!$K$11))</f>
        <v>3.5</v>
      </c>
      <c r="AA73" s="58">
        <f>IF(controls!$B$6=1,$AS$3*(1+('main page'!$K$35/100))^AB73-$AS$3*(1+('main page'!$K$35/100))^AB72,$AS$3*(1+('main page'!$G$8/100))*(1+('main page'!$K$35/100))^AB73-$AS$3*(1+('main page'!$G$8/100))*(1+('main page'!$K$35/100))^AB72)</f>
        <v>0</v>
      </c>
      <c r="AB73" s="60">
        <v>66</v>
      </c>
      <c r="AC73" s="125">
        <v>0</v>
      </c>
      <c r="AD73" s="36">
        <v>0</v>
      </c>
      <c r="AE73" s="44">
        <f ca="1">IF(controls!$B$33=1,D73-($I$3-'main page'!$K$27*2)*(1+('main page'!$K$35/100))^A72,D73-$AS$4)</f>
        <v>1.0000000596046448</v>
      </c>
      <c r="AF73" s="44">
        <f ca="1">ABS(L73-(controls!$B$9/100)*100)</f>
        <v>1.1920928955078125E-7</v>
      </c>
      <c r="AH73" s="44">
        <f ca="1">IF(controls!$B$33=1,(B74-B73*AC74-I74+D73*AD74+'main page'!$K$27*('main page'!$K$24+'main page'!$K$11))/'main page'!$K$31,(B74-B73*AC74+D73*AD74-H74+'main page'!$K$27*('main page'!$K$24+'main page'!$K$11))/'main page'!$K$31)</f>
        <v>1</v>
      </c>
      <c r="AI73" s="44">
        <f ca="1">IF(controls!$B$45=1,LOG(AM73,1.01)+LOG(AL73,1.01)-LOG(AK73,1.01),-((T73-('main page'!$K$24+'main page'!$K$11))/(1-'normal case'!$AV$3))+'normal case'!AH73)</f>
        <v>2.0000000596046448</v>
      </c>
      <c r="AJ73" s="80">
        <f t="shared" ca="1" si="14"/>
        <v>1.0506250015463039</v>
      </c>
      <c r="AK73" s="44">
        <f t="shared" ca="1" si="15"/>
        <v>3.92164645294601</v>
      </c>
      <c r="AL73" s="44">
        <f>AL72*(1+'main page'!$K$32/100)</f>
        <v>1</v>
      </c>
      <c r="AM73" s="44">
        <f ca="1">IF(ABS(IF(controls!$B$45=1,$AS$13,AK73*AJ73/AL73)-AM72)&lt;0.00001,AM72,IF(controls!$B$45=1,$AS$13,AK73*AJ73/AL73))</f>
        <v>4.120179810690459</v>
      </c>
      <c r="AN73" s="44">
        <f>IF(controls!$B$46=0,0,IF(controls!$B$33=2,B74-B73*AC74-('normal case'!H74-D73*AD74-'main page'!$K$27*'normal case'!T73+'main page'!$K$31*'normal case'!AI73)-(('main page'!$K$25*'main page'!$U$13*'main page'!$K$29)/(1+('main page'!$K$25^2)*'main page'!$U$13))*('normal case'!L73-'main page'!$U$8),B74-B73*AC74-('normal case'!I74-D73*AD74-'main page'!$K$27*'normal case'!T73+'main page'!$K$31*'normal case'!AI73)-(('main page'!$K$25*'main page'!$U$13*'main page'!$K$29)/(1+('main page'!$K$25^2)*'main page'!$U$13))*('normal case'!L73-'main page'!$U$8)))</f>
        <v>0</v>
      </c>
      <c r="AU73" s="36"/>
      <c r="AV73" s="36"/>
    </row>
    <row r="74" spans="1:48">
      <c r="A74" s="43">
        <v>72</v>
      </c>
      <c r="B74" s="62">
        <f ca="1">IF(controls!$B$33=1,B73*(1+AC74)+AA74,B73*(1+AC74))</f>
        <v>101</v>
      </c>
      <c r="C74" s="67">
        <f t="shared" ca="1" si="16"/>
        <v>-1.5107707374006907E-7</v>
      </c>
      <c r="D74" s="64">
        <f t="shared" ca="1" si="12"/>
        <v>101.00000005960464</v>
      </c>
      <c r="E74" s="64">
        <f ca="1">AN73+IF(controls!$B$33=1,G74,F74)</f>
        <v>101.00000005960464</v>
      </c>
      <c r="F74" s="78">
        <f ca="1">IF(controls!$B$44=0,H74-'main page'!$K$27*T73,H74-'main page'!$K$27*T73+'main page'!$K$31*AI73)</f>
        <v>101.00000005960464</v>
      </c>
      <c r="G74" s="62">
        <f ca="1">IF(controls!$B$44=0,I74-'main page'!$K$27*T73,I74-'main page'!$K$27*T73+'main page'!$K$31*'normal case'!AI73)</f>
        <v>101.00000005960464</v>
      </c>
      <c r="H74" s="62">
        <f t="shared" ca="1" si="8"/>
        <v>108</v>
      </c>
      <c r="I74" s="62">
        <f t="shared" ca="1" si="9"/>
        <v>108</v>
      </c>
      <c r="L74" s="62">
        <f ca="1">IF(ABS('main page'!$K$29*L73+(1-'main page'!$K$29)*(controls!$B$9/100)*100+'main page'!$K$25*(D74-B74)-L73)&lt;0.0000001,L73,'main page'!$K$29*L73+(1-'main page'!$K$29)*(controls!$B$9/100)*100+'main page'!$K$25*(D74-B74))</f>
        <v>1.9999998807907104</v>
      </c>
      <c r="Q74" s="409">
        <f ca="1">(1-'main page'!$K$29)*($AS$11/100)*100+'main page'!$K$25*(D74-B74)</f>
        <v>5.9604644775390625E-8</v>
      </c>
      <c r="R74" s="409">
        <f>'main page'!G78+'main page'!$K$29*M73</f>
        <v>0</v>
      </c>
      <c r="S74" s="409">
        <f t="shared" ca="1" si="17"/>
        <v>5.9604644775390625E-8</v>
      </c>
      <c r="T74" s="79">
        <f ca="1">IF(controls!$B$10=1,T73,IF(SUM(controls!$B$44:$B$46)=2,U74-'main page'!$K$29*'normal case'!L74-(1-'main page'!$K$29)*'main page'!$K$32,U74-'main page'!$K$29*'normal case'!L74-(1-'main page'!$K$29)*controls!$B$9))</f>
        <v>3.4999999701976776</v>
      </c>
      <c r="U74" s="164">
        <f ca="1">IF(controls!$B$45=1,IF(controls!$B$46=1,'main page'!$K$24+'main page'!$K$11+'main page'!$U$8,'main page'!$K$24+'main page'!$K$11+'main page'!$K$32),IF(controls!$B$44=1,IF(V74&lt;0,0,V74),IF(V74+'main page'!$K$11&lt;0,0,V74+'main page'!$K$11)))</f>
        <v>5.4999998509883881</v>
      </c>
      <c r="V74" s="63">
        <f ca="1">IF(controls!$B$10=1,'normal case'!T74+'normal case'!L74,'normal case'!W74)</f>
        <v>5.4999998509883881</v>
      </c>
      <c r="W74" s="61">
        <f t="shared" ca="1" si="13"/>
        <v>5.4999998509883881</v>
      </c>
      <c r="X74" s="166">
        <f ca="1">IF(controls!$B$44=0,Y74+'main page'!$K$29*L74+(1-'main page'!$K$29)*controls!$B$9+(('main page'!$K$25*'main page'!$U$13*'main page'!$K$29)/('main page'!$K$27*(1+('main page'!$K$25^2)*'main page'!$U$13)))*(L74-controls!$B$9),Y74+'main page'!$K$29*L74+(1-'main page'!$K$29)*controls!$B$9+(('main page'!$K$25*'main page'!$U$13*'normal case'!$AV$3)/'normal case'!$AV$4)*('normal case'!L74-controls!$B$9))</f>
        <v>5.4999998509883881</v>
      </c>
      <c r="Y74" s="81">
        <f ca="1">IF(controls!$B$44=1,'main page'!$K$24+'main page'!$K$11,IF(controls!$B$33=1,((I75-D74*AD75-B75+B74*AC75)/'main page'!$K$27)-'main page'!$K$11,((H75-D74*AD75-B75+B74*AC75)/'main page'!$K$27)-'main page'!$K$11))</f>
        <v>3.5</v>
      </c>
      <c r="AA74" s="58">
        <f>IF(controls!$B$6=1,$AS$3*(1+('main page'!$K$35/100))^AB74-$AS$3*(1+('main page'!$K$35/100))^AB73,$AS$3*(1+('main page'!$G$8/100))*(1+('main page'!$K$35/100))^AB74-$AS$3*(1+('main page'!$G$8/100))*(1+('main page'!$K$35/100))^AB73)</f>
        <v>0</v>
      </c>
      <c r="AB74" s="60">
        <v>67</v>
      </c>
      <c r="AC74" s="125">
        <f ca="1">IF(controls!$B$4=1,IF(controls!$H73=1,controls!$B$34*AC73+RAND()*('main page'!$K$16/100)-RAND()*('main page'!$K$16/100),0),0)</f>
        <v>0</v>
      </c>
      <c r="AD74" s="36">
        <f ca="1">IF(controls!$B$4=1,IF(controls!$I73=1,controls!$B$34*AD73+RAND()*('main page'!$K$16/100)-RAND()*('main page'!$K$16/100),0),0)</f>
        <v>0</v>
      </c>
      <c r="AE74" s="44">
        <f ca="1">IF(controls!$B$33=1,D74-($I$3-'main page'!$K$27*2)*(1+('main page'!$K$35/100))^A73,D74-$AS$4)</f>
        <v>1.0000000596046448</v>
      </c>
      <c r="AF74" s="44">
        <f ca="1">ABS(L74-(controls!$B$9/100)*100)</f>
        <v>1.1920928955078125E-7</v>
      </c>
      <c r="AH74" s="44">
        <f ca="1">IF(controls!$B$33=1,(B75-B74*AC75-I75+D74*AD75+'main page'!$K$27*('main page'!$K$24+'main page'!$K$11))/'main page'!$K$31,(B75-B74*AC75+D74*AD75-H75+'main page'!$K$27*('main page'!$K$24+'main page'!$K$11))/'main page'!$K$31)</f>
        <v>1</v>
      </c>
      <c r="AI74" s="44">
        <f ca="1">IF(controls!$B$45=1,LOG(AM74,1.01)+LOG(AL74,1.01)-LOG(AK74,1.01),-((T74-('main page'!$K$24+'main page'!$K$11))/(1-'normal case'!$AV$3))+'normal case'!AH74)</f>
        <v>2.0000000596046448</v>
      </c>
      <c r="AJ74" s="80">
        <f t="shared" ca="1" si="14"/>
        <v>1.0506250015463039</v>
      </c>
      <c r="AK74" s="44">
        <f t="shared" ca="1" si="15"/>
        <v>4.0000793773299632</v>
      </c>
      <c r="AL74" s="44">
        <f>AL73*(1+'main page'!$K$32/100)</f>
        <v>1</v>
      </c>
      <c r="AM74" s="44">
        <f ca="1">IF(ABS(IF(controls!$B$45=1,$AS$13,AK74*AJ74/AL74)-AM73)&lt;0.00001,AM73,IF(controls!$B$45=1,$AS$13,AK74*AJ74/AL74))</f>
        <v>4.2025834019926309</v>
      </c>
      <c r="AN74" s="44">
        <f>IF(controls!$B$46=0,0,IF(controls!$B$33=2,B75-B74*AC75-('normal case'!H75-D74*AD75-'main page'!$K$27*'normal case'!T74+'main page'!$K$31*'normal case'!AI74)-(('main page'!$K$25*'main page'!$U$13*'main page'!$K$29)/(1+('main page'!$K$25^2)*'main page'!$U$13))*('normal case'!L74-'main page'!$U$8),B75-B74*AC75-('normal case'!I75-D74*AD75-'main page'!$K$27*'normal case'!T74+'main page'!$K$31*'normal case'!AI74)-(('main page'!$K$25*'main page'!$U$13*'main page'!$K$29)/(1+('main page'!$K$25^2)*'main page'!$U$13))*('normal case'!L74-'main page'!$U$8)))</f>
        <v>0</v>
      </c>
      <c r="AU74" s="36"/>
      <c r="AV74" s="36"/>
    </row>
    <row r="75" spans="1:48">
      <c r="A75" s="43">
        <v>73</v>
      </c>
      <c r="B75" s="62">
        <f ca="1">IF(controls!$B$33=1,B74*(1+AC75)+AA75,B74*(1+AC75))</f>
        <v>101</v>
      </c>
      <c r="C75" s="67">
        <f t="shared" ca="1" si="16"/>
        <v>-1.5107707374006907E-7</v>
      </c>
      <c r="D75" s="64">
        <f t="shared" ca="1" si="12"/>
        <v>101.00000005960464</v>
      </c>
      <c r="E75" s="64">
        <f ca="1">AN74+IF(controls!$B$33=1,G75,F75)</f>
        <v>101.00000005960464</v>
      </c>
      <c r="F75" s="78">
        <f ca="1">IF(controls!$B$44=0,H75-'main page'!$K$27*T74,H75-'main page'!$K$27*T74+'main page'!$K$31*AI74)</f>
        <v>101.00000005960464</v>
      </c>
      <c r="G75" s="62">
        <f ca="1">IF(controls!$B$44=0,I75-'main page'!$K$27*T74,I75-'main page'!$K$27*T74+'main page'!$K$31*'normal case'!AI74)</f>
        <v>101.00000005960464</v>
      </c>
      <c r="H75" s="62">
        <f t="shared" ca="1" si="8"/>
        <v>108</v>
      </c>
      <c r="I75" s="62">
        <f t="shared" ca="1" si="9"/>
        <v>108</v>
      </c>
      <c r="L75" s="62">
        <f ca="1">IF(ABS('main page'!$K$29*L74+(1-'main page'!$K$29)*(controls!$B$9/100)*100+'main page'!$K$25*(D75-B75)-L74)&lt;0.0000001,L74,'main page'!$K$29*L74+(1-'main page'!$K$29)*(controls!$B$9/100)*100+'main page'!$K$25*(D75-B75))</f>
        <v>1.9999998807907104</v>
      </c>
      <c r="Q75" s="409">
        <f ca="1">(1-'main page'!$K$29)*($AS$11/100)*100+'main page'!$K$25*(D75-B75)</f>
        <v>5.9604644775390625E-8</v>
      </c>
      <c r="R75" s="409">
        <f>'main page'!G79+'main page'!$K$29*M74</f>
        <v>0</v>
      </c>
      <c r="S75" s="409">
        <f t="shared" ca="1" si="17"/>
        <v>5.9604644775390625E-8</v>
      </c>
      <c r="T75" s="79">
        <f ca="1">IF(controls!$B$10=1,T74,IF(SUM(controls!$B$44:$B$46)=2,U75-'main page'!$K$29*'normal case'!L75-(1-'main page'!$K$29)*'main page'!$K$32,U75-'main page'!$K$29*'normal case'!L75-(1-'main page'!$K$29)*controls!$B$9))</f>
        <v>3.4999999701976776</v>
      </c>
      <c r="U75" s="164">
        <f ca="1">IF(controls!$B$45=1,IF(controls!$B$46=1,'main page'!$K$24+'main page'!$K$11+'main page'!$U$8,'main page'!$K$24+'main page'!$K$11+'main page'!$K$32),IF(controls!$B$44=1,IF(V75&lt;0,0,V75),IF(V75+'main page'!$K$11&lt;0,0,V75+'main page'!$K$11)))</f>
        <v>5.4999998509883881</v>
      </c>
      <c r="V75" s="63">
        <f ca="1">IF(controls!$B$10=1,'normal case'!T75+'normal case'!L75,'normal case'!W75)</f>
        <v>5.4999998509883881</v>
      </c>
      <c r="W75" s="61">
        <f t="shared" ca="1" si="13"/>
        <v>5.4999998509883881</v>
      </c>
      <c r="X75" s="166">
        <f ca="1">IF(controls!$B$44=0,Y75+'main page'!$K$29*L75+(1-'main page'!$K$29)*controls!$B$9+(('main page'!$K$25*'main page'!$U$13*'main page'!$K$29)/('main page'!$K$27*(1+('main page'!$K$25^2)*'main page'!$U$13)))*(L75-controls!$B$9),Y75+'main page'!$K$29*L75+(1-'main page'!$K$29)*controls!$B$9+(('main page'!$K$25*'main page'!$U$13*'normal case'!$AV$3)/'normal case'!$AV$4)*('normal case'!L75-controls!$B$9))</f>
        <v>5.4999998509883881</v>
      </c>
      <c r="Y75" s="81">
        <f ca="1">IF(controls!$B$44=1,'main page'!$K$24+'main page'!$K$11,IF(controls!$B$33=1,((I76-D75*AD76-B76+B75*AC76)/'main page'!$K$27)-'main page'!$K$11,((H76-D75*AD76-B76+B75*AC76)/'main page'!$K$27)-'main page'!$K$11))</f>
        <v>3.5</v>
      </c>
      <c r="AA75" s="58">
        <f>IF(controls!$B$6=1,$AS$3*(1+('main page'!$K$35/100))^AB75-$AS$3*(1+('main page'!$K$35/100))^AB74,$AS$3*(1+('main page'!$G$8/100))*(1+('main page'!$K$35/100))^AB75-$AS$3*(1+('main page'!$G$8/100))*(1+('main page'!$K$35/100))^AB74)</f>
        <v>0</v>
      </c>
      <c r="AB75" s="60">
        <v>68</v>
      </c>
      <c r="AC75" s="125">
        <v>0</v>
      </c>
      <c r="AD75" s="36">
        <v>0</v>
      </c>
      <c r="AE75" s="44">
        <f ca="1">IF(controls!$B$33=1,D75-($I$3-'main page'!$K$27*2)*(1+('main page'!$K$35/100))^A74,D75-$AS$4)</f>
        <v>1.0000000596046448</v>
      </c>
      <c r="AF75" s="44">
        <f ca="1">ABS(L75-(controls!$B$9/100)*100)</f>
        <v>1.1920928955078125E-7</v>
      </c>
      <c r="AH75" s="44">
        <f ca="1">IF(controls!$B$33=1,(B76-B75*AC76-I76+D75*AD76+'main page'!$K$27*('main page'!$K$24+'main page'!$K$11))/'main page'!$K$31,(B76-B75*AC76+D75*AD76-H76+'main page'!$K$27*('main page'!$K$24+'main page'!$K$11))/'main page'!$K$31)</f>
        <v>1</v>
      </c>
      <c r="AI75" s="44">
        <f ca="1">IF(controls!$B$45=1,LOG(AM75,1.01)+LOG(AL75,1.01)-LOG(AK75,1.01),-((T75-('main page'!$K$24+'main page'!$K$11))/(1-'normal case'!$AV$3))+'normal case'!AH75)</f>
        <v>2.0000000596046448</v>
      </c>
      <c r="AJ75" s="80">
        <f t="shared" ca="1" si="14"/>
        <v>1.0506250015463039</v>
      </c>
      <c r="AK75" s="44">
        <f t="shared" ca="1" si="15"/>
        <v>4.0800809601080967</v>
      </c>
      <c r="AL75" s="44">
        <f>AL74*(1+'main page'!$K$32/100)</f>
        <v>1</v>
      </c>
      <c r="AM75" s="44">
        <f ca="1">IF(ABS(IF(controls!$B$45=1,$AS$13,AK75*AJ75/AL75)-AM74)&lt;0.00001,AM74,IF(controls!$B$45=1,$AS$13,AK75*AJ75/AL75))</f>
        <v>4.2866350650226144</v>
      </c>
      <c r="AN75" s="44">
        <f>IF(controls!$B$46=0,0,IF(controls!$B$33=2,B76-B75*AC76-('normal case'!H76-D75*AD76-'main page'!$K$27*'normal case'!T75+'main page'!$K$31*'normal case'!AI75)-(('main page'!$K$25*'main page'!$U$13*'main page'!$K$29)/(1+('main page'!$K$25^2)*'main page'!$U$13))*('normal case'!L75-'main page'!$U$8),B76-B75*AC76-('normal case'!I76-D75*AD76-'main page'!$K$27*'normal case'!T75+'main page'!$K$31*'normal case'!AI75)-(('main page'!$K$25*'main page'!$U$13*'main page'!$K$29)/(1+('main page'!$K$25^2)*'main page'!$U$13))*('normal case'!L75-'main page'!$U$8)))</f>
        <v>0</v>
      </c>
      <c r="AU75" s="36"/>
      <c r="AV75" s="36"/>
    </row>
    <row r="76" spans="1:48">
      <c r="A76" s="43">
        <v>74</v>
      </c>
      <c r="B76" s="62">
        <f ca="1">IF(controls!$B$33=1,B75*(1+AC76)+AA76,B75*(1+AC76))</f>
        <v>101</v>
      </c>
      <c r="C76" s="67">
        <f t="shared" ca="1" si="16"/>
        <v>-1.5107707374006907E-7</v>
      </c>
      <c r="D76" s="64">
        <f t="shared" ca="1" si="12"/>
        <v>101.00000005960464</v>
      </c>
      <c r="E76" s="64">
        <f ca="1">AN75+IF(controls!$B$33=1,G76,F76)</f>
        <v>101.00000005960464</v>
      </c>
      <c r="F76" s="78">
        <f ca="1">IF(controls!$B$44=0,H76-'main page'!$K$27*T75,H76-'main page'!$K$27*T75+'main page'!$K$31*AI75)</f>
        <v>101.00000005960464</v>
      </c>
      <c r="G76" s="62">
        <f ca="1">IF(controls!$B$44=0,I76-'main page'!$K$27*T75,I76-'main page'!$K$27*T75+'main page'!$K$31*'normal case'!AI75)</f>
        <v>101.00000005960464</v>
      </c>
      <c r="H76" s="62">
        <f t="shared" ca="1" si="8"/>
        <v>108</v>
      </c>
      <c r="I76" s="62">
        <f t="shared" ca="1" si="9"/>
        <v>108</v>
      </c>
      <c r="L76" s="62">
        <f ca="1">IF(ABS('main page'!$K$29*L75+(1-'main page'!$K$29)*(controls!$B$9/100)*100+'main page'!$K$25*(D76-B76)-L75)&lt;0.0000001,L75,'main page'!$K$29*L75+(1-'main page'!$K$29)*(controls!$B$9/100)*100+'main page'!$K$25*(D76-B76))</f>
        <v>1.9999998807907104</v>
      </c>
      <c r="Q76" s="409">
        <f ca="1">(1-'main page'!$K$29)*($AS$11/100)*100+'main page'!$K$25*(D76-B76)</f>
        <v>5.9604644775390625E-8</v>
      </c>
      <c r="R76" s="409">
        <f>'main page'!G80+'main page'!$K$29*M75</f>
        <v>0</v>
      </c>
      <c r="S76" s="409">
        <f t="shared" ca="1" si="17"/>
        <v>5.9604644775390625E-8</v>
      </c>
      <c r="T76" s="79">
        <f ca="1">IF(controls!$B$10=1,T75,IF(SUM(controls!$B$44:$B$46)=2,U76-'main page'!$K$29*'normal case'!L76-(1-'main page'!$K$29)*'main page'!$K$32,U76-'main page'!$K$29*'normal case'!L76-(1-'main page'!$K$29)*controls!$B$9))</f>
        <v>3.4999999701976776</v>
      </c>
      <c r="U76" s="164">
        <f ca="1">IF(controls!$B$45=1,IF(controls!$B$46=1,'main page'!$K$24+'main page'!$K$11+'main page'!$U$8,'main page'!$K$24+'main page'!$K$11+'main page'!$K$32),IF(controls!$B$44=1,IF(V76&lt;0,0,V76),IF(V76+'main page'!$K$11&lt;0,0,V76+'main page'!$K$11)))</f>
        <v>5.4999998509883881</v>
      </c>
      <c r="V76" s="63">
        <f ca="1">IF(controls!$B$10=1,'normal case'!T76+'normal case'!L76,'normal case'!W76)</f>
        <v>5.4999998509883881</v>
      </c>
      <c r="W76" s="61">
        <f t="shared" ca="1" si="13"/>
        <v>5.4999998509883881</v>
      </c>
      <c r="X76" s="166">
        <f ca="1">IF(controls!$B$44=0,Y76+'main page'!$K$29*L76+(1-'main page'!$K$29)*controls!$B$9+(('main page'!$K$25*'main page'!$U$13*'main page'!$K$29)/('main page'!$K$27*(1+('main page'!$K$25^2)*'main page'!$U$13)))*(L76-controls!$B$9),Y76+'main page'!$K$29*L76+(1-'main page'!$K$29)*controls!$B$9+(('main page'!$K$25*'main page'!$U$13*'normal case'!$AV$3)/'normal case'!$AV$4)*('normal case'!L76-controls!$B$9))</f>
        <v>5.4999998509883881</v>
      </c>
      <c r="Y76" s="81">
        <f ca="1">IF(controls!$B$44=1,'main page'!$K$24+'main page'!$K$11,IF(controls!$B$33=1,((I77-D76*AD77-B77+B76*AC77)/'main page'!$K$27)-'main page'!$K$11,((H77-D76*AD77-B77+B76*AC77)/'main page'!$K$27)-'main page'!$K$11))</f>
        <v>3.5</v>
      </c>
      <c r="AA76" s="58">
        <f>IF(controls!$B$6=1,$AS$3*(1+('main page'!$K$35/100))^AB76-$AS$3*(1+('main page'!$K$35/100))^AB75,$AS$3*(1+('main page'!$G$8/100))*(1+('main page'!$K$35/100))^AB76-$AS$3*(1+('main page'!$G$8/100))*(1+('main page'!$K$35/100))^AB75)</f>
        <v>0</v>
      </c>
      <c r="AB76" s="60">
        <v>69</v>
      </c>
      <c r="AC76" s="125">
        <v>0</v>
      </c>
      <c r="AD76" s="36">
        <v>0</v>
      </c>
      <c r="AE76" s="44">
        <f ca="1">IF(controls!$B$33=1,D76-($I$3-'main page'!$K$27*2)*(1+('main page'!$K$35/100))^A75,D76-$AS$4)</f>
        <v>1.0000000596046448</v>
      </c>
      <c r="AF76" s="44">
        <f ca="1">ABS(L76-(controls!$B$9/100)*100)</f>
        <v>1.1920928955078125E-7</v>
      </c>
      <c r="AH76" s="44">
        <f ca="1">IF(controls!$B$33=1,(B77-B76*AC77-I77+D76*AD77+'main page'!$K$27*('main page'!$K$24+'main page'!$K$11))/'main page'!$K$31,(B77-B76*AC77+D76*AD77-H77+'main page'!$K$27*('main page'!$K$24+'main page'!$K$11))/'main page'!$K$31)</f>
        <v>1</v>
      </c>
      <c r="AI76" s="44">
        <f ca="1">IF(controls!$B$45=1,LOG(AM76,1.01)+LOG(AL76,1.01)-LOG(AK76,1.01),-((T76-('main page'!$K$24+'main page'!$K$11))/(1-'normal case'!$AV$3))+'normal case'!AH76)</f>
        <v>2.0000000596046448</v>
      </c>
      <c r="AJ76" s="80">
        <f t="shared" ca="1" si="14"/>
        <v>1.0506250015463039</v>
      </c>
      <c r="AK76" s="44">
        <f t="shared" ca="1" si="15"/>
        <v>4.1616825744464236</v>
      </c>
      <c r="AL76" s="44">
        <f>AL75*(1+'main page'!$K$32/100)</f>
        <v>1</v>
      </c>
      <c r="AM76" s="44">
        <f ca="1">IF(ABS(IF(controls!$B$45=1,$AS$13,AK76*AJ76/AL76)-AM75)&lt;0.00001,AM75,IF(controls!$B$45=1,$AS$13,AK76*AJ76/AL76))</f>
        <v>4.3723677612129999</v>
      </c>
      <c r="AN76" s="44">
        <f>IF(controls!$B$46=0,0,IF(controls!$B$33=2,B77-B76*AC77-('normal case'!H77-D76*AD77-'main page'!$K$27*'normal case'!T76+'main page'!$K$31*'normal case'!AI76)-(('main page'!$K$25*'main page'!$U$13*'main page'!$K$29)/(1+('main page'!$K$25^2)*'main page'!$U$13))*('normal case'!L76-'main page'!$U$8),B77-B76*AC77-('normal case'!I77-D76*AD77-'main page'!$K$27*'normal case'!T76+'main page'!$K$31*'normal case'!AI76)-(('main page'!$K$25*'main page'!$U$13*'main page'!$K$29)/(1+('main page'!$K$25^2)*'main page'!$U$13))*('normal case'!L76-'main page'!$U$8)))</f>
        <v>0</v>
      </c>
      <c r="AU76" s="36"/>
      <c r="AV76" s="36"/>
    </row>
    <row r="77" spans="1:48">
      <c r="A77" s="43">
        <v>75</v>
      </c>
      <c r="B77" s="62">
        <f ca="1">IF(controls!$B$33=1,B76*(1+AC77)+AA77,B76*(1+AC77))</f>
        <v>101</v>
      </c>
      <c r="C77" s="67">
        <f t="shared" ca="1" si="16"/>
        <v>-1.5107707374006907E-7</v>
      </c>
      <c r="D77" s="64">
        <f t="shared" ca="1" si="12"/>
        <v>101.00000005960464</v>
      </c>
      <c r="E77" s="64">
        <f ca="1">AN76+IF(controls!$B$33=1,G77,F77)</f>
        <v>101.00000005960464</v>
      </c>
      <c r="F77" s="78">
        <f ca="1">IF(controls!$B$44=0,H77-'main page'!$K$27*T76,H77-'main page'!$K$27*T76+'main page'!$K$31*AI76)</f>
        <v>101.00000005960464</v>
      </c>
      <c r="G77" s="62">
        <f ca="1">IF(controls!$B$44=0,I77-'main page'!$K$27*T76,I77-'main page'!$K$27*T76+'main page'!$K$31*'normal case'!AI76)</f>
        <v>101.00000005960464</v>
      </c>
      <c r="H77" s="62">
        <f t="shared" ca="1" si="8"/>
        <v>108</v>
      </c>
      <c r="I77" s="62">
        <f t="shared" ca="1" si="9"/>
        <v>108</v>
      </c>
      <c r="L77" s="62">
        <f ca="1">IF(ABS('main page'!$K$29*L76+(1-'main page'!$K$29)*(controls!$B$9/100)*100+'main page'!$K$25*(D77-B77)-L76)&lt;0.0000001,L76,'main page'!$K$29*L76+(1-'main page'!$K$29)*(controls!$B$9/100)*100+'main page'!$K$25*(D77-B77))</f>
        <v>1.9999998807907104</v>
      </c>
      <c r="Q77" s="409">
        <f ca="1">(1-'main page'!$K$29)*($AS$11/100)*100+'main page'!$K$25*(D77-B77)</f>
        <v>5.9604644775390625E-8</v>
      </c>
      <c r="R77" s="409">
        <f>'main page'!G81+'main page'!$K$29*M76</f>
        <v>0</v>
      </c>
      <c r="S77" s="409">
        <f t="shared" ca="1" si="17"/>
        <v>5.9604644775390625E-8</v>
      </c>
      <c r="T77" s="79">
        <f ca="1">IF(controls!$B$10=1,T76,IF(SUM(controls!$B$44:$B$46)=2,U77-'main page'!$K$29*'normal case'!L77-(1-'main page'!$K$29)*'main page'!$K$32,U77-'main page'!$K$29*'normal case'!L77-(1-'main page'!$K$29)*controls!$B$9))</f>
        <v>3.4999999701976776</v>
      </c>
      <c r="U77" s="164">
        <f ca="1">IF(controls!$B$45=1,IF(controls!$B$46=1,'main page'!$K$24+'main page'!$K$11+'main page'!$U$8,'main page'!$K$24+'main page'!$K$11+'main page'!$K$32),IF(controls!$B$44=1,IF(V77&lt;0,0,V77),IF(V77+'main page'!$K$11&lt;0,0,V77+'main page'!$K$11)))</f>
        <v>5.4999998509883881</v>
      </c>
      <c r="V77" s="63">
        <f ca="1">IF(controls!$B$10=1,'normal case'!T77+'normal case'!L77,'normal case'!W77)</f>
        <v>5.4999998509883881</v>
      </c>
      <c r="W77" s="61">
        <f t="shared" ca="1" si="13"/>
        <v>5.4999998509883881</v>
      </c>
      <c r="X77" s="166">
        <f ca="1">IF(controls!$B$44=0,Y77+'main page'!$K$29*L77+(1-'main page'!$K$29)*controls!$B$9+(('main page'!$K$25*'main page'!$U$13*'main page'!$K$29)/('main page'!$K$27*(1+('main page'!$K$25^2)*'main page'!$U$13)))*(L77-controls!$B$9),Y77+'main page'!$K$29*L77+(1-'main page'!$K$29)*controls!$B$9+(('main page'!$K$25*'main page'!$U$13*'normal case'!$AV$3)/'normal case'!$AV$4)*('normal case'!L77-controls!$B$9))</f>
        <v>5.4999998509883881</v>
      </c>
      <c r="Y77" s="81">
        <f ca="1">IF(controls!$B$44=1,'main page'!$K$24+'main page'!$K$11,IF(controls!$B$33=1,((I78-D77*AD78-B78+B77*AC78)/'main page'!$K$27)-'main page'!$K$11,((H78-D77*AD78-B78+B77*AC78)/'main page'!$K$27)-'main page'!$K$11))</f>
        <v>3.5</v>
      </c>
      <c r="AA77" s="58">
        <f>IF(controls!$B$6=1,$AS$3*(1+('main page'!$K$35/100))^AB77-$AS$3*(1+('main page'!$K$35/100))^AB76,$AS$3*(1+('main page'!$G$8/100))*(1+('main page'!$K$35/100))^AB77-$AS$3*(1+('main page'!$G$8/100))*(1+('main page'!$K$35/100))^AB76)</f>
        <v>0</v>
      </c>
      <c r="AB77" s="60">
        <v>70</v>
      </c>
      <c r="AC77" s="125">
        <f ca="1">IF(controls!$B$4=1,IF(controls!$H76=1,controls!$B$34*AC76+RAND()*('main page'!$K$16/100)-RAND()*('main page'!$K$16/100),0),0)</f>
        <v>0</v>
      </c>
      <c r="AD77" s="36">
        <f ca="1">IF(controls!$B$4=1,IF(controls!$I76=1,controls!$B$34*AD76+RAND()*('main page'!$K$16/100)-RAND()*('main page'!$K$16/100),0),0)</f>
        <v>0</v>
      </c>
      <c r="AE77" s="44">
        <f ca="1">IF(controls!$B$33=1,D77-($I$3-'main page'!$K$27*2)*(1+('main page'!$K$35/100))^A76,D77-$AS$4)</f>
        <v>1.0000000596046448</v>
      </c>
      <c r="AF77" s="44">
        <f ca="1">ABS(L77-(controls!$B$9/100)*100)</f>
        <v>1.1920928955078125E-7</v>
      </c>
      <c r="AH77" s="44">
        <f ca="1">IF(controls!$B$33=1,(B78-B77*AC78-I78+D77*AD78+'main page'!$K$27*('main page'!$K$24+'main page'!$K$11))/'main page'!$K$31,(B78-B77*AC78+D77*AD78-H78+'main page'!$K$27*('main page'!$K$24+'main page'!$K$11))/'main page'!$K$31)</f>
        <v>1</v>
      </c>
      <c r="AI77" s="44">
        <f ca="1">IF(controls!$B$45=1,LOG(AM77,1.01)+LOG(AL77,1.01)-LOG(AK77,1.01),-((T77-('main page'!$K$24+'main page'!$K$11))/(1-'normal case'!$AV$3))+'normal case'!AH77)</f>
        <v>2.0000000596046448</v>
      </c>
      <c r="AJ77" s="80">
        <f t="shared" ca="1" si="14"/>
        <v>1.0506250015463039</v>
      </c>
      <c r="AK77" s="44">
        <f t="shared" ca="1" si="15"/>
        <v>4.2449162209742397</v>
      </c>
      <c r="AL77" s="44">
        <f>AL76*(1+'main page'!$K$32/100)</f>
        <v>1</v>
      </c>
      <c r="AM77" s="44">
        <f ca="1">IF(ABS(IF(controls!$B$45=1,$AS$13,AK77*AJ77/AL77)-AM76)&lt;0.00001,AM76,IF(controls!$B$45=1,$AS$13,AK77*AJ77/AL77))</f>
        <v>4.4598151112249909</v>
      </c>
      <c r="AN77" s="44">
        <f>IF(controls!$B$46=0,0,IF(controls!$B$33=2,B78-B77*AC78-('normal case'!H78-D77*AD78-'main page'!$K$27*'normal case'!T77+'main page'!$K$31*'normal case'!AI77)-(('main page'!$K$25*'main page'!$U$13*'main page'!$K$29)/(1+('main page'!$K$25^2)*'main page'!$U$13))*('normal case'!L77-'main page'!$U$8),B78-B77*AC78-('normal case'!I78-D77*AD78-'main page'!$K$27*'normal case'!T77+'main page'!$K$31*'normal case'!AI77)-(('main page'!$K$25*'main page'!$U$13*'main page'!$K$29)/(1+('main page'!$K$25^2)*'main page'!$U$13))*('normal case'!L77-'main page'!$U$8)))</f>
        <v>0</v>
      </c>
      <c r="AU77" s="36"/>
      <c r="AV77" s="36"/>
    </row>
    <row r="78" spans="1:48">
      <c r="A78" s="43">
        <v>76</v>
      </c>
      <c r="B78" s="62">
        <f ca="1">IF(controls!$B$33=1,B77*(1+AC78)+AA78,B77*(1+AC78))</f>
        <v>101</v>
      </c>
      <c r="C78" s="67">
        <f t="shared" ca="1" si="16"/>
        <v>-1.5107707374006907E-7</v>
      </c>
      <c r="D78" s="64">
        <f t="shared" ca="1" si="12"/>
        <v>101.00000005960464</v>
      </c>
      <c r="E78" s="64">
        <f ca="1">AN77+IF(controls!$B$33=1,G78,F78)</f>
        <v>101.00000005960464</v>
      </c>
      <c r="F78" s="78">
        <f ca="1">IF(controls!$B$44=0,H78-'main page'!$K$27*T77,H78-'main page'!$K$27*T77+'main page'!$K$31*AI77)</f>
        <v>101.00000005960464</v>
      </c>
      <c r="G78" s="62">
        <f ca="1">IF(controls!$B$44=0,I78-'main page'!$K$27*T77,I78-'main page'!$K$27*T77+'main page'!$K$31*'normal case'!AI77)</f>
        <v>101.00000005960464</v>
      </c>
      <c r="H78" s="62">
        <f t="shared" ca="1" si="8"/>
        <v>108</v>
      </c>
      <c r="I78" s="62">
        <f t="shared" ca="1" si="9"/>
        <v>108</v>
      </c>
      <c r="L78" s="62">
        <f ca="1">IF(ABS('main page'!$K$29*L77+(1-'main page'!$K$29)*(controls!$B$9/100)*100+'main page'!$K$25*(D78-B78)-L77)&lt;0.0000001,L77,'main page'!$K$29*L77+(1-'main page'!$K$29)*(controls!$B$9/100)*100+'main page'!$K$25*(D78-B78))</f>
        <v>1.9999998807907104</v>
      </c>
      <c r="Q78" s="409">
        <f ca="1">(1-'main page'!$K$29)*($AS$11/100)*100+'main page'!$K$25*(D78-B78)</f>
        <v>5.9604644775390625E-8</v>
      </c>
      <c r="R78" s="409">
        <f>'main page'!G82+'main page'!$K$29*M77</f>
        <v>0</v>
      </c>
      <c r="S78" s="409">
        <f t="shared" ca="1" si="17"/>
        <v>5.9604644775390625E-8</v>
      </c>
      <c r="T78" s="79">
        <f ca="1">IF(controls!$B$10=1,T77,IF(SUM(controls!$B$44:$B$46)=2,U78-'main page'!$K$29*'normal case'!L78-(1-'main page'!$K$29)*'main page'!$K$32,U78-'main page'!$K$29*'normal case'!L78-(1-'main page'!$K$29)*controls!$B$9))</f>
        <v>3.4999999701976776</v>
      </c>
      <c r="U78" s="164">
        <f ca="1">IF(controls!$B$45=1,IF(controls!$B$46=1,'main page'!$K$24+'main page'!$K$11+'main page'!$U$8,'main page'!$K$24+'main page'!$K$11+'main page'!$K$32),IF(controls!$B$44=1,IF(V78&lt;0,0,V78),IF(V78+'main page'!$K$11&lt;0,0,V78+'main page'!$K$11)))</f>
        <v>5.4999998509883881</v>
      </c>
      <c r="V78" s="63">
        <f ca="1">IF(controls!$B$10=1,'normal case'!T78+'normal case'!L78,'normal case'!W78)</f>
        <v>5.4999998509883881</v>
      </c>
      <c r="W78" s="61">
        <f t="shared" ca="1" si="13"/>
        <v>5.4999998509883881</v>
      </c>
      <c r="X78" s="166">
        <f ca="1">IF(controls!$B$44=0,Y78+'main page'!$K$29*L78+(1-'main page'!$K$29)*controls!$B$9+(('main page'!$K$25*'main page'!$U$13*'main page'!$K$29)/('main page'!$K$27*(1+('main page'!$K$25^2)*'main page'!$U$13)))*(L78-controls!$B$9),Y78+'main page'!$K$29*L78+(1-'main page'!$K$29)*controls!$B$9+(('main page'!$K$25*'main page'!$U$13*'normal case'!$AV$3)/'normal case'!$AV$4)*('normal case'!L78-controls!$B$9))</f>
        <v>5.4999998509883881</v>
      </c>
      <c r="Y78" s="81">
        <f ca="1">IF(controls!$B$44=1,'main page'!$K$24+'main page'!$K$11,IF(controls!$B$33=1,((I79-D78*AD79-B79+B78*AC79)/'main page'!$K$27)-'main page'!$K$11,((H79-D78*AD79-B79+B78*AC79)/'main page'!$K$27)-'main page'!$K$11))</f>
        <v>3.5</v>
      </c>
      <c r="AA78" s="58">
        <f>IF(controls!$B$6=1,$AS$3*(1+('main page'!$K$35/100))^AB78-$AS$3*(1+('main page'!$K$35/100))^AB77,$AS$3*(1+('main page'!$G$8/100))*(1+('main page'!$K$35/100))^AB78-$AS$3*(1+('main page'!$G$8/100))*(1+('main page'!$K$35/100))^AB77)</f>
        <v>0</v>
      </c>
      <c r="AB78" s="60">
        <v>71</v>
      </c>
      <c r="AC78" s="125">
        <v>0</v>
      </c>
      <c r="AD78" s="36">
        <v>0</v>
      </c>
      <c r="AE78" s="44">
        <f ca="1">IF(controls!$B$33=1,D78-($I$3-'main page'!$K$27*2)*(1+('main page'!$K$35/100))^A77,D78-$AS$4)</f>
        <v>1.0000000596046448</v>
      </c>
      <c r="AF78" s="44">
        <f ca="1">ABS(L78-(controls!$B$9/100)*100)</f>
        <v>1.1920928955078125E-7</v>
      </c>
      <c r="AH78" s="44">
        <f ca="1">IF(controls!$B$33=1,(B79-B78*AC79-I79+D78*AD79+'main page'!$K$27*('main page'!$K$24+'main page'!$K$11))/'main page'!$K$31,(B79-B78*AC79+D78*AD79-H79+'main page'!$K$27*('main page'!$K$24+'main page'!$K$11))/'main page'!$K$31)</f>
        <v>1</v>
      </c>
      <c r="AI78" s="44">
        <f ca="1">IF(controls!$B$45=1,LOG(AM78,1.01)+LOG(AL78,1.01)-LOG(AK78,1.01),-((T78-('main page'!$K$24+'main page'!$K$11))/(1-'normal case'!$AV$3))+'normal case'!AH78)</f>
        <v>2.0000000596046448</v>
      </c>
      <c r="AJ78" s="80">
        <f t="shared" ca="1" si="14"/>
        <v>1.0506250015463039</v>
      </c>
      <c r="AK78" s="44">
        <f t="shared" ca="1" si="15"/>
        <v>4.3298145403333903</v>
      </c>
      <c r="AL78" s="44">
        <f>AL77*(1+'main page'!$K$32/100)</f>
        <v>1</v>
      </c>
      <c r="AM78" s="44">
        <f ca="1">IF(ABS(IF(controls!$B$45=1,$AS$13,AK78*AJ78/AL78)-AM77)&lt;0.00001,AM77,IF(controls!$B$45=1,$AS$13,AK78*AJ78/AL78))</f>
        <v>4.5490114081329773</v>
      </c>
      <c r="AN78" s="44">
        <f>IF(controls!$B$46=0,0,IF(controls!$B$33=2,B79-B78*AC79-('normal case'!H79-D78*AD79-'main page'!$K$27*'normal case'!T78+'main page'!$K$31*'normal case'!AI78)-(('main page'!$K$25*'main page'!$U$13*'main page'!$K$29)/(1+('main page'!$K$25^2)*'main page'!$U$13))*('normal case'!L78-'main page'!$U$8),B79-B78*AC79-('normal case'!I79-D78*AD79-'main page'!$K$27*'normal case'!T78+'main page'!$K$31*'normal case'!AI78)-(('main page'!$K$25*'main page'!$U$13*'main page'!$K$29)/(1+('main page'!$K$25^2)*'main page'!$U$13))*('normal case'!L78-'main page'!$U$8)))</f>
        <v>0</v>
      </c>
      <c r="AU78" s="36"/>
      <c r="AV78" s="36"/>
    </row>
    <row r="79" spans="1:48">
      <c r="A79" s="43">
        <v>77</v>
      </c>
      <c r="B79" s="62">
        <f ca="1">IF(controls!$B$33=1,B78*(1+AC79)+AA79,B78*(1+AC79))</f>
        <v>101</v>
      </c>
      <c r="C79" s="67">
        <f t="shared" ca="1" si="16"/>
        <v>-1.5107707374006907E-7</v>
      </c>
      <c r="D79" s="64">
        <f t="shared" ca="1" si="12"/>
        <v>101.00000005960464</v>
      </c>
      <c r="E79" s="64">
        <f ca="1">AN78+IF(controls!$B$33=1,G79,F79)</f>
        <v>101.00000005960464</v>
      </c>
      <c r="F79" s="78">
        <f ca="1">IF(controls!$B$44=0,H79-'main page'!$K$27*T78,H79-'main page'!$K$27*T78+'main page'!$K$31*AI78)</f>
        <v>101.00000005960464</v>
      </c>
      <c r="G79" s="62">
        <f ca="1">IF(controls!$B$44=0,I79-'main page'!$K$27*T78,I79-'main page'!$K$27*T78+'main page'!$K$31*'normal case'!AI78)</f>
        <v>101.00000005960464</v>
      </c>
      <c r="H79" s="62">
        <f t="shared" ca="1" si="8"/>
        <v>108</v>
      </c>
      <c r="I79" s="62">
        <f t="shared" ca="1" si="9"/>
        <v>108</v>
      </c>
      <c r="L79" s="62">
        <f ca="1">IF(ABS('main page'!$K$29*L78+(1-'main page'!$K$29)*(controls!$B$9/100)*100+'main page'!$K$25*(D79-B79)-L78)&lt;0.0000001,L78,'main page'!$K$29*L78+(1-'main page'!$K$29)*(controls!$B$9/100)*100+'main page'!$K$25*(D79-B79))</f>
        <v>1.9999998807907104</v>
      </c>
      <c r="Q79" s="409">
        <f ca="1">(1-'main page'!$K$29)*($AS$11/100)*100+'main page'!$K$25*(D79-B79)</f>
        <v>5.9604644775390625E-8</v>
      </c>
      <c r="R79" s="409">
        <f>'main page'!G83+'main page'!$K$29*M78</f>
        <v>0</v>
      </c>
      <c r="S79" s="409">
        <f t="shared" ca="1" si="17"/>
        <v>5.9604644775390625E-8</v>
      </c>
      <c r="T79" s="79">
        <f ca="1">IF(controls!$B$10=1,T78,IF(SUM(controls!$B$44:$B$46)=2,U79-'main page'!$K$29*'normal case'!L79-(1-'main page'!$K$29)*'main page'!$K$32,U79-'main page'!$K$29*'normal case'!L79-(1-'main page'!$K$29)*controls!$B$9))</f>
        <v>3.4999999701976776</v>
      </c>
      <c r="U79" s="164">
        <f ca="1">IF(controls!$B$45=1,IF(controls!$B$46=1,'main page'!$K$24+'main page'!$K$11+'main page'!$U$8,'main page'!$K$24+'main page'!$K$11+'main page'!$K$32),IF(controls!$B$44=1,IF(V79&lt;0,0,V79),IF(V79+'main page'!$K$11&lt;0,0,V79+'main page'!$K$11)))</f>
        <v>5.4999998509883881</v>
      </c>
      <c r="V79" s="63">
        <f ca="1">IF(controls!$B$10=1,'normal case'!T79+'normal case'!L79,'normal case'!W79)</f>
        <v>5.4999998509883881</v>
      </c>
      <c r="W79" s="61">
        <f t="shared" ca="1" si="13"/>
        <v>5.4999998509883881</v>
      </c>
      <c r="X79" s="166">
        <f ca="1">IF(controls!$B$44=0,Y79+'main page'!$K$29*L79+(1-'main page'!$K$29)*controls!$B$9+(('main page'!$K$25*'main page'!$U$13*'main page'!$K$29)/('main page'!$K$27*(1+('main page'!$K$25^2)*'main page'!$U$13)))*(L79-controls!$B$9),Y79+'main page'!$K$29*L79+(1-'main page'!$K$29)*controls!$B$9+(('main page'!$K$25*'main page'!$U$13*'normal case'!$AV$3)/'normal case'!$AV$4)*('normal case'!L79-controls!$B$9))</f>
        <v>5.4999998509883881</v>
      </c>
      <c r="Y79" s="81">
        <f ca="1">IF(controls!$B$44=1,'main page'!$K$24+'main page'!$K$11,IF(controls!$B$33=1,((I80-D79*AD80-B80+B79*AC80)/'main page'!$K$27)-'main page'!$K$11,((H80-D79*AD80-B80+B79*AC80)/'main page'!$K$27)-'main page'!$K$11))</f>
        <v>3.5</v>
      </c>
      <c r="AA79" s="58">
        <f>IF(controls!$B$6=1,$AS$3*(1+('main page'!$K$35/100))^AB79-$AS$3*(1+('main page'!$K$35/100))^AB78,$AS$3*(1+('main page'!$G$8/100))*(1+('main page'!$K$35/100))^AB79-$AS$3*(1+('main page'!$G$8/100))*(1+('main page'!$K$35/100))^AB78)</f>
        <v>0</v>
      </c>
      <c r="AB79" s="60">
        <v>72</v>
      </c>
      <c r="AC79" s="125">
        <v>0</v>
      </c>
      <c r="AD79" s="36">
        <v>0</v>
      </c>
      <c r="AE79" s="44">
        <f ca="1">IF(controls!$B$33=1,D79-($I$3-'main page'!$K$27*2)*(1+('main page'!$K$35/100))^A78,D79-$AS$4)</f>
        <v>1.0000000596046448</v>
      </c>
      <c r="AF79" s="44">
        <f ca="1">ABS(L79-(controls!$B$9/100)*100)</f>
        <v>1.1920928955078125E-7</v>
      </c>
      <c r="AH79" s="44">
        <f ca="1">IF(controls!$B$33=1,(B80-B79*AC80-I80+D79*AD80+'main page'!$K$27*('main page'!$K$24+'main page'!$K$11))/'main page'!$K$31,(B80-B79*AC80+D79*AD80-H80+'main page'!$K$27*('main page'!$K$24+'main page'!$K$11))/'main page'!$K$31)</f>
        <v>1</v>
      </c>
      <c r="AI79" s="44">
        <f ca="1">IF(controls!$B$45=1,LOG(AM79,1.01)+LOG(AL79,1.01)-LOG(AK79,1.01),-((T79-('main page'!$K$24+'main page'!$K$11))/(1-'normal case'!$AV$3))+'normal case'!AH79)</f>
        <v>2.0000000596046448</v>
      </c>
      <c r="AJ79" s="80">
        <f t="shared" ca="1" si="14"/>
        <v>1.0506250015463039</v>
      </c>
      <c r="AK79" s="44">
        <f t="shared" ca="1" si="15"/>
        <v>4.4164108259785175</v>
      </c>
      <c r="AL79" s="44">
        <f>AL78*(1+'main page'!$K$32/100)</f>
        <v>1</v>
      </c>
      <c r="AM79" s="44">
        <f ca="1">IF(ABS(IF(controls!$B$45=1,$AS$13,AK79*AJ79/AL79)-AM78)&lt;0.00001,AM78,IF(controls!$B$45=1,$AS$13,AK79*AJ79/AL79))</f>
        <v>4.6399916308727933</v>
      </c>
      <c r="AN79" s="44">
        <f>IF(controls!$B$46=0,0,IF(controls!$B$33=2,B80-B79*AC80-('normal case'!H80-D79*AD80-'main page'!$K$27*'normal case'!T79+'main page'!$K$31*'normal case'!AI79)-(('main page'!$K$25*'main page'!$U$13*'main page'!$K$29)/(1+('main page'!$K$25^2)*'main page'!$U$13))*('normal case'!L79-'main page'!$U$8),B80-B79*AC80-('normal case'!I80-D79*AD80-'main page'!$K$27*'normal case'!T79+'main page'!$K$31*'normal case'!AI79)-(('main page'!$K$25*'main page'!$U$13*'main page'!$K$29)/(1+('main page'!$K$25^2)*'main page'!$U$13))*('normal case'!L79-'main page'!$U$8)))</f>
        <v>0</v>
      </c>
      <c r="AU79" s="36"/>
      <c r="AV79" s="36"/>
    </row>
    <row r="80" spans="1:48">
      <c r="A80" s="43">
        <v>78</v>
      </c>
      <c r="B80" s="62">
        <f ca="1">IF(controls!$B$33=1,B79*(1+AC80)+AA80,B79*(1+AC80))</f>
        <v>101</v>
      </c>
      <c r="C80" s="67">
        <f t="shared" ca="1" si="16"/>
        <v>-1.5107707374006907E-7</v>
      </c>
      <c r="D80" s="64">
        <f t="shared" ca="1" si="12"/>
        <v>101.00000005960464</v>
      </c>
      <c r="E80" s="64">
        <f ca="1">AN79+IF(controls!$B$33=1,G80,F80)</f>
        <v>101.00000005960464</v>
      </c>
      <c r="F80" s="78">
        <f ca="1">IF(controls!$B$44=0,H80-'main page'!$K$27*T79,H80-'main page'!$K$27*T79+'main page'!$K$31*AI79)</f>
        <v>101.00000005960464</v>
      </c>
      <c r="G80" s="62">
        <f ca="1">IF(controls!$B$44=0,I80-'main page'!$K$27*T79,I80-'main page'!$K$27*T79+'main page'!$K$31*'normal case'!AI79)</f>
        <v>101.00000005960464</v>
      </c>
      <c r="H80" s="62">
        <f t="shared" ca="1" si="8"/>
        <v>108</v>
      </c>
      <c r="I80" s="62">
        <f t="shared" ca="1" si="9"/>
        <v>108</v>
      </c>
      <c r="L80" s="62">
        <f ca="1">IF(ABS('main page'!$K$29*L79+(1-'main page'!$K$29)*(controls!$B$9/100)*100+'main page'!$K$25*(D80-B80)-L79)&lt;0.0000001,L79,'main page'!$K$29*L79+(1-'main page'!$K$29)*(controls!$B$9/100)*100+'main page'!$K$25*(D80-B80))</f>
        <v>1.9999998807907104</v>
      </c>
      <c r="Q80" s="409">
        <f ca="1">(1-'main page'!$K$29)*($AS$11/100)*100+'main page'!$K$25*(D80-B80)</f>
        <v>5.9604644775390625E-8</v>
      </c>
      <c r="R80" s="409">
        <f>'main page'!G84+'main page'!$K$29*M79</f>
        <v>0</v>
      </c>
      <c r="S80" s="409">
        <f t="shared" ca="1" si="17"/>
        <v>5.9604644775390625E-8</v>
      </c>
      <c r="T80" s="79">
        <f ca="1">IF(controls!$B$10=1,T79,IF(SUM(controls!$B$44:$B$46)=2,U80-'main page'!$K$29*'normal case'!L80-(1-'main page'!$K$29)*'main page'!$K$32,U80-'main page'!$K$29*'normal case'!L80-(1-'main page'!$K$29)*controls!$B$9))</f>
        <v>3.4999999701976776</v>
      </c>
      <c r="U80" s="164">
        <f ca="1">IF(controls!$B$45=1,IF(controls!$B$46=1,'main page'!$K$24+'main page'!$K$11+'main page'!$U$8,'main page'!$K$24+'main page'!$K$11+'main page'!$K$32),IF(controls!$B$44=1,IF(V80&lt;0,0,V80),IF(V80+'main page'!$K$11&lt;0,0,V80+'main page'!$K$11)))</f>
        <v>5.4999998509883881</v>
      </c>
      <c r="V80" s="63">
        <f ca="1">IF(controls!$B$10=1,'normal case'!T80+'normal case'!L80,'normal case'!W80)</f>
        <v>5.4999998509883881</v>
      </c>
      <c r="W80" s="61">
        <f t="shared" ca="1" si="13"/>
        <v>5.4999998509883881</v>
      </c>
      <c r="X80" s="166">
        <f ca="1">IF(controls!$B$44=0,Y80+'main page'!$K$29*L80+(1-'main page'!$K$29)*controls!$B$9+(('main page'!$K$25*'main page'!$U$13*'main page'!$K$29)/('main page'!$K$27*(1+('main page'!$K$25^2)*'main page'!$U$13)))*(L80-controls!$B$9),Y80+'main page'!$K$29*L80+(1-'main page'!$K$29)*controls!$B$9+(('main page'!$K$25*'main page'!$U$13*'normal case'!$AV$3)/'normal case'!$AV$4)*('normal case'!L80-controls!$B$9))</f>
        <v>5.4999998509883881</v>
      </c>
      <c r="Y80" s="81">
        <f ca="1">IF(controls!$B$44=1,'main page'!$K$24+'main page'!$K$11,IF(controls!$B$33=1,((I81-D80*AD81-B81+B80*AC81)/'main page'!$K$27)-'main page'!$K$11,((H81-D80*AD81-B81+B80*AC81)/'main page'!$K$27)-'main page'!$K$11))</f>
        <v>3.5</v>
      </c>
      <c r="AA80" s="58">
        <f>IF(controls!$B$6=1,$AS$3*(1+('main page'!$K$35/100))^AB80-$AS$3*(1+('main page'!$K$35/100))^AB79,$AS$3*(1+('main page'!$G$8/100))*(1+('main page'!$K$35/100))^AB80-$AS$3*(1+('main page'!$G$8/100))*(1+('main page'!$K$35/100))^AB79)</f>
        <v>0</v>
      </c>
      <c r="AB80" s="60">
        <v>73</v>
      </c>
      <c r="AC80" s="125">
        <f ca="1">IF(controls!$B$4=1,IF(controls!$H79=1,controls!$B$34*AC79+RAND()*('main page'!$K$16/100)-RAND()*('main page'!$K$16/100),0),0)</f>
        <v>0</v>
      </c>
      <c r="AD80" s="36">
        <f ca="1">IF(controls!$B$4=1,IF(controls!$I79=1,controls!$B$34*AD79+RAND()*('main page'!$K$16/100)-RAND()*('main page'!$K$16/100),0),0)</f>
        <v>0</v>
      </c>
      <c r="AE80" s="44">
        <f ca="1">IF(controls!$B$33=1,D80-($I$3-'main page'!$K$27*2)*(1+('main page'!$K$35/100))^A79,D80-$AS$4)</f>
        <v>1.0000000596046448</v>
      </c>
      <c r="AF80" s="44">
        <f ca="1">ABS(L80-(controls!$B$9/100)*100)</f>
        <v>1.1920928955078125E-7</v>
      </c>
      <c r="AH80" s="44">
        <f ca="1">IF(controls!$B$33=1,(B81-B80*AC81-I81+D80*AD81+'main page'!$K$27*('main page'!$K$24+'main page'!$K$11))/'main page'!$K$31,(B81-B80*AC81+D80*AD81-H81+'main page'!$K$27*('main page'!$K$24+'main page'!$K$11))/'main page'!$K$31)</f>
        <v>1</v>
      </c>
      <c r="AI80" s="44">
        <f ca="1">IF(controls!$B$45=1,LOG(AM80,1.01)+LOG(AL80,1.01)-LOG(AK80,1.01),-((T80-('main page'!$K$24+'main page'!$K$11))/(1-'normal case'!$AV$3))+'normal case'!AH80)</f>
        <v>2.0000000596046448</v>
      </c>
      <c r="AJ80" s="80">
        <f t="shared" ca="1" si="14"/>
        <v>1.0506250015463039</v>
      </c>
      <c r="AK80" s="44">
        <f t="shared" ca="1" si="15"/>
        <v>4.5047390372333158</v>
      </c>
      <c r="AL80" s="44">
        <f>AL79*(1+'main page'!$K$32/100)</f>
        <v>1</v>
      </c>
      <c r="AM80" s="44">
        <f ca="1">IF(ABS(IF(controls!$B$45=1,$AS$13,AK80*AJ80/AL80)-AM79)&lt;0.00001,AM79,IF(controls!$B$45=1,$AS$13,AK80*AJ80/AL80))</f>
        <v>4.7327914579589478</v>
      </c>
      <c r="AN80" s="44">
        <f>IF(controls!$B$46=0,0,IF(controls!$B$33=2,B81-B80*AC81-('normal case'!H81-D80*AD81-'main page'!$K$27*'normal case'!T80+'main page'!$K$31*'normal case'!AI80)-(('main page'!$K$25*'main page'!$U$13*'main page'!$K$29)/(1+('main page'!$K$25^2)*'main page'!$U$13))*('normal case'!L80-'main page'!$U$8),B81-B80*AC81-('normal case'!I81-D80*AD81-'main page'!$K$27*'normal case'!T80+'main page'!$K$31*'normal case'!AI80)-(('main page'!$K$25*'main page'!$U$13*'main page'!$K$29)/(1+('main page'!$K$25^2)*'main page'!$U$13))*('normal case'!L80-'main page'!$U$8)))</f>
        <v>0</v>
      </c>
      <c r="AU80" s="36"/>
      <c r="AV80" s="36"/>
    </row>
    <row r="81" spans="1:48">
      <c r="A81" s="43">
        <v>79</v>
      </c>
      <c r="B81" s="62">
        <f ca="1">IF(controls!$B$33=1,B80*(1+AC81)+AA81,B80*(1+AC81))</f>
        <v>101</v>
      </c>
      <c r="C81" s="67">
        <f t="shared" ca="1" si="16"/>
        <v>-1.5107707374006907E-7</v>
      </c>
      <c r="D81" s="64">
        <f t="shared" ca="1" si="12"/>
        <v>101.00000005960464</v>
      </c>
      <c r="E81" s="64">
        <f ca="1">AN80+IF(controls!$B$33=1,G81,F81)</f>
        <v>101.00000005960464</v>
      </c>
      <c r="F81" s="78">
        <f ca="1">IF(controls!$B$44=0,H81-'main page'!$K$27*T80,H81-'main page'!$K$27*T80+'main page'!$K$31*AI80)</f>
        <v>101.00000005960464</v>
      </c>
      <c r="G81" s="62">
        <f ca="1">IF(controls!$B$44=0,I81-'main page'!$K$27*T80,I81-'main page'!$K$27*T80+'main page'!$K$31*'normal case'!AI80)</f>
        <v>101.00000005960464</v>
      </c>
      <c r="H81" s="62">
        <f t="shared" ca="1" si="8"/>
        <v>108</v>
      </c>
      <c r="I81" s="62">
        <f t="shared" ca="1" si="9"/>
        <v>108</v>
      </c>
      <c r="L81" s="62">
        <f ca="1">IF(ABS('main page'!$K$29*L80+(1-'main page'!$K$29)*(controls!$B$9/100)*100+'main page'!$K$25*(D81-B81)-L80)&lt;0.0000001,L80,'main page'!$K$29*L80+(1-'main page'!$K$29)*(controls!$B$9/100)*100+'main page'!$K$25*(D81-B81))</f>
        <v>1.9999998807907104</v>
      </c>
      <c r="Q81" s="409">
        <f ca="1">(1-'main page'!$K$29)*($AS$11/100)*100+'main page'!$K$25*(D81-B81)</f>
        <v>5.9604644775390625E-8</v>
      </c>
      <c r="R81" s="409">
        <f>'main page'!G85+'main page'!$K$29*M80</f>
        <v>0</v>
      </c>
      <c r="S81" s="409">
        <f t="shared" ca="1" si="17"/>
        <v>5.9604644775390625E-8</v>
      </c>
      <c r="T81" s="79">
        <f ca="1">IF(controls!$B$10=1,T80,IF(SUM(controls!$B$44:$B$46)=2,U81-'main page'!$K$29*'normal case'!L81-(1-'main page'!$K$29)*'main page'!$K$32,U81-'main page'!$K$29*'normal case'!L81-(1-'main page'!$K$29)*controls!$B$9))</f>
        <v>3.4999999701976776</v>
      </c>
      <c r="U81" s="164">
        <f ca="1">IF(controls!$B$45=1,IF(controls!$B$46=1,'main page'!$K$24+'main page'!$K$11+'main page'!$U$8,'main page'!$K$24+'main page'!$K$11+'main page'!$K$32),IF(controls!$B$44=1,IF(V81&lt;0,0,V81),IF(V81+'main page'!$K$11&lt;0,0,V81+'main page'!$K$11)))</f>
        <v>5.4999998509883881</v>
      </c>
      <c r="V81" s="63">
        <f ca="1">IF(controls!$B$10=1,'normal case'!T81+'normal case'!L81,'normal case'!W81)</f>
        <v>5.4999998509883881</v>
      </c>
      <c r="W81" s="61">
        <f t="shared" ca="1" si="13"/>
        <v>5.4999998509883881</v>
      </c>
      <c r="X81" s="166">
        <f ca="1">IF(controls!$B$44=0,Y81+'main page'!$K$29*L81+(1-'main page'!$K$29)*controls!$B$9+(('main page'!$K$25*'main page'!$U$13*'main page'!$K$29)/('main page'!$K$27*(1+('main page'!$K$25^2)*'main page'!$U$13)))*(L81-controls!$B$9),Y81+'main page'!$K$29*L81+(1-'main page'!$K$29)*controls!$B$9+(('main page'!$K$25*'main page'!$U$13*'normal case'!$AV$3)/'normal case'!$AV$4)*('normal case'!L81-controls!$B$9))</f>
        <v>5.4999998509883881</v>
      </c>
      <c r="Y81" s="81">
        <f ca="1">IF(controls!$B$44=1,'main page'!$K$24+'main page'!$K$11,IF(controls!$B$33=1,((I82-D81*AD82-B82+B81*AC82)/'main page'!$K$27)-'main page'!$K$11,((H82-D81*AD82-B82+B81*AC82)/'main page'!$K$27)-'main page'!$K$11))</f>
        <v>3.5</v>
      </c>
      <c r="AA81" s="58">
        <f>IF(controls!$B$6=1,$AS$3*(1+('main page'!$K$35/100))^AB81-$AS$3*(1+('main page'!$K$35/100))^AB80,$AS$3*(1+('main page'!$G$8/100))*(1+('main page'!$K$35/100))^AB81-$AS$3*(1+('main page'!$G$8/100))*(1+('main page'!$K$35/100))^AB80)</f>
        <v>0</v>
      </c>
      <c r="AB81" s="60">
        <v>74</v>
      </c>
      <c r="AC81" s="125">
        <v>0</v>
      </c>
      <c r="AD81" s="36">
        <v>0</v>
      </c>
      <c r="AE81" s="44">
        <f ca="1">IF(controls!$B$33=1,D81-($I$3-'main page'!$K$27*2)*(1+('main page'!$K$35/100))^A80,D81-$AS$4)</f>
        <v>1.0000000596046448</v>
      </c>
      <c r="AF81" s="44">
        <f ca="1">ABS(L81-(controls!$B$9/100)*100)</f>
        <v>1.1920928955078125E-7</v>
      </c>
      <c r="AH81" s="44">
        <f ca="1">IF(controls!$B$33=1,(B82-B81*AC82-I82+D81*AD82+'main page'!$K$27*('main page'!$K$24+'main page'!$K$11))/'main page'!$K$31,(B82-B81*AC82+D81*AD82-H82+'main page'!$K$27*('main page'!$K$24+'main page'!$K$11))/'main page'!$K$31)</f>
        <v>1</v>
      </c>
      <c r="AI81" s="44">
        <f ca="1">IF(controls!$B$45=1,LOG(AM81,1.01)+LOG(AL81,1.01)-LOG(AK81,1.01),-((T81-('main page'!$K$24+'main page'!$K$11))/(1-'normal case'!$AV$3))+'normal case'!AH81)</f>
        <v>2.0000000596046448</v>
      </c>
      <c r="AJ81" s="80">
        <f t="shared" ca="1" si="14"/>
        <v>1.0506250015463039</v>
      </c>
      <c r="AK81" s="44">
        <f t="shared" ca="1" si="15"/>
        <v>4.5948338126079147</v>
      </c>
      <c r="AL81" s="44">
        <f>AL80*(1+'main page'!$K$32/100)</f>
        <v>1</v>
      </c>
      <c r="AM81" s="44">
        <f ca="1">IF(ABS(IF(controls!$B$45=1,$AS$13,AK81*AJ81/AL81)-AM80)&lt;0.00001,AM80,IF(controls!$B$45=1,$AS$13,AK81*AJ81/AL81))</f>
        <v>4.8274472814761999</v>
      </c>
      <c r="AN81" s="44">
        <f>IF(controls!$B$46=0,0,IF(controls!$B$33=2,B82-B81*AC82-('normal case'!H82-D81*AD82-'main page'!$K$27*'normal case'!T81+'main page'!$K$31*'normal case'!AI81)-(('main page'!$K$25*'main page'!$U$13*'main page'!$K$29)/(1+('main page'!$K$25^2)*'main page'!$U$13))*('normal case'!L81-'main page'!$U$8),B82-B81*AC82-('normal case'!I82-D81*AD82-'main page'!$K$27*'normal case'!T81+'main page'!$K$31*'normal case'!AI81)-(('main page'!$K$25*'main page'!$U$13*'main page'!$K$29)/(1+('main page'!$K$25^2)*'main page'!$U$13))*('normal case'!L81-'main page'!$U$8)))</f>
        <v>0</v>
      </c>
      <c r="AU81" s="36"/>
      <c r="AV81" s="36"/>
    </row>
    <row r="82" spans="1:48">
      <c r="A82" s="43">
        <v>80</v>
      </c>
      <c r="B82" s="62">
        <f ca="1">IF(controls!$B$33=1,B81*(1+AC82)+AA82,B81*(1+AC82))</f>
        <v>101</v>
      </c>
      <c r="C82" s="67">
        <f t="shared" ca="1" si="16"/>
        <v>-1.5107707374006907E-7</v>
      </c>
      <c r="D82" s="64">
        <f t="shared" ca="1" si="12"/>
        <v>101.00000005960464</v>
      </c>
      <c r="E82" s="64">
        <f ca="1">AN81+IF(controls!$B$33=1,G82,F82)</f>
        <v>101.00000005960464</v>
      </c>
      <c r="F82" s="78">
        <f ca="1">IF(controls!$B$44=0,H82-'main page'!$K$27*T81,H82-'main page'!$K$27*T81+'main page'!$K$31*AI81)</f>
        <v>101.00000005960464</v>
      </c>
      <c r="G82" s="62">
        <f ca="1">IF(controls!$B$44=0,I82-'main page'!$K$27*T81,I82-'main page'!$K$27*T81+'main page'!$K$31*'normal case'!AI81)</f>
        <v>101.00000005960464</v>
      </c>
      <c r="H82" s="62">
        <f t="shared" ca="1" si="8"/>
        <v>108</v>
      </c>
      <c r="I82" s="62">
        <f t="shared" ca="1" si="9"/>
        <v>108</v>
      </c>
      <c r="L82" s="62">
        <f ca="1">IF(ABS('main page'!$K$29*L81+(1-'main page'!$K$29)*(controls!$B$9/100)*100+'main page'!$K$25*(D82-B82)-L81)&lt;0.0000001,L81,'main page'!$K$29*L81+(1-'main page'!$K$29)*(controls!$B$9/100)*100+'main page'!$K$25*(D82-B82))</f>
        <v>1.9999998807907104</v>
      </c>
      <c r="Q82" s="409">
        <f ca="1">(1-'main page'!$K$29)*($AS$11/100)*100+'main page'!$K$25*(D82-B82)</f>
        <v>5.9604644775390625E-8</v>
      </c>
      <c r="R82" s="409">
        <f>'main page'!G86+'main page'!$K$29*M81</f>
        <v>0</v>
      </c>
      <c r="S82" s="409">
        <f t="shared" ca="1" si="17"/>
        <v>5.9604644775390625E-8</v>
      </c>
      <c r="T82" s="79">
        <f ca="1">IF(controls!$B$10=1,T81,IF(SUM(controls!$B$44:$B$46)=2,U82-'main page'!$K$29*'normal case'!L82-(1-'main page'!$K$29)*'main page'!$K$32,U82-'main page'!$K$29*'normal case'!L82-(1-'main page'!$K$29)*controls!$B$9))</f>
        <v>3.4999999701976776</v>
      </c>
      <c r="U82" s="164">
        <f ca="1">IF(controls!$B$45=1,IF(controls!$B$46=1,'main page'!$K$24+'main page'!$K$11+'main page'!$U$8,'main page'!$K$24+'main page'!$K$11+'main page'!$K$32),IF(controls!$B$44=1,IF(V82&lt;0,0,V82),IF(V82+'main page'!$K$11&lt;0,0,V82+'main page'!$K$11)))</f>
        <v>5.4999998509883881</v>
      </c>
      <c r="V82" s="63">
        <f ca="1">IF(controls!$B$10=1,'normal case'!T82+'normal case'!L82,'normal case'!W82)</f>
        <v>5.4999998509883881</v>
      </c>
      <c r="W82" s="61">
        <f t="shared" ca="1" si="13"/>
        <v>5.4999998509883881</v>
      </c>
      <c r="X82" s="166">
        <f ca="1">IF(controls!$B$44=0,Y82+'main page'!$K$29*L82+(1-'main page'!$K$29)*controls!$B$9+(('main page'!$K$25*'main page'!$U$13*'main page'!$K$29)/('main page'!$K$27*(1+('main page'!$K$25^2)*'main page'!$U$13)))*(L82-controls!$B$9),Y82+'main page'!$K$29*L82+(1-'main page'!$K$29)*controls!$B$9+(('main page'!$K$25*'main page'!$U$13*'normal case'!$AV$3)/'normal case'!$AV$4)*('normal case'!L82-controls!$B$9))</f>
        <v>5.4999998509883881</v>
      </c>
      <c r="Y82" s="81">
        <f ca="1">IF(controls!$B$44=1,'main page'!$K$24+'main page'!$K$11,IF(controls!$B$33=1,((I83-D82*AD83-B83+B82*AC83)/'main page'!$K$27)-'main page'!$K$11,((H83-D82*AD83-B83+B82*AC83)/'main page'!$K$27)-'main page'!$K$11))</f>
        <v>3.5</v>
      </c>
      <c r="AA82" s="58">
        <f>IF(controls!$B$6=1,$AS$3*(1+('main page'!$K$35/100))^AB82-$AS$3*(1+('main page'!$K$35/100))^AB81,$AS$3*(1+('main page'!$G$8/100))*(1+('main page'!$K$35/100))^AB82-$AS$3*(1+('main page'!$G$8/100))*(1+('main page'!$K$35/100))^AB81)</f>
        <v>0</v>
      </c>
      <c r="AB82" s="60">
        <v>75</v>
      </c>
      <c r="AC82" s="125">
        <v>0</v>
      </c>
      <c r="AD82" s="36">
        <v>0</v>
      </c>
      <c r="AE82" s="44">
        <f ca="1">IF(controls!$B$33=1,D82-($I$3-'main page'!$K$27*2)*(1+('main page'!$K$35/100))^A81,D82-$AS$4)</f>
        <v>1.0000000596046448</v>
      </c>
      <c r="AF82" s="44">
        <f ca="1">ABS(L82-(controls!$B$9/100)*100)</f>
        <v>1.1920928955078125E-7</v>
      </c>
      <c r="AH82" s="44">
        <f ca="1">IF(controls!$B$33=1,(B83-B82*AC83-I83+D82*AD83+'main page'!$K$27*('main page'!$K$24+'main page'!$K$11))/'main page'!$K$31,(B83-B82*AC83+D82*AD83-H83+'main page'!$K$27*('main page'!$K$24+'main page'!$K$11))/'main page'!$K$31)</f>
        <v>1</v>
      </c>
      <c r="AI82" s="44">
        <f ca="1">IF(controls!$B$45=1,LOG(AM82,1.01)+LOG(AL82,1.01)-LOG(AK82,1.01),-((T82-('main page'!$K$24+'main page'!$K$11))/(1-'normal case'!$AV$3))+'normal case'!AH82)</f>
        <v>2.0000000596046448</v>
      </c>
      <c r="AJ82" s="80">
        <f t="shared" ca="1" si="14"/>
        <v>1.0506250015463039</v>
      </c>
      <c r="AK82" s="44">
        <f t="shared" ca="1" si="15"/>
        <v>4.686730483382604</v>
      </c>
      <c r="AL82" s="44">
        <f>AL81*(1+'main page'!$K$32/100)</f>
        <v>1</v>
      </c>
      <c r="AM82" s="44">
        <f ca="1">IF(ABS(IF(controls!$B$45=1,$AS$13,AK82*AJ82/AL82)-AM81)&lt;0.00001,AM81,IF(controls!$B$45=1,$AS$13,AK82*AJ82/AL82))</f>
        <v>4.9239962213509578</v>
      </c>
      <c r="AN82" s="44">
        <f>IF(controls!$B$46=0,0,IF(controls!$B$33=2,B83-B82*AC83-('normal case'!H83-D82*AD83-'main page'!$K$27*'normal case'!T82+'main page'!$K$31*'normal case'!AI82)-(('main page'!$K$25*'main page'!$U$13*'main page'!$K$29)/(1+('main page'!$K$25^2)*'main page'!$U$13))*('normal case'!L82-'main page'!$U$8),B83-B82*AC83-('normal case'!I83-D82*AD83-'main page'!$K$27*'normal case'!T82+'main page'!$K$31*'normal case'!AI82)-(('main page'!$K$25*'main page'!$U$13*'main page'!$K$29)/(1+('main page'!$K$25^2)*'main page'!$U$13))*('normal case'!L82-'main page'!$U$8)))</f>
        <v>0</v>
      </c>
      <c r="AU82" s="36"/>
      <c r="AV82" s="36"/>
    </row>
    <row r="83" spans="1:48">
      <c r="A83" s="43">
        <v>81</v>
      </c>
      <c r="B83" s="62">
        <f ca="1">IF(controls!$B$33=1,B82*(1+AC83)+AA83,B82*(1+AC83))</f>
        <v>101</v>
      </c>
      <c r="C83" s="67">
        <f t="shared" ca="1" si="16"/>
        <v>-1.5107707374006907E-7</v>
      </c>
      <c r="D83" s="64">
        <f t="shared" ca="1" si="12"/>
        <v>101.00000005960464</v>
      </c>
      <c r="E83" s="64">
        <f ca="1">AN82+IF(controls!$B$33=1,G83,F83)</f>
        <v>101.00000005960464</v>
      </c>
      <c r="F83" s="78">
        <f ca="1">IF(controls!$B$44=0,H83-'main page'!$K$27*T82,H83-'main page'!$K$27*T82+'main page'!$K$31*AI82)</f>
        <v>101.00000005960464</v>
      </c>
      <c r="G83" s="62">
        <f ca="1">IF(controls!$B$44=0,I83-'main page'!$K$27*T82,I83-'main page'!$K$27*T82+'main page'!$K$31*'normal case'!AI82)</f>
        <v>101.00000005960464</v>
      </c>
      <c r="H83" s="62">
        <f t="shared" ca="1" si="8"/>
        <v>108</v>
      </c>
      <c r="I83" s="62">
        <f t="shared" ca="1" si="9"/>
        <v>108</v>
      </c>
      <c r="L83" s="62">
        <f ca="1">IF(ABS('main page'!$K$29*L82+(1-'main page'!$K$29)*(controls!$B$9/100)*100+'main page'!$K$25*(D83-B83)-L82)&lt;0.0000001,L82,'main page'!$K$29*L82+(1-'main page'!$K$29)*(controls!$B$9/100)*100+'main page'!$K$25*(D83-B83))</f>
        <v>1.9999998807907104</v>
      </c>
      <c r="Q83" s="409">
        <f ca="1">(1-'main page'!$K$29)*($AS$11/100)*100+'main page'!$K$25*(D83-B83)</f>
        <v>5.9604644775390625E-8</v>
      </c>
      <c r="R83" s="409">
        <f>'main page'!G87+'main page'!$K$29*M82</f>
        <v>0</v>
      </c>
      <c r="S83" s="409">
        <f t="shared" ca="1" si="17"/>
        <v>5.9604644775390625E-8</v>
      </c>
      <c r="T83" s="79">
        <f ca="1">IF(controls!$B$10=1,T82,IF(SUM(controls!$B$44:$B$46)=2,U83-'main page'!$K$29*'normal case'!L83-(1-'main page'!$K$29)*'main page'!$K$32,U83-'main page'!$K$29*'normal case'!L83-(1-'main page'!$K$29)*controls!$B$9))</f>
        <v>3.4999999701976776</v>
      </c>
      <c r="U83" s="164">
        <f ca="1">IF(controls!$B$45=1,IF(controls!$B$46=1,'main page'!$K$24+'main page'!$K$11+'main page'!$U$8,'main page'!$K$24+'main page'!$K$11+'main page'!$K$32),IF(controls!$B$44=1,IF(V83&lt;0,0,V83),IF(V83+'main page'!$K$11&lt;0,0,V83+'main page'!$K$11)))</f>
        <v>5.4999998509883881</v>
      </c>
      <c r="V83" s="63">
        <f ca="1">IF(controls!$B$10=1,'normal case'!T83+'normal case'!L83,'normal case'!W83)</f>
        <v>5.4999998509883881</v>
      </c>
      <c r="W83" s="61">
        <f t="shared" ca="1" si="13"/>
        <v>5.4999998509883881</v>
      </c>
      <c r="X83" s="166">
        <f ca="1">IF(controls!$B$44=0,Y83+'main page'!$K$29*L83+(1-'main page'!$K$29)*controls!$B$9+(('main page'!$K$25*'main page'!$U$13*'main page'!$K$29)/('main page'!$K$27*(1+('main page'!$K$25^2)*'main page'!$U$13)))*(L83-controls!$B$9),Y83+'main page'!$K$29*L83+(1-'main page'!$K$29)*controls!$B$9+(('main page'!$K$25*'main page'!$U$13*'normal case'!$AV$3)/'normal case'!$AV$4)*('normal case'!L83-controls!$B$9))</f>
        <v>5.4999998509883881</v>
      </c>
      <c r="Y83" s="81">
        <f ca="1">IF(controls!$B$44=1,'main page'!$K$24+'main page'!$K$11,IF(controls!$B$33=1,((I84-D83*AD84-B84+B83*AC84)/'main page'!$K$27)-'main page'!$K$11,((H84-D83*AD84-B84+B83*AC84)/'main page'!$K$27)-'main page'!$K$11))</f>
        <v>3.5</v>
      </c>
      <c r="AA83" s="58">
        <f>IF(controls!$B$6=1,$AS$3*(1+('main page'!$K$35/100))^AB83-$AS$3*(1+('main page'!$K$35/100))^AB82,$AS$3*(1+('main page'!$G$8/100))*(1+('main page'!$K$35/100))^AB83-$AS$3*(1+('main page'!$G$8/100))*(1+('main page'!$K$35/100))^AB82)</f>
        <v>0</v>
      </c>
      <c r="AB83" s="60">
        <v>76</v>
      </c>
      <c r="AC83" s="125">
        <f ca="1">IF(controls!$B$4=1,IF(controls!$H82=1,controls!$B$34*AC82+RAND()*('main page'!$K$16/100)-RAND()*('main page'!$K$16/100),0),0)</f>
        <v>0</v>
      </c>
      <c r="AD83" s="36">
        <f ca="1">IF(controls!$B$4=1,IF(controls!$I82=1,controls!$B$34*AD82+RAND()*('main page'!$K$16/100)-RAND()*('main page'!$K$16/100),0),0)</f>
        <v>0</v>
      </c>
      <c r="AE83" s="44">
        <f ca="1">IF(controls!$B$33=1,D83-($I$3-'main page'!$K$27*2)*(1+('main page'!$K$35/100))^A82,D83-$AS$4)</f>
        <v>1.0000000596046448</v>
      </c>
      <c r="AF83" s="44">
        <f ca="1">ABS(L83-(controls!$B$9/100)*100)</f>
        <v>1.1920928955078125E-7</v>
      </c>
      <c r="AH83" s="44">
        <f ca="1">IF(controls!$B$33=1,(B84-B83*AC84-I84+D83*AD84+'main page'!$K$27*('main page'!$K$24+'main page'!$K$11))/'main page'!$K$31,(B84-B83*AC84+D83*AD84-H84+'main page'!$K$27*('main page'!$K$24+'main page'!$K$11))/'main page'!$K$31)</f>
        <v>1</v>
      </c>
      <c r="AI83" s="44">
        <f ca="1">IF(controls!$B$45=1,LOG(AM83,1.01)+LOG(AL83,1.01)-LOG(AK83,1.01),-((T83-('main page'!$K$24+'main page'!$K$11))/(1-'normal case'!$AV$3))+'normal case'!AH83)</f>
        <v>2.0000000596046448</v>
      </c>
      <c r="AJ83" s="80">
        <f t="shared" ca="1" si="14"/>
        <v>1.0506250015463039</v>
      </c>
      <c r="AK83" s="44">
        <f t="shared" ca="1" si="15"/>
        <v>4.7804650874632379</v>
      </c>
      <c r="AL83" s="44">
        <f>AL82*(1+'main page'!$K$32/100)</f>
        <v>1</v>
      </c>
      <c r="AM83" s="44">
        <f ca="1">IF(ABS(IF(controls!$B$45=1,$AS$13,AK83*AJ83/AL83)-AM82)&lt;0.00001,AM82,IF(controls!$B$45=1,$AS$13,AK83*AJ83/AL83))</f>
        <v>5.0224761399081164</v>
      </c>
      <c r="AN83" s="44">
        <f>IF(controls!$B$46=0,0,IF(controls!$B$33=2,B84-B83*AC84-('normal case'!H84-D83*AD84-'main page'!$K$27*'normal case'!T83+'main page'!$K$31*'normal case'!AI83)-(('main page'!$K$25*'main page'!$U$13*'main page'!$K$29)/(1+('main page'!$K$25^2)*'main page'!$U$13))*('normal case'!L83-'main page'!$U$8),B84-B83*AC84-('normal case'!I84-D83*AD84-'main page'!$K$27*'normal case'!T83+'main page'!$K$31*'normal case'!AI83)-(('main page'!$K$25*'main page'!$U$13*'main page'!$K$29)/(1+('main page'!$K$25^2)*'main page'!$U$13))*('normal case'!L83-'main page'!$U$8)))</f>
        <v>0</v>
      </c>
      <c r="AU83" s="36"/>
      <c r="AV83" s="36"/>
    </row>
    <row r="84" spans="1:48">
      <c r="A84" s="43">
        <v>82</v>
      </c>
      <c r="B84" s="62">
        <f ca="1">IF(controls!$B$33=1,B83*(1+AC84)+AA84,B83*(1+AC84))</f>
        <v>101</v>
      </c>
      <c r="C84" s="67">
        <f t="shared" ca="1" si="16"/>
        <v>-1.5107707374006907E-7</v>
      </c>
      <c r="D84" s="64">
        <f t="shared" ca="1" si="12"/>
        <v>101.00000005960464</v>
      </c>
      <c r="E84" s="64">
        <f ca="1">AN83+IF(controls!$B$33=1,G84,F84)</f>
        <v>101.00000005960464</v>
      </c>
      <c r="F84" s="78">
        <f ca="1">IF(controls!$B$44=0,H84-'main page'!$K$27*T83,H84-'main page'!$K$27*T83+'main page'!$K$31*AI83)</f>
        <v>101.00000005960464</v>
      </c>
      <c r="G84" s="62">
        <f ca="1">IF(controls!$B$44=0,I84-'main page'!$K$27*T83,I84-'main page'!$K$27*T83+'main page'!$K$31*'normal case'!AI83)</f>
        <v>101.00000005960464</v>
      </c>
      <c r="H84" s="62">
        <f t="shared" ca="1" si="8"/>
        <v>108</v>
      </c>
      <c r="I84" s="62">
        <f t="shared" ca="1" si="9"/>
        <v>108</v>
      </c>
      <c r="L84" s="62">
        <f ca="1">IF(ABS('main page'!$K$29*L83+(1-'main page'!$K$29)*(controls!$B$9/100)*100+'main page'!$K$25*(D84-B84)-L83)&lt;0.0000001,L83,'main page'!$K$29*L83+(1-'main page'!$K$29)*(controls!$B$9/100)*100+'main page'!$K$25*(D84-B84))</f>
        <v>1.9999998807907104</v>
      </c>
      <c r="Q84" s="409">
        <f ca="1">(1-'main page'!$K$29)*($AS$11/100)*100+'main page'!$K$25*(D84-B84)</f>
        <v>5.9604644775390625E-8</v>
      </c>
      <c r="R84" s="409">
        <f>'main page'!G88+'main page'!$K$29*M83</f>
        <v>0</v>
      </c>
      <c r="S84" s="409">
        <f t="shared" ca="1" si="17"/>
        <v>5.9604644775390625E-8</v>
      </c>
      <c r="T84" s="79">
        <f ca="1">IF(controls!$B$10=1,T83,IF(SUM(controls!$B$44:$B$46)=2,U84-'main page'!$K$29*'normal case'!L84-(1-'main page'!$K$29)*'main page'!$K$32,U84-'main page'!$K$29*'normal case'!L84-(1-'main page'!$K$29)*controls!$B$9))</f>
        <v>3.4999999701976776</v>
      </c>
      <c r="U84" s="164">
        <f ca="1">IF(controls!$B$45=1,IF(controls!$B$46=1,'main page'!$K$24+'main page'!$K$11+'main page'!$U$8,'main page'!$K$24+'main page'!$K$11+'main page'!$K$32),IF(controls!$B$44=1,IF(V84&lt;0,0,V84),IF(V84+'main page'!$K$11&lt;0,0,V84+'main page'!$K$11)))</f>
        <v>5.4999998509883881</v>
      </c>
      <c r="V84" s="63">
        <f ca="1">IF(controls!$B$10=1,'normal case'!T84+'normal case'!L84,'normal case'!W84)</f>
        <v>5.4999998509883881</v>
      </c>
      <c r="W84" s="61">
        <f t="shared" ca="1" si="13"/>
        <v>5.4999998509883881</v>
      </c>
      <c r="X84" s="166">
        <f ca="1">IF(controls!$B$44=0,Y84+'main page'!$K$29*L84+(1-'main page'!$K$29)*controls!$B$9+(('main page'!$K$25*'main page'!$U$13*'main page'!$K$29)/('main page'!$K$27*(1+('main page'!$K$25^2)*'main page'!$U$13)))*(L84-controls!$B$9),Y84+'main page'!$K$29*L84+(1-'main page'!$K$29)*controls!$B$9+(('main page'!$K$25*'main page'!$U$13*'normal case'!$AV$3)/'normal case'!$AV$4)*('normal case'!L84-controls!$B$9))</f>
        <v>5.4999998509883881</v>
      </c>
      <c r="Y84" s="81">
        <f ca="1">IF(controls!$B$44=1,'main page'!$K$24+'main page'!$K$11,IF(controls!$B$33=1,((I85-D84*AD85-B85+B84*AC85)/'main page'!$K$27)-'main page'!$K$11,((H85-D84*AD85-B85+B84*AC85)/'main page'!$K$27)-'main page'!$K$11))</f>
        <v>3.5</v>
      </c>
      <c r="AA84" s="58">
        <f>IF(controls!$B$6=1,$AS$3*(1+('main page'!$K$35/100))^AB84-$AS$3*(1+('main page'!$K$35/100))^AB83,$AS$3*(1+('main page'!$G$8/100))*(1+('main page'!$K$35/100))^AB84-$AS$3*(1+('main page'!$G$8/100))*(1+('main page'!$K$35/100))^AB83)</f>
        <v>0</v>
      </c>
      <c r="AB84" s="60">
        <v>77</v>
      </c>
      <c r="AC84" s="125">
        <v>0</v>
      </c>
      <c r="AD84" s="36">
        <v>0</v>
      </c>
      <c r="AE84" s="44">
        <f ca="1">IF(controls!$B$33=1,D84-($I$3-'main page'!$K$27*2)*(1+('main page'!$K$35/100))^A83,D84-$AS$4)</f>
        <v>1.0000000596046448</v>
      </c>
      <c r="AF84" s="44">
        <f ca="1">ABS(L84-(controls!$B$9/100)*100)</f>
        <v>1.1920928955078125E-7</v>
      </c>
      <c r="AH84" s="44">
        <f ca="1">IF(controls!$B$33=1,(B85-B84*AC85-I85+D84*AD85+'main page'!$K$27*('main page'!$K$24+'main page'!$K$11))/'main page'!$K$31,(B85-B84*AC85+D84*AD85-H85+'main page'!$K$27*('main page'!$K$24+'main page'!$K$11))/'main page'!$K$31)</f>
        <v>1</v>
      </c>
      <c r="AI84" s="44">
        <f ca="1">IF(controls!$B$45=1,LOG(AM84,1.01)+LOG(AL84,1.01)-LOG(AK84,1.01),-((T84-('main page'!$K$24+'main page'!$K$11))/(1-'normal case'!$AV$3))+'normal case'!AH84)</f>
        <v>2.0000000596046448</v>
      </c>
      <c r="AJ84" s="80">
        <f t="shared" ca="1" si="14"/>
        <v>1.0506250015463039</v>
      </c>
      <c r="AK84" s="44">
        <f t="shared" ca="1" si="15"/>
        <v>4.8760743835137443</v>
      </c>
      <c r="AL84" s="44">
        <f>AL83*(1+'main page'!$K$32/100)</f>
        <v>1</v>
      </c>
      <c r="AM84" s="44">
        <f ca="1">IF(ABS(IF(controls!$B$45=1,$AS$13,AK84*AJ84/AL84)-AM83)&lt;0.00001,AM83,IF(controls!$B$45=1,$AS$13,AK84*AJ84/AL84))</f>
        <v>5.1229256567190209</v>
      </c>
      <c r="AN84" s="44">
        <f>IF(controls!$B$46=0,0,IF(controls!$B$33=2,B85-B84*AC85-('normal case'!H85-D84*AD85-'main page'!$K$27*'normal case'!T84+'main page'!$K$31*'normal case'!AI84)-(('main page'!$K$25*'main page'!$U$13*'main page'!$K$29)/(1+('main page'!$K$25^2)*'main page'!$U$13))*('normal case'!L84-'main page'!$U$8),B85-B84*AC85-('normal case'!I85-D84*AD85-'main page'!$K$27*'normal case'!T84+'main page'!$K$31*'normal case'!AI84)-(('main page'!$K$25*'main page'!$U$13*'main page'!$K$29)/(1+('main page'!$K$25^2)*'main page'!$U$13))*('normal case'!L84-'main page'!$U$8)))</f>
        <v>0</v>
      </c>
      <c r="AU84" s="36"/>
      <c r="AV84" s="36"/>
    </row>
    <row r="85" spans="1:48">
      <c r="A85" s="43">
        <v>83</v>
      </c>
      <c r="B85" s="62">
        <f ca="1">IF(controls!$B$33=1,B84*(1+AC85)+AA85,B84*(1+AC85))</f>
        <v>101</v>
      </c>
      <c r="C85" s="67">
        <f t="shared" ca="1" si="16"/>
        <v>-1.5107707374006907E-7</v>
      </c>
      <c r="D85" s="64">
        <f t="shared" ca="1" si="12"/>
        <v>101.00000005960464</v>
      </c>
      <c r="E85" s="64">
        <f ca="1">AN84+IF(controls!$B$33=1,G85,F85)</f>
        <v>101.00000005960464</v>
      </c>
      <c r="F85" s="78">
        <f ca="1">IF(controls!$B$44=0,H85-'main page'!$K$27*T84,H85-'main page'!$K$27*T84+'main page'!$K$31*AI84)</f>
        <v>101.00000005960464</v>
      </c>
      <c r="G85" s="62">
        <f ca="1">IF(controls!$B$44=0,I85-'main page'!$K$27*T84,I85-'main page'!$K$27*T84+'main page'!$K$31*'normal case'!AI84)</f>
        <v>101.00000005960464</v>
      </c>
      <c r="H85" s="62">
        <f t="shared" ca="1" si="8"/>
        <v>108</v>
      </c>
      <c r="I85" s="62">
        <f t="shared" ca="1" si="9"/>
        <v>108</v>
      </c>
      <c r="L85" s="62">
        <f ca="1">IF(ABS('main page'!$K$29*L84+(1-'main page'!$K$29)*(controls!$B$9/100)*100+'main page'!$K$25*(D85-B85)-L84)&lt;0.0000001,L84,'main page'!$K$29*L84+(1-'main page'!$K$29)*(controls!$B$9/100)*100+'main page'!$K$25*(D85-B85))</f>
        <v>1.9999998807907104</v>
      </c>
      <c r="Q85" s="409">
        <f ca="1">(1-'main page'!$K$29)*($AS$11/100)*100+'main page'!$K$25*(D85-B85)</f>
        <v>5.9604644775390625E-8</v>
      </c>
      <c r="R85" s="409">
        <f>'main page'!G89+'main page'!$K$29*M84</f>
        <v>0</v>
      </c>
      <c r="S85" s="409">
        <f t="shared" ca="1" si="17"/>
        <v>5.9604644775390625E-8</v>
      </c>
      <c r="T85" s="79">
        <f ca="1">IF(controls!$B$10=1,T84,IF(SUM(controls!$B$44:$B$46)=2,U85-'main page'!$K$29*'normal case'!L85-(1-'main page'!$K$29)*'main page'!$K$32,U85-'main page'!$K$29*'normal case'!L85-(1-'main page'!$K$29)*controls!$B$9))</f>
        <v>3.4999999701976776</v>
      </c>
      <c r="U85" s="164">
        <f ca="1">IF(controls!$B$45=1,IF(controls!$B$46=1,'main page'!$K$24+'main page'!$K$11+'main page'!$U$8,'main page'!$K$24+'main page'!$K$11+'main page'!$K$32),IF(controls!$B$44=1,IF(V85&lt;0,0,V85),IF(V85+'main page'!$K$11&lt;0,0,V85+'main page'!$K$11)))</f>
        <v>5.4999998509883881</v>
      </c>
      <c r="V85" s="63">
        <f ca="1">IF(controls!$B$10=1,'normal case'!T85+'normal case'!L85,'normal case'!W85)</f>
        <v>5.4999998509883881</v>
      </c>
      <c r="W85" s="61">
        <f t="shared" ca="1" si="13"/>
        <v>5.4999998509883881</v>
      </c>
      <c r="X85" s="166">
        <f ca="1">IF(controls!$B$44=0,Y85+'main page'!$K$29*L85+(1-'main page'!$K$29)*controls!$B$9+(('main page'!$K$25*'main page'!$U$13*'main page'!$K$29)/('main page'!$K$27*(1+('main page'!$K$25^2)*'main page'!$U$13)))*(L85-controls!$B$9),Y85+'main page'!$K$29*L85+(1-'main page'!$K$29)*controls!$B$9+(('main page'!$K$25*'main page'!$U$13*'normal case'!$AV$3)/'normal case'!$AV$4)*('normal case'!L85-controls!$B$9))</f>
        <v>5.4999998509883881</v>
      </c>
      <c r="Y85" s="81">
        <f ca="1">IF(controls!$B$44=1,'main page'!$K$24+'main page'!$K$11,IF(controls!$B$33=1,((I86-D85*AD86-B86+B85*AC86)/'main page'!$K$27)-'main page'!$K$11,((H86-D85*AD86-B86+B85*AC86)/'main page'!$K$27)-'main page'!$K$11))</f>
        <v>3.5</v>
      </c>
      <c r="AA85" s="58">
        <f>IF(controls!$B$6=1,$AS$3*(1+('main page'!$K$35/100))^AB85-$AS$3*(1+('main page'!$K$35/100))^AB84,$AS$3*(1+('main page'!$G$8/100))*(1+('main page'!$K$35/100))^AB85-$AS$3*(1+('main page'!$G$8/100))*(1+('main page'!$K$35/100))^AB84)</f>
        <v>0</v>
      </c>
      <c r="AB85" s="60">
        <v>78</v>
      </c>
      <c r="AC85" s="125">
        <v>0</v>
      </c>
      <c r="AD85" s="36">
        <v>0</v>
      </c>
      <c r="AE85" s="44">
        <f ca="1">IF(controls!$B$33=1,D85-($I$3-'main page'!$K$27*2)*(1+('main page'!$K$35/100))^A84,D85-$AS$4)</f>
        <v>1.0000000596046448</v>
      </c>
      <c r="AF85" s="44">
        <f ca="1">ABS(L85-(controls!$B$9/100)*100)</f>
        <v>1.1920928955078125E-7</v>
      </c>
      <c r="AH85" s="44">
        <f ca="1">IF(controls!$B$33=1,(B86-B85*AC86-I86+D85*AD86+'main page'!$K$27*('main page'!$K$24+'main page'!$K$11))/'main page'!$K$31,(B86-B85*AC86+D85*AD86-H86+'main page'!$K$27*('main page'!$K$24+'main page'!$K$11))/'main page'!$K$31)</f>
        <v>1</v>
      </c>
      <c r="AI85" s="44">
        <f ca="1">IF(controls!$B$45=1,LOG(AM85,1.01)+LOG(AL85,1.01)-LOG(AK85,1.01),-((T85-('main page'!$K$24+'main page'!$K$11))/(1-'normal case'!$AV$3))+'normal case'!AH85)</f>
        <v>2.0000000596046448</v>
      </c>
      <c r="AJ85" s="80">
        <f t="shared" ca="1" si="14"/>
        <v>1.0506250015463039</v>
      </c>
      <c r="AK85" s="44">
        <f t="shared" ca="1" si="15"/>
        <v>4.9735958653712862</v>
      </c>
      <c r="AL85" s="44">
        <f>AL84*(1+'main page'!$K$32/100)</f>
        <v>1</v>
      </c>
      <c r="AM85" s="44">
        <f ca="1">IF(ABS(IF(controls!$B$45=1,$AS$13,AK85*AJ85/AL85)-AM84)&lt;0.00001,AM84,IF(controls!$B$45=1,$AS$13,AK85*AJ85/AL85))</f>
        <v>5.2253841637463978</v>
      </c>
      <c r="AN85" s="44">
        <f>IF(controls!$B$46=0,0,IF(controls!$B$33=2,B86-B85*AC86-('normal case'!H86-D85*AD86-'main page'!$K$27*'normal case'!T85+'main page'!$K$31*'normal case'!AI85)-(('main page'!$K$25*'main page'!$U$13*'main page'!$K$29)/(1+('main page'!$K$25^2)*'main page'!$U$13))*('normal case'!L85-'main page'!$U$8),B86-B85*AC86-('normal case'!I86-D85*AD86-'main page'!$K$27*'normal case'!T85+'main page'!$K$31*'normal case'!AI85)-(('main page'!$K$25*'main page'!$U$13*'main page'!$K$29)/(1+('main page'!$K$25^2)*'main page'!$U$13))*('normal case'!L85-'main page'!$U$8)))</f>
        <v>0</v>
      </c>
      <c r="AU85" s="36"/>
      <c r="AV85" s="36"/>
    </row>
    <row r="86" spans="1:48">
      <c r="A86" s="43">
        <v>84</v>
      </c>
      <c r="B86" s="62">
        <f ca="1">IF(controls!$B$33=1,B85*(1+AC86)+AA86,B85*(1+AC86))</f>
        <v>101</v>
      </c>
      <c r="C86" s="67">
        <f t="shared" ca="1" si="16"/>
        <v>-1.5107707374006907E-7</v>
      </c>
      <c r="D86" s="64">
        <f t="shared" ca="1" si="12"/>
        <v>101.00000005960464</v>
      </c>
      <c r="E86" s="64">
        <f ca="1">AN85+IF(controls!$B$33=1,G86,F86)</f>
        <v>101.00000005960464</v>
      </c>
      <c r="F86" s="78">
        <f ca="1">IF(controls!$B$44=0,H86-'main page'!$K$27*T85,H86-'main page'!$K$27*T85+'main page'!$K$31*AI85)</f>
        <v>101.00000005960464</v>
      </c>
      <c r="G86" s="62">
        <f ca="1">IF(controls!$B$44=0,I86-'main page'!$K$27*T85,I86-'main page'!$K$27*T85+'main page'!$K$31*'normal case'!AI85)</f>
        <v>101.00000005960464</v>
      </c>
      <c r="H86" s="62">
        <f t="shared" ca="1" si="8"/>
        <v>108</v>
      </c>
      <c r="I86" s="62">
        <f t="shared" ca="1" si="9"/>
        <v>108</v>
      </c>
      <c r="L86" s="62">
        <f ca="1">IF(ABS('main page'!$K$29*L85+(1-'main page'!$K$29)*(controls!$B$9/100)*100+'main page'!$K$25*(D86-B86)-L85)&lt;0.0000001,L85,'main page'!$K$29*L85+(1-'main page'!$K$29)*(controls!$B$9/100)*100+'main page'!$K$25*(D86-B86))</f>
        <v>1.9999998807907104</v>
      </c>
      <c r="Q86" s="409">
        <f ca="1">(1-'main page'!$K$29)*($AS$11/100)*100+'main page'!$K$25*(D86-B86)</f>
        <v>5.9604644775390625E-8</v>
      </c>
      <c r="R86" s="409">
        <f>'main page'!G90+'main page'!$K$29*M85</f>
        <v>0</v>
      </c>
      <c r="S86" s="409">
        <f t="shared" ca="1" si="17"/>
        <v>5.9604644775390625E-8</v>
      </c>
      <c r="T86" s="79">
        <f ca="1">IF(controls!$B$10=1,T85,IF(SUM(controls!$B$44:$B$46)=2,U86-'main page'!$K$29*'normal case'!L86-(1-'main page'!$K$29)*'main page'!$K$32,U86-'main page'!$K$29*'normal case'!L86-(1-'main page'!$K$29)*controls!$B$9))</f>
        <v>3.4999999701976776</v>
      </c>
      <c r="U86" s="164">
        <f ca="1">IF(controls!$B$45=1,IF(controls!$B$46=1,'main page'!$K$24+'main page'!$K$11+'main page'!$U$8,'main page'!$K$24+'main page'!$K$11+'main page'!$K$32),IF(controls!$B$44=1,IF(V86&lt;0,0,V86),IF(V86+'main page'!$K$11&lt;0,0,V86+'main page'!$K$11)))</f>
        <v>5.4999998509883881</v>
      </c>
      <c r="V86" s="63">
        <f ca="1">IF(controls!$B$10=1,'normal case'!T86+'normal case'!L86,'normal case'!W86)</f>
        <v>5.4999998509883881</v>
      </c>
      <c r="W86" s="61">
        <f t="shared" ca="1" si="13"/>
        <v>5.4999998509883881</v>
      </c>
      <c r="X86" s="166">
        <f ca="1">IF(controls!$B$44=0,Y86+'main page'!$K$29*L86+(1-'main page'!$K$29)*controls!$B$9+(('main page'!$K$25*'main page'!$U$13*'main page'!$K$29)/('main page'!$K$27*(1+('main page'!$K$25^2)*'main page'!$U$13)))*(L86-controls!$B$9),Y86+'main page'!$K$29*L86+(1-'main page'!$K$29)*controls!$B$9+(('main page'!$K$25*'main page'!$U$13*'normal case'!$AV$3)/'normal case'!$AV$4)*('normal case'!L86-controls!$B$9))</f>
        <v>5.4999998509883881</v>
      </c>
      <c r="Y86" s="81">
        <f ca="1">IF(controls!$B$44=1,'main page'!$K$24+'main page'!$K$11,IF(controls!$B$33=1,((I87-D86*AD87-B87+B86*AC87)/'main page'!$K$27)-'main page'!$K$11,((H87-D86*AD87-B87+B86*AC87)/'main page'!$K$27)-'main page'!$K$11))</f>
        <v>3.5</v>
      </c>
      <c r="AA86" s="58">
        <f>IF(controls!$B$6=1,$AS$3*(1+('main page'!$K$35/100))^AB86-$AS$3*(1+('main page'!$K$35/100))^AB85,$AS$3*(1+('main page'!$G$8/100))*(1+('main page'!$K$35/100))^AB86-$AS$3*(1+('main page'!$G$8/100))*(1+('main page'!$K$35/100))^AB85)</f>
        <v>0</v>
      </c>
      <c r="AB86" s="60">
        <v>79</v>
      </c>
      <c r="AC86" s="125">
        <f ca="1">IF(controls!$B$4=1,IF(controls!$H85=1,controls!$B$34*AC85+RAND()*('main page'!$K$16/100)-RAND()*('main page'!$K$16/100),0),0)</f>
        <v>0</v>
      </c>
      <c r="AD86" s="36">
        <f ca="1">IF(controls!$B$4=1,IF(controls!$I85=1,controls!$B$34*AD85+RAND()*('main page'!$K$16/100)-RAND()*('main page'!$K$16/100),0),0)</f>
        <v>0</v>
      </c>
      <c r="AE86" s="44">
        <f ca="1">IF(controls!$B$33=1,D86-($I$3-'main page'!$K$27*2)*(1+('main page'!$K$35/100))^A85,D86-$AS$4)</f>
        <v>1.0000000596046448</v>
      </c>
      <c r="AF86" s="44">
        <f ca="1">ABS(L86-(controls!$B$9/100)*100)</f>
        <v>1.1920928955078125E-7</v>
      </c>
      <c r="AH86" s="44">
        <f ca="1">IF(controls!$B$33=1,(B87-B86*AC87-I87+D86*AD87+'main page'!$K$27*('main page'!$K$24+'main page'!$K$11))/'main page'!$K$31,(B87-B86*AC87+D86*AD87-H87+'main page'!$K$27*('main page'!$K$24+'main page'!$K$11))/'main page'!$K$31)</f>
        <v>1</v>
      </c>
      <c r="AI86" s="44">
        <f ca="1">IF(controls!$B$45=1,LOG(AM86,1.01)+LOG(AL86,1.01)-LOG(AK86,1.01),-((T86-('main page'!$K$24+'main page'!$K$11))/(1-'normal case'!$AV$3))+'normal case'!AH86)</f>
        <v>2.0000000596046448</v>
      </c>
      <c r="AJ86" s="80">
        <f t="shared" ca="1" si="14"/>
        <v>1.0506250015463039</v>
      </c>
      <c r="AK86" s="44">
        <f t="shared" ca="1" si="15"/>
        <v>5.0730677767497241</v>
      </c>
      <c r="AL86" s="44">
        <f>AL85*(1+'main page'!$K$32/100)</f>
        <v>1</v>
      </c>
      <c r="AM86" s="44">
        <f ca="1">IF(ABS(IF(controls!$B$45=1,$AS$13,AK86*AJ86/AL86)-AM85)&lt;0.00001,AM85,IF(controls!$B$45=1,$AS$13,AK86*AJ86/AL86))</f>
        <v>5.3298918407921834</v>
      </c>
      <c r="AN86" s="44">
        <f>IF(controls!$B$46=0,0,IF(controls!$B$33=2,B87-B86*AC87-('normal case'!H87-D86*AD87-'main page'!$K$27*'normal case'!T86+'main page'!$K$31*'normal case'!AI86)-(('main page'!$K$25*'main page'!$U$13*'main page'!$K$29)/(1+('main page'!$K$25^2)*'main page'!$U$13))*('normal case'!L86-'main page'!$U$8),B87-B86*AC87-('normal case'!I87-D86*AD87-'main page'!$K$27*'normal case'!T86+'main page'!$K$31*'normal case'!AI86)-(('main page'!$K$25*'main page'!$U$13*'main page'!$K$29)/(1+('main page'!$K$25^2)*'main page'!$U$13))*('normal case'!L86-'main page'!$U$8)))</f>
        <v>0</v>
      </c>
      <c r="AU86" s="36"/>
      <c r="AV86" s="36"/>
    </row>
    <row r="87" spans="1:48">
      <c r="A87" s="43">
        <v>85</v>
      </c>
      <c r="B87" s="62">
        <f ca="1">IF(controls!$B$33=1,B86*(1+AC87)+AA87,B86*(1+AC87))</f>
        <v>101</v>
      </c>
      <c r="C87" s="67">
        <f t="shared" ca="1" si="16"/>
        <v>-1.5107707374006907E-7</v>
      </c>
      <c r="D87" s="64">
        <f t="shared" ca="1" si="12"/>
        <v>101.00000005960464</v>
      </c>
      <c r="E87" s="64">
        <f ca="1">AN86+IF(controls!$B$33=1,G87,F87)</f>
        <v>101.00000005960464</v>
      </c>
      <c r="F87" s="78">
        <f ca="1">IF(controls!$B$44=0,H87-'main page'!$K$27*T86,H87-'main page'!$K$27*T86+'main page'!$K$31*AI86)</f>
        <v>101.00000005960464</v>
      </c>
      <c r="G87" s="62">
        <f ca="1">IF(controls!$B$44=0,I87-'main page'!$K$27*T86,I87-'main page'!$K$27*T86+'main page'!$K$31*'normal case'!AI86)</f>
        <v>101.00000005960464</v>
      </c>
      <c r="H87" s="62">
        <f t="shared" ca="1" si="8"/>
        <v>108</v>
      </c>
      <c r="I87" s="62">
        <f t="shared" ca="1" si="9"/>
        <v>108</v>
      </c>
      <c r="L87" s="62">
        <f ca="1">IF(ABS('main page'!$K$29*L86+(1-'main page'!$K$29)*(controls!$B$9/100)*100+'main page'!$K$25*(D87-B87)-L86)&lt;0.0000001,L86,'main page'!$K$29*L86+(1-'main page'!$K$29)*(controls!$B$9/100)*100+'main page'!$K$25*(D87-B87))</f>
        <v>1.9999998807907104</v>
      </c>
      <c r="Q87" s="409">
        <f ca="1">(1-'main page'!$K$29)*($AS$11/100)*100+'main page'!$K$25*(D87-B87)</f>
        <v>5.9604644775390625E-8</v>
      </c>
      <c r="R87" s="409">
        <f>'main page'!G91+'main page'!$K$29*M86</f>
        <v>0</v>
      </c>
      <c r="S87" s="409">
        <f t="shared" ca="1" si="17"/>
        <v>5.9604644775390625E-8</v>
      </c>
      <c r="T87" s="79">
        <f ca="1">IF(controls!$B$10=1,T86,IF(SUM(controls!$B$44:$B$46)=2,U87-'main page'!$K$29*'normal case'!L87-(1-'main page'!$K$29)*'main page'!$K$32,U87-'main page'!$K$29*'normal case'!L87-(1-'main page'!$K$29)*controls!$B$9))</f>
        <v>3.4999999701976776</v>
      </c>
      <c r="U87" s="164">
        <f ca="1">IF(controls!$B$45=1,IF(controls!$B$46=1,'main page'!$K$24+'main page'!$K$11+'main page'!$U$8,'main page'!$K$24+'main page'!$K$11+'main page'!$K$32),IF(controls!$B$44=1,IF(V87&lt;0,0,V87),IF(V87+'main page'!$K$11&lt;0,0,V87+'main page'!$K$11)))</f>
        <v>5.4999998509883881</v>
      </c>
      <c r="V87" s="63">
        <f ca="1">IF(controls!$B$10=1,'normal case'!T87+'normal case'!L87,'normal case'!W87)</f>
        <v>5.4999998509883881</v>
      </c>
      <c r="W87" s="61">
        <f t="shared" ca="1" si="13"/>
        <v>5.4999998509883881</v>
      </c>
      <c r="X87" s="166">
        <f ca="1">IF(controls!$B$44=0,Y87+'main page'!$K$29*L87+(1-'main page'!$K$29)*controls!$B$9+(('main page'!$K$25*'main page'!$U$13*'main page'!$K$29)/('main page'!$K$27*(1+('main page'!$K$25^2)*'main page'!$U$13)))*(L87-controls!$B$9),Y87+'main page'!$K$29*L87+(1-'main page'!$K$29)*controls!$B$9+(('main page'!$K$25*'main page'!$U$13*'normal case'!$AV$3)/'normal case'!$AV$4)*('normal case'!L87-controls!$B$9))</f>
        <v>5.4999998509883881</v>
      </c>
      <c r="Y87" s="81">
        <f ca="1">IF(controls!$B$44=1,'main page'!$K$24+'main page'!$K$11,IF(controls!$B$33=1,((I88-D87*AD88-B88+B87*AC88)/'main page'!$K$27)-'main page'!$K$11,((H88-D87*AD88-B88+B87*AC88)/'main page'!$K$27)-'main page'!$K$11))</f>
        <v>3.5</v>
      </c>
      <c r="AA87" s="58">
        <f>IF(controls!$B$6=1,$AS$3*(1+('main page'!$K$35/100))^AB87-$AS$3*(1+('main page'!$K$35/100))^AB86,$AS$3*(1+('main page'!$G$8/100))*(1+('main page'!$K$35/100))^AB87-$AS$3*(1+('main page'!$G$8/100))*(1+('main page'!$K$35/100))^AB86)</f>
        <v>0</v>
      </c>
      <c r="AB87" s="60">
        <v>80</v>
      </c>
      <c r="AC87" s="125">
        <v>0</v>
      </c>
      <c r="AD87" s="36">
        <v>0</v>
      </c>
      <c r="AE87" s="44">
        <f ca="1">IF(controls!$B$33=1,D87-($I$3-'main page'!$K$27*2)*(1+('main page'!$K$35/100))^A86,D87-$AS$4)</f>
        <v>1.0000000596046448</v>
      </c>
      <c r="AF87" s="44">
        <f ca="1">ABS(L87-(controls!$B$9/100)*100)</f>
        <v>1.1920928955078125E-7</v>
      </c>
      <c r="AH87" s="44">
        <f ca="1">IF(controls!$B$33=1,(B88-B87*AC88-I88+D87*AD88+'main page'!$K$27*('main page'!$K$24+'main page'!$K$11))/'main page'!$K$31,(B88-B87*AC88+D87*AD88-H88+'main page'!$K$27*('main page'!$K$24+'main page'!$K$11))/'main page'!$K$31)</f>
        <v>1</v>
      </c>
      <c r="AI87" s="44">
        <f ca="1">IF(controls!$B$45=1,LOG(AM87,1.01)+LOG(AL87,1.01)-LOG(AK87,1.01),-((T87-('main page'!$K$24+'main page'!$K$11))/(1-'normal case'!$AV$3))+'normal case'!AH87)</f>
        <v>2.0000000596046448</v>
      </c>
      <c r="AJ87" s="80">
        <f t="shared" ca="1" si="14"/>
        <v>1.0506250015463039</v>
      </c>
      <c r="AK87" s="44">
        <f t="shared" ca="1" si="15"/>
        <v>5.1745291262371511</v>
      </c>
      <c r="AL87" s="44">
        <f>AL86*(1+'main page'!$K$32/100)</f>
        <v>1</v>
      </c>
      <c r="AM87" s="44">
        <f ca="1">IF(ABS(IF(controls!$B$45=1,$AS$13,AK87*AJ87/AL87)-AM86)&lt;0.00001,AM86,IF(controls!$B$45=1,$AS$13,AK87*AJ87/AL87))</f>
        <v>5.4364896712543018</v>
      </c>
      <c r="AN87" s="44">
        <f>IF(controls!$B$46=0,0,IF(controls!$B$33=2,B88-B87*AC88-('normal case'!H88-D87*AD88-'main page'!$K$27*'normal case'!T87+'main page'!$K$31*'normal case'!AI87)-(('main page'!$K$25*'main page'!$U$13*'main page'!$K$29)/(1+('main page'!$K$25^2)*'main page'!$U$13))*('normal case'!L87-'main page'!$U$8),B88-B87*AC88-('normal case'!I88-D87*AD88-'main page'!$K$27*'normal case'!T87+'main page'!$K$31*'normal case'!AI87)-(('main page'!$K$25*'main page'!$U$13*'main page'!$K$29)/(1+('main page'!$K$25^2)*'main page'!$U$13))*('normal case'!L87-'main page'!$U$8)))</f>
        <v>0</v>
      </c>
      <c r="AU87" s="36"/>
      <c r="AV87" s="36"/>
    </row>
    <row r="88" spans="1:48">
      <c r="A88" s="43">
        <v>86</v>
      </c>
      <c r="B88" s="62">
        <f ca="1">IF(controls!$B$33=1,B87*(1+AC88)+AA88,B87*(1+AC88))</f>
        <v>101</v>
      </c>
      <c r="C88" s="67">
        <f t="shared" ca="1" si="16"/>
        <v>-1.5107707374006907E-7</v>
      </c>
      <c r="D88" s="64">
        <f t="shared" ca="1" si="12"/>
        <v>101.00000005960464</v>
      </c>
      <c r="E88" s="64">
        <f ca="1">AN87+IF(controls!$B$33=1,G88,F88)</f>
        <v>101.00000005960464</v>
      </c>
      <c r="F88" s="78">
        <f ca="1">IF(controls!$B$44=0,H88-'main page'!$K$27*T87,H88-'main page'!$K$27*T87+'main page'!$K$31*AI87)</f>
        <v>101.00000005960464</v>
      </c>
      <c r="G88" s="62">
        <f ca="1">IF(controls!$B$44=0,I88-'main page'!$K$27*T87,I88-'main page'!$K$27*T87+'main page'!$K$31*'normal case'!AI87)</f>
        <v>101.00000005960464</v>
      </c>
      <c r="H88" s="62">
        <f t="shared" ref="H88:H151" ca="1" si="18">H87+D87*AD88</f>
        <v>108</v>
      </c>
      <c r="I88" s="62">
        <f t="shared" ref="I88:I151" ca="1" si="19">I87+D87*AD88+AA88</f>
        <v>108</v>
      </c>
      <c r="L88" s="62">
        <f ca="1">IF(ABS('main page'!$K$29*L87+(1-'main page'!$K$29)*(controls!$B$9/100)*100+'main page'!$K$25*(D88-B88)-L87)&lt;0.0000001,L87,'main page'!$K$29*L87+(1-'main page'!$K$29)*(controls!$B$9/100)*100+'main page'!$K$25*(D88-B88))</f>
        <v>1.9999998807907104</v>
      </c>
      <c r="Q88" s="409">
        <f ca="1">(1-'main page'!$K$29)*($AS$11/100)*100+'main page'!$K$25*(D88-B88)</f>
        <v>5.9604644775390625E-8</v>
      </c>
      <c r="R88" s="409">
        <f>'main page'!G92+'main page'!$K$29*M87</f>
        <v>0</v>
      </c>
      <c r="S88" s="409">
        <f t="shared" ca="1" si="17"/>
        <v>5.9604644775390625E-8</v>
      </c>
      <c r="T88" s="79">
        <f ca="1">IF(controls!$B$10=1,T87,IF(SUM(controls!$B$44:$B$46)=2,U88-'main page'!$K$29*'normal case'!L88-(1-'main page'!$K$29)*'main page'!$K$32,U88-'main page'!$K$29*'normal case'!L88-(1-'main page'!$K$29)*controls!$B$9))</f>
        <v>3.4999999701976776</v>
      </c>
      <c r="U88" s="164">
        <f ca="1">IF(controls!$B$45=1,IF(controls!$B$46=1,'main page'!$K$24+'main page'!$K$11+'main page'!$U$8,'main page'!$K$24+'main page'!$K$11+'main page'!$K$32),IF(controls!$B$44=1,IF(V88&lt;0,0,V88),IF(V88+'main page'!$K$11&lt;0,0,V88+'main page'!$K$11)))</f>
        <v>5.4999998509883881</v>
      </c>
      <c r="V88" s="63">
        <f ca="1">IF(controls!$B$10=1,'normal case'!T88+'normal case'!L88,'normal case'!W88)</f>
        <v>5.4999998509883881</v>
      </c>
      <c r="W88" s="61">
        <f t="shared" ca="1" si="13"/>
        <v>5.4999998509883881</v>
      </c>
      <c r="X88" s="166">
        <f ca="1">IF(controls!$B$44=0,Y88+'main page'!$K$29*L88+(1-'main page'!$K$29)*controls!$B$9+(('main page'!$K$25*'main page'!$U$13*'main page'!$K$29)/('main page'!$K$27*(1+('main page'!$K$25^2)*'main page'!$U$13)))*(L88-controls!$B$9),Y88+'main page'!$K$29*L88+(1-'main page'!$K$29)*controls!$B$9+(('main page'!$K$25*'main page'!$U$13*'normal case'!$AV$3)/'normal case'!$AV$4)*('normal case'!L88-controls!$B$9))</f>
        <v>5.4999998509883881</v>
      </c>
      <c r="Y88" s="81">
        <f ca="1">IF(controls!$B$44=1,'main page'!$K$24+'main page'!$K$11,IF(controls!$B$33=1,((I89-D88*AD89-B89+B88*AC89)/'main page'!$K$27)-'main page'!$K$11,((H89-D88*AD89-B89+B88*AC89)/'main page'!$K$27)-'main page'!$K$11))</f>
        <v>3.5</v>
      </c>
      <c r="AA88" s="58">
        <f>IF(controls!$B$6=1,$AS$3*(1+('main page'!$K$35/100))^AB88-$AS$3*(1+('main page'!$K$35/100))^AB87,$AS$3*(1+('main page'!$G$8/100))*(1+('main page'!$K$35/100))^AB88-$AS$3*(1+('main page'!$G$8/100))*(1+('main page'!$K$35/100))^AB87)</f>
        <v>0</v>
      </c>
      <c r="AB88" s="60">
        <v>81</v>
      </c>
      <c r="AC88" s="125">
        <v>0</v>
      </c>
      <c r="AD88" s="36">
        <v>0</v>
      </c>
      <c r="AE88" s="44">
        <f ca="1">IF(controls!$B$33=1,D88-($I$3-'main page'!$K$27*2)*(1+('main page'!$K$35/100))^A87,D88-$AS$4)</f>
        <v>1.0000000596046448</v>
      </c>
      <c r="AF88" s="44">
        <f ca="1">ABS(L88-(controls!$B$9/100)*100)</f>
        <v>1.1920928955078125E-7</v>
      </c>
      <c r="AH88" s="44">
        <f ca="1">IF(controls!$B$33=1,(B89-B88*AC89-I89+D88*AD89+'main page'!$K$27*('main page'!$K$24+'main page'!$K$11))/'main page'!$K$31,(B89-B88*AC89+D88*AD89-H89+'main page'!$K$27*('main page'!$K$24+'main page'!$K$11))/'main page'!$K$31)</f>
        <v>1</v>
      </c>
      <c r="AI88" s="44">
        <f ca="1">IF(controls!$B$45=1,LOG(AM88,1.01)+LOG(AL88,1.01)-LOG(AK88,1.01),-((T88-('main page'!$K$24+'main page'!$K$11))/(1-'normal case'!$AV$3))+'normal case'!AH88)</f>
        <v>2.0000000596046448</v>
      </c>
      <c r="AJ88" s="80">
        <f t="shared" ca="1" si="14"/>
        <v>1.0506250015463039</v>
      </c>
      <c r="AK88" s="44">
        <f t="shared" ca="1" si="15"/>
        <v>5.2780197025933751</v>
      </c>
      <c r="AL88" s="44">
        <f>AL87*(1+'main page'!$K$32/100)</f>
        <v>1</v>
      </c>
      <c r="AM88" s="44">
        <f ca="1">IF(ABS(IF(controls!$B$45=1,$AS$13,AK88*AJ88/AL88)-AM87)&lt;0.00001,AM87,IF(controls!$B$45=1,$AS$13,AK88*AJ88/AL88))</f>
        <v>5.545219458198587</v>
      </c>
      <c r="AN88" s="44">
        <f>IF(controls!$B$46=0,0,IF(controls!$B$33=2,B89-B88*AC89-('normal case'!H89-D88*AD89-'main page'!$K$27*'normal case'!T88+'main page'!$K$31*'normal case'!AI88)-(('main page'!$K$25*'main page'!$U$13*'main page'!$K$29)/(1+('main page'!$K$25^2)*'main page'!$U$13))*('normal case'!L88-'main page'!$U$8),B89-B88*AC89-('normal case'!I89-D88*AD89-'main page'!$K$27*'normal case'!T88+'main page'!$K$31*'normal case'!AI88)-(('main page'!$K$25*'main page'!$U$13*'main page'!$K$29)/(1+('main page'!$K$25^2)*'main page'!$U$13))*('normal case'!L88-'main page'!$U$8)))</f>
        <v>0</v>
      </c>
      <c r="AU88" s="36"/>
      <c r="AV88" s="36"/>
    </row>
    <row r="89" spans="1:48">
      <c r="A89" s="43">
        <v>87</v>
      </c>
      <c r="B89" s="62">
        <f ca="1">IF(controls!$B$33=1,B88*(1+AC89)+AA89,B88*(1+AC89))</f>
        <v>101</v>
      </c>
      <c r="C89" s="67">
        <f t="shared" ca="1" si="16"/>
        <v>-1.5107707374006907E-7</v>
      </c>
      <c r="D89" s="64">
        <f t="shared" ca="1" si="12"/>
        <v>101.00000005960464</v>
      </c>
      <c r="E89" s="64">
        <f ca="1">AN88+IF(controls!$B$33=1,G89,F89)</f>
        <v>101.00000005960464</v>
      </c>
      <c r="F89" s="78">
        <f ca="1">IF(controls!$B$44=0,H89-'main page'!$K$27*T88,H89-'main page'!$K$27*T88+'main page'!$K$31*AI88)</f>
        <v>101.00000005960464</v>
      </c>
      <c r="G89" s="62">
        <f ca="1">IF(controls!$B$44=0,I89-'main page'!$K$27*T88,I89-'main page'!$K$27*T88+'main page'!$K$31*'normal case'!AI88)</f>
        <v>101.00000005960464</v>
      </c>
      <c r="H89" s="62">
        <f t="shared" ca="1" si="18"/>
        <v>108</v>
      </c>
      <c r="I89" s="62">
        <f t="shared" ca="1" si="19"/>
        <v>108</v>
      </c>
      <c r="L89" s="62">
        <f ca="1">IF(ABS('main page'!$K$29*L88+(1-'main page'!$K$29)*(controls!$B$9/100)*100+'main page'!$K$25*(D89-B89)-L88)&lt;0.0000001,L88,'main page'!$K$29*L88+(1-'main page'!$K$29)*(controls!$B$9/100)*100+'main page'!$K$25*(D89-B89))</f>
        <v>1.9999998807907104</v>
      </c>
      <c r="Q89" s="409">
        <f ca="1">(1-'main page'!$K$29)*($AS$11/100)*100+'main page'!$K$25*(D89-B89)</f>
        <v>5.9604644775390625E-8</v>
      </c>
      <c r="R89" s="409">
        <f>'main page'!G93+'main page'!$K$29*M88</f>
        <v>0</v>
      </c>
      <c r="S89" s="409">
        <f t="shared" ca="1" si="17"/>
        <v>5.9604644775390625E-8</v>
      </c>
      <c r="T89" s="79">
        <f ca="1">IF(controls!$B$10=1,T88,IF(SUM(controls!$B$44:$B$46)=2,U89-'main page'!$K$29*'normal case'!L89-(1-'main page'!$K$29)*'main page'!$K$32,U89-'main page'!$K$29*'normal case'!L89-(1-'main page'!$K$29)*controls!$B$9))</f>
        <v>3.4999999701976776</v>
      </c>
      <c r="U89" s="164">
        <f ca="1">IF(controls!$B$45=1,IF(controls!$B$46=1,'main page'!$K$24+'main page'!$K$11+'main page'!$U$8,'main page'!$K$24+'main page'!$K$11+'main page'!$K$32),IF(controls!$B$44=1,IF(V89&lt;0,0,V89),IF(V89+'main page'!$K$11&lt;0,0,V89+'main page'!$K$11)))</f>
        <v>5.4999998509883881</v>
      </c>
      <c r="V89" s="63">
        <f ca="1">IF(controls!$B$10=1,'normal case'!T89+'normal case'!L89,'normal case'!W89)</f>
        <v>5.4999998509883881</v>
      </c>
      <c r="W89" s="61">
        <f t="shared" ca="1" si="13"/>
        <v>5.4999998509883881</v>
      </c>
      <c r="X89" s="166">
        <f ca="1">IF(controls!$B$44=0,Y89+'main page'!$K$29*L89+(1-'main page'!$K$29)*controls!$B$9+(('main page'!$K$25*'main page'!$U$13*'main page'!$K$29)/('main page'!$K$27*(1+('main page'!$K$25^2)*'main page'!$U$13)))*(L89-controls!$B$9),Y89+'main page'!$K$29*L89+(1-'main page'!$K$29)*controls!$B$9+(('main page'!$K$25*'main page'!$U$13*'normal case'!$AV$3)/'normal case'!$AV$4)*('normal case'!L89-controls!$B$9))</f>
        <v>5.4999998509883881</v>
      </c>
      <c r="Y89" s="81">
        <f ca="1">IF(controls!$B$44=1,'main page'!$K$24+'main page'!$K$11,IF(controls!$B$33=1,((I90-D89*AD90-B90+B89*AC90)/'main page'!$K$27)-'main page'!$K$11,((H90-D89*AD90-B90+B89*AC90)/'main page'!$K$27)-'main page'!$K$11))</f>
        <v>3.5</v>
      </c>
      <c r="AA89" s="58">
        <f>IF(controls!$B$6=1,$AS$3*(1+('main page'!$K$35/100))^AB89-$AS$3*(1+('main page'!$K$35/100))^AB88,$AS$3*(1+('main page'!$G$8/100))*(1+('main page'!$K$35/100))^AB89-$AS$3*(1+('main page'!$G$8/100))*(1+('main page'!$K$35/100))^AB88)</f>
        <v>0</v>
      </c>
      <c r="AB89" s="60">
        <v>82</v>
      </c>
      <c r="AC89" s="125">
        <f ca="1">IF(controls!$B$4=1,IF(controls!$H88=1,controls!$B$34*AC88+RAND()*('main page'!$K$16/100)-RAND()*('main page'!$K$16/100),0),0)</f>
        <v>0</v>
      </c>
      <c r="AD89" s="36">
        <f ca="1">IF(controls!$B$4=1,IF(controls!$I88=1,controls!$B$34*AD88+RAND()*('main page'!$K$16/100)-RAND()*('main page'!$K$16/100),0),0)</f>
        <v>0</v>
      </c>
      <c r="AE89" s="44">
        <f ca="1">IF(controls!$B$33=1,D89-($I$3-'main page'!$K$27*2)*(1+('main page'!$K$35/100))^A88,D89-$AS$4)</f>
        <v>1.0000000596046448</v>
      </c>
      <c r="AF89" s="44">
        <f ca="1">ABS(L89-(controls!$B$9/100)*100)</f>
        <v>1.1920928955078125E-7</v>
      </c>
      <c r="AH89" s="44">
        <f ca="1">IF(controls!$B$33=1,(B90-B89*AC90-I90+D89*AD90+'main page'!$K$27*('main page'!$K$24+'main page'!$K$11))/'main page'!$K$31,(B90-B89*AC90+D89*AD90-H90+'main page'!$K$27*('main page'!$K$24+'main page'!$K$11))/'main page'!$K$31)</f>
        <v>1</v>
      </c>
      <c r="AI89" s="44">
        <f ca="1">IF(controls!$B$45=1,LOG(AM89,1.01)+LOG(AL89,1.01)-LOG(AK89,1.01),-((T89-('main page'!$K$24+'main page'!$K$11))/(1-'normal case'!$AV$3))+'normal case'!AH89)</f>
        <v>2.0000000596046448</v>
      </c>
      <c r="AJ89" s="80">
        <f t="shared" ca="1" si="14"/>
        <v>1.0506250015463039</v>
      </c>
      <c r="AK89" s="44">
        <f t="shared" ca="1" si="15"/>
        <v>5.3835800903533526</v>
      </c>
      <c r="AL89" s="44">
        <f>AL88*(1+'main page'!$K$32/100)</f>
        <v>1</v>
      </c>
      <c r="AM89" s="44">
        <f ca="1">IF(ABS(IF(controls!$B$45=1,$AS$13,AK89*AJ89/AL89)-AM88)&lt;0.00001,AM88,IF(controls!$B$45=1,$AS$13,AK89*AJ89/AL89))</f>
        <v>5.6561238407521417</v>
      </c>
      <c r="AN89" s="44">
        <f>IF(controls!$B$46=0,0,IF(controls!$B$33=2,B90-B89*AC90-('normal case'!H90-D89*AD90-'main page'!$K$27*'normal case'!T89+'main page'!$K$31*'normal case'!AI89)-(('main page'!$K$25*'main page'!$U$13*'main page'!$K$29)/(1+('main page'!$K$25^2)*'main page'!$U$13))*('normal case'!L89-'main page'!$U$8),B90-B89*AC90-('normal case'!I90-D89*AD90-'main page'!$K$27*'normal case'!T89+'main page'!$K$31*'normal case'!AI89)-(('main page'!$K$25*'main page'!$U$13*'main page'!$K$29)/(1+('main page'!$K$25^2)*'main page'!$U$13))*('normal case'!L89-'main page'!$U$8)))</f>
        <v>0</v>
      </c>
      <c r="AU89" s="36"/>
      <c r="AV89" s="36"/>
    </row>
    <row r="90" spans="1:48">
      <c r="A90" s="43">
        <v>88</v>
      </c>
      <c r="B90" s="62">
        <f ca="1">IF(controls!$B$33=1,B89*(1+AC90)+AA90,B89*(1+AC90))</f>
        <v>101</v>
      </c>
      <c r="C90" s="67">
        <f t="shared" ca="1" si="16"/>
        <v>-1.5107707374006907E-7</v>
      </c>
      <c r="D90" s="64">
        <f t="shared" ca="1" si="12"/>
        <v>101.00000005960464</v>
      </c>
      <c r="E90" s="64">
        <f ca="1">AN89+IF(controls!$B$33=1,G90,F90)</f>
        <v>101.00000005960464</v>
      </c>
      <c r="F90" s="78">
        <f ca="1">IF(controls!$B$44=0,H90-'main page'!$K$27*T89,H90-'main page'!$K$27*T89+'main page'!$K$31*AI89)</f>
        <v>101.00000005960464</v>
      </c>
      <c r="G90" s="62">
        <f ca="1">IF(controls!$B$44=0,I90-'main page'!$K$27*T89,I90-'main page'!$K$27*T89+'main page'!$K$31*'normal case'!AI89)</f>
        <v>101.00000005960464</v>
      </c>
      <c r="H90" s="62">
        <f t="shared" ca="1" si="18"/>
        <v>108</v>
      </c>
      <c r="I90" s="62">
        <f t="shared" ca="1" si="19"/>
        <v>108</v>
      </c>
      <c r="L90" s="62">
        <f ca="1">IF(ABS('main page'!$K$29*L89+(1-'main page'!$K$29)*(controls!$B$9/100)*100+'main page'!$K$25*(D90-B90)-L89)&lt;0.0000001,L89,'main page'!$K$29*L89+(1-'main page'!$K$29)*(controls!$B$9/100)*100+'main page'!$K$25*(D90-B90))</f>
        <v>1.9999998807907104</v>
      </c>
      <c r="Q90" s="409">
        <f ca="1">(1-'main page'!$K$29)*($AS$11/100)*100+'main page'!$K$25*(D90-B90)</f>
        <v>5.9604644775390625E-8</v>
      </c>
      <c r="R90" s="409">
        <f>'main page'!G94+'main page'!$K$29*M89</f>
        <v>0</v>
      </c>
      <c r="S90" s="409">
        <f t="shared" ca="1" si="17"/>
        <v>5.9604644775390625E-8</v>
      </c>
      <c r="T90" s="79">
        <f ca="1">IF(controls!$B$10=1,T89,IF(SUM(controls!$B$44:$B$46)=2,U90-'main page'!$K$29*'normal case'!L90-(1-'main page'!$K$29)*'main page'!$K$32,U90-'main page'!$K$29*'normal case'!L90-(1-'main page'!$K$29)*controls!$B$9))</f>
        <v>3.4999999701976776</v>
      </c>
      <c r="U90" s="164">
        <f ca="1">IF(controls!$B$45=1,IF(controls!$B$46=1,'main page'!$K$24+'main page'!$K$11+'main page'!$U$8,'main page'!$K$24+'main page'!$K$11+'main page'!$K$32),IF(controls!$B$44=1,IF(V90&lt;0,0,V90),IF(V90+'main page'!$K$11&lt;0,0,V90+'main page'!$K$11)))</f>
        <v>5.4999998509883881</v>
      </c>
      <c r="V90" s="63">
        <f ca="1">IF(controls!$B$10=1,'normal case'!T90+'normal case'!L90,'normal case'!W90)</f>
        <v>5.4999998509883881</v>
      </c>
      <c r="W90" s="61">
        <f t="shared" ca="1" si="13"/>
        <v>5.4999998509883881</v>
      </c>
      <c r="X90" s="166">
        <f ca="1">IF(controls!$B$44=0,Y90+'main page'!$K$29*L90+(1-'main page'!$K$29)*controls!$B$9+(('main page'!$K$25*'main page'!$U$13*'main page'!$K$29)/('main page'!$K$27*(1+('main page'!$K$25^2)*'main page'!$U$13)))*(L90-controls!$B$9),Y90+'main page'!$K$29*L90+(1-'main page'!$K$29)*controls!$B$9+(('main page'!$K$25*'main page'!$U$13*'normal case'!$AV$3)/'normal case'!$AV$4)*('normal case'!L90-controls!$B$9))</f>
        <v>5.4999998509883881</v>
      </c>
      <c r="Y90" s="81">
        <f ca="1">IF(controls!$B$44=1,'main page'!$K$24+'main page'!$K$11,IF(controls!$B$33=1,((I91-D90*AD91-B91+B90*AC91)/'main page'!$K$27)-'main page'!$K$11,((H91-D90*AD91-B91+B90*AC91)/'main page'!$K$27)-'main page'!$K$11))</f>
        <v>3.5</v>
      </c>
      <c r="AA90" s="58">
        <f>IF(controls!$B$6=1,$AS$3*(1+('main page'!$K$35/100))^AB90-$AS$3*(1+('main page'!$K$35/100))^AB89,$AS$3*(1+('main page'!$G$8/100))*(1+('main page'!$K$35/100))^AB90-$AS$3*(1+('main page'!$G$8/100))*(1+('main page'!$K$35/100))^AB89)</f>
        <v>0</v>
      </c>
      <c r="AB90" s="60">
        <v>83</v>
      </c>
      <c r="AC90" s="125">
        <v>0</v>
      </c>
      <c r="AD90" s="36">
        <v>0</v>
      </c>
      <c r="AE90" s="44">
        <f ca="1">IF(controls!$B$33=1,D90-($I$3-'main page'!$K$27*2)*(1+('main page'!$K$35/100))^A89,D90-$AS$4)</f>
        <v>1.0000000596046448</v>
      </c>
      <c r="AF90" s="44">
        <f ca="1">ABS(L90-(controls!$B$9/100)*100)</f>
        <v>1.1920928955078125E-7</v>
      </c>
      <c r="AH90" s="44">
        <f ca="1">IF(controls!$B$33=1,(B91-B90*AC91-I91+D90*AD91+'main page'!$K$27*('main page'!$K$24+'main page'!$K$11))/'main page'!$K$31,(B91-B90*AC91+D90*AD91-H91+'main page'!$K$27*('main page'!$K$24+'main page'!$K$11))/'main page'!$K$31)</f>
        <v>1</v>
      </c>
      <c r="AI90" s="44">
        <f ca="1">IF(controls!$B$45=1,LOG(AM90,1.01)+LOG(AL90,1.01)-LOG(AK90,1.01),-((T90-('main page'!$K$24+'main page'!$K$11))/(1-'normal case'!$AV$3))+'normal case'!AH90)</f>
        <v>2.0000000596046448</v>
      </c>
      <c r="AJ90" s="80">
        <f t="shared" ca="1" si="14"/>
        <v>1.0506250015463039</v>
      </c>
      <c r="AK90" s="44">
        <f t="shared" ca="1" si="15"/>
        <v>5.4912516857426921</v>
      </c>
      <c r="AL90" s="44">
        <f>AL89*(1+'main page'!$K$32/100)</f>
        <v>1</v>
      </c>
      <c r="AM90" s="44">
        <f ca="1">IF(ABS(IF(controls!$B$45=1,$AS$13,AK90*AJ90/AL90)-AM89)&lt;0.00001,AM89,IF(controls!$B$45=1,$AS$13,AK90*AJ90/AL90))</f>
        <v>5.7692463108245597</v>
      </c>
      <c r="AN90" s="44">
        <f>IF(controls!$B$46=0,0,IF(controls!$B$33=2,B91-B90*AC91-('normal case'!H91-D90*AD91-'main page'!$K$27*'normal case'!T90+'main page'!$K$31*'normal case'!AI90)-(('main page'!$K$25*'main page'!$U$13*'main page'!$K$29)/(1+('main page'!$K$25^2)*'main page'!$U$13))*('normal case'!L90-'main page'!$U$8),B91-B90*AC91-('normal case'!I91-D90*AD91-'main page'!$K$27*'normal case'!T90+'main page'!$K$31*'normal case'!AI90)-(('main page'!$K$25*'main page'!$U$13*'main page'!$K$29)/(1+('main page'!$K$25^2)*'main page'!$U$13))*('normal case'!L90-'main page'!$U$8)))</f>
        <v>0</v>
      </c>
      <c r="AU90" s="36"/>
      <c r="AV90" s="36"/>
    </row>
    <row r="91" spans="1:48">
      <c r="A91" s="43">
        <v>89</v>
      </c>
      <c r="B91" s="62">
        <f ca="1">IF(controls!$B$33=1,B90*(1+AC91)+AA91,B90*(1+AC91))</f>
        <v>101</v>
      </c>
      <c r="C91" s="67">
        <f t="shared" ca="1" si="16"/>
        <v>-1.5107707374006907E-7</v>
      </c>
      <c r="D91" s="64">
        <f t="shared" ca="1" si="12"/>
        <v>101.00000005960464</v>
      </c>
      <c r="E91" s="64">
        <f ca="1">AN90+IF(controls!$B$33=1,G91,F91)</f>
        <v>101.00000005960464</v>
      </c>
      <c r="F91" s="78">
        <f ca="1">IF(controls!$B$44=0,H91-'main page'!$K$27*T90,H91-'main page'!$K$27*T90+'main page'!$K$31*AI90)</f>
        <v>101.00000005960464</v>
      </c>
      <c r="G91" s="62">
        <f ca="1">IF(controls!$B$44=0,I91-'main page'!$K$27*T90,I91-'main page'!$K$27*T90+'main page'!$K$31*'normal case'!AI90)</f>
        <v>101.00000005960464</v>
      </c>
      <c r="H91" s="62">
        <f t="shared" ca="1" si="18"/>
        <v>108</v>
      </c>
      <c r="I91" s="62">
        <f t="shared" ca="1" si="19"/>
        <v>108</v>
      </c>
      <c r="L91" s="62">
        <f ca="1">IF(ABS('main page'!$K$29*L90+(1-'main page'!$K$29)*(controls!$B$9/100)*100+'main page'!$K$25*(D91-B91)-L90)&lt;0.0000001,L90,'main page'!$K$29*L90+(1-'main page'!$K$29)*(controls!$B$9/100)*100+'main page'!$K$25*(D91-B91))</f>
        <v>1.9999998807907104</v>
      </c>
      <c r="Q91" s="409">
        <f ca="1">(1-'main page'!$K$29)*($AS$11/100)*100+'main page'!$K$25*(D91-B91)</f>
        <v>5.9604644775390625E-8</v>
      </c>
      <c r="R91" s="409">
        <f>'main page'!G95+'main page'!$K$29*M90</f>
        <v>0</v>
      </c>
      <c r="S91" s="409">
        <f t="shared" ca="1" si="17"/>
        <v>5.9604644775390625E-8</v>
      </c>
      <c r="T91" s="79">
        <f ca="1">IF(controls!$B$10=1,T90,IF(SUM(controls!$B$44:$B$46)=2,U91-'main page'!$K$29*'normal case'!L91-(1-'main page'!$K$29)*'main page'!$K$32,U91-'main page'!$K$29*'normal case'!L91-(1-'main page'!$K$29)*controls!$B$9))</f>
        <v>3.4999999701976776</v>
      </c>
      <c r="U91" s="164">
        <f ca="1">IF(controls!$B$45=1,IF(controls!$B$46=1,'main page'!$K$24+'main page'!$K$11+'main page'!$U$8,'main page'!$K$24+'main page'!$K$11+'main page'!$K$32),IF(controls!$B$44=1,IF(V91&lt;0,0,V91),IF(V91+'main page'!$K$11&lt;0,0,V91+'main page'!$K$11)))</f>
        <v>5.4999998509883881</v>
      </c>
      <c r="V91" s="63">
        <f ca="1">IF(controls!$B$10=1,'normal case'!T91+'normal case'!L91,'normal case'!W91)</f>
        <v>5.4999998509883881</v>
      </c>
      <c r="W91" s="61">
        <f t="shared" ca="1" si="13"/>
        <v>5.4999998509883881</v>
      </c>
      <c r="X91" s="166">
        <f ca="1">IF(controls!$B$44=0,Y91+'main page'!$K$29*L91+(1-'main page'!$K$29)*controls!$B$9+(('main page'!$K$25*'main page'!$U$13*'main page'!$K$29)/('main page'!$K$27*(1+('main page'!$K$25^2)*'main page'!$U$13)))*(L91-controls!$B$9),Y91+'main page'!$K$29*L91+(1-'main page'!$K$29)*controls!$B$9+(('main page'!$K$25*'main page'!$U$13*'normal case'!$AV$3)/'normal case'!$AV$4)*('normal case'!L91-controls!$B$9))</f>
        <v>5.4999998509883881</v>
      </c>
      <c r="Y91" s="81">
        <f ca="1">IF(controls!$B$44=1,'main page'!$K$24+'main page'!$K$11,IF(controls!$B$33=1,((I92-D91*AD92-B92+B91*AC92)/'main page'!$K$27)-'main page'!$K$11,((H92-D91*AD92-B92+B91*AC92)/'main page'!$K$27)-'main page'!$K$11))</f>
        <v>3.5</v>
      </c>
      <c r="AA91" s="58">
        <f>IF(controls!$B$6=1,$AS$3*(1+('main page'!$K$35/100))^AB91-$AS$3*(1+('main page'!$K$35/100))^AB90,$AS$3*(1+('main page'!$G$8/100))*(1+('main page'!$K$35/100))^AB91-$AS$3*(1+('main page'!$G$8/100))*(1+('main page'!$K$35/100))^AB90)</f>
        <v>0</v>
      </c>
      <c r="AB91" s="60">
        <v>84</v>
      </c>
      <c r="AC91" s="125">
        <v>0</v>
      </c>
      <c r="AD91" s="36">
        <v>0</v>
      </c>
      <c r="AE91" s="44">
        <f ca="1">IF(controls!$B$33=1,D91-($I$3-'main page'!$K$27*2)*(1+('main page'!$K$35/100))^A90,D91-$AS$4)</f>
        <v>1.0000000596046448</v>
      </c>
      <c r="AF91" s="44">
        <f ca="1">ABS(L91-(controls!$B$9/100)*100)</f>
        <v>1.1920928955078125E-7</v>
      </c>
      <c r="AH91" s="44">
        <f ca="1">IF(controls!$B$33=1,(B92-B91*AC92-I92+D91*AD92+'main page'!$K$27*('main page'!$K$24+'main page'!$K$11))/'main page'!$K$31,(B92-B91*AC92+D91*AD92-H92+'main page'!$K$27*('main page'!$K$24+'main page'!$K$11))/'main page'!$K$31)</f>
        <v>1</v>
      </c>
      <c r="AI91" s="44">
        <f ca="1">IF(controls!$B$45=1,LOG(AM91,1.01)+LOG(AL91,1.01)-LOG(AK91,1.01),-((T91-('main page'!$K$24+'main page'!$K$11))/(1-'normal case'!$AV$3))+'normal case'!AH91)</f>
        <v>2.0000000596046448</v>
      </c>
      <c r="AJ91" s="80">
        <f t="shared" ca="1" si="14"/>
        <v>1.0506250015463039</v>
      </c>
      <c r="AK91" s="44">
        <f t="shared" ca="1" si="15"/>
        <v>5.601076712911464</v>
      </c>
      <c r="AL91" s="44">
        <f>AL90*(1+'main page'!$K$32/100)</f>
        <v>1</v>
      </c>
      <c r="AM91" s="44">
        <f ca="1">IF(ABS(IF(controls!$B$45=1,$AS$13,AK91*AJ91/AL91)-AM90)&lt;0.00001,AM90,IF(controls!$B$45=1,$AS$13,AK91*AJ91/AL91))</f>
        <v>5.8846312301635733</v>
      </c>
      <c r="AN91" s="44">
        <f>IF(controls!$B$46=0,0,IF(controls!$B$33=2,B92-B91*AC92-('normal case'!H92-D91*AD92-'main page'!$K$27*'normal case'!T91+'main page'!$K$31*'normal case'!AI91)-(('main page'!$K$25*'main page'!$U$13*'main page'!$K$29)/(1+('main page'!$K$25^2)*'main page'!$U$13))*('normal case'!L91-'main page'!$U$8),B92-B91*AC92-('normal case'!I92-D91*AD92-'main page'!$K$27*'normal case'!T91+'main page'!$K$31*'normal case'!AI91)-(('main page'!$K$25*'main page'!$U$13*'main page'!$K$29)/(1+('main page'!$K$25^2)*'main page'!$U$13))*('normal case'!L91-'main page'!$U$8)))</f>
        <v>0</v>
      </c>
      <c r="AU91" s="36"/>
      <c r="AV91" s="36"/>
    </row>
    <row r="92" spans="1:48">
      <c r="A92" s="43">
        <v>90</v>
      </c>
      <c r="B92" s="62">
        <f ca="1">IF(controls!$B$33=1,B91*(1+AC92)+AA92,B91*(1+AC92))</f>
        <v>101</v>
      </c>
      <c r="C92" s="67">
        <f t="shared" ca="1" si="16"/>
        <v>-1.5107707374006907E-7</v>
      </c>
      <c r="D92" s="64">
        <f t="shared" ca="1" si="12"/>
        <v>101.00000005960464</v>
      </c>
      <c r="E92" s="64">
        <f ca="1">AN91+IF(controls!$B$33=1,G92,F92)</f>
        <v>101.00000005960464</v>
      </c>
      <c r="F92" s="78">
        <f ca="1">IF(controls!$B$44=0,H92-'main page'!$K$27*T91,H92-'main page'!$K$27*T91+'main page'!$K$31*AI91)</f>
        <v>101.00000005960464</v>
      </c>
      <c r="G92" s="62">
        <f ca="1">IF(controls!$B$44=0,I92-'main page'!$K$27*T91,I92-'main page'!$K$27*T91+'main page'!$K$31*'normal case'!AI91)</f>
        <v>101.00000005960464</v>
      </c>
      <c r="H92" s="62">
        <f t="shared" ca="1" si="18"/>
        <v>108</v>
      </c>
      <c r="I92" s="62">
        <f t="shared" ca="1" si="19"/>
        <v>108</v>
      </c>
      <c r="L92" s="62">
        <f ca="1">IF(ABS('main page'!$K$29*L91+(1-'main page'!$K$29)*(controls!$B$9/100)*100+'main page'!$K$25*(D92-B92)-L91)&lt;0.0000001,L91,'main page'!$K$29*L91+(1-'main page'!$K$29)*(controls!$B$9/100)*100+'main page'!$K$25*(D92-B92))</f>
        <v>1.9999998807907104</v>
      </c>
      <c r="Q92" s="409">
        <f ca="1">(1-'main page'!$K$29)*($AS$11/100)*100+'main page'!$K$25*(D92-B92)</f>
        <v>5.9604644775390625E-8</v>
      </c>
      <c r="R92" s="409">
        <f>'main page'!G96+'main page'!$K$29*M91</f>
        <v>0</v>
      </c>
      <c r="S92" s="409">
        <f t="shared" ca="1" si="17"/>
        <v>5.9604644775390625E-8</v>
      </c>
      <c r="T92" s="79">
        <f ca="1">IF(controls!$B$10=1,T91,IF(SUM(controls!$B$44:$B$46)=2,U92-'main page'!$K$29*'normal case'!L92-(1-'main page'!$K$29)*'main page'!$K$32,U92-'main page'!$K$29*'normal case'!L92-(1-'main page'!$K$29)*controls!$B$9))</f>
        <v>3.4999999701976776</v>
      </c>
      <c r="U92" s="164">
        <f ca="1">IF(controls!$B$45=1,IF(controls!$B$46=1,'main page'!$K$24+'main page'!$K$11+'main page'!$U$8,'main page'!$K$24+'main page'!$K$11+'main page'!$K$32),IF(controls!$B$44=1,IF(V92&lt;0,0,V92),IF(V92+'main page'!$K$11&lt;0,0,V92+'main page'!$K$11)))</f>
        <v>5.4999998509883881</v>
      </c>
      <c r="V92" s="63">
        <f ca="1">IF(controls!$B$10=1,'normal case'!T92+'normal case'!L92,'normal case'!W92)</f>
        <v>5.4999998509883881</v>
      </c>
      <c r="W92" s="61">
        <f t="shared" ca="1" si="13"/>
        <v>5.4999998509883881</v>
      </c>
      <c r="X92" s="166">
        <f ca="1">IF(controls!$B$44=0,Y92+'main page'!$K$29*L92+(1-'main page'!$K$29)*controls!$B$9+(('main page'!$K$25*'main page'!$U$13*'main page'!$K$29)/('main page'!$K$27*(1+('main page'!$K$25^2)*'main page'!$U$13)))*(L92-controls!$B$9),Y92+'main page'!$K$29*L92+(1-'main page'!$K$29)*controls!$B$9+(('main page'!$K$25*'main page'!$U$13*'normal case'!$AV$3)/'normal case'!$AV$4)*('normal case'!L92-controls!$B$9))</f>
        <v>5.4999998509883881</v>
      </c>
      <c r="Y92" s="81">
        <f ca="1">IF(controls!$B$44=1,'main page'!$K$24+'main page'!$K$11,IF(controls!$B$33=1,((I93-D92*AD93-B93+B92*AC93)/'main page'!$K$27)-'main page'!$K$11,((H93-D92*AD93-B93+B92*AC93)/'main page'!$K$27)-'main page'!$K$11))</f>
        <v>3.5</v>
      </c>
      <c r="AA92" s="58">
        <f>IF(controls!$B$6=1,$AS$3*(1+('main page'!$K$35/100))^AB92-$AS$3*(1+('main page'!$K$35/100))^AB91,$AS$3*(1+('main page'!$G$8/100))*(1+('main page'!$K$35/100))^AB92-$AS$3*(1+('main page'!$G$8/100))*(1+('main page'!$K$35/100))^AB91)</f>
        <v>0</v>
      </c>
      <c r="AB92" s="60">
        <v>85</v>
      </c>
      <c r="AC92" s="125">
        <f ca="1">IF(controls!$B$4=1,IF(controls!$H91=1,controls!$B$34*AC91+RAND()*('main page'!$K$16/100)-RAND()*('main page'!$K$16/100),0),0)</f>
        <v>0</v>
      </c>
      <c r="AD92" s="36">
        <f ca="1">IF(controls!$B$4=1,IF(controls!$I91=1,controls!$B$34*AD91+RAND()*('main page'!$K$16/100)-RAND()*('main page'!$K$16/100),0),0)</f>
        <v>0</v>
      </c>
      <c r="AE92" s="44">
        <f ca="1">IF(controls!$B$33=1,D92-($I$3-'main page'!$K$27*2)*(1+('main page'!$K$35/100))^A91,D92-$AS$4)</f>
        <v>1.0000000596046448</v>
      </c>
      <c r="AF92" s="44">
        <f ca="1">ABS(L92-(controls!$B$9/100)*100)</f>
        <v>1.1920928955078125E-7</v>
      </c>
      <c r="AH92" s="44">
        <f ca="1">IF(controls!$B$33=1,(B93-B92*AC93-I93+D92*AD93+'main page'!$K$27*('main page'!$K$24+'main page'!$K$11))/'main page'!$K$31,(B93-B92*AC93+D92*AD93-H93+'main page'!$K$27*('main page'!$K$24+'main page'!$K$11))/'main page'!$K$31)</f>
        <v>1</v>
      </c>
      <c r="AI92" s="44">
        <f ca="1">IF(controls!$B$45=1,LOG(AM92,1.01)+LOG(AL92,1.01)-LOG(AK92,1.01),-((T92-('main page'!$K$24+'main page'!$K$11))/(1-'normal case'!$AV$3))+'normal case'!AH92)</f>
        <v>2.0000000596046448</v>
      </c>
      <c r="AJ92" s="80">
        <f t="shared" ca="1" si="14"/>
        <v>1.0506250015463039</v>
      </c>
      <c r="AK92" s="44">
        <f t="shared" ca="1" si="15"/>
        <v>5.7130982404926902</v>
      </c>
      <c r="AL92" s="44">
        <f>AL91*(1+'main page'!$K$32/100)</f>
        <v>1</v>
      </c>
      <c r="AM92" s="44">
        <f ca="1">IF(ABS(IF(controls!$B$45=1,$AS$13,AK92*AJ92/AL92)-AM91)&lt;0.00001,AM91,IF(controls!$B$45=1,$AS$13,AK92*AJ92/AL92))</f>
        <v>6.0023238477518186</v>
      </c>
      <c r="AN92" s="44">
        <f>IF(controls!$B$46=0,0,IF(controls!$B$33=2,B93-B92*AC93-('normal case'!H93-D92*AD93-'main page'!$K$27*'normal case'!T92+'main page'!$K$31*'normal case'!AI92)-(('main page'!$K$25*'main page'!$U$13*'main page'!$K$29)/(1+('main page'!$K$25^2)*'main page'!$U$13))*('normal case'!L92-'main page'!$U$8),B93-B92*AC93-('normal case'!I93-D92*AD93-'main page'!$K$27*'normal case'!T92+'main page'!$K$31*'normal case'!AI92)-(('main page'!$K$25*'main page'!$U$13*'main page'!$K$29)/(1+('main page'!$K$25^2)*'main page'!$U$13))*('normal case'!L92-'main page'!$U$8)))</f>
        <v>0</v>
      </c>
      <c r="AU92" s="36"/>
      <c r="AV92" s="36"/>
    </row>
    <row r="93" spans="1:48">
      <c r="A93" s="43">
        <v>91</v>
      </c>
      <c r="B93" s="62">
        <f ca="1">IF(controls!$B$33=1,B92*(1+AC93)+AA93,B92*(1+AC93))</f>
        <v>101</v>
      </c>
      <c r="C93" s="67">
        <f t="shared" ca="1" si="16"/>
        <v>-1.5107707374006907E-7</v>
      </c>
      <c r="D93" s="64">
        <f t="shared" ca="1" si="12"/>
        <v>101.00000005960464</v>
      </c>
      <c r="E93" s="64">
        <f ca="1">AN92+IF(controls!$B$33=1,G93,F93)</f>
        <v>101.00000005960464</v>
      </c>
      <c r="F93" s="78">
        <f ca="1">IF(controls!$B$44=0,H93-'main page'!$K$27*T92,H93-'main page'!$K$27*T92+'main page'!$K$31*AI92)</f>
        <v>101.00000005960464</v>
      </c>
      <c r="G93" s="62">
        <f ca="1">IF(controls!$B$44=0,I93-'main page'!$K$27*T92,I93-'main page'!$K$27*T92+'main page'!$K$31*'normal case'!AI92)</f>
        <v>101.00000005960464</v>
      </c>
      <c r="H93" s="62">
        <f t="shared" ca="1" si="18"/>
        <v>108</v>
      </c>
      <c r="I93" s="62">
        <f t="shared" ca="1" si="19"/>
        <v>108</v>
      </c>
      <c r="L93" s="62">
        <f ca="1">IF(ABS('main page'!$K$29*L92+(1-'main page'!$K$29)*(controls!$B$9/100)*100+'main page'!$K$25*(D93-B93)-L92)&lt;0.0000001,L92,'main page'!$K$29*L92+(1-'main page'!$K$29)*(controls!$B$9/100)*100+'main page'!$K$25*(D93-B93))</f>
        <v>1.9999998807907104</v>
      </c>
      <c r="Q93" s="409">
        <f ca="1">(1-'main page'!$K$29)*($AS$11/100)*100+'main page'!$K$25*(D93-B93)</f>
        <v>5.9604644775390625E-8</v>
      </c>
      <c r="R93" s="409">
        <f>'main page'!G97+'main page'!$K$29*M92</f>
        <v>0</v>
      </c>
      <c r="S93" s="409">
        <f t="shared" ca="1" si="17"/>
        <v>5.9604644775390625E-8</v>
      </c>
      <c r="T93" s="79">
        <f ca="1">IF(controls!$B$10=1,T92,IF(SUM(controls!$B$44:$B$46)=2,U93-'main page'!$K$29*'normal case'!L93-(1-'main page'!$K$29)*'main page'!$K$32,U93-'main page'!$K$29*'normal case'!L93-(1-'main page'!$K$29)*controls!$B$9))</f>
        <v>3.4999999701976776</v>
      </c>
      <c r="U93" s="164">
        <f ca="1">IF(controls!$B$45=1,IF(controls!$B$46=1,'main page'!$K$24+'main page'!$K$11+'main page'!$U$8,'main page'!$K$24+'main page'!$K$11+'main page'!$K$32),IF(controls!$B$44=1,IF(V93&lt;0,0,V93),IF(V93+'main page'!$K$11&lt;0,0,V93+'main page'!$K$11)))</f>
        <v>5.4999998509883881</v>
      </c>
      <c r="V93" s="63">
        <f ca="1">IF(controls!$B$10=1,'normal case'!T93+'normal case'!L93,'normal case'!W93)</f>
        <v>5.4999998509883881</v>
      </c>
      <c r="W93" s="61">
        <f t="shared" ca="1" si="13"/>
        <v>5.4999998509883881</v>
      </c>
      <c r="X93" s="166">
        <f ca="1">IF(controls!$B$44=0,Y93+'main page'!$K$29*L93+(1-'main page'!$K$29)*controls!$B$9+(('main page'!$K$25*'main page'!$U$13*'main page'!$K$29)/('main page'!$K$27*(1+('main page'!$K$25^2)*'main page'!$U$13)))*(L93-controls!$B$9),Y93+'main page'!$K$29*L93+(1-'main page'!$K$29)*controls!$B$9+(('main page'!$K$25*'main page'!$U$13*'normal case'!$AV$3)/'normal case'!$AV$4)*('normal case'!L93-controls!$B$9))</f>
        <v>5.4999998509883881</v>
      </c>
      <c r="Y93" s="81">
        <f ca="1">IF(controls!$B$44=1,'main page'!$K$24+'main page'!$K$11,IF(controls!$B$33=1,((I94-D93*AD94-B94+B93*AC94)/'main page'!$K$27)-'main page'!$K$11,((H94-D93*AD94-B94+B93*AC94)/'main page'!$K$27)-'main page'!$K$11))</f>
        <v>3.5</v>
      </c>
      <c r="AA93" s="58">
        <f>IF(controls!$B$6=1,$AS$3*(1+('main page'!$K$35/100))^AB93-$AS$3*(1+('main page'!$K$35/100))^AB92,$AS$3*(1+('main page'!$G$8/100))*(1+('main page'!$K$35/100))^AB93-$AS$3*(1+('main page'!$G$8/100))*(1+('main page'!$K$35/100))^AB92)</f>
        <v>0</v>
      </c>
      <c r="AB93" s="60">
        <v>86</v>
      </c>
      <c r="AC93" s="125">
        <v>0</v>
      </c>
      <c r="AD93" s="36">
        <v>0</v>
      </c>
      <c r="AE93" s="44">
        <f ca="1">IF(controls!$B$33=1,D93-($I$3-'main page'!$K$27*2)*(1+('main page'!$K$35/100))^A92,D93-$AS$4)</f>
        <v>1.0000000596046448</v>
      </c>
      <c r="AF93" s="44">
        <f ca="1">ABS(L93-(controls!$B$9/100)*100)</f>
        <v>1.1920928955078125E-7</v>
      </c>
      <c r="AH93" s="44">
        <f ca="1">IF(controls!$B$33=1,(B94-B93*AC94-I94+D93*AD94+'main page'!$K$27*('main page'!$K$24+'main page'!$K$11))/'main page'!$K$31,(B94-B93*AC94+D93*AD94-H94+'main page'!$K$27*('main page'!$K$24+'main page'!$K$11))/'main page'!$K$31)</f>
        <v>1</v>
      </c>
      <c r="AI93" s="44">
        <f ca="1">IF(controls!$B$45=1,LOG(AM93,1.01)+LOG(AL93,1.01)-LOG(AK93,1.01),-((T93-('main page'!$K$24+'main page'!$K$11))/(1-'normal case'!$AV$3))+'normal case'!AH93)</f>
        <v>2.0000000596046448</v>
      </c>
      <c r="AJ93" s="80">
        <f t="shared" ca="1" si="14"/>
        <v>1.0506250015463039</v>
      </c>
      <c r="AK93" s="44">
        <f t="shared" ca="1" si="15"/>
        <v>5.8273601984920003</v>
      </c>
      <c r="AL93" s="44">
        <f>AL92*(1+'main page'!$K$32/100)</f>
        <v>1</v>
      </c>
      <c r="AM93" s="44">
        <f ca="1">IF(ABS(IF(controls!$B$45=1,$AS$13,AK93*AJ93/AL93)-AM92)&lt;0.00001,AM92,IF(controls!$B$45=1,$AS$13,AK93*AJ93/AL93))</f>
        <v>6.1223703175515274</v>
      </c>
      <c r="AN93" s="44">
        <f>IF(controls!$B$46=0,0,IF(controls!$B$33=2,B94-B93*AC94-('normal case'!H94-D93*AD94-'main page'!$K$27*'normal case'!T93+'main page'!$K$31*'normal case'!AI93)-(('main page'!$K$25*'main page'!$U$13*'main page'!$K$29)/(1+('main page'!$K$25^2)*'main page'!$U$13))*('normal case'!L93-'main page'!$U$8),B94-B93*AC94-('normal case'!I94-D93*AD94-'main page'!$K$27*'normal case'!T93+'main page'!$K$31*'normal case'!AI93)-(('main page'!$K$25*'main page'!$U$13*'main page'!$K$29)/(1+('main page'!$K$25^2)*'main page'!$U$13))*('normal case'!L93-'main page'!$U$8)))</f>
        <v>0</v>
      </c>
      <c r="AU93" s="36"/>
      <c r="AV93" s="36"/>
    </row>
    <row r="94" spans="1:48">
      <c r="A94" s="43">
        <v>92</v>
      </c>
      <c r="B94" s="62">
        <f ca="1">IF(controls!$B$33=1,B93*(1+AC94)+AA94,B93*(1+AC94))</f>
        <v>101</v>
      </c>
      <c r="C94" s="67">
        <f t="shared" ca="1" si="16"/>
        <v>-1.5107707374006907E-7</v>
      </c>
      <c r="D94" s="64">
        <f t="shared" ca="1" si="12"/>
        <v>101.00000005960464</v>
      </c>
      <c r="E94" s="64">
        <f ca="1">AN93+IF(controls!$B$33=1,G94,F94)</f>
        <v>101.00000005960464</v>
      </c>
      <c r="F94" s="78">
        <f ca="1">IF(controls!$B$44=0,H94-'main page'!$K$27*T93,H94-'main page'!$K$27*T93+'main page'!$K$31*AI93)</f>
        <v>101.00000005960464</v>
      </c>
      <c r="G94" s="62">
        <f ca="1">IF(controls!$B$44=0,I94-'main page'!$K$27*T93,I94-'main page'!$K$27*T93+'main page'!$K$31*'normal case'!AI93)</f>
        <v>101.00000005960464</v>
      </c>
      <c r="H94" s="62">
        <f t="shared" ca="1" si="18"/>
        <v>108</v>
      </c>
      <c r="I94" s="62">
        <f t="shared" ca="1" si="19"/>
        <v>108</v>
      </c>
      <c r="L94" s="62">
        <f ca="1">IF(ABS('main page'!$K$29*L93+(1-'main page'!$K$29)*(controls!$B$9/100)*100+'main page'!$K$25*(D94-B94)-L93)&lt;0.0000001,L93,'main page'!$K$29*L93+(1-'main page'!$K$29)*(controls!$B$9/100)*100+'main page'!$K$25*(D94-B94))</f>
        <v>1.9999998807907104</v>
      </c>
      <c r="Q94" s="409">
        <f ca="1">(1-'main page'!$K$29)*($AS$11/100)*100+'main page'!$K$25*(D94-B94)</f>
        <v>5.9604644775390625E-8</v>
      </c>
      <c r="R94" s="409">
        <f>'main page'!G98+'main page'!$K$29*M93</f>
        <v>0</v>
      </c>
      <c r="S94" s="409">
        <f t="shared" ca="1" si="17"/>
        <v>5.9604644775390625E-8</v>
      </c>
      <c r="T94" s="79">
        <f ca="1">IF(controls!$B$10=1,T93,IF(SUM(controls!$B$44:$B$46)=2,U94-'main page'!$K$29*'normal case'!L94-(1-'main page'!$K$29)*'main page'!$K$32,U94-'main page'!$K$29*'normal case'!L94-(1-'main page'!$K$29)*controls!$B$9))</f>
        <v>3.4999999701976776</v>
      </c>
      <c r="U94" s="164">
        <f ca="1">IF(controls!$B$45=1,IF(controls!$B$46=1,'main page'!$K$24+'main page'!$K$11+'main page'!$U$8,'main page'!$K$24+'main page'!$K$11+'main page'!$K$32),IF(controls!$B$44=1,IF(V94&lt;0,0,V94),IF(V94+'main page'!$K$11&lt;0,0,V94+'main page'!$K$11)))</f>
        <v>5.4999998509883881</v>
      </c>
      <c r="V94" s="63">
        <f ca="1">IF(controls!$B$10=1,'normal case'!T94+'normal case'!L94,'normal case'!W94)</f>
        <v>5.4999998509883881</v>
      </c>
      <c r="W94" s="61">
        <f t="shared" ca="1" si="13"/>
        <v>5.4999998509883881</v>
      </c>
      <c r="X94" s="166">
        <f ca="1">IF(controls!$B$44=0,Y94+'main page'!$K$29*L94+(1-'main page'!$K$29)*controls!$B$9+(('main page'!$K$25*'main page'!$U$13*'main page'!$K$29)/('main page'!$K$27*(1+('main page'!$K$25^2)*'main page'!$U$13)))*(L94-controls!$B$9),Y94+'main page'!$K$29*L94+(1-'main page'!$K$29)*controls!$B$9+(('main page'!$K$25*'main page'!$U$13*'normal case'!$AV$3)/'normal case'!$AV$4)*('normal case'!L94-controls!$B$9))</f>
        <v>5.4999998509883881</v>
      </c>
      <c r="Y94" s="81">
        <f ca="1">IF(controls!$B$44=1,'main page'!$K$24+'main page'!$K$11,IF(controls!$B$33=1,((I95-D94*AD95-B95+B94*AC95)/'main page'!$K$27)-'main page'!$K$11,((H95-D94*AD95-B95+B94*AC95)/'main page'!$K$27)-'main page'!$K$11))</f>
        <v>3.5</v>
      </c>
      <c r="AA94" s="58">
        <f>IF(controls!$B$6=1,$AS$3*(1+('main page'!$K$35/100))^AB94-$AS$3*(1+('main page'!$K$35/100))^AB93,$AS$3*(1+('main page'!$G$8/100))*(1+('main page'!$K$35/100))^AB94-$AS$3*(1+('main page'!$G$8/100))*(1+('main page'!$K$35/100))^AB93)</f>
        <v>0</v>
      </c>
      <c r="AB94" s="60">
        <v>87</v>
      </c>
      <c r="AC94" s="125">
        <v>0</v>
      </c>
      <c r="AD94" s="36">
        <v>0</v>
      </c>
      <c r="AE94" s="44">
        <f ca="1">IF(controls!$B$33=1,D94-($I$3-'main page'!$K$27*2)*(1+('main page'!$K$35/100))^A93,D94-$AS$4)</f>
        <v>1.0000000596046448</v>
      </c>
      <c r="AF94" s="44">
        <f ca="1">ABS(L94-(controls!$B$9/100)*100)</f>
        <v>1.1920928955078125E-7</v>
      </c>
      <c r="AH94" s="44">
        <f ca="1">IF(controls!$B$33=1,(B95-B94*AC95-I95+D94*AD95+'main page'!$K$27*('main page'!$K$24+'main page'!$K$11))/'main page'!$K$31,(B95-B94*AC95+D94*AD95-H95+'main page'!$K$27*('main page'!$K$24+'main page'!$K$11))/'main page'!$K$31)</f>
        <v>1</v>
      </c>
      <c r="AI94" s="44">
        <f ca="1">IF(controls!$B$45=1,LOG(AM94,1.01)+LOG(AL94,1.01)-LOG(AK94,1.01),-((T94-('main page'!$K$24+'main page'!$K$11))/(1-'normal case'!$AV$3))+'normal case'!AH94)</f>
        <v>2.0000000596046448</v>
      </c>
      <c r="AJ94" s="80">
        <f t="shared" ca="1" si="14"/>
        <v>1.0506250015463039</v>
      </c>
      <c r="AK94" s="44">
        <f t="shared" ca="1" si="15"/>
        <v>5.9439073955150858</v>
      </c>
      <c r="AL94" s="44">
        <f>AL93*(1+'main page'!$K$32/100)</f>
        <v>1</v>
      </c>
      <c r="AM94" s="44">
        <f ca="1">IF(ABS(IF(controls!$B$45=1,$AS$13,AK94*AJ94/AL94)-AM93)&lt;0.00001,AM93,IF(controls!$B$45=1,$AS$13,AK94*AJ94/AL94))</f>
        <v>6.2448177166041239</v>
      </c>
      <c r="AN94" s="44">
        <f>IF(controls!$B$46=0,0,IF(controls!$B$33=2,B95-B94*AC95-('normal case'!H95-D94*AD95-'main page'!$K$27*'normal case'!T94+'main page'!$K$31*'normal case'!AI94)-(('main page'!$K$25*'main page'!$U$13*'main page'!$K$29)/(1+('main page'!$K$25^2)*'main page'!$U$13))*('normal case'!L94-'main page'!$U$8),B95-B94*AC95-('normal case'!I95-D94*AD95-'main page'!$K$27*'normal case'!T94+'main page'!$K$31*'normal case'!AI94)-(('main page'!$K$25*'main page'!$U$13*'main page'!$K$29)/(1+('main page'!$K$25^2)*'main page'!$U$13))*('normal case'!L94-'main page'!$U$8)))</f>
        <v>0</v>
      </c>
      <c r="AU94" s="36"/>
      <c r="AV94" s="36"/>
    </row>
    <row r="95" spans="1:48">
      <c r="A95" s="43">
        <v>93</v>
      </c>
      <c r="B95" s="62">
        <f ca="1">IF(controls!$B$33=1,B94*(1+AC95)+AA95,B94*(1+AC95))</f>
        <v>101</v>
      </c>
      <c r="C95" s="67">
        <f t="shared" ca="1" si="16"/>
        <v>-1.5107707374006907E-7</v>
      </c>
      <c r="D95" s="64">
        <f t="shared" ca="1" si="12"/>
        <v>101.00000005960464</v>
      </c>
      <c r="E95" s="64">
        <f ca="1">AN94+IF(controls!$B$33=1,G95,F95)</f>
        <v>101.00000005960464</v>
      </c>
      <c r="F95" s="78">
        <f ca="1">IF(controls!$B$44=0,H95-'main page'!$K$27*T94,H95-'main page'!$K$27*T94+'main page'!$K$31*AI94)</f>
        <v>101.00000005960464</v>
      </c>
      <c r="G95" s="62">
        <f ca="1">IF(controls!$B$44=0,I95-'main page'!$K$27*T94,I95-'main page'!$K$27*T94+'main page'!$K$31*'normal case'!AI94)</f>
        <v>101.00000005960464</v>
      </c>
      <c r="H95" s="62">
        <f t="shared" ca="1" si="18"/>
        <v>108</v>
      </c>
      <c r="I95" s="62">
        <f t="shared" ca="1" si="19"/>
        <v>108</v>
      </c>
      <c r="L95" s="62">
        <f ca="1">IF(ABS('main page'!$K$29*L94+(1-'main page'!$K$29)*(controls!$B$9/100)*100+'main page'!$K$25*(D95-B95)-L94)&lt;0.0000001,L94,'main page'!$K$29*L94+(1-'main page'!$K$29)*(controls!$B$9/100)*100+'main page'!$K$25*(D95-B95))</f>
        <v>1.9999998807907104</v>
      </c>
      <c r="Q95" s="409">
        <f ca="1">(1-'main page'!$K$29)*($AS$11/100)*100+'main page'!$K$25*(D95-B95)</f>
        <v>5.9604644775390625E-8</v>
      </c>
      <c r="R95" s="409">
        <f>'main page'!G99+'main page'!$K$29*M94</f>
        <v>0</v>
      </c>
      <c r="S95" s="409">
        <f t="shared" ca="1" si="17"/>
        <v>5.9604644775390625E-8</v>
      </c>
      <c r="T95" s="79">
        <f ca="1">IF(controls!$B$10=1,T94,IF(SUM(controls!$B$44:$B$46)=2,U95-'main page'!$K$29*'normal case'!L95-(1-'main page'!$K$29)*'main page'!$K$32,U95-'main page'!$K$29*'normal case'!L95-(1-'main page'!$K$29)*controls!$B$9))</f>
        <v>3.4999999701976776</v>
      </c>
      <c r="U95" s="164">
        <f ca="1">IF(controls!$B$45=1,IF(controls!$B$46=1,'main page'!$K$24+'main page'!$K$11+'main page'!$U$8,'main page'!$K$24+'main page'!$K$11+'main page'!$K$32),IF(controls!$B$44=1,IF(V95&lt;0,0,V95),IF(V95+'main page'!$K$11&lt;0,0,V95+'main page'!$K$11)))</f>
        <v>5.4999998509883881</v>
      </c>
      <c r="V95" s="63">
        <f ca="1">IF(controls!$B$10=1,'normal case'!T95+'normal case'!L95,'normal case'!W95)</f>
        <v>5.4999998509883881</v>
      </c>
      <c r="W95" s="61">
        <f t="shared" ca="1" si="13"/>
        <v>5.4999998509883881</v>
      </c>
      <c r="X95" s="166">
        <f ca="1">IF(controls!$B$44=0,Y95+'main page'!$K$29*L95+(1-'main page'!$K$29)*controls!$B$9+(('main page'!$K$25*'main page'!$U$13*'main page'!$K$29)/('main page'!$K$27*(1+('main page'!$K$25^2)*'main page'!$U$13)))*(L95-controls!$B$9),Y95+'main page'!$K$29*L95+(1-'main page'!$K$29)*controls!$B$9+(('main page'!$K$25*'main page'!$U$13*'normal case'!$AV$3)/'normal case'!$AV$4)*('normal case'!L95-controls!$B$9))</f>
        <v>5.4999998509883881</v>
      </c>
      <c r="Y95" s="81">
        <f ca="1">IF(controls!$B$44=1,'main page'!$K$24+'main page'!$K$11,IF(controls!$B$33=1,((I96-D95*AD96-B96+B95*AC96)/'main page'!$K$27)-'main page'!$K$11,((H96-D95*AD96-B96+B95*AC96)/'main page'!$K$27)-'main page'!$K$11))</f>
        <v>3.5</v>
      </c>
      <c r="AA95" s="58">
        <f>IF(controls!$B$6=1,$AS$3*(1+('main page'!$K$35/100))^AB95-$AS$3*(1+('main page'!$K$35/100))^AB94,$AS$3*(1+('main page'!$G$8/100))*(1+('main page'!$K$35/100))^AB95-$AS$3*(1+('main page'!$G$8/100))*(1+('main page'!$K$35/100))^AB94)</f>
        <v>0</v>
      </c>
      <c r="AB95" s="60">
        <v>88</v>
      </c>
      <c r="AC95" s="125">
        <f ca="1">IF(controls!$B$4=1,IF(controls!$H94=1,controls!$B$34*AC94+RAND()*('main page'!$K$16/100)-RAND()*('main page'!$K$16/100),0),0)</f>
        <v>0</v>
      </c>
      <c r="AD95" s="36">
        <f ca="1">IF(controls!$B$4=1,IF(controls!$I94=1,controls!$B$34*AD94+RAND()*('main page'!$K$16/100)-RAND()*('main page'!$K$16/100),0),0)</f>
        <v>0</v>
      </c>
      <c r="AE95" s="44">
        <f ca="1">IF(controls!$B$33=1,D95-($I$3-'main page'!$K$27*2)*(1+('main page'!$K$35/100))^A94,D95-$AS$4)</f>
        <v>1.0000000596046448</v>
      </c>
      <c r="AF95" s="44">
        <f ca="1">ABS(L95-(controls!$B$9/100)*100)</f>
        <v>1.1920928955078125E-7</v>
      </c>
      <c r="AH95" s="44">
        <f ca="1">IF(controls!$B$33=1,(B96-B95*AC96-I96+D95*AD96+'main page'!$K$27*('main page'!$K$24+'main page'!$K$11))/'main page'!$K$31,(B96-B95*AC96+D95*AD96-H96+'main page'!$K$27*('main page'!$K$24+'main page'!$K$11))/'main page'!$K$31)</f>
        <v>1</v>
      </c>
      <c r="AI95" s="44">
        <f ca="1">IF(controls!$B$45=1,LOG(AM95,1.01)+LOG(AL95,1.01)-LOG(AK95,1.01),-((T95-('main page'!$K$24+'main page'!$K$11))/(1-'normal case'!$AV$3))+'normal case'!AH95)</f>
        <v>2.0000000596046448</v>
      </c>
      <c r="AJ95" s="80">
        <f t="shared" ca="1" si="14"/>
        <v>1.0506250015463039</v>
      </c>
      <c r="AK95" s="44">
        <f t="shared" ca="1" si="15"/>
        <v>6.0627855363396979</v>
      </c>
      <c r="AL95" s="44">
        <f>AL94*(1+'main page'!$K$32/100)</f>
        <v>1</v>
      </c>
      <c r="AM95" s="44">
        <f ca="1">IF(ABS(IF(controls!$B$45=1,$AS$13,AK95*AJ95/AL95)-AM94)&lt;0.00001,AM94,IF(controls!$B$45=1,$AS$13,AK95*AJ95/AL95))</f>
        <v>6.3697140634918039</v>
      </c>
      <c r="AN95" s="44">
        <f>IF(controls!$B$46=0,0,IF(controls!$B$33=2,B96-B95*AC96-('normal case'!H96-D95*AD96-'main page'!$K$27*'normal case'!T95+'main page'!$K$31*'normal case'!AI95)-(('main page'!$K$25*'main page'!$U$13*'main page'!$K$29)/(1+('main page'!$K$25^2)*'main page'!$U$13))*('normal case'!L95-'main page'!$U$8),B96-B95*AC96-('normal case'!I96-D95*AD96-'main page'!$K$27*'normal case'!T95+'main page'!$K$31*'normal case'!AI95)-(('main page'!$K$25*'main page'!$U$13*'main page'!$K$29)/(1+('main page'!$K$25^2)*'main page'!$U$13))*('normal case'!L95-'main page'!$U$8)))</f>
        <v>0</v>
      </c>
      <c r="AU95" s="36"/>
      <c r="AV95" s="36"/>
    </row>
    <row r="96" spans="1:48">
      <c r="A96" s="43">
        <v>94</v>
      </c>
      <c r="B96" s="62">
        <f ca="1">IF(controls!$B$33=1,B95*(1+AC96)+AA96,B95*(1+AC96))</f>
        <v>101</v>
      </c>
      <c r="C96" s="67">
        <f t="shared" ca="1" si="16"/>
        <v>-1.5107707374006907E-7</v>
      </c>
      <c r="D96" s="64">
        <f t="shared" ca="1" si="12"/>
        <v>101.00000005960464</v>
      </c>
      <c r="E96" s="64">
        <f ca="1">AN95+IF(controls!$B$33=1,G96,F96)</f>
        <v>101.00000005960464</v>
      </c>
      <c r="F96" s="78">
        <f ca="1">IF(controls!$B$44=0,H96-'main page'!$K$27*T95,H96-'main page'!$K$27*T95+'main page'!$K$31*AI95)</f>
        <v>101.00000005960464</v>
      </c>
      <c r="G96" s="62">
        <f ca="1">IF(controls!$B$44=0,I96-'main page'!$K$27*T95,I96-'main page'!$K$27*T95+'main page'!$K$31*'normal case'!AI95)</f>
        <v>101.00000005960464</v>
      </c>
      <c r="H96" s="62">
        <f t="shared" ca="1" si="18"/>
        <v>108</v>
      </c>
      <c r="I96" s="62">
        <f t="shared" ca="1" si="19"/>
        <v>108</v>
      </c>
      <c r="L96" s="62">
        <f ca="1">IF(ABS('main page'!$K$29*L95+(1-'main page'!$K$29)*(controls!$B$9/100)*100+'main page'!$K$25*(D96-B96)-L95)&lt;0.0000001,L95,'main page'!$K$29*L95+(1-'main page'!$K$29)*(controls!$B$9/100)*100+'main page'!$K$25*(D96-B96))</f>
        <v>1.9999998807907104</v>
      </c>
      <c r="Q96" s="409">
        <f ca="1">(1-'main page'!$K$29)*($AS$11/100)*100+'main page'!$K$25*(D96-B96)</f>
        <v>5.9604644775390625E-8</v>
      </c>
      <c r="R96" s="409">
        <f>'main page'!G100+'main page'!$K$29*M95</f>
        <v>0</v>
      </c>
      <c r="S96" s="409">
        <f t="shared" ca="1" si="17"/>
        <v>5.9604644775390625E-8</v>
      </c>
      <c r="T96" s="79">
        <f ca="1">IF(controls!$B$10=1,T95,IF(SUM(controls!$B$44:$B$46)=2,U96-'main page'!$K$29*'normal case'!L96-(1-'main page'!$K$29)*'main page'!$K$32,U96-'main page'!$K$29*'normal case'!L96-(1-'main page'!$K$29)*controls!$B$9))</f>
        <v>3.4999999701976776</v>
      </c>
      <c r="U96" s="164">
        <f ca="1">IF(controls!$B$45=1,IF(controls!$B$46=1,'main page'!$K$24+'main page'!$K$11+'main page'!$U$8,'main page'!$K$24+'main page'!$K$11+'main page'!$K$32),IF(controls!$B$44=1,IF(V96&lt;0,0,V96),IF(V96+'main page'!$K$11&lt;0,0,V96+'main page'!$K$11)))</f>
        <v>5.4999998509883881</v>
      </c>
      <c r="V96" s="63">
        <f ca="1">IF(controls!$B$10=1,'normal case'!T96+'normal case'!L96,'normal case'!W96)</f>
        <v>5.4999998509883881</v>
      </c>
      <c r="W96" s="61">
        <f t="shared" ca="1" si="13"/>
        <v>5.4999998509883881</v>
      </c>
      <c r="X96" s="166">
        <f ca="1">IF(controls!$B$44=0,Y96+'main page'!$K$29*L96+(1-'main page'!$K$29)*controls!$B$9+(('main page'!$K$25*'main page'!$U$13*'main page'!$K$29)/('main page'!$K$27*(1+('main page'!$K$25^2)*'main page'!$U$13)))*(L96-controls!$B$9),Y96+'main page'!$K$29*L96+(1-'main page'!$K$29)*controls!$B$9+(('main page'!$K$25*'main page'!$U$13*'normal case'!$AV$3)/'normal case'!$AV$4)*('normal case'!L96-controls!$B$9))</f>
        <v>5.4999998509883881</v>
      </c>
      <c r="Y96" s="81">
        <f ca="1">IF(controls!$B$44=1,'main page'!$K$24+'main page'!$K$11,IF(controls!$B$33=1,((I97-D96*AD97-B97+B96*AC97)/'main page'!$K$27)-'main page'!$K$11,((H97-D96*AD97-B97+B96*AC97)/'main page'!$K$27)-'main page'!$K$11))</f>
        <v>3.5</v>
      </c>
      <c r="AA96" s="58">
        <f>IF(controls!$B$6=1,$AS$3*(1+('main page'!$K$35/100))^AB96-$AS$3*(1+('main page'!$K$35/100))^AB95,$AS$3*(1+('main page'!$G$8/100))*(1+('main page'!$K$35/100))^AB96-$AS$3*(1+('main page'!$G$8/100))*(1+('main page'!$K$35/100))^AB95)</f>
        <v>0</v>
      </c>
      <c r="AB96" s="60">
        <v>89</v>
      </c>
      <c r="AC96" s="125">
        <v>0</v>
      </c>
      <c r="AD96" s="36">
        <v>0</v>
      </c>
      <c r="AE96" s="44">
        <f ca="1">IF(controls!$B$33=1,D96-($I$3-'main page'!$K$27*2)*(1+('main page'!$K$35/100))^A95,D96-$AS$4)</f>
        <v>1.0000000596046448</v>
      </c>
      <c r="AF96" s="44">
        <f ca="1">ABS(L96-(controls!$B$9/100)*100)</f>
        <v>1.1920928955078125E-7</v>
      </c>
      <c r="AH96" s="44">
        <f ca="1">IF(controls!$B$33=1,(B97-B96*AC97-I97+D96*AD97+'main page'!$K$27*('main page'!$K$24+'main page'!$K$11))/'main page'!$K$31,(B97-B96*AC97+D96*AD97-H97+'main page'!$K$27*('main page'!$K$24+'main page'!$K$11))/'main page'!$K$31)</f>
        <v>1</v>
      </c>
      <c r="AI96" s="44">
        <f ca="1">IF(controls!$B$45=1,LOG(AM96,1.01)+LOG(AL96,1.01)-LOG(AK96,1.01),-((T96-('main page'!$K$24+'main page'!$K$11))/(1-'normal case'!$AV$3))+'normal case'!AH96)</f>
        <v>2.0000000596046448</v>
      </c>
      <c r="AJ96" s="80">
        <f t="shared" ca="1" si="14"/>
        <v>1.0506250015463039</v>
      </c>
      <c r="AK96" s="44">
        <f t="shared" ca="1" si="15"/>
        <v>6.1840412398390887</v>
      </c>
      <c r="AL96" s="44">
        <f>AL95*(1+'main page'!$K$32/100)</f>
        <v>1</v>
      </c>
      <c r="AM96" s="44">
        <f ca="1">IF(ABS(IF(controls!$B$45=1,$AS$13,AK96*AJ96/AL96)-AM95)&lt;0.00001,AM95,IF(controls!$B$45=1,$AS$13,AK96*AJ96/AL96))</f>
        <v>6.49710833716835</v>
      </c>
      <c r="AN96" s="44">
        <f>IF(controls!$B$46=0,0,IF(controls!$B$33=2,B97-B96*AC97-('normal case'!H97-D96*AD97-'main page'!$K$27*'normal case'!T96+'main page'!$K$31*'normal case'!AI96)-(('main page'!$K$25*'main page'!$U$13*'main page'!$K$29)/(1+('main page'!$K$25^2)*'main page'!$U$13))*('normal case'!L96-'main page'!$U$8),B97-B96*AC97-('normal case'!I97-D96*AD97-'main page'!$K$27*'normal case'!T96+'main page'!$K$31*'normal case'!AI96)-(('main page'!$K$25*'main page'!$U$13*'main page'!$K$29)/(1+('main page'!$K$25^2)*'main page'!$U$13))*('normal case'!L96-'main page'!$U$8)))</f>
        <v>0</v>
      </c>
      <c r="AU96" s="36"/>
      <c r="AV96" s="36"/>
    </row>
    <row r="97" spans="1:48">
      <c r="A97" s="43">
        <v>95</v>
      </c>
      <c r="B97" s="62">
        <f ca="1">IF(controls!$B$33=1,B96*(1+AC97)+AA97,B96*(1+AC97))</f>
        <v>101</v>
      </c>
      <c r="C97" s="67">
        <f t="shared" ca="1" si="16"/>
        <v>-1.5107707374006907E-7</v>
      </c>
      <c r="D97" s="64">
        <f t="shared" ca="1" si="12"/>
        <v>101.00000005960464</v>
      </c>
      <c r="E97" s="64">
        <f ca="1">AN96+IF(controls!$B$33=1,G97,F97)</f>
        <v>101.00000005960464</v>
      </c>
      <c r="F97" s="78">
        <f ca="1">IF(controls!$B$44=0,H97-'main page'!$K$27*T96,H97-'main page'!$K$27*T96+'main page'!$K$31*AI96)</f>
        <v>101.00000005960464</v>
      </c>
      <c r="G97" s="62">
        <f ca="1">IF(controls!$B$44=0,I97-'main page'!$K$27*T96,I97-'main page'!$K$27*T96+'main page'!$K$31*'normal case'!AI96)</f>
        <v>101.00000005960464</v>
      </c>
      <c r="H97" s="62">
        <f t="shared" ca="1" si="18"/>
        <v>108</v>
      </c>
      <c r="I97" s="62">
        <f t="shared" ca="1" si="19"/>
        <v>108</v>
      </c>
      <c r="L97" s="62">
        <f ca="1">IF(ABS('main page'!$K$29*L96+(1-'main page'!$K$29)*(controls!$B$9/100)*100+'main page'!$K$25*(D97-B97)-L96)&lt;0.0000001,L96,'main page'!$K$29*L96+(1-'main page'!$K$29)*(controls!$B$9/100)*100+'main page'!$K$25*(D97-B97))</f>
        <v>1.9999998807907104</v>
      </c>
      <c r="Q97" s="409">
        <f ca="1">(1-'main page'!$K$29)*($AS$11/100)*100+'main page'!$K$25*(D97-B97)</f>
        <v>5.9604644775390625E-8</v>
      </c>
      <c r="R97" s="409">
        <f>'main page'!G101+'main page'!$K$29*M96</f>
        <v>0</v>
      </c>
      <c r="S97" s="409">
        <f t="shared" ca="1" si="17"/>
        <v>5.9604644775390625E-8</v>
      </c>
      <c r="T97" s="79">
        <f ca="1">IF(controls!$B$10=1,T96,IF(SUM(controls!$B$44:$B$46)=2,U97-'main page'!$K$29*'normal case'!L97-(1-'main page'!$K$29)*'main page'!$K$32,U97-'main page'!$K$29*'normal case'!L97-(1-'main page'!$K$29)*controls!$B$9))</f>
        <v>3.4999999701976776</v>
      </c>
      <c r="U97" s="164">
        <f ca="1">IF(controls!$B$45=1,IF(controls!$B$46=1,'main page'!$K$24+'main page'!$K$11+'main page'!$U$8,'main page'!$K$24+'main page'!$K$11+'main page'!$K$32),IF(controls!$B$44=1,IF(V97&lt;0,0,V97),IF(V97+'main page'!$K$11&lt;0,0,V97+'main page'!$K$11)))</f>
        <v>5.4999998509883881</v>
      </c>
      <c r="V97" s="63">
        <f ca="1">IF(controls!$B$10=1,'normal case'!T97+'normal case'!L97,'normal case'!W97)</f>
        <v>5.4999998509883881</v>
      </c>
      <c r="W97" s="61">
        <f t="shared" ca="1" si="13"/>
        <v>5.4999998509883881</v>
      </c>
      <c r="X97" s="166">
        <f ca="1">IF(controls!$B$44=0,Y97+'main page'!$K$29*L97+(1-'main page'!$K$29)*controls!$B$9+(('main page'!$K$25*'main page'!$U$13*'main page'!$K$29)/('main page'!$K$27*(1+('main page'!$K$25^2)*'main page'!$U$13)))*(L97-controls!$B$9),Y97+'main page'!$K$29*L97+(1-'main page'!$K$29)*controls!$B$9+(('main page'!$K$25*'main page'!$U$13*'normal case'!$AV$3)/'normal case'!$AV$4)*('normal case'!L97-controls!$B$9))</f>
        <v>5.4999998509883881</v>
      </c>
      <c r="Y97" s="81">
        <f ca="1">IF(controls!$B$44=1,'main page'!$K$24+'main page'!$K$11,IF(controls!$B$33=1,((I98-D97*AD98-B98+B97*AC98)/'main page'!$K$27)-'main page'!$K$11,((H98-D97*AD98-B98+B97*AC98)/'main page'!$K$27)-'main page'!$K$11))</f>
        <v>3.5</v>
      </c>
      <c r="AA97" s="58">
        <f>IF(controls!$B$6=1,$AS$3*(1+('main page'!$K$35/100))^AB97-$AS$3*(1+('main page'!$K$35/100))^AB96,$AS$3*(1+('main page'!$G$8/100))*(1+('main page'!$K$35/100))^AB97-$AS$3*(1+('main page'!$G$8/100))*(1+('main page'!$K$35/100))^AB96)</f>
        <v>0</v>
      </c>
      <c r="AB97" s="60">
        <v>90</v>
      </c>
      <c r="AC97" s="125">
        <v>0</v>
      </c>
      <c r="AD97" s="36">
        <v>0</v>
      </c>
      <c r="AE97" s="44">
        <f ca="1">IF(controls!$B$33=1,D97-($I$3-'main page'!$K$27*2)*(1+('main page'!$K$35/100))^A96,D97-$AS$4)</f>
        <v>1.0000000596046448</v>
      </c>
      <c r="AF97" s="44">
        <f ca="1">ABS(L97-(controls!$B$9/100)*100)</f>
        <v>1.1920928955078125E-7</v>
      </c>
      <c r="AH97" s="44">
        <f ca="1">IF(controls!$B$33=1,(B98-B97*AC98-I98+D97*AD98+'main page'!$K$27*('main page'!$K$24+'main page'!$K$11))/'main page'!$K$31,(B98-B97*AC98+D97*AD98-H98+'main page'!$K$27*('main page'!$K$24+'main page'!$K$11))/'main page'!$K$31)</f>
        <v>1</v>
      </c>
      <c r="AI97" s="44">
        <f ca="1">IF(controls!$B$45=1,LOG(AM97,1.01)+LOG(AL97,1.01)-LOG(AK97,1.01),-((T97-('main page'!$K$24+'main page'!$K$11))/(1-'normal case'!$AV$3))+'normal case'!AH97)</f>
        <v>2.0000000596046448</v>
      </c>
      <c r="AJ97" s="80">
        <f t="shared" ca="1" si="14"/>
        <v>1.0506250015463039</v>
      </c>
      <c r="AK97" s="44">
        <f t="shared" ca="1" si="15"/>
        <v>6.307722057263919</v>
      </c>
      <c r="AL97" s="44">
        <f>AL96*(1+'main page'!$K$32/100)</f>
        <v>1</v>
      </c>
      <c r="AM97" s="44">
        <f ca="1">IF(ABS(IF(controls!$B$45=1,$AS$13,AK97*AJ97/AL97)-AM96)&lt;0.00001,AM96,IF(controls!$B$45=1,$AS$13,AK97*AJ97/AL97))</f>
        <v>6.6270504961665599</v>
      </c>
      <c r="AN97" s="44">
        <f>IF(controls!$B$46=0,0,IF(controls!$B$33=2,B98-B97*AC98-('normal case'!H98-D97*AD98-'main page'!$K$27*'normal case'!T97+'main page'!$K$31*'normal case'!AI97)-(('main page'!$K$25*'main page'!$U$13*'main page'!$K$29)/(1+('main page'!$K$25^2)*'main page'!$U$13))*('normal case'!L97-'main page'!$U$8),B98-B97*AC98-('normal case'!I98-D97*AD98-'main page'!$K$27*'normal case'!T97+'main page'!$K$31*'normal case'!AI97)-(('main page'!$K$25*'main page'!$U$13*'main page'!$K$29)/(1+('main page'!$K$25^2)*'main page'!$U$13))*('normal case'!L97-'main page'!$U$8)))</f>
        <v>0</v>
      </c>
      <c r="AU97" s="36"/>
      <c r="AV97" s="36"/>
    </row>
    <row r="98" spans="1:48">
      <c r="A98" s="43">
        <v>96</v>
      </c>
      <c r="B98" s="62">
        <f ca="1">IF(controls!$B$33=1,B97*(1+AC98)+AA98,B97*(1+AC98))</f>
        <v>101</v>
      </c>
      <c r="C98" s="67">
        <f t="shared" ca="1" si="16"/>
        <v>-1.5107707374006907E-7</v>
      </c>
      <c r="D98" s="64">
        <f t="shared" ca="1" si="12"/>
        <v>101.00000005960464</v>
      </c>
      <c r="E98" s="64">
        <f ca="1">AN97+IF(controls!$B$33=1,G98,F98)</f>
        <v>101.00000005960464</v>
      </c>
      <c r="F98" s="78">
        <f ca="1">IF(controls!$B$44=0,H98-'main page'!$K$27*T97,H98-'main page'!$K$27*T97+'main page'!$K$31*AI97)</f>
        <v>101.00000005960464</v>
      </c>
      <c r="G98" s="62">
        <f ca="1">IF(controls!$B$44=0,I98-'main page'!$K$27*T97,I98-'main page'!$K$27*T97+'main page'!$K$31*'normal case'!AI97)</f>
        <v>101.00000005960464</v>
      </c>
      <c r="H98" s="62">
        <f t="shared" ca="1" si="18"/>
        <v>108</v>
      </c>
      <c r="I98" s="62">
        <f t="shared" ca="1" si="19"/>
        <v>108</v>
      </c>
      <c r="L98" s="62">
        <f ca="1">IF(ABS('main page'!$K$29*L97+(1-'main page'!$K$29)*(controls!$B$9/100)*100+'main page'!$K$25*(D98-B98)-L97)&lt;0.0000001,L97,'main page'!$K$29*L97+(1-'main page'!$K$29)*(controls!$B$9/100)*100+'main page'!$K$25*(D98-B98))</f>
        <v>1.9999998807907104</v>
      </c>
      <c r="Q98" s="409">
        <f ca="1">(1-'main page'!$K$29)*($AS$11/100)*100+'main page'!$K$25*(D98-B98)</f>
        <v>5.9604644775390625E-8</v>
      </c>
      <c r="R98" s="409">
        <f>'main page'!G102+'main page'!$K$29*M97</f>
        <v>0</v>
      </c>
      <c r="S98" s="409">
        <f t="shared" ca="1" si="17"/>
        <v>5.9604644775390625E-8</v>
      </c>
      <c r="T98" s="79">
        <f ca="1">IF(controls!$B$10=1,T97,IF(SUM(controls!$B$44:$B$46)=2,U98-'main page'!$K$29*'normal case'!L98-(1-'main page'!$K$29)*'main page'!$K$32,U98-'main page'!$K$29*'normal case'!L98-(1-'main page'!$K$29)*controls!$B$9))</f>
        <v>3.4999999701976776</v>
      </c>
      <c r="U98" s="164">
        <f ca="1">IF(controls!$B$45=1,IF(controls!$B$46=1,'main page'!$K$24+'main page'!$K$11+'main page'!$U$8,'main page'!$K$24+'main page'!$K$11+'main page'!$K$32),IF(controls!$B$44=1,IF(V98&lt;0,0,V98),IF(V98+'main page'!$K$11&lt;0,0,V98+'main page'!$K$11)))</f>
        <v>5.4999998509883881</v>
      </c>
      <c r="V98" s="63">
        <f ca="1">IF(controls!$B$10=1,'normal case'!T98+'normal case'!L98,'normal case'!W98)</f>
        <v>5.4999998509883881</v>
      </c>
      <c r="W98" s="61">
        <f t="shared" ca="1" si="13"/>
        <v>5.4999998509883881</v>
      </c>
      <c r="X98" s="166">
        <f ca="1">IF(controls!$B$44=0,Y98+'main page'!$K$29*L98+(1-'main page'!$K$29)*controls!$B$9+(('main page'!$K$25*'main page'!$U$13*'main page'!$K$29)/('main page'!$K$27*(1+('main page'!$K$25^2)*'main page'!$U$13)))*(L98-controls!$B$9),Y98+'main page'!$K$29*L98+(1-'main page'!$K$29)*controls!$B$9+(('main page'!$K$25*'main page'!$U$13*'normal case'!$AV$3)/'normal case'!$AV$4)*('normal case'!L98-controls!$B$9))</f>
        <v>5.4999998509883881</v>
      </c>
      <c r="Y98" s="81">
        <f ca="1">IF(controls!$B$44=1,'main page'!$K$24+'main page'!$K$11,IF(controls!$B$33=1,((I99-D98*AD99-B99+B98*AC99)/'main page'!$K$27)-'main page'!$K$11,((H99-D98*AD99-B99+B98*AC99)/'main page'!$K$27)-'main page'!$K$11))</f>
        <v>3.5</v>
      </c>
      <c r="AA98" s="58">
        <f>IF(controls!$B$6=1,$AS$3*(1+('main page'!$K$35/100))^AB98-$AS$3*(1+('main page'!$K$35/100))^AB97,$AS$3*(1+('main page'!$G$8/100))*(1+('main page'!$K$35/100))^AB98-$AS$3*(1+('main page'!$G$8/100))*(1+('main page'!$K$35/100))^AB97)</f>
        <v>0</v>
      </c>
      <c r="AB98" s="60">
        <v>91</v>
      </c>
      <c r="AC98" s="125">
        <f ca="1">IF(controls!$B$4=1,IF(controls!$H97=1,controls!$B$34*AC97+RAND()*('main page'!$K$16/100)-RAND()*('main page'!$K$16/100),0),0)</f>
        <v>0</v>
      </c>
      <c r="AD98" s="36">
        <f ca="1">IF(controls!$B$4=1,IF(controls!$I97=1,controls!$B$34*AD97+RAND()*('main page'!$K$16/100)-RAND()*('main page'!$K$16/100),0),0)</f>
        <v>0</v>
      </c>
      <c r="AE98" s="44">
        <f ca="1">IF(controls!$B$33=1,D98-($I$3-'main page'!$K$27*2)*(1+('main page'!$K$35/100))^A97,D98-$AS$4)</f>
        <v>1.0000000596046448</v>
      </c>
      <c r="AF98" s="44">
        <f ca="1">ABS(L98-(controls!$B$9/100)*100)</f>
        <v>1.1920928955078125E-7</v>
      </c>
      <c r="AH98" s="44">
        <f ca="1">IF(controls!$B$33=1,(B99-B98*AC99-I99+D98*AD99+'main page'!$K$27*('main page'!$K$24+'main page'!$K$11))/'main page'!$K$31,(B99-B98*AC99+D98*AD99-H99+'main page'!$K$27*('main page'!$K$24+'main page'!$K$11))/'main page'!$K$31)</f>
        <v>1</v>
      </c>
      <c r="AI98" s="44">
        <f ca="1">IF(controls!$B$45=1,LOG(AM98,1.01)+LOG(AL98,1.01)-LOG(AK98,1.01),-((T98-('main page'!$K$24+'main page'!$K$11))/(1-'normal case'!$AV$3))+'normal case'!AH98)</f>
        <v>2.0000000596046448</v>
      </c>
      <c r="AJ98" s="80">
        <f t="shared" ca="1" si="14"/>
        <v>1.0506250015463039</v>
      </c>
      <c r="AK98" s="44">
        <f t="shared" ca="1" si="15"/>
        <v>6.4338764908898067</v>
      </c>
      <c r="AL98" s="44">
        <f>AL97*(1+'main page'!$K$32/100)</f>
        <v>1</v>
      </c>
      <c r="AM98" s="44">
        <f ca="1">IF(ABS(IF(controls!$B$45=1,$AS$13,AK98*AJ98/AL98)-AM97)&lt;0.00001,AM97,IF(controls!$B$45=1,$AS$13,AK98*AJ98/AL98))</f>
        <v>6.7595914981898311</v>
      </c>
      <c r="AN98" s="44">
        <f>IF(controls!$B$46=0,0,IF(controls!$B$33=2,B99-B98*AC99-('normal case'!H99-D98*AD99-'main page'!$K$27*'normal case'!T98+'main page'!$K$31*'normal case'!AI98)-(('main page'!$K$25*'main page'!$U$13*'main page'!$K$29)/(1+('main page'!$K$25^2)*'main page'!$U$13))*('normal case'!L98-'main page'!$U$8),B99-B98*AC99-('normal case'!I99-D98*AD99-'main page'!$K$27*'normal case'!T98+'main page'!$K$31*'normal case'!AI98)-(('main page'!$K$25*'main page'!$U$13*'main page'!$K$29)/(1+('main page'!$K$25^2)*'main page'!$U$13))*('normal case'!L98-'main page'!$U$8)))</f>
        <v>0</v>
      </c>
      <c r="AU98" s="36"/>
      <c r="AV98" s="36"/>
    </row>
    <row r="99" spans="1:48">
      <c r="A99" s="43">
        <v>97</v>
      </c>
      <c r="B99" s="62">
        <f ca="1">IF(controls!$B$33=1,B98*(1+AC99)+AA99,B98*(1+AC99))</f>
        <v>101</v>
      </c>
      <c r="C99" s="67">
        <f t="shared" ca="1" si="16"/>
        <v>-1.5107707374006907E-7</v>
      </c>
      <c r="D99" s="64">
        <f t="shared" ca="1" si="12"/>
        <v>101.00000005960464</v>
      </c>
      <c r="E99" s="64">
        <f ca="1">AN98+IF(controls!$B$33=1,G99,F99)</f>
        <v>101.00000005960464</v>
      </c>
      <c r="F99" s="78">
        <f ca="1">IF(controls!$B$44=0,H99-'main page'!$K$27*T98,H99-'main page'!$K$27*T98+'main page'!$K$31*AI98)</f>
        <v>101.00000005960464</v>
      </c>
      <c r="G99" s="62">
        <f ca="1">IF(controls!$B$44=0,I99-'main page'!$K$27*T98,I99-'main page'!$K$27*T98+'main page'!$K$31*'normal case'!AI98)</f>
        <v>101.00000005960464</v>
      </c>
      <c r="H99" s="62">
        <f t="shared" ca="1" si="18"/>
        <v>108</v>
      </c>
      <c r="I99" s="62">
        <f t="shared" ca="1" si="19"/>
        <v>108</v>
      </c>
      <c r="L99" s="62">
        <f ca="1">IF(ABS('main page'!$K$29*L98+(1-'main page'!$K$29)*(controls!$B$9/100)*100+'main page'!$K$25*(D99-B99)-L98)&lt;0.0000001,L98,'main page'!$K$29*L98+(1-'main page'!$K$29)*(controls!$B$9/100)*100+'main page'!$K$25*(D99-B99))</f>
        <v>1.9999998807907104</v>
      </c>
      <c r="Q99" s="409">
        <f ca="1">(1-'main page'!$K$29)*($AS$11/100)*100+'main page'!$K$25*(D99-B99)</f>
        <v>5.9604644775390625E-8</v>
      </c>
      <c r="R99" s="409">
        <f>'main page'!G103+'main page'!$K$29*M98</f>
        <v>0</v>
      </c>
      <c r="S99" s="409">
        <f t="shared" ca="1" si="17"/>
        <v>5.9604644775390625E-8</v>
      </c>
      <c r="T99" s="79">
        <f ca="1">IF(controls!$B$10=1,T98,IF(SUM(controls!$B$44:$B$46)=2,U99-'main page'!$K$29*'normal case'!L99-(1-'main page'!$K$29)*'main page'!$K$32,U99-'main page'!$K$29*'normal case'!L99-(1-'main page'!$K$29)*controls!$B$9))</f>
        <v>3.4999999701976776</v>
      </c>
      <c r="U99" s="164">
        <f ca="1">IF(controls!$B$45=1,IF(controls!$B$46=1,'main page'!$K$24+'main page'!$K$11+'main page'!$U$8,'main page'!$K$24+'main page'!$K$11+'main page'!$K$32),IF(controls!$B$44=1,IF(V99&lt;0,0,V99),IF(V99+'main page'!$K$11&lt;0,0,V99+'main page'!$K$11)))</f>
        <v>5.4999998509883881</v>
      </c>
      <c r="V99" s="63">
        <f ca="1">IF(controls!$B$10=1,'normal case'!T99+'normal case'!L99,'normal case'!W99)</f>
        <v>5.4999998509883881</v>
      </c>
      <c r="W99" s="61">
        <f t="shared" ca="1" si="13"/>
        <v>5.4999998509883881</v>
      </c>
      <c r="X99" s="166">
        <f ca="1">IF(controls!$B$44=0,Y99+'main page'!$K$29*L99+(1-'main page'!$K$29)*controls!$B$9+(('main page'!$K$25*'main page'!$U$13*'main page'!$K$29)/('main page'!$K$27*(1+('main page'!$K$25^2)*'main page'!$U$13)))*(L99-controls!$B$9),Y99+'main page'!$K$29*L99+(1-'main page'!$K$29)*controls!$B$9+(('main page'!$K$25*'main page'!$U$13*'normal case'!$AV$3)/'normal case'!$AV$4)*('normal case'!L99-controls!$B$9))</f>
        <v>5.4999998509883881</v>
      </c>
      <c r="Y99" s="81">
        <f ca="1">IF(controls!$B$44=1,'main page'!$K$24+'main page'!$K$11,IF(controls!$B$33=1,((I100-D99*AD100-B100+B99*AC100)/'main page'!$K$27)-'main page'!$K$11,((H100-D99*AD100-B100+B99*AC100)/'main page'!$K$27)-'main page'!$K$11))</f>
        <v>3.5</v>
      </c>
      <c r="AA99" s="58">
        <f>IF(controls!$B$6=1,$AS$3*(1+('main page'!$K$35/100))^AB99-$AS$3*(1+('main page'!$K$35/100))^AB98,$AS$3*(1+('main page'!$G$8/100))*(1+('main page'!$K$35/100))^AB99-$AS$3*(1+('main page'!$G$8/100))*(1+('main page'!$K$35/100))^AB98)</f>
        <v>0</v>
      </c>
      <c r="AB99" s="60">
        <v>92</v>
      </c>
      <c r="AC99" s="125">
        <v>0</v>
      </c>
      <c r="AD99" s="36">
        <v>0</v>
      </c>
      <c r="AE99" s="44">
        <f ca="1">IF(controls!$B$33=1,D99-($I$3-'main page'!$K$27*2)*(1+('main page'!$K$35/100))^A98,D99-$AS$4)</f>
        <v>1.0000000596046448</v>
      </c>
      <c r="AF99" s="44">
        <f ca="1">ABS(L99-(controls!$B$9/100)*100)</f>
        <v>1.1920928955078125E-7</v>
      </c>
      <c r="AH99" s="44">
        <f ca="1">IF(controls!$B$33=1,(B100-B99*AC100-I100+D99*AD100+'main page'!$K$27*('main page'!$K$24+'main page'!$K$11))/'main page'!$K$31,(B100-B99*AC100+D99*AD100-H100+'main page'!$K$27*('main page'!$K$24+'main page'!$K$11))/'main page'!$K$31)</f>
        <v>1</v>
      </c>
      <c r="AI99" s="44">
        <f ca="1">IF(controls!$B$45=1,LOG(AM99,1.01)+LOG(AL99,1.01)-LOG(AK99,1.01),-((T99-('main page'!$K$24+'main page'!$K$11))/(1-'normal case'!$AV$3))+'normal case'!AH99)</f>
        <v>2.0000000596046448</v>
      </c>
      <c r="AJ99" s="80">
        <f t="shared" ca="1" si="14"/>
        <v>1.0506250015463039</v>
      </c>
      <c r="AK99" s="44">
        <f t="shared" ca="1" si="15"/>
        <v>6.5625540130378246</v>
      </c>
      <c r="AL99" s="44">
        <f>AL98*(1+'main page'!$K$32/100)</f>
        <v>1</v>
      </c>
      <c r="AM99" s="44">
        <f ca="1">IF(ABS(IF(controls!$B$45=1,$AS$13,AK99*AJ99/AL99)-AM98)&lt;0.00001,AM98,IF(controls!$B$45=1,$AS$13,AK99*AJ99/AL99))</f>
        <v>6.8947833200955673</v>
      </c>
      <c r="AN99" s="44">
        <f>IF(controls!$B$46=0,0,IF(controls!$B$33=2,B100-B99*AC100-('normal case'!H100-D99*AD100-'main page'!$K$27*'normal case'!T99+'main page'!$K$31*'normal case'!AI99)-(('main page'!$K$25*'main page'!$U$13*'main page'!$K$29)/(1+('main page'!$K$25^2)*'main page'!$U$13))*('normal case'!L99-'main page'!$U$8),B100-B99*AC100-('normal case'!I100-D99*AD100-'main page'!$K$27*'normal case'!T99+'main page'!$K$31*'normal case'!AI99)-(('main page'!$K$25*'main page'!$U$13*'main page'!$K$29)/(1+('main page'!$K$25^2)*'main page'!$U$13))*('normal case'!L99-'main page'!$U$8)))</f>
        <v>0</v>
      </c>
      <c r="AU99" s="36"/>
      <c r="AV99" s="36"/>
    </row>
    <row r="100" spans="1:48">
      <c r="A100" s="43">
        <v>98</v>
      </c>
      <c r="B100" s="62">
        <f ca="1">IF(controls!$B$33=1,B99*(1+AC100)+AA100,B99*(1+AC100))</f>
        <v>101</v>
      </c>
      <c r="C100" s="67">
        <f t="shared" ca="1" si="16"/>
        <v>-1.5107707374006907E-7</v>
      </c>
      <c r="D100" s="64">
        <f t="shared" ca="1" si="12"/>
        <v>101.00000005960464</v>
      </c>
      <c r="E100" s="64">
        <f ca="1">AN99+IF(controls!$B$33=1,G100,F100)</f>
        <v>101.00000005960464</v>
      </c>
      <c r="F100" s="78">
        <f ca="1">IF(controls!$B$44=0,H100-'main page'!$K$27*T99,H100-'main page'!$K$27*T99+'main page'!$K$31*AI99)</f>
        <v>101.00000005960464</v>
      </c>
      <c r="G100" s="62">
        <f ca="1">IF(controls!$B$44=0,I100-'main page'!$K$27*T99,I100-'main page'!$K$27*T99+'main page'!$K$31*'normal case'!AI99)</f>
        <v>101.00000005960464</v>
      </c>
      <c r="H100" s="62">
        <f t="shared" ca="1" si="18"/>
        <v>108</v>
      </c>
      <c r="I100" s="62">
        <f t="shared" ca="1" si="19"/>
        <v>108</v>
      </c>
      <c r="L100" s="62">
        <f ca="1">IF(ABS('main page'!$K$29*L99+(1-'main page'!$K$29)*(controls!$B$9/100)*100+'main page'!$K$25*(D100-B100)-L99)&lt;0.0000001,L99,'main page'!$K$29*L99+(1-'main page'!$K$29)*(controls!$B$9/100)*100+'main page'!$K$25*(D100-B100))</f>
        <v>1.9999998807907104</v>
      </c>
      <c r="Q100" s="409">
        <f ca="1">(1-'main page'!$K$29)*($AS$11/100)*100+'main page'!$K$25*(D100-B100)</f>
        <v>5.9604644775390625E-8</v>
      </c>
      <c r="R100" s="409">
        <f>'main page'!G104+'main page'!$K$29*M99</f>
        <v>0</v>
      </c>
      <c r="S100" s="409">
        <f t="shared" ca="1" si="17"/>
        <v>5.9604644775390625E-8</v>
      </c>
      <c r="T100" s="79">
        <f ca="1">IF(controls!$B$10=1,T99,IF(SUM(controls!$B$44:$B$46)=2,U100-'main page'!$K$29*'normal case'!L100-(1-'main page'!$K$29)*'main page'!$K$32,U100-'main page'!$K$29*'normal case'!L100-(1-'main page'!$K$29)*controls!$B$9))</f>
        <v>3.4999999701976776</v>
      </c>
      <c r="U100" s="164">
        <f ca="1">IF(controls!$B$45=1,IF(controls!$B$46=1,'main page'!$K$24+'main page'!$K$11+'main page'!$U$8,'main page'!$K$24+'main page'!$K$11+'main page'!$K$32),IF(controls!$B$44=1,IF(V100&lt;0,0,V100),IF(V100+'main page'!$K$11&lt;0,0,V100+'main page'!$K$11)))</f>
        <v>5.4999998509883881</v>
      </c>
      <c r="V100" s="63">
        <f ca="1">IF(controls!$B$10=1,'normal case'!T100+'normal case'!L100,'normal case'!W100)</f>
        <v>5.4999998509883881</v>
      </c>
      <c r="W100" s="61">
        <f t="shared" ca="1" si="13"/>
        <v>5.4999998509883881</v>
      </c>
      <c r="X100" s="166">
        <f ca="1">IF(controls!$B$44=0,Y100+'main page'!$K$29*L100+(1-'main page'!$K$29)*controls!$B$9+(('main page'!$K$25*'main page'!$U$13*'main page'!$K$29)/('main page'!$K$27*(1+('main page'!$K$25^2)*'main page'!$U$13)))*(L100-controls!$B$9),Y100+'main page'!$K$29*L100+(1-'main page'!$K$29)*controls!$B$9+(('main page'!$K$25*'main page'!$U$13*'normal case'!$AV$3)/'normal case'!$AV$4)*('normal case'!L100-controls!$B$9))</f>
        <v>5.4999998509883881</v>
      </c>
      <c r="Y100" s="81">
        <f ca="1">IF(controls!$B$44=1,'main page'!$K$24+'main page'!$K$11,IF(controls!$B$33=1,((I101-D100*AD101-B101+B100*AC101)/'main page'!$K$27)-'main page'!$K$11,((H101-D100*AD101-B101+B100*AC101)/'main page'!$K$27)-'main page'!$K$11))</f>
        <v>3.5</v>
      </c>
      <c r="AA100" s="58">
        <f>IF(controls!$B$6=1,$AS$3*(1+('main page'!$K$35/100))^AB100-$AS$3*(1+('main page'!$K$35/100))^AB99,$AS$3*(1+('main page'!$G$8/100))*(1+('main page'!$K$35/100))^AB100-$AS$3*(1+('main page'!$G$8/100))*(1+('main page'!$K$35/100))^AB99)</f>
        <v>0</v>
      </c>
      <c r="AB100" s="60">
        <v>93</v>
      </c>
      <c r="AC100" s="125">
        <v>0</v>
      </c>
      <c r="AD100" s="36">
        <v>0</v>
      </c>
      <c r="AE100" s="44">
        <f ca="1">IF(controls!$B$33=1,D100-($I$3-'main page'!$K$27*2)*(1+('main page'!$K$35/100))^A99,D100-$AS$4)</f>
        <v>1.0000000596046448</v>
      </c>
      <c r="AF100" s="44">
        <f ca="1">ABS(L100-(controls!$B$9/100)*100)</f>
        <v>1.1920928955078125E-7</v>
      </c>
      <c r="AH100" s="44">
        <f ca="1">IF(controls!$B$33=1,(B101-B100*AC101-I101+D100*AD101+'main page'!$K$27*('main page'!$K$24+'main page'!$K$11))/'main page'!$K$31,(B101-B100*AC101+D100*AD101-H101+'main page'!$K$27*('main page'!$K$24+'main page'!$K$11))/'main page'!$K$31)</f>
        <v>1</v>
      </c>
      <c r="AI100" s="44">
        <f ca="1">IF(controls!$B$45=1,LOG(AM100,1.01)+LOG(AL100,1.01)-LOG(AK100,1.01),-((T100-('main page'!$K$24+'main page'!$K$11))/(1-'normal case'!$AV$3))+'normal case'!AH100)</f>
        <v>2.0000000596046448</v>
      </c>
      <c r="AJ100" s="80">
        <f t="shared" ca="1" si="14"/>
        <v>1.0506250015463039</v>
      </c>
      <c r="AK100" s="44">
        <f t="shared" ca="1" si="15"/>
        <v>6.6938050854754074</v>
      </c>
      <c r="AL100" s="44">
        <f>AL99*(1+'main page'!$K$32/100)</f>
        <v>1</v>
      </c>
      <c r="AM100" s="44">
        <f ca="1">IF(ABS(IF(controls!$B$45=1,$AS$13,AK100*AJ100/AL100)-AM99)&lt;0.00001,AM99,IF(controls!$B$45=1,$AS$13,AK100*AJ100/AL100))</f>
        <v>7.0326789782782564</v>
      </c>
      <c r="AN100" s="44">
        <f>IF(controls!$B$46=0,0,IF(controls!$B$33=2,B101-B100*AC101-('normal case'!H101-D100*AD101-'main page'!$K$27*'normal case'!T100+'main page'!$K$31*'normal case'!AI100)-(('main page'!$K$25*'main page'!$U$13*'main page'!$K$29)/(1+('main page'!$K$25^2)*'main page'!$U$13))*('normal case'!L100-'main page'!$U$8),B101-B100*AC101-('normal case'!I101-D100*AD101-'main page'!$K$27*'normal case'!T100+'main page'!$K$31*'normal case'!AI100)-(('main page'!$K$25*'main page'!$U$13*'main page'!$K$29)/(1+('main page'!$K$25^2)*'main page'!$U$13))*('normal case'!L100-'main page'!$U$8)))</f>
        <v>0</v>
      </c>
      <c r="AU100" s="36"/>
      <c r="AV100" s="36"/>
    </row>
    <row r="101" spans="1:48">
      <c r="A101" s="43">
        <v>99</v>
      </c>
      <c r="B101" s="62">
        <f ca="1">IF(controls!$B$33=1,B100*(1+AC101)+AA101,B100*(1+AC101))</f>
        <v>101</v>
      </c>
      <c r="C101" s="67">
        <f t="shared" ca="1" si="16"/>
        <v>-1.5107707374006907E-7</v>
      </c>
      <c r="D101" s="64">
        <f t="shared" ca="1" si="12"/>
        <v>101.00000005960464</v>
      </c>
      <c r="E101" s="64">
        <f ca="1">AN100+IF(controls!$B$33=1,G101,F101)</f>
        <v>101.00000005960464</v>
      </c>
      <c r="F101" s="78">
        <f ca="1">IF(controls!$B$44=0,H101-'main page'!$K$27*T100,H101-'main page'!$K$27*T100+'main page'!$K$31*AI100)</f>
        <v>101.00000005960464</v>
      </c>
      <c r="G101" s="62">
        <f ca="1">IF(controls!$B$44=0,I101-'main page'!$K$27*T100,I101-'main page'!$K$27*T100+'main page'!$K$31*'normal case'!AI100)</f>
        <v>101.00000005960464</v>
      </c>
      <c r="H101" s="62">
        <f t="shared" ca="1" si="18"/>
        <v>108</v>
      </c>
      <c r="I101" s="62">
        <f t="shared" ca="1" si="19"/>
        <v>108</v>
      </c>
      <c r="L101" s="62">
        <f ca="1">IF(ABS('main page'!$K$29*L100+(1-'main page'!$K$29)*(controls!$B$9/100)*100+'main page'!$K$25*(D101-B101)-L100)&lt;0.0000001,L100,'main page'!$K$29*L100+(1-'main page'!$K$29)*(controls!$B$9/100)*100+'main page'!$K$25*(D101-B101))</f>
        <v>1.9999998807907104</v>
      </c>
      <c r="Q101" s="409">
        <f ca="1">(1-'main page'!$K$29)*($AS$11/100)*100+'main page'!$K$25*(D101-B101)</f>
        <v>5.9604644775390625E-8</v>
      </c>
      <c r="R101" s="409">
        <f>'main page'!G105+'main page'!$K$29*M100</f>
        <v>0</v>
      </c>
      <c r="S101" s="409">
        <f t="shared" ca="1" si="17"/>
        <v>5.9604644775390625E-8</v>
      </c>
      <c r="T101" s="79">
        <f ca="1">IF(controls!$B$10=1,T100,IF(SUM(controls!$B$44:$B$46)=2,U101-'main page'!$K$29*'normal case'!L101-(1-'main page'!$K$29)*'main page'!$K$32,U101-'main page'!$K$29*'normal case'!L101-(1-'main page'!$K$29)*controls!$B$9))</f>
        <v>3.4999999701976776</v>
      </c>
      <c r="U101" s="164">
        <f ca="1">IF(controls!$B$45=1,IF(controls!$B$46=1,'main page'!$K$24+'main page'!$K$11+'main page'!$U$8,'main page'!$K$24+'main page'!$K$11+'main page'!$K$32),IF(controls!$B$44=1,IF(V101&lt;0,0,V101),IF(V101+'main page'!$K$11&lt;0,0,V101+'main page'!$K$11)))</f>
        <v>5.4999998509883881</v>
      </c>
      <c r="V101" s="63">
        <f ca="1">IF(controls!$B$10=1,'normal case'!T101+'normal case'!L101,'normal case'!W101)</f>
        <v>5.4999998509883881</v>
      </c>
      <c r="W101" s="61">
        <f t="shared" ca="1" si="13"/>
        <v>5.4999998509883881</v>
      </c>
      <c r="X101" s="166">
        <f ca="1">IF(controls!$B$44=0,Y101+'main page'!$K$29*L101+(1-'main page'!$K$29)*controls!$B$9+(('main page'!$K$25*'main page'!$U$13*'main page'!$K$29)/('main page'!$K$27*(1+('main page'!$K$25^2)*'main page'!$U$13)))*(L101-controls!$B$9),Y101+'main page'!$K$29*L101+(1-'main page'!$K$29)*controls!$B$9+(('main page'!$K$25*'main page'!$U$13*'normal case'!$AV$3)/'normal case'!$AV$4)*('normal case'!L101-controls!$B$9))</f>
        <v>5.4999998509883881</v>
      </c>
      <c r="Y101" s="81">
        <f ca="1">IF(controls!$B$44=1,'main page'!$K$24+'main page'!$K$11,IF(controls!$B$33=1,((I102-D101*AD102-B102+B101*AC102)/'main page'!$K$27)-'main page'!$K$11,((H102-D101*AD102-B102+B101*AC102)/'main page'!$K$27)-'main page'!$K$11))</f>
        <v>3.5</v>
      </c>
      <c r="AA101" s="58">
        <f>IF(controls!$B$6=1,$AS$3*(1+('main page'!$K$35/100))^AB101-$AS$3*(1+('main page'!$K$35/100))^AB100,$AS$3*(1+('main page'!$G$8/100))*(1+('main page'!$K$35/100))^AB101-$AS$3*(1+('main page'!$G$8/100))*(1+('main page'!$K$35/100))^AB100)</f>
        <v>0</v>
      </c>
      <c r="AB101" s="60">
        <v>94</v>
      </c>
      <c r="AC101" s="125">
        <f ca="1">IF(controls!$B$4=1,IF(controls!$H100=1,controls!$B$34*AC100+RAND()*('main page'!$K$16/100)-RAND()*('main page'!$K$16/100),0),0)</f>
        <v>0</v>
      </c>
      <c r="AD101" s="36">
        <f ca="1">IF(controls!$B$4=1,IF(controls!$I100=1,controls!$B$34*AD100+RAND()*('main page'!$K$16/100)-RAND()*('main page'!$K$16/100),0),0)</f>
        <v>0</v>
      </c>
      <c r="AE101" s="44">
        <f ca="1">IF(controls!$B$33=1,D101-($I$3-'main page'!$K$27*2)*(1+('main page'!$K$35/100))^A100,D101-$AS$4)</f>
        <v>1.0000000596046448</v>
      </c>
      <c r="AF101" s="44">
        <f ca="1">ABS(L101-(controls!$B$9/100)*100)</f>
        <v>1.1920928955078125E-7</v>
      </c>
      <c r="AH101" s="44">
        <f ca="1">IF(controls!$B$33=1,(B102-B101*AC102-I102+D101*AD102+'main page'!$K$27*('main page'!$K$24+'main page'!$K$11))/'main page'!$K$31,(B102-B101*AC102+D101*AD102-H102+'main page'!$K$27*('main page'!$K$24+'main page'!$K$11))/'main page'!$K$31)</f>
        <v>1</v>
      </c>
      <c r="AI101" s="44">
        <f ca="1">IF(controls!$B$45=1,LOG(AM101,1.01)+LOG(AL101,1.01)-LOG(AK101,1.01),-((T101-('main page'!$K$24+'main page'!$K$11))/(1-'normal case'!$AV$3))+'normal case'!AH101)</f>
        <v>2.0000000596046448</v>
      </c>
      <c r="AJ101" s="80">
        <f t="shared" ca="1" si="14"/>
        <v>1.0506250015463039</v>
      </c>
      <c r="AK101" s="44">
        <f t="shared" ca="1" si="15"/>
        <v>6.8276811792052783</v>
      </c>
      <c r="AL101" s="44">
        <f>AL100*(1+'main page'!$K$32/100)</f>
        <v>1</v>
      </c>
      <c r="AM101" s="44">
        <f ca="1">IF(ABS(IF(controls!$B$45=1,$AS$13,AK101*AJ101/AL101)-AM100)&lt;0.00001,AM100,IF(controls!$B$45=1,$AS$13,AK101*AJ101/AL101))</f>
        <v>7.1733325494602154</v>
      </c>
      <c r="AN101" s="44">
        <f>IF(controls!$B$46=0,0,IF(controls!$B$33=2,B102-B101*AC102-('normal case'!H102-D101*AD102-'main page'!$K$27*'normal case'!T101+'main page'!$K$31*'normal case'!AI101)-(('main page'!$K$25*'main page'!$U$13*'main page'!$K$29)/(1+('main page'!$K$25^2)*'main page'!$U$13))*('normal case'!L101-'main page'!$U$8),B102-B101*AC102-('normal case'!I102-D101*AD102-'main page'!$K$27*'normal case'!T101+'main page'!$K$31*'normal case'!AI101)-(('main page'!$K$25*'main page'!$U$13*'main page'!$K$29)/(1+('main page'!$K$25^2)*'main page'!$U$13))*('normal case'!L101-'main page'!$U$8)))</f>
        <v>0</v>
      </c>
      <c r="AU101" s="36"/>
      <c r="AV101" s="36"/>
    </row>
    <row r="102" spans="1:48">
      <c r="A102" s="43">
        <v>100</v>
      </c>
      <c r="B102" s="62">
        <f ca="1">IF(controls!$B$33=1,B101*(1+AC102)+AA102,B101*(1+AC102))</f>
        <v>101</v>
      </c>
      <c r="C102" s="67">
        <f t="shared" ca="1" si="16"/>
        <v>-1.5107707374006907E-7</v>
      </c>
      <c r="D102" s="64">
        <f t="shared" ca="1" si="12"/>
        <v>101.00000005960464</v>
      </c>
      <c r="E102" s="64">
        <f ca="1">AN101+IF(controls!$B$33=1,G102,F102)</f>
        <v>101.00000005960464</v>
      </c>
      <c r="F102" s="78">
        <f ca="1">IF(controls!$B$44=0,H102-'main page'!$K$27*T101,H102-'main page'!$K$27*T101+'main page'!$K$31*AI101)</f>
        <v>101.00000005960464</v>
      </c>
      <c r="G102" s="62">
        <f ca="1">IF(controls!$B$44=0,I102-'main page'!$K$27*T101,I102-'main page'!$K$27*T101+'main page'!$K$31*'normal case'!AI101)</f>
        <v>101.00000005960464</v>
      </c>
      <c r="H102" s="62">
        <f t="shared" ca="1" si="18"/>
        <v>108</v>
      </c>
      <c r="I102" s="62">
        <f t="shared" ca="1" si="19"/>
        <v>108</v>
      </c>
      <c r="L102" s="62">
        <f ca="1">IF(ABS('main page'!$K$29*L101+(1-'main page'!$K$29)*(controls!$B$9/100)*100+'main page'!$K$25*(D102-B102)-L101)&lt;0.0000001,L101,'main page'!$K$29*L101+(1-'main page'!$K$29)*(controls!$B$9/100)*100+'main page'!$K$25*(D102-B102))</f>
        <v>1.9999998807907104</v>
      </c>
      <c r="Q102" s="409">
        <f ca="1">(1-'main page'!$K$29)*($AS$11/100)*100+'main page'!$K$25*(D102-B102)</f>
        <v>5.9604644775390625E-8</v>
      </c>
      <c r="R102" s="409">
        <f>'main page'!G106+'main page'!$K$29*M101</f>
        <v>0</v>
      </c>
      <c r="S102" s="409">
        <f t="shared" ca="1" si="17"/>
        <v>5.9604644775390625E-8</v>
      </c>
      <c r="T102" s="79">
        <f ca="1">IF(controls!$B$10=1,T101,IF(SUM(controls!$B$44:$B$46)=2,U102-'main page'!$K$29*'normal case'!L102-(1-'main page'!$K$29)*'main page'!$K$32,U102-'main page'!$K$29*'normal case'!L102-(1-'main page'!$K$29)*controls!$B$9))</f>
        <v>3.4999999701976776</v>
      </c>
      <c r="U102" s="164">
        <f ca="1">IF(controls!$B$45=1,IF(controls!$B$46=1,'main page'!$K$24+'main page'!$K$11+'main page'!$U$8,'main page'!$K$24+'main page'!$K$11+'main page'!$K$32),IF(controls!$B$44=1,IF(V102&lt;0,0,V102),IF(V102+'main page'!$K$11&lt;0,0,V102+'main page'!$K$11)))</f>
        <v>5.4999998509883881</v>
      </c>
      <c r="V102" s="63">
        <f ca="1">IF(controls!$B$10=1,'normal case'!T102+'normal case'!L102,'normal case'!W102)</f>
        <v>5.4999998509883881</v>
      </c>
      <c r="W102" s="61">
        <f t="shared" ca="1" si="13"/>
        <v>5.4999998509883881</v>
      </c>
      <c r="X102" s="166">
        <f ca="1">IF(controls!$B$44=0,Y102+'main page'!$K$29*L102+(1-'main page'!$K$29)*controls!$B$9+(('main page'!$K$25*'main page'!$U$13*'main page'!$K$29)/('main page'!$K$27*(1+('main page'!$K$25^2)*'main page'!$U$13)))*(L102-controls!$B$9),Y102+'main page'!$K$29*L102+(1-'main page'!$K$29)*controls!$B$9+(('main page'!$K$25*'main page'!$U$13*'normal case'!$AV$3)/'normal case'!$AV$4)*('normal case'!L102-controls!$B$9))</f>
        <v>5.4999998509883881</v>
      </c>
      <c r="Y102" s="81">
        <f ca="1">IF(controls!$B$44=1,'main page'!$K$24+'main page'!$K$11,IF(controls!$B$33=1,((I103-D102*AD103-B103+B102*AC103)/'main page'!$K$27)-'main page'!$K$11,((H103-D102*AD103-B103+B102*AC103)/'main page'!$K$27)-'main page'!$K$11))</f>
        <v>3.5</v>
      </c>
      <c r="AA102" s="58">
        <f>IF(controls!$B$6=1,$AS$3*(1+('main page'!$K$35/100))^AB102-$AS$3*(1+('main page'!$K$35/100))^AB101,$AS$3*(1+('main page'!$G$8/100))*(1+('main page'!$K$35/100))^AB102-$AS$3*(1+('main page'!$G$8/100))*(1+('main page'!$K$35/100))^AB101)</f>
        <v>0</v>
      </c>
      <c r="AB102" s="60">
        <v>95</v>
      </c>
      <c r="AC102" s="125">
        <v>0</v>
      </c>
      <c r="AD102" s="36">
        <v>0</v>
      </c>
      <c r="AE102" s="44">
        <f ca="1">IF(controls!$B$33=1,D102-($I$3-'main page'!$K$27*2)*(1+('main page'!$K$35/100))^A101,D102-$AS$4)</f>
        <v>1.0000000596046448</v>
      </c>
      <c r="AF102" s="44">
        <f ca="1">ABS(L102-(controls!$B$9/100)*100)</f>
        <v>1.1920928955078125E-7</v>
      </c>
      <c r="AH102" s="44">
        <f ca="1">IF(controls!$B$33=1,(B103-B102*AC103-I103+D102*AD103+'main page'!$K$27*('main page'!$K$24+'main page'!$K$11))/'main page'!$K$31,(B103-B102*AC103+D102*AD103-H103+'main page'!$K$27*('main page'!$K$24+'main page'!$K$11))/'main page'!$K$31)</f>
        <v>1</v>
      </c>
      <c r="AI102" s="44">
        <f ca="1">IF(controls!$B$45=1,LOG(AM102,1.01)+LOG(AL102,1.01)-LOG(AK102,1.01),-((T102-('main page'!$K$24+'main page'!$K$11))/(1-'normal case'!$AV$3))+'normal case'!AH102)</f>
        <v>2.0000000596046448</v>
      </c>
      <c r="AJ102" s="80">
        <f t="shared" ca="1" si="14"/>
        <v>1.0506250015463039</v>
      </c>
      <c r="AK102" s="44">
        <f t="shared" ca="1" si="15"/>
        <v>6.9642347946501539</v>
      </c>
      <c r="AL102" s="44">
        <f>AL101*(1+'main page'!$K$32/100)</f>
        <v>1</v>
      </c>
      <c r="AM102" s="44">
        <f ca="1">IF(ABS(IF(controls!$B$45=1,$AS$13,AK102*AJ102/AL102)-AM101)&lt;0.00001,AM101,IF(controls!$B$45=1,$AS$13,AK102*AJ102/AL102))</f>
        <v>7.3167991918981414</v>
      </c>
      <c r="AN102" s="44">
        <f>IF(controls!$B$46=0,0,IF(controls!$B$33=2,B103-B102*AC103-('normal case'!H103-D102*AD103-'main page'!$K$27*'normal case'!T102+'main page'!$K$31*'normal case'!AI102)-(('main page'!$K$25*'main page'!$U$13*'main page'!$K$29)/(1+('main page'!$K$25^2)*'main page'!$U$13))*('normal case'!L102-'main page'!$U$8),B103-B102*AC103-('normal case'!I103-D102*AD103-'main page'!$K$27*'normal case'!T102+'main page'!$K$31*'normal case'!AI102)-(('main page'!$K$25*'main page'!$U$13*'main page'!$K$29)/(1+('main page'!$K$25^2)*'main page'!$U$13))*('normal case'!L102-'main page'!$U$8)))</f>
        <v>0</v>
      </c>
      <c r="AU102" s="36"/>
      <c r="AV102" s="36"/>
    </row>
    <row r="103" spans="1:48">
      <c r="A103" s="43">
        <v>101</v>
      </c>
      <c r="B103" s="62">
        <f ca="1">IF(controls!$B$33=1,B102*(1+AC103)+AA103,B102*(1+AC103))</f>
        <v>101</v>
      </c>
      <c r="C103" s="67">
        <f t="shared" ca="1" si="16"/>
        <v>-1.5107707374006907E-7</v>
      </c>
      <c r="D103" s="64">
        <f t="shared" ca="1" si="12"/>
        <v>101.00000005960464</v>
      </c>
      <c r="E103" s="64">
        <f ca="1">AN102+IF(controls!$B$33=1,G103,F103)</f>
        <v>101.00000005960464</v>
      </c>
      <c r="F103" s="78">
        <f ca="1">IF(controls!$B$44=0,H103-'main page'!$K$27*T102,H103-'main page'!$K$27*T102+'main page'!$K$31*AI102)</f>
        <v>101.00000005960464</v>
      </c>
      <c r="G103" s="62">
        <f ca="1">IF(controls!$B$44=0,I103-'main page'!$K$27*T102,I103-'main page'!$K$27*T102+'main page'!$K$31*'normal case'!AI102)</f>
        <v>101.00000005960464</v>
      </c>
      <c r="H103" s="62">
        <f t="shared" ca="1" si="18"/>
        <v>108</v>
      </c>
      <c r="I103" s="62">
        <f t="shared" ca="1" si="19"/>
        <v>108</v>
      </c>
      <c r="L103" s="62">
        <f ca="1">IF(ABS('main page'!$K$29*L102+(1-'main page'!$K$29)*(controls!$B$9/100)*100+'main page'!$K$25*(D103-B103)-L102)&lt;0.0000001,L102,'main page'!$K$29*L102+(1-'main page'!$K$29)*(controls!$B$9/100)*100+'main page'!$K$25*(D103-B103))</f>
        <v>1.9999998807907104</v>
      </c>
      <c r="Q103" s="409">
        <f ca="1">(1-'main page'!$K$29)*($AS$11/100)*100+'main page'!$K$25*(D103-B103)</f>
        <v>5.9604644775390625E-8</v>
      </c>
      <c r="R103" s="409">
        <f>'main page'!G107+'main page'!$K$29*M102</f>
        <v>0</v>
      </c>
      <c r="S103" s="409">
        <f t="shared" ca="1" si="17"/>
        <v>5.9604644775390625E-8</v>
      </c>
      <c r="T103" s="79">
        <f ca="1">IF(controls!$B$10=1,T102,IF(SUM(controls!$B$44:$B$46)=2,U103-'main page'!$K$29*'normal case'!L103-(1-'main page'!$K$29)*'main page'!$K$32,U103-'main page'!$K$29*'normal case'!L103-(1-'main page'!$K$29)*controls!$B$9))</f>
        <v>3.4999999701976776</v>
      </c>
      <c r="U103" s="164">
        <f ca="1">IF(controls!$B$45=1,IF(controls!$B$46=1,'main page'!$K$24+'main page'!$K$11+'main page'!$U$8,'main page'!$K$24+'main page'!$K$11+'main page'!$K$32),IF(controls!$B$44=1,IF(V103&lt;0,0,V103),IF(V103+'main page'!$K$11&lt;0,0,V103+'main page'!$K$11)))</f>
        <v>5.4999998509883881</v>
      </c>
      <c r="V103" s="63">
        <f ca="1">IF(controls!$B$10=1,'normal case'!T103+'normal case'!L103,'normal case'!W103)</f>
        <v>5.4999998509883881</v>
      </c>
      <c r="W103" s="61">
        <f t="shared" ca="1" si="13"/>
        <v>5.4999998509883881</v>
      </c>
      <c r="X103" s="166">
        <f ca="1">IF(controls!$B$44=0,Y103+'main page'!$K$29*L103+(1-'main page'!$K$29)*controls!$B$9+(('main page'!$K$25*'main page'!$U$13*'main page'!$K$29)/('main page'!$K$27*(1+('main page'!$K$25^2)*'main page'!$U$13)))*(L103-controls!$B$9),Y103+'main page'!$K$29*L103+(1-'main page'!$K$29)*controls!$B$9+(('main page'!$K$25*'main page'!$U$13*'normal case'!$AV$3)/'normal case'!$AV$4)*('normal case'!L103-controls!$B$9))</f>
        <v>5.4999998509883881</v>
      </c>
      <c r="Y103" s="81">
        <f ca="1">IF(controls!$B$44=1,'main page'!$K$24+'main page'!$K$11,IF(controls!$B$33=1,((I104-D103*AD104-B104+B103*AC104)/'main page'!$K$27)-'main page'!$K$11,((H104-D103*AD104-B104+B103*AC104)/'main page'!$K$27)-'main page'!$K$11))</f>
        <v>3.5</v>
      </c>
      <c r="AA103" s="58">
        <f>IF(controls!$B$6=1,$AS$3*(1+('main page'!$K$35/100))^AB103-$AS$3*(1+('main page'!$K$35/100))^AB102,$AS$3*(1+('main page'!$G$8/100))*(1+('main page'!$K$35/100))^AB103-$AS$3*(1+('main page'!$G$8/100))*(1+('main page'!$K$35/100))^AB102)</f>
        <v>0</v>
      </c>
      <c r="AB103" s="60">
        <v>96</v>
      </c>
      <c r="AC103" s="125">
        <v>0</v>
      </c>
      <c r="AD103" s="36">
        <v>0</v>
      </c>
      <c r="AE103" s="44">
        <f ca="1">IF(controls!$B$33=1,D103-($I$3-'main page'!$K$27*2)*(1+('main page'!$K$35/100))^A102,D103-$AS$4)</f>
        <v>1.0000000596046448</v>
      </c>
      <c r="AF103" s="44">
        <f ca="1">ABS(L103-(controls!$B$9/100)*100)</f>
        <v>1.1920928955078125E-7</v>
      </c>
      <c r="AH103" s="44">
        <f ca="1">IF(controls!$B$33=1,(B104-B103*AC104-I104+D103*AD104+'main page'!$K$27*('main page'!$K$24+'main page'!$K$11))/'main page'!$K$31,(B104-B103*AC104+D103*AD104-H104+'main page'!$K$27*('main page'!$K$24+'main page'!$K$11))/'main page'!$K$31)</f>
        <v>1</v>
      </c>
      <c r="AI103" s="44">
        <f ca="1">IF(controls!$B$45=1,LOG(AM103,1.01)+LOG(AL103,1.01)-LOG(AK103,1.01),-((T103-('main page'!$K$24+'main page'!$K$11))/(1-'normal case'!$AV$3))+'normal case'!AH103)</f>
        <v>2.0000000596046448</v>
      </c>
      <c r="AJ103" s="80">
        <f t="shared" ca="1" si="14"/>
        <v>1.0506250015463039</v>
      </c>
      <c r="AK103" s="44">
        <f t="shared" ca="1" si="15"/>
        <v>7.1035194822411425</v>
      </c>
      <c r="AL103" s="44">
        <f>AL102*(1+'main page'!$K$32/100)</f>
        <v>1</v>
      </c>
      <c r="AM103" s="44">
        <f ca="1">IF(ABS(IF(controls!$B$45=1,$AS$13,AK103*AJ103/AL103)-AM102)&lt;0.00001,AM102,IF(controls!$B$45=1,$AS$13,AK103*AJ103/AL103))</f>
        <v>7.4631351670138004</v>
      </c>
      <c r="AN103" s="44">
        <f>IF(controls!$B$46=0,0,IF(controls!$B$33=2,B104-B103*AC104-('normal case'!H104-D103*AD104-'main page'!$K$27*'normal case'!T103+'main page'!$K$31*'normal case'!AI103)-(('main page'!$K$25*'main page'!$U$13*'main page'!$K$29)/(1+('main page'!$K$25^2)*'main page'!$U$13))*('normal case'!L103-'main page'!$U$8),B104-B103*AC104-('normal case'!I104-D103*AD104-'main page'!$K$27*'normal case'!T103+'main page'!$K$31*'normal case'!AI103)-(('main page'!$K$25*'main page'!$U$13*'main page'!$K$29)/(1+('main page'!$K$25^2)*'main page'!$U$13))*('normal case'!L103-'main page'!$U$8)))</f>
        <v>0</v>
      </c>
      <c r="AU103" s="36"/>
      <c r="AV103" s="36"/>
    </row>
    <row r="104" spans="1:48">
      <c r="A104" s="43">
        <v>102</v>
      </c>
      <c r="B104" s="62">
        <f ca="1">IF(controls!$B$33=1,B103*(1+AC104)+AA104,B103*(1+AC104))</f>
        <v>101</v>
      </c>
      <c r="C104" s="67">
        <f t="shared" ca="1" si="16"/>
        <v>-1.5107707374006907E-7</v>
      </c>
      <c r="D104" s="64">
        <f t="shared" ca="1" si="12"/>
        <v>101.00000005960464</v>
      </c>
      <c r="E104" s="64">
        <f ca="1">AN103+IF(controls!$B$33=1,G104,F104)</f>
        <v>101.00000005960464</v>
      </c>
      <c r="F104" s="78">
        <f ca="1">IF(controls!$B$44=0,H104-'main page'!$K$27*T103,H104-'main page'!$K$27*T103+'main page'!$K$31*AI103)</f>
        <v>101.00000005960464</v>
      </c>
      <c r="G104" s="62">
        <f ca="1">IF(controls!$B$44=0,I104-'main page'!$K$27*T103,I104-'main page'!$K$27*T103+'main page'!$K$31*'normal case'!AI103)</f>
        <v>101.00000005960464</v>
      </c>
      <c r="H104" s="62">
        <f t="shared" ca="1" si="18"/>
        <v>108</v>
      </c>
      <c r="I104" s="62">
        <f t="shared" ca="1" si="19"/>
        <v>108</v>
      </c>
      <c r="L104" s="62">
        <f ca="1">IF(ABS('main page'!$K$29*L103+(1-'main page'!$K$29)*(controls!$B$9/100)*100+'main page'!$K$25*(D104-B104)-L103)&lt;0.0000001,L103,'main page'!$K$29*L103+(1-'main page'!$K$29)*(controls!$B$9/100)*100+'main page'!$K$25*(D104-B104))</f>
        <v>1.9999998807907104</v>
      </c>
      <c r="Q104" s="409">
        <f ca="1">(1-'main page'!$K$29)*($AS$11/100)*100+'main page'!$K$25*(D104-B104)</f>
        <v>5.9604644775390625E-8</v>
      </c>
      <c r="R104" s="409">
        <f>'main page'!G108+'main page'!$K$29*M103</f>
        <v>0</v>
      </c>
      <c r="S104" s="409">
        <f t="shared" ca="1" si="17"/>
        <v>5.9604644775390625E-8</v>
      </c>
      <c r="T104" s="79">
        <f ca="1">IF(controls!$B$10=1,T103,IF(SUM(controls!$B$44:$B$46)=2,U104-'main page'!$K$29*'normal case'!L104-(1-'main page'!$K$29)*'main page'!$K$32,U104-'main page'!$K$29*'normal case'!L104-(1-'main page'!$K$29)*controls!$B$9))</f>
        <v>3.4999999701976776</v>
      </c>
      <c r="U104" s="164">
        <f ca="1">IF(controls!$B$45=1,IF(controls!$B$46=1,'main page'!$K$24+'main page'!$K$11+'main page'!$U$8,'main page'!$K$24+'main page'!$K$11+'main page'!$K$32),IF(controls!$B$44=1,IF(V104&lt;0,0,V104),IF(V104+'main page'!$K$11&lt;0,0,V104+'main page'!$K$11)))</f>
        <v>5.4999998509883881</v>
      </c>
      <c r="V104" s="63">
        <f ca="1">IF(controls!$B$10=1,'normal case'!T104+'normal case'!L104,'normal case'!W104)</f>
        <v>5.4999998509883881</v>
      </c>
      <c r="W104" s="61">
        <f t="shared" ca="1" si="13"/>
        <v>5.4999998509883881</v>
      </c>
      <c r="X104" s="166">
        <f ca="1">IF(controls!$B$44=0,Y104+'main page'!$K$29*L104+(1-'main page'!$K$29)*controls!$B$9+(('main page'!$K$25*'main page'!$U$13*'main page'!$K$29)/('main page'!$K$27*(1+('main page'!$K$25^2)*'main page'!$U$13)))*(L104-controls!$B$9),Y104+'main page'!$K$29*L104+(1-'main page'!$K$29)*controls!$B$9+(('main page'!$K$25*'main page'!$U$13*'normal case'!$AV$3)/'normal case'!$AV$4)*('normal case'!L104-controls!$B$9))</f>
        <v>5.4999998509883881</v>
      </c>
      <c r="Y104" s="81">
        <f ca="1">IF(controls!$B$44=1,'main page'!$K$24+'main page'!$K$11,IF(controls!$B$33=1,((I105-D104*AD105-B105+B104*AC105)/'main page'!$K$27)-'main page'!$K$11,((H105-D104*AD105-B105+B104*AC105)/'main page'!$K$27)-'main page'!$K$11))</f>
        <v>3.5</v>
      </c>
      <c r="AA104" s="58">
        <f>IF(controls!$B$6=1,$AS$3*(1+('main page'!$K$35/100))^AB104-$AS$3*(1+('main page'!$K$35/100))^AB103,$AS$3*(1+('main page'!$G$8/100))*(1+('main page'!$K$35/100))^AB104-$AS$3*(1+('main page'!$G$8/100))*(1+('main page'!$K$35/100))^AB103)</f>
        <v>0</v>
      </c>
      <c r="AB104" s="60">
        <v>97</v>
      </c>
      <c r="AC104" s="125">
        <f ca="1">IF(controls!$B$4=1,IF(controls!$H103=1,controls!$B$34*AC103+RAND()*('main page'!$K$16/100)-RAND()*('main page'!$K$16/100),0),0)</f>
        <v>0</v>
      </c>
      <c r="AD104" s="36">
        <f ca="1">IF(controls!$B$4=1,IF(controls!$I103=1,controls!$B$34*AD103+RAND()*('main page'!$K$16/100)-RAND()*('main page'!$K$16/100),0),0)</f>
        <v>0</v>
      </c>
      <c r="AE104" s="44">
        <f ca="1">IF(controls!$B$33=1,D104-($I$3-'main page'!$K$27*2)*(1+('main page'!$K$35/100))^A103,D104-$AS$4)</f>
        <v>1.0000000596046448</v>
      </c>
      <c r="AF104" s="44">
        <f ca="1">ABS(L104-(controls!$B$9/100)*100)</f>
        <v>1.1920928955078125E-7</v>
      </c>
      <c r="AH104" s="44">
        <f ca="1">IF(controls!$B$33=1,(B105-B104*AC105-I105+D104*AD105+'main page'!$K$27*('main page'!$K$24+'main page'!$K$11))/'main page'!$K$31,(B105-B104*AC105+D104*AD105-H105+'main page'!$K$27*('main page'!$K$24+'main page'!$K$11))/'main page'!$K$31)</f>
        <v>1</v>
      </c>
      <c r="AI104" s="44">
        <f ca="1">IF(controls!$B$45=1,LOG(AM104,1.01)+LOG(AL104,1.01)-LOG(AK104,1.01),-((T104-('main page'!$K$24+'main page'!$K$11))/(1-'normal case'!$AV$3))+'normal case'!AH104)</f>
        <v>2.0000000596046448</v>
      </c>
      <c r="AJ104" s="80">
        <f t="shared" ca="1" si="14"/>
        <v>1.0506250015463039</v>
      </c>
      <c r="AK104" s="44">
        <f t="shared" ca="1" si="15"/>
        <v>7.2455898634179103</v>
      </c>
      <c r="AL104" s="44">
        <f>AL103*(1+'main page'!$K$32/100)</f>
        <v>1</v>
      </c>
      <c r="AM104" s="44">
        <f ca="1">IF(ABS(IF(controls!$B$45=1,$AS$13,AK104*AJ104/AL104)-AM103)&lt;0.00001,AM103,IF(controls!$B$45=1,$AS$13,AK104*AJ104/AL104))</f>
        <v>7.6123978614573256</v>
      </c>
      <c r="AN104" s="44">
        <f>IF(controls!$B$46=0,0,IF(controls!$B$33=2,B105-B104*AC105-('normal case'!H105-D104*AD105-'main page'!$K$27*'normal case'!T104+'main page'!$K$31*'normal case'!AI104)-(('main page'!$K$25*'main page'!$U$13*'main page'!$K$29)/(1+('main page'!$K$25^2)*'main page'!$U$13))*('normal case'!L104-'main page'!$U$8),B105-B104*AC105-('normal case'!I105-D104*AD105-'main page'!$K$27*'normal case'!T104+'main page'!$K$31*'normal case'!AI104)-(('main page'!$K$25*'main page'!$U$13*'main page'!$K$29)/(1+('main page'!$K$25^2)*'main page'!$U$13))*('normal case'!L104-'main page'!$U$8)))</f>
        <v>0</v>
      </c>
      <c r="AU104" s="36"/>
      <c r="AV104" s="36"/>
    </row>
    <row r="105" spans="1:48">
      <c r="A105" s="43">
        <v>103</v>
      </c>
      <c r="B105" s="62">
        <f ca="1">IF(controls!$B$33=1,B104*(1+AC105)+AA105,B104*(1+AC105))</f>
        <v>101</v>
      </c>
      <c r="C105" s="67">
        <f t="shared" ca="1" si="16"/>
        <v>-1.5107707374006907E-7</v>
      </c>
      <c r="D105" s="64">
        <f t="shared" ca="1" si="12"/>
        <v>101.00000005960464</v>
      </c>
      <c r="E105" s="64">
        <f ca="1">AN104+IF(controls!$B$33=1,G105,F105)</f>
        <v>101.00000005960464</v>
      </c>
      <c r="F105" s="78">
        <f ca="1">IF(controls!$B$44=0,H105-'main page'!$K$27*T104,H105-'main page'!$K$27*T104+'main page'!$K$31*AI104)</f>
        <v>101.00000005960464</v>
      </c>
      <c r="G105" s="62">
        <f ca="1">IF(controls!$B$44=0,I105-'main page'!$K$27*T104,I105-'main page'!$K$27*T104+'main page'!$K$31*'normal case'!AI104)</f>
        <v>101.00000005960464</v>
      </c>
      <c r="H105" s="62">
        <f t="shared" ca="1" si="18"/>
        <v>108</v>
      </c>
      <c r="I105" s="62">
        <f t="shared" ca="1" si="19"/>
        <v>108</v>
      </c>
      <c r="L105" s="62">
        <f ca="1">IF(ABS('main page'!$K$29*L104+(1-'main page'!$K$29)*(controls!$B$9/100)*100+'main page'!$K$25*(D105-B105)-L104)&lt;0.0000001,L104,'main page'!$K$29*L104+(1-'main page'!$K$29)*(controls!$B$9/100)*100+'main page'!$K$25*(D105-B105))</f>
        <v>1.9999998807907104</v>
      </c>
      <c r="Q105" s="409">
        <f ca="1">(1-'main page'!$K$29)*($AS$11/100)*100+'main page'!$K$25*(D105-B105)</f>
        <v>5.9604644775390625E-8</v>
      </c>
      <c r="R105" s="409">
        <f>'main page'!G109+'main page'!$K$29*M104</f>
        <v>0</v>
      </c>
      <c r="S105" s="409">
        <f t="shared" ca="1" si="17"/>
        <v>5.9604644775390625E-8</v>
      </c>
      <c r="T105" s="79">
        <f ca="1">IF(controls!$B$10=1,T104,IF(SUM(controls!$B$44:$B$46)=2,U105-'main page'!$K$29*'normal case'!L105-(1-'main page'!$K$29)*'main page'!$K$32,U105-'main page'!$K$29*'normal case'!L105-(1-'main page'!$K$29)*controls!$B$9))</f>
        <v>3.4999999701976776</v>
      </c>
      <c r="U105" s="164">
        <f ca="1">IF(controls!$B$45=1,IF(controls!$B$46=1,'main page'!$K$24+'main page'!$K$11+'main page'!$U$8,'main page'!$K$24+'main page'!$K$11+'main page'!$K$32),IF(controls!$B$44=1,IF(V105&lt;0,0,V105),IF(V105+'main page'!$K$11&lt;0,0,V105+'main page'!$K$11)))</f>
        <v>5.4999998509883881</v>
      </c>
      <c r="V105" s="63">
        <f ca="1">IF(controls!$B$10=1,'normal case'!T105+'normal case'!L105,'normal case'!W105)</f>
        <v>5.4999998509883881</v>
      </c>
      <c r="W105" s="61">
        <f t="shared" ca="1" si="13"/>
        <v>5.4999998509883881</v>
      </c>
      <c r="X105" s="166">
        <f ca="1">IF(controls!$B$44=0,Y105+'main page'!$K$29*L105+(1-'main page'!$K$29)*controls!$B$9+(('main page'!$K$25*'main page'!$U$13*'main page'!$K$29)/('main page'!$K$27*(1+('main page'!$K$25^2)*'main page'!$U$13)))*(L105-controls!$B$9),Y105+'main page'!$K$29*L105+(1-'main page'!$K$29)*controls!$B$9+(('main page'!$K$25*'main page'!$U$13*'normal case'!$AV$3)/'normal case'!$AV$4)*('normal case'!L105-controls!$B$9))</f>
        <v>5.4999998509883881</v>
      </c>
      <c r="Y105" s="81">
        <f ca="1">IF(controls!$B$44=1,'main page'!$K$24+'main page'!$K$11,IF(controls!$B$33=1,((I106-D105*AD106-B106+B105*AC106)/'main page'!$K$27)-'main page'!$K$11,((H106-D105*AD106-B106+B105*AC106)/'main page'!$K$27)-'main page'!$K$11))</f>
        <v>3.5</v>
      </c>
      <c r="AA105" s="58">
        <f>IF(controls!$B$6=1,$AS$3*(1+('main page'!$K$35/100))^AB105-$AS$3*(1+('main page'!$K$35/100))^AB104,$AS$3*(1+('main page'!$G$8/100))*(1+('main page'!$K$35/100))^AB105-$AS$3*(1+('main page'!$G$8/100))*(1+('main page'!$K$35/100))^AB104)</f>
        <v>0</v>
      </c>
      <c r="AB105" s="60">
        <v>98</v>
      </c>
      <c r="AC105" s="125">
        <v>0</v>
      </c>
      <c r="AD105" s="36">
        <v>0</v>
      </c>
      <c r="AE105" s="44">
        <f ca="1">IF(controls!$B$33=1,D105-($I$3-'main page'!$K$27*2)*(1+('main page'!$K$35/100))^A104,D105-$AS$4)</f>
        <v>1.0000000596046448</v>
      </c>
      <c r="AF105" s="44">
        <f ca="1">ABS(L105-(controls!$B$9/100)*100)</f>
        <v>1.1920928955078125E-7</v>
      </c>
      <c r="AH105" s="44">
        <f ca="1">IF(controls!$B$33=1,(B106-B105*AC106-I106+D105*AD106+'main page'!$K$27*('main page'!$K$24+'main page'!$K$11))/'main page'!$K$31,(B106-B105*AC106+D105*AD106-H106+'main page'!$K$27*('main page'!$K$24+'main page'!$K$11))/'main page'!$K$31)</f>
        <v>1</v>
      </c>
      <c r="AI105" s="44">
        <f ca="1">IF(controls!$B$45=1,LOG(AM105,1.01)+LOG(AL105,1.01)-LOG(AK105,1.01),-((T105-('main page'!$K$24+'main page'!$K$11))/(1-'normal case'!$AV$3))+'normal case'!AH105)</f>
        <v>2.0000000596046448</v>
      </c>
      <c r="AJ105" s="80">
        <f t="shared" ca="1" si="14"/>
        <v>1.0506250015463039</v>
      </c>
      <c r="AK105" s="44">
        <f t="shared" ca="1" si="15"/>
        <v>7.3905016520488527</v>
      </c>
      <c r="AL105" s="44">
        <f>AL104*(1+'main page'!$K$32/100)</f>
        <v>1</v>
      </c>
      <c r="AM105" s="44">
        <f ca="1">IF(ABS(IF(controls!$B$45=1,$AS$13,AK105*AJ105/AL105)-AM104)&lt;0.00001,AM104,IF(controls!$B$45=1,$AS$13,AK105*AJ105/AL105))</f>
        <v>7.7646458096117872</v>
      </c>
      <c r="AN105" s="44">
        <f>IF(controls!$B$46=0,0,IF(controls!$B$33=2,B106-B105*AC106-('normal case'!H106-D105*AD106-'main page'!$K$27*'normal case'!T105+'main page'!$K$31*'normal case'!AI105)-(('main page'!$K$25*'main page'!$U$13*'main page'!$K$29)/(1+('main page'!$K$25^2)*'main page'!$U$13))*('normal case'!L105-'main page'!$U$8),B106-B105*AC106-('normal case'!I106-D105*AD106-'main page'!$K$27*'normal case'!T105+'main page'!$K$31*'normal case'!AI105)-(('main page'!$K$25*'main page'!$U$13*'main page'!$K$29)/(1+('main page'!$K$25^2)*'main page'!$U$13))*('normal case'!L105-'main page'!$U$8)))</f>
        <v>0</v>
      </c>
      <c r="AU105" s="36"/>
      <c r="AV105" s="36"/>
    </row>
    <row r="106" spans="1:48">
      <c r="A106" s="43">
        <v>104</v>
      </c>
      <c r="B106" s="62">
        <f ca="1">IF(controls!$B$33=1,B105*(1+AC106)+AA106,B105*(1+AC106))</f>
        <v>101</v>
      </c>
      <c r="C106" s="67">
        <f t="shared" ca="1" si="16"/>
        <v>-1.5107707374006907E-7</v>
      </c>
      <c r="D106" s="64">
        <f t="shared" ca="1" si="12"/>
        <v>101.00000005960464</v>
      </c>
      <c r="E106" s="64">
        <f ca="1">AN105+IF(controls!$B$33=1,G106,F106)</f>
        <v>101.00000005960464</v>
      </c>
      <c r="F106" s="78">
        <f ca="1">IF(controls!$B$44=0,H106-'main page'!$K$27*T105,H106-'main page'!$K$27*T105+'main page'!$K$31*AI105)</f>
        <v>101.00000005960464</v>
      </c>
      <c r="G106" s="62">
        <f ca="1">IF(controls!$B$44=0,I106-'main page'!$K$27*T105,I106-'main page'!$K$27*T105+'main page'!$K$31*'normal case'!AI105)</f>
        <v>101.00000005960464</v>
      </c>
      <c r="H106" s="62">
        <f t="shared" ca="1" si="18"/>
        <v>108</v>
      </c>
      <c r="I106" s="62">
        <f t="shared" ca="1" si="19"/>
        <v>108</v>
      </c>
      <c r="L106" s="62">
        <f ca="1">IF(ABS('main page'!$K$29*L105+(1-'main page'!$K$29)*(controls!$B$9/100)*100+'main page'!$K$25*(D106-B106)-L105)&lt;0.0000001,L105,'main page'!$K$29*L105+(1-'main page'!$K$29)*(controls!$B$9/100)*100+'main page'!$K$25*(D106-B106))</f>
        <v>1.9999998807907104</v>
      </c>
      <c r="Q106" s="409">
        <f ca="1">(1-'main page'!$K$29)*($AS$11/100)*100+'main page'!$K$25*(D106-B106)</f>
        <v>5.9604644775390625E-8</v>
      </c>
      <c r="R106" s="409">
        <f>'main page'!G110+'main page'!$K$29*M105</f>
        <v>0</v>
      </c>
      <c r="S106" s="409">
        <f t="shared" ca="1" si="17"/>
        <v>5.9604644775390625E-8</v>
      </c>
      <c r="T106" s="79">
        <f ca="1">IF(controls!$B$10=1,T105,IF(SUM(controls!$B$44:$B$46)=2,U106-'main page'!$K$29*'normal case'!L106-(1-'main page'!$K$29)*'main page'!$K$32,U106-'main page'!$K$29*'normal case'!L106-(1-'main page'!$K$29)*controls!$B$9))</f>
        <v>3.4999999701976776</v>
      </c>
      <c r="U106" s="164">
        <f ca="1">IF(controls!$B$45=1,IF(controls!$B$46=1,'main page'!$K$24+'main page'!$K$11+'main page'!$U$8,'main page'!$K$24+'main page'!$K$11+'main page'!$K$32),IF(controls!$B$44=1,IF(V106&lt;0,0,V106),IF(V106+'main page'!$K$11&lt;0,0,V106+'main page'!$K$11)))</f>
        <v>5.4999998509883881</v>
      </c>
      <c r="V106" s="63">
        <f ca="1">IF(controls!$B$10=1,'normal case'!T106+'normal case'!L106,'normal case'!W106)</f>
        <v>5.4999998509883881</v>
      </c>
      <c r="W106" s="61">
        <f t="shared" ca="1" si="13"/>
        <v>5.4999998509883881</v>
      </c>
      <c r="X106" s="166">
        <f ca="1">IF(controls!$B$44=0,Y106+'main page'!$K$29*L106+(1-'main page'!$K$29)*controls!$B$9+(('main page'!$K$25*'main page'!$U$13*'main page'!$K$29)/('main page'!$K$27*(1+('main page'!$K$25^2)*'main page'!$U$13)))*(L106-controls!$B$9),Y106+'main page'!$K$29*L106+(1-'main page'!$K$29)*controls!$B$9+(('main page'!$K$25*'main page'!$U$13*'normal case'!$AV$3)/'normal case'!$AV$4)*('normal case'!L106-controls!$B$9))</f>
        <v>5.4999998509883881</v>
      </c>
      <c r="Y106" s="81">
        <f ca="1">IF(controls!$B$44=1,'main page'!$K$24+'main page'!$K$11,IF(controls!$B$33=1,((I107-D106*AD107-B107+B106*AC107)/'main page'!$K$27)-'main page'!$K$11,((H107-D106*AD107-B107+B106*AC107)/'main page'!$K$27)-'main page'!$K$11))</f>
        <v>3.5</v>
      </c>
      <c r="AA106" s="58">
        <f>IF(controls!$B$6=1,$AS$3*(1+('main page'!$K$35/100))^AB106-$AS$3*(1+('main page'!$K$35/100))^AB105,$AS$3*(1+('main page'!$G$8/100))*(1+('main page'!$K$35/100))^AB106-$AS$3*(1+('main page'!$G$8/100))*(1+('main page'!$K$35/100))^AB105)</f>
        <v>0</v>
      </c>
      <c r="AB106" s="60">
        <v>99</v>
      </c>
      <c r="AC106" s="125">
        <v>0</v>
      </c>
      <c r="AD106" s="36">
        <v>0</v>
      </c>
      <c r="AE106" s="44">
        <f ca="1">IF(controls!$B$33=1,D106-($I$3-'main page'!$K$27*2)*(1+('main page'!$K$35/100))^A105,D106-$AS$4)</f>
        <v>1.0000000596046448</v>
      </c>
      <c r="AF106" s="44">
        <f ca="1">ABS(L106-(controls!$B$9/100)*100)</f>
        <v>1.1920928955078125E-7</v>
      </c>
      <c r="AH106" s="44">
        <f ca="1">IF(controls!$B$33=1,(B107-B106*AC107-I107+D106*AD107+'main page'!$K$27*('main page'!$K$24+'main page'!$K$11))/'main page'!$K$31,(B107-B106*AC107+D106*AD107-H107+'main page'!$K$27*('main page'!$K$24+'main page'!$K$11))/'main page'!$K$31)</f>
        <v>1</v>
      </c>
      <c r="AI106" s="44">
        <f ca="1">IF(controls!$B$45=1,LOG(AM106,1.01)+LOG(AL106,1.01)-LOG(AK106,1.01),-((T106-('main page'!$K$24+'main page'!$K$11))/(1-'normal case'!$AV$3))+'normal case'!AH106)</f>
        <v>2.0000000596046448</v>
      </c>
      <c r="AJ106" s="80">
        <f t="shared" ca="1" si="14"/>
        <v>1.0506250015463039</v>
      </c>
      <c r="AK106" s="44">
        <f t="shared" ca="1" si="15"/>
        <v>7.5383116762796654</v>
      </c>
      <c r="AL106" s="44">
        <f>AL105*(1+'main page'!$K$32/100)</f>
        <v>1</v>
      </c>
      <c r="AM106" s="44">
        <f ca="1">IF(ABS(IF(controls!$B$45=1,$AS$13,AK106*AJ106/AL106)-AM105)&lt;0.00001,AM105,IF(controls!$B$45=1,$AS$13,AK106*AJ106/AL106))</f>
        <v>7.9199387165478443</v>
      </c>
      <c r="AN106" s="44">
        <f>IF(controls!$B$46=0,0,IF(controls!$B$33=2,B107-B106*AC107-('normal case'!H107-D106*AD107-'main page'!$K$27*'normal case'!T106+'main page'!$K$31*'normal case'!AI106)-(('main page'!$K$25*'main page'!$U$13*'main page'!$K$29)/(1+('main page'!$K$25^2)*'main page'!$U$13))*('normal case'!L106-'main page'!$U$8),B107-B106*AC107-('normal case'!I107-D106*AD107-'main page'!$K$27*'normal case'!T106+'main page'!$K$31*'normal case'!AI106)-(('main page'!$K$25*'main page'!$U$13*'main page'!$K$29)/(1+('main page'!$K$25^2)*'main page'!$U$13))*('normal case'!L106-'main page'!$U$8)))</f>
        <v>0</v>
      </c>
      <c r="AU106" s="36"/>
      <c r="AV106" s="36"/>
    </row>
    <row r="107" spans="1:48">
      <c r="A107" s="43">
        <v>105</v>
      </c>
      <c r="B107" s="62">
        <f ca="1">IF(controls!$B$33=1,B106*(1+AC107)+AA107,B106*(1+AC107))</f>
        <v>101</v>
      </c>
      <c r="C107" s="67">
        <f t="shared" ca="1" si="16"/>
        <v>-1.5107707374006907E-7</v>
      </c>
      <c r="D107" s="64">
        <f t="shared" ca="1" si="12"/>
        <v>101.00000005960464</v>
      </c>
      <c r="E107" s="64">
        <f ca="1">AN106+IF(controls!$B$33=1,G107,F107)</f>
        <v>101.00000005960464</v>
      </c>
      <c r="F107" s="78">
        <f ca="1">IF(controls!$B$44=0,H107-'main page'!$K$27*T106,H107-'main page'!$K$27*T106+'main page'!$K$31*AI106)</f>
        <v>101.00000005960464</v>
      </c>
      <c r="G107" s="62">
        <f ca="1">IF(controls!$B$44=0,I107-'main page'!$K$27*T106,I107-'main page'!$K$27*T106+'main page'!$K$31*'normal case'!AI106)</f>
        <v>101.00000005960464</v>
      </c>
      <c r="H107" s="62">
        <f t="shared" ca="1" si="18"/>
        <v>108</v>
      </c>
      <c r="I107" s="62">
        <f t="shared" ca="1" si="19"/>
        <v>108</v>
      </c>
      <c r="L107" s="62">
        <f ca="1">IF(ABS('main page'!$K$29*L106+(1-'main page'!$K$29)*(controls!$B$9/100)*100+'main page'!$K$25*(D107-B107)-L106)&lt;0.0000001,L106,'main page'!$K$29*L106+(1-'main page'!$K$29)*(controls!$B$9/100)*100+'main page'!$K$25*(D107-B107))</f>
        <v>1.9999998807907104</v>
      </c>
      <c r="Q107" s="409">
        <f ca="1">(1-'main page'!$K$29)*($AS$11/100)*100+'main page'!$K$25*(D107-B107)</f>
        <v>5.9604644775390625E-8</v>
      </c>
      <c r="R107" s="409">
        <f>'main page'!G111+'main page'!$K$29*M106</f>
        <v>0</v>
      </c>
      <c r="S107" s="409">
        <f t="shared" ca="1" si="17"/>
        <v>5.9604644775390625E-8</v>
      </c>
      <c r="T107" s="79">
        <f ca="1">IF(controls!$B$10=1,T106,IF(SUM(controls!$B$44:$B$46)=2,U107-'main page'!$K$29*'normal case'!L107-(1-'main page'!$K$29)*'main page'!$K$32,U107-'main page'!$K$29*'normal case'!L107-(1-'main page'!$K$29)*controls!$B$9))</f>
        <v>3.4999999701976776</v>
      </c>
      <c r="U107" s="164">
        <f ca="1">IF(controls!$B$45=1,IF(controls!$B$46=1,'main page'!$K$24+'main page'!$K$11+'main page'!$U$8,'main page'!$K$24+'main page'!$K$11+'main page'!$K$32),IF(controls!$B$44=1,IF(V107&lt;0,0,V107),IF(V107+'main page'!$K$11&lt;0,0,V107+'main page'!$K$11)))</f>
        <v>5.4999998509883881</v>
      </c>
      <c r="V107" s="63">
        <f ca="1">IF(controls!$B$10=1,'normal case'!T107+'normal case'!L107,'normal case'!W107)</f>
        <v>5.4999998509883881</v>
      </c>
      <c r="W107" s="61">
        <f t="shared" ca="1" si="13"/>
        <v>5.4999998509883881</v>
      </c>
      <c r="X107" s="166">
        <f ca="1">IF(controls!$B$44=0,Y107+'main page'!$K$29*L107+(1-'main page'!$K$29)*controls!$B$9+(('main page'!$K$25*'main page'!$U$13*'main page'!$K$29)/('main page'!$K$27*(1+('main page'!$K$25^2)*'main page'!$U$13)))*(L107-controls!$B$9),Y107+'main page'!$K$29*L107+(1-'main page'!$K$29)*controls!$B$9+(('main page'!$K$25*'main page'!$U$13*'normal case'!$AV$3)/'normal case'!$AV$4)*('normal case'!L107-controls!$B$9))</f>
        <v>5.4999998509883881</v>
      </c>
      <c r="Y107" s="81">
        <f ca="1">IF(controls!$B$44=1,'main page'!$K$24+'main page'!$K$11,IF(controls!$B$33=1,((I108-D107*AD108-B108+B107*AC108)/'main page'!$K$27)-'main page'!$K$11,((H108-D107*AD108-B108+B107*AC108)/'main page'!$K$27)-'main page'!$K$11))</f>
        <v>3.5</v>
      </c>
      <c r="AA107" s="58">
        <f>IF(controls!$B$6=1,$AS$3*(1+('main page'!$K$35/100))^AB107-$AS$3*(1+('main page'!$K$35/100))^AB106,$AS$3*(1+('main page'!$G$8/100))*(1+('main page'!$K$35/100))^AB107-$AS$3*(1+('main page'!$G$8/100))*(1+('main page'!$K$35/100))^AB106)</f>
        <v>0</v>
      </c>
      <c r="AB107" s="60">
        <v>100</v>
      </c>
      <c r="AC107" s="125">
        <f ca="1">IF(controls!$B$4=1,IF(controls!$H106=1,controls!$B$34*AC106+RAND()*('main page'!$K$16/100)-RAND()*('main page'!$K$16/100),0),0)</f>
        <v>0</v>
      </c>
      <c r="AD107" s="36">
        <f ca="1">IF(controls!$B$4=1,IF(controls!$I106=1,controls!$B$34*AD106+RAND()*('main page'!$K$16/100)-RAND()*('main page'!$K$16/100),0),0)</f>
        <v>0</v>
      </c>
      <c r="AE107" s="44">
        <f ca="1">IF(controls!$B$33=1,D107-($I$3-'main page'!$K$27*2)*(1+('main page'!$K$35/100))^A106,D107-$AS$4)</f>
        <v>1.0000000596046448</v>
      </c>
      <c r="AF107" s="44">
        <f ca="1">ABS(L107-(controls!$B$9/100)*100)</f>
        <v>1.1920928955078125E-7</v>
      </c>
      <c r="AH107" s="44">
        <f ca="1">IF(controls!$B$33=1,(B108-B107*AC108-I108+D107*AD108+'main page'!$K$27*('main page'!$K$24+'main page'!$K$11))/'main page'!$K$31,(B108-B107*AC108+D107*AD108-H108+'main page'!$K$27*('main page'!$K$24+'main page'!$K$11))/'main page'!$K$31)</f>
        <v>1</v>
      </c>
      <c r="AI107" s="44">
        <f ca="1">IF(controls!$B$45=1,LOG(AM107,1.01)+LOG(AL107,1.01)-LOG(AK107,1.01),-((T107-('main page'!$K$24+'main page'!$K$11))/(1-'normal case'!$AV$3))+'normal case'!AH107)</f>
        <v>2.0000000596046448</v>
      </c>
      <c r="AJ107" s="80">
        <f t="shared" ca="1" si="14"/>
        <v>1.0506250015463039</v>
      </c>
      <c r="AK107" s="44">
        <f t="shared" ca="1" si="15"/>
        <v>7.6890779008188916</v>
      </c>
      <c r="AL107" s="44">
        <f>AL106*(1+'main page'!$K$32/100)</f>
        <v>1</v>
      </c>
      <c r="AM107" s="44">
        <f ca="1">IF(ABS(IF(controls!$B$45=1,$AS$13,AK107*AJ107/AL107)-AM106)&lt;0.00001,AM106,IF(controls!$B$45=1,$AS$13,AK107*AJ107/AL107))</f>
        <v>8.0783374814374991</v>
      </c>
      <c r="AN107" s="44">
        <f>IF(controls!$B$46=0,0,IF(controls!$B$33=2,B108-B107*AC108-('normal case'!H108-D107*AD108-'main page'!$K$27*'normal case'!T107+'main page'!$K$31*'normal case'!AI107)-(('main page'!$K$25*'main page'!$U$13*'main page'!$K$29)/(1+('main page'!$K$25^2)*'main page'!$U$13))*('normal case'!L107-'main page'!$U$8),B108-B107*AC108-('normal case'!I108-D107*AD108-'main page'!$K$27*'normal case'!T107+'main page'!$K$31*'normal case'!AI107)-(('main page'!$K$25*'main page'!$U$13*'main page'!$K$29)/(1+('main page'!$K$25^2)*'main page'!$U$13))*('normal case'!L107-'main page'!$U$8)))</f>
        <v>0</v>
      </c>
      <c r="AU107" s="36"/>
      <c r="AV107" s="36"/>
    </row>
    <row r="108" spans="1:48">
      <c r="A108" s="43">
        <v>106</v>
      </c>
      <c r="B108" s="62">
        <f ca="1">IF(controls!$B$33=1,B107*(1+AC108)+AA108,B107*(1+AC108))</f>
        <v>101</v>
      </c>
      <c r="C108" s="67">
        <f t="shared" ca="1" si="16"/>
        <v>-1.5107707374006907E-7</v>
      </c>
      <c r="D108" s="64">
        <f t="shared" ca="1" si="12"/>
        <v>101.00000005960464</v>
      </c>
      <c r="E108" s="64">
        <f ca="1">AN107+IF(controls!$B$33=1,G108,F108)</f>
        <v>101.00000005960464</v>
      </c>
      <c r="F108" s="78">
        <f ca="1">IF(controls!$B$44=0,H108-'main page'!$K$27*T107,H108-'main page'!$K$27*T107+'main page'!$K$31*AI107)</f>
        <v>101.00000005960464</v>
      </c>
      <c r="G108" s="62">
        <f ca="1">IF(controls!$B$44=0,I108-'main page'!$K$27*T107,I108-'main page'!$K$27*T107+'main page'!$K$31*'normal case'!AI107)</f>
        <v>101.00000005960464</v>
      </c>
      <c r="H108" s="62">
        <f t="shared" ca="1" si="18"/>
        <v>108</v>
      </c>
      <c r="I108" s="62">
        <f t="shared" ca="1" si="19"/>
        <v>108</v>
      </c>
      <c r="L108" s="62">
        <f ca="1">IF(ABS('main page'!$K$29*L107+(1-'main page'!$K$29)*(controls!$B$9/100)*100+'main page'!$K$25*(D108-B108)-L107)&lt;0.0000001,L107,'main page'!$K$29*L107+(1-'main page'!$K$29)*(controls!$B$9/100)*100+'main page'!$K$25*(D108-B108))</f>
        <v>1.9999998807907104</v>
      </c>
      <c r="Q108" s="409">
        <f ca="1">(1-'main page'!$K$29)*($AS$11/100)*100+'main page'!$K$25*(D108-B108)</f>
        <v>5.9604644775390625E-8</v>
      </c>
      <c r="R108" s="409">
        <f>'main page'!G112+'main page'!$K$29*M107</f>
        <v>0</v>
      </c>
      <c r="S108" s="409">
        <f t="shared" ca="1" si="17"/>
        <v>5.9604644775390625E-8</v>
      </c>
      <c r="T108" s="79">
        <f ca="1">IF(controls!$B$10=1,T107,IF(SUM(controls!$B$44:$B$46)=2,U108-'main page'!$K$29*'normal case'!L108-(1-'main page'!$K$29)*'main page'!$K$32,U108-'main page'!$K$29*'normal case'!L108-(1-'main page'!$K$29)*controls!$B$9))</f>
        <v>3.4999999701976776</v>
      </c>
      <c r="U108" s="164">
        <f ca="1">IF(controls!$B$45=1,IF(controls!$B$46=1,'main page'!$K$24+'main page'!$K$11+'main page'!$U$8,'main page'!$K$24+'main page'!$K$11+'main page'!$K$32),IF(controls!$B$44=1,IF(V108&lt;0,0,V108),IF(V108+'main page'!$K$11&lt;0,0,V108+'main page'!$K$11)))</f>
        <v>5.4999998509883881</v>
      </c>
      <c r="V108" s="63">
        <f ca="1">IF(controls!$B$10=1,'normal case'!T108+'normal case'!L108,'normal case'!W108)</f>
        <v>5.4999998509883881</v>
      </c>
      <c r="W108" s="61">
        <f t="shared" ca="1" si="13"/>
        <v>5.4999998509883881</v>
      </c>
      <c r="X108" s="166">
        <f ca="1">IF(controls!$B$44=0,Y108+'main page'!$K$29*L108+(1-'main page'!$K$29)*controls!$B$9+(('main page'!$K$25*'main page'!$U$13*'main page'!$K$29)/('main page'!$K$27*(1+('main page'!$K$25^2)*'main page'!$U$13)))*(L108-controls!$B$9),Y108+'main page'!$K$29*L108+(1-'main page'!$K$29)*controls!$B$9+(('main page'!$K$25*'main page'!$U$13*'normal case'!$AV$3)/'normal case'!$AV$4)*('normal case'!L108-controls!$B$9))</f>
        <v>5.4999998509883881</v>
      </c>
      <c r="Y108" s="81">
        <f ca="1">IF(controls!$B$44=1,'main page'!$K$24+'main page'!$K$11,IF(controls!$B$33=1,((I109-D108*AD109-B109+B108*AC109)/'main page'!$K$27)-'main page'!$K$11,((H109-D108*AD109-B109+B108*AC109)/'main page'!$K$27)-'main page'!$K$11))</f>
        <v>3.5</v>
      </c>
      <c r="AA108" s="58">
        <f>IF(controls!$B$6=1,$AS$3*(1+('main page'!$K$35/100))^AB108-$AS$3*(1+('main page'!$K$35/100))^AB107,$AS$3*(1+('main page'!$G$8/100))*(1+('main page'!$K$35/100))^AB108-$AS$3*(1+('main page'!$G$8/100))*(1+('main page'!$K$35/100))^AB107)</f>
        <v>0</v>
      </c>
      <c r="AB108" s="60">
        <v>101</v>
      </c>
      <c r="AC108" s="125">
        <v>0</v>
      </c>
      <c r="AD108" s="36">
        <v>0</v>
      </c>
      <c r="AE108" s="44">
        <f ca="1">IF(controls!$B$33=1,D108-($I$3-'main page'!$K$27*2)*(1+('main page'!$K$35/100))^A107,D108-$AS$4)</f>
        <v>1.0000000596046448</v>
      </c>
      <c r="AF108" s="44">
        <f ca="1">ABS(L108-(controls!$B$9/100)*100)</f>
        <v>1.1920928955078125E-7</v>
      </c>
      <c r="AH108" s="44">
        <f ca="1">IF(controls!$B$33=1,(B109-B108*AC109-I109+D108*AD109+'main page'!$K$27*('main page'!$K$24+'main page'!$K$11))/'main page'!$K$31,(B109-B108*AC109+D108*AD109-H109+'main page'!$K$27*('main page'!$K$24+'main page'!$K$11))/'main page'!$K$31)</f>
        <v>1</v>
      </c>
      <c r="AI108" s="44">
        <f ca="1">IF(controls!$B$45=1,LOG(AM108,1.01)+LOG(AL108,1.01)-LOG(AK108,1.01),-((T108-('main page'!$K$24+'main page'!$K$11))/(1-'normal case'!$AV$3))+'normal case'!AH108)</f>
        <v>2.0000000596046448</v>
      </c>
      <c r="AJ108" s="80">
        <f t="shared" ca="1" si="14"/>
        <v>1.0506250015463039</v>
      </c>
      <c r="AK108" s="44">
        <f t="shared" ca="1" si="15"/>
        <v>7.8428594496691746</v>
      </c>
      <c r="AL108" s="44">
        <f>AL107*(1+'main page'!$K$32/100)</f>
        <v>1</v>
      </c>
      <c r="AM108" s="44">
        <f ca="1">IF(ABS(IF(controls!$B$45=1,$AS$13,AK108*AJ108/AL108)-AM107)&lt;0.00001,AM107,IF(controls!$B$45=1,$AS$13,AK108*AJ108/AL108))</f>
        <v>8.2399042214361202</v>
      </c>
      <c r="AN108" s="44">
        <f>IF(controls!$B$46=0,0,IF(controls!$B$33=2,B109-B108*AC109-('normal case'!H109-D108*AD109-'main page'!$K$27*'normal case'!T108+'main page'!$K$31*'normal case'!AI108)-(('main page'!$K$25*'main page'!$U$13*'main page'!$K$29)/(1+('main page'!$K$25^2)*'main page'!$U$13))*('normal case'!L108-'main page'!$U$8),B109-B108*AC109-('normal case'!I109-D108*AD109-'main page'!$K$27*'normal case'!T108+'main page'!$K$31*'normal case'!AI108)-(('main page'!$K$25*'main page'!$U$13*'main page'!$K$29)/(1+('main page'!$K$25^2)*'main page'!$U$13))*('normal case'!L108-'main page'!$U$8)))</f>
        <v>0</v>
      </c>
      <c r="AU108" s="36"/>
      <c r="AV108" s="36"/>
    </row>
    <row r="109" spans="1:48">
      <c r="A109" s="43">
        <v>107</v>
      </c>
      <c r="B109" s="62">
        <f ca="1">IF(controls!$B$33=1,B108*(1+AC109)+AA109,B108*(1+AC109))</f>
        <v>101</v>
      </c>
      <c r="C109" s="67">
        <f t="shared" ca="1" si="16"/>
        <v>-1.5107707374006907E-7</v>
      </c>
      <c r="D109" s="64">
        <f t="shared" ca="1" si="12"/>
        <v>101.00000005960464</v>
      </c>
      <c r="E109" s="64">
        <f ca="1">AN108+IF(controls!$B$33=1,G109,F109)</f>
        <v>101.00000005960464</v>
      </c>
      <c r="F109" s="78">
        <f ca="1">IF(controls!$B$44=0,H109-'main page'!$K$27*T108,H109-'main page'!$K$27*T108+'main page'!$K$31*AI108)</f>
        <v>101.00000005960464</v>
      </c>
      <c r="G109" s="62">
        <f ca="1">IF(controls!$B$44=0,I109-'main page'!$K$27*T108,I109-'main page'!$K$27*T108+'main page'!$K$31*'normal case'!AI108)</f>
        <v>101.00000005960464</v>
      </c>
      <c r="H109" s="62">
        <f t="shared" ca="1" si="18"/>
        <v>108</v>
      </c>
      <c r="I109" s="62">
        <f t="shared" ca="1" si="19"/>
        <v>108</v>
      </c>
      <c r="L109" s="62">
        <f ca="1">IF(ABS('main page'!$K$29*L108+(1-'main page'!$K$29)*(controls!$B$9/100)*100+'main page'!$K$25*(D109-B109)-L108)&lt;0.0000001,L108,'main page'!$K$29*L108+(1-'main page'!$K$29)*(controls!$B$9/100)*100+'main page'!$K$25*(D109-B109))</f>
        <v>1.9999998807907104</v>
      </c>
      <c r="Q109" s="409">
        <f ca="1">(1-'main page'!$K$29)*($AS$11/100)*100+'main page'!$K$25*(D109-B109)</f>
        <v>5.9604644775390625E-8</v>
      </c>
      <c r="R109" s="409">
        <f>'main page'!G113+'main page'!$K$29*M108</f>
        <v>0</v>
      </c>
      <c r="S109" s="409">
        <f t="shared" ca="1" si="17"/>
        <v>5.9604644775390625E-8</v>
      </c>
      <c r="T109" s="79">
        <f ca="1">IF(controls!$B$10=1,T108,IF(SUM(controls!$B$44:$B$46)=2,U109-'main page'!$K$29*'normal case'!L109-(1-'main page'!$K$29)*'main page'!$K$32,U109-'main page'!$K$29*'normal case'!L109-(1-'main page'!$K$29)*controls!$B$9))</f>
        <v>3.4999999701976776</v>
      </c>
      <c r="U109" s="164">
        <f ca="1">IF(controls!$B$45=1,IF(controls!$B$46=1,'main page'!$K$24+'main page'!$K$11+'main page'!$U$8,'main page'!$K$24+'main page'!$K$11+'main page'!$K$32),IF(controls!$B$44=1,IF(V109&lt;0,0,V109),IF(V109+'main page'!$K$11&lt;0,0,V109+'main page'!$K$11)))</f>
        <v>5.4999998509883881</v>
      </c>
      <c r="V109" s="63">
        <f ca="1">IF(controls!$B$10=1,'normal case'!T109+'normal case'!L109,'normal case'!W109)</f>
        <v>5.4999998509883881</v>
      </c>
      <c r="W109" s="61">
        <f t="shared" ca="1" si="13"/>
        <v>5.4999998509883881</v>
      </c>
      <c r="X109" s="166">
        <f ca="1">IF(controls!$B$44=0,Y109+'main page'!$K$29*L109+(1-'main page'!$K$29)*controls!$B$9+(('main page'!$K$25*'main page'!$U$13*'main page'!$K$29)/('main page'!$K$27*(1+('main page'!$K$25^2)*'main page'!$U$13)))*(L109-controls!$B$9),Y109+'main page'!$K$29*L109+(1-'main page'!$K$29)*controls!$B$9+(('main page'!$K$25*'main page'!$U$13*'normal case'!$AV$3)/'normal case'!$AV$4)*('normal case'!L109-controls!$B$9))</f>
        <v>5.4999998509883881</v>
      </c>
      <c r="Y109" s="81">
        <f ca="1">IF(controls!$B$44=1,'main page'!$K$24+'main page'!$K$11,IF(controls!$B$33=1,((I110-D109*AD110-B110+B109*AC110)/'main page'!$K$27)-'main page'!$K$11,((H110-D109*AD110-B110+B109*AC110)/'main page'!$K$27)-'main page'!$K$11))</f>
        <v>3.5</v>
      </c>
      <c r="AA109" s="58">
        <f>IF(controls!$B$6=1,$AS$3*(1+('main page'!$K$35/100))^AB109-$AS$3*(1+('main page'!$K$35/100))^AB108,$AS$3*(1+('main page'!$G$8/100))*(1+('main page'!$K$35/100))^AB109-$AS$3*(1+('main page'!$G$8/100))*(1+('main page'!$K$35/100))^AB108)</f>
        <v>0</v>
      </c>
      <c r="AB109" s="60">
        <v>102</v>
      </c>
      <c r="AC109" s="125">
        <v>0</v>
      </c>
      <c r="AD109" s="36">
        <v>0</v>
      </c>
      <c r="AE109" s="44">
        <f ca="1">IF(controls!$B$33=1,D109-($I$3-'main page'!$K$27*2)*(1+('main page'!$K$35/100))^A108,D109-$AS$4)</f>
        <v>1.0000000596046448</v>
      </c>
      <c r="AF109" s="44">
        <f ca="1">ABS(L109-(controls!$B$9/100)*100)</f>
        <v>1.1920928955078125E-7</v>
      </c>
      <c r="AH109" s="44">
        <f ca="1">IF(controls!$B$33=1,(B110-B109*AC110-I110+D109*AD110+'main page'!$K$27*('main page'!$K$24+'main page'!$K$11))/'main page'!$K$31,(B110-B109*AC110+D109*AD110-H110+'main page'!$K$27*('main page'!$K$24+'main page'!$K$11))/'main page'!$K$31)</f>
        <v>1</v>
      </c>
      <c r="AI109" s="44">
        <f ca="1">IF(controls!$B$45=1,LOG(AM109,1.01)+LOG(AL109,1.01)-LOG(AK109,1.01),-((T109-('main page'!$K$24+'main page'!$K$11))/(1-'normal case'!$AV$3))+'normal case'!AH109)</f>
        <v>2.0000000596046448</v>
      </c>
      <c r="AJ109" s="80">
        <f t="shared" ca="1" si="14"/>
        <v>1.0506250015463039</v>
      </c>
      <c r="AK109" s="44">
        <f t="shared" ca="1" si="15"/>
        <v>7.9997166293131414</v>
      </c>
      <c r="AL109" s="44">
        <f>AL108*(1+'main page'!$K$32/100)</f>
        <v>1</v>
      </c>
      <c r="AM109" s="44">
        <f ca="1">IF(ABS(IF(controls!$B$45=1,$AS$13,AK109*AJ109/AL109)-AM108)&lt;0.00001,AM108,IF(controls!$B$45=1,$AS$13,AK109*AJ109/AL109))</f>
        <v>8.4047022960421121</v>
      </c>
      <c r="AN109" s="44">
        <f>IF(controls!$B$46=0,0,IF(controls!$B$33=2,B110-B109*AC110-('normal case'!H110-D109*AD110-'main page'!$K$27*'normal case'!T109+'main page'!$K$31*'normal case'!AI109)-(('main page'!$K$25*'main page'!$U$13*'main page'!$K$29)/(1+('main page'!$K$25^2)*'main page'!$U$13))*('normal case'!L109-'main page'!$U$8),B110-B109*AC110-('normal case'!I110-D109*AD110-'main page'!$K$27*'normal case'!T109+'main page'!$K$31*'normal case'!AI109)-(('main page'!$K$25*'main page'!$U$13*'main page'!$K$29)/(1+('main page'!$K$25^2)*'main page'!$U$13))*('normal case'!L109-'main page'!$U$8)))</f>
        <v>0</v>
      </c>
      <c r="AU109" s="36"/>
      <c r="AV109" s="36"/>
    </row>
    <row r="110" spans="1:48">
      <c r="A110" s="43">
        <v>108</v>
      </c>
      <c r="B110" s="62">
        <f ca="1">IF(controls!$B$33=1,B109*(1+AC110)+AA110,B109*(1+AC110))</f>
        <v>101</v>
      </c>
      <c r="C110" s="67">
        <f t="shared" ca="1" si="16"/>
        <v>-1.5107707374006907E-7</v>
      </c>
      <c r="D110" s="64">
        <f t="shared" ca="1" si="12"/>
        <v>101.00000005960464</v>
      </c>
      <c r="E110" s="64">
        <f ca="1">AN109+IF(controls!$B$33=1,G110,F110)</f>
        <v>101.00000005960464</v>
      </c>
      <c r="F110" s="78">
        <f ca="1">IF(controls!$B$44=0,H110-'main page'!$K$27*T109,H110-'main page'!$K$27*T109+'main page'!$K$31*AI109)</f>
        <v>101.00000005960464</v>
      </c>
      <c r="G110" s="62">
        <f ca="1">IF(controls!$B$44=0,I110-'main page'!$K$27*T109,I110-'main page'!$K$27*T109+'main page'!$K$31*'normal case'!AI109)</f>
        <v>101.00000005960464</v>
      </c>
      <c r="H110" s="62">
        <f t="shared" ca="1" si="18"/>
        <v>108</v>
      </c>
      <c r="I110" s="62">
        <f t="shared" ca="1" si="19"/>
        <v>108</v>
      </c>
      <c r="L110" s="62">
        <f ca="1">IF(ABS('main page'!$K$29*L109+(1-'main page'!$K$29)*(controls!$B$9/100)*100+'main page'!$K$25*(D110-B110)-L109)&lt;0.0000001,L109,'main page'!$K$29*L109+(1-'main page'!$K$29)*(controls!$B$9/100)*100+'main page'!$K$25*(D110-B110))</f>
        <v>1.9999998807907104</v>
      </c>
      <c r="Q110" s="409">
        <f ca="1">(1-'main page'!$K$29)*($AS$11/100)*100+'main page'!$K$25*(D110-B110)</f>
        <v>5.9604644775390625E-8</v>
      </c>
      <c r="R110" s="409">
        <f>'main page'!G114+'main page'!$K$29*M109</f>
        <v>0</v>
      </c>
      <c r="S110" s="409">
        <f t="shared" ca="1" si="17"/>
        <v>5.9604644775390625E-8</v>
      </c>
      <c r="T110" s="79">
        <f ca="1">IF(controls!$B$10=1,T109,IF(SUM(controls!$B$44:$B$46)=2,U110-'main page'!$K$29*'normal case'!L110-(1-'main page'!$K$29)*'main page'!$K$32,U110-'main page'!$K$29*'normal case'!L110-(1-'main page'!$K$29)*controls!$B$9))</f>
        <v>3.4999999701976776</v>
      </c>
      <c r="U110" s="164">
        <f ca="1">IF(controls!$B$45=1,IF(controls!$B$46=1,'main page'!$K$24+'main page'!$K$11+'main page'!$U$8,'main page'!$K$24+'main page'!$K$11+'main page'!$K$32),IF(controls!$B$44=1,IF(V110&lt;0,0,V110),IF(V110+'main page'!$K$11&lt;0,0,V110+'main page'!$K$11)))</f>
        <v>5.4999998509883881</v>
      </c>
      <c r="V110" s="63">
        <f ca="1">IF(controls!$B$10=1,'normal case'!T110+'normal case'!L110,'normal case'!W110)</f>
        <v>5.4999998509883881</v>
      </c>
      <c r="W110" s="61">
        <f t="shared" ca="1" si="13"/>
        <v>5.4999998509883881</v>
      </c>
      <c r="X110" s="166">
        <f ca="1">IF(controls!$B$44=0,Y110+'main page'!$K$29*L110+(1-'main page'!$K$29)*controls!$B$9+(('main page'!$K$25*'main page'!$U$13*'main page'!$K$29)/('main page'!$K$27*(1+('main page'!$K$25^2)*'main page'!$U$13)))*(L110-controls!$B$9),Y110+'main page'!$K$29*L110+(1-'main page'!$K$29)*controls!$B$9+(('main page'!$K$25*'main page'!$U$13*'normal case'!$AV$3)/'normal case'!$AV$4)*('normal case'!L110-controls!$B$9))</f>
        <v>5.4999998509883881</v>
      </c>
      <c r="Y110" s="81">
        <f ca="1">IF(controls!$B$44=1,'main page'!$K$24+'main page'!$K$11,IF(controls!$B$33=1,((I111-D110*AD111-B111+B110*AC111)/'main page'!$K$27)-'main page'!$K$11,((H111-D110*AD111-B111+B110*AC111)/'main page'!$K$27)-'main page'!$K$11))</f>
        <v>3.5</v>
      </c>
      <c r="AA110" s="58">
        <f>IF(controls!$B$6=1,$AS$3*(1+('main page'!$K$35/100))^AB110-$AS$3*(1+('main page'!$K$35/100))^AB109,$AS$3*(1+('main page'!$G$8/100))*(1+('main page'!$K$35/100))^AB110-$AS$3*(1+('main page'!$G$8/100))*(1+('main page'!$K$35/100))^AB109)</f>
        <v>0</v>
      </c>
      <c r="AB110" s="60">
        <v>103</v>
      </c>
      <c r="AC110" s="125">
        <f ca="1">IF(controls!$B$4=1,IF(controls!$H109=1,controls!$B$34*AC109+RAND()*('main page'!$K$16/100)-RAND()*('main page'!$K$16/100),0),0)</f>
        <v>0</v>
      </c>
      <c r="AD110" s="36">
        <f ca="1">IF(controls!$B$4=1,IF(controls!$I109=1,controls!$B$34*AD109+RAND()*('main page'!$K$16/100)-RAND()*('main page'!$K$16/100),0),0)</f>
        <v>0</v>
      </c>
      <c r="AE110" s="44">
        <f ca="1">IF(controls!$B$33=1,D110-($I$3-'main page'!$K$27*2)*(1+('main page'!$K$35/100))^A109,D110-$AS$4)</f>
        <v>1.0000000596046448</v>
      </c>
      <c r="AF110" s="44">
        <f ca="1">ABS(L110-(controls!$B$9/100)*100)</f>
        <v>1.1920928955078125E-7</v>
      </c>
      <c r="AH110" s="44">
        <f ca="1">IF(controls!$B$33=1,(B111-B110*AC111-I111+D110*AD111+'main page'!$K$27*('main page'!$K$24+'main page'!$K$11))/'main page'!$K$31,(B111-B110*AC111+D110*AD111-H111+'main page'!$K$27*('main page'!$K$24+'main page'!$K$11))/'main page'!$K$31)</f>
        <v>1</v>
      </c>
      <c r="AI110" s="44">
        <f ca="1">IF(controls!$B$45=1,LOG(AM110,1.01)+LOG(AL110,1.01)-LOG(AK110,1.01),-((T110-('main page'!$K$24+'main page'!$K$11))/(1-'normal case'!$AV$3))+'normal case'!AH110)</f>
        <v>2.0000000596046448</v>
      </c>
      <c r="AJ110" s="80">
        <f t="shared" ca="1" si="14"/>
        <v>1.0506250015463039</v>
      </c>
      <c r="AK110" s="44">
        <f t="shared" ca="1" si="15"/>
        <v>8.1597109523629996</v>
      </c>
      <c r="AL110" s="44">
        <f>AL109*(1+'main page'!$K$32/100)</f>
        <v>1</v>
      </c>
      <c r="AM110" s="44">
        <f ca="1">IF(ABS(IF(controls!$B$45=1,$AS$13,AK110*AJ110/AL110)-AM109)&lt;0.00001,AM109,IF(controls!$B$45=1,$AS$13,AK110*AJ110/AL110))</f>
        <v>8.5727963319437688</v>
      </c>
      <c r="AN110" s="44">
        <f>IF(controls!$B$46=0,0,IF(controls!$B$33=2,B111-B110*AC111-('normal case'!H111-D110*AD111-'main page'!$K$27*'normal case'!T110+'main page'!$K$31*'normal case'!AI110)-(('main page'!$K$25*'main page'!$U$13*'main page'!$K$29)/(1+('main page'!$K$25^2)*'main page'!$U$13))*('normal case'!L110-'main page'!$U$8),B111-B110*AC111-('normal case'!I111-D110*AD111-'main page'!$K$27*'normal case'!T110+'main page'!$K$31*'normal case'!AI110)-(('main page'!$K$25*'main page'!$U$13*'main page'!$K$29)/(1+('main page'!$K$25^2)*'main page'!$U$13))*('normal case'!L110-'main page'!$U$8)))</f>
        <v>0</v>
      </c>
      <c r="AU110" s="36"/>
      <c r="AV110" s="36"/>
    </row>
    <row r="111" spans="1:48">
      <c r="A111" s="43">
        <v>109</v>
      </c>
      <c r="B111" s="62">
        <f ca="1">IF(controls!$B$33=1,B110*(1+AC111)+AA111,B110*(1+AC111))</f>
        <v>101</v>
      </c>
      <c r="C111" s="67">
        <f t="shared" ca="1" si="16"/>
        <v>-1.5107707374006907E-7</v>
      </c>
      <c r="D111" s="64">
        <f t="shared" ca="1" si="12"/>
        <v>101.00000005960464</v>
      </c>
      <c r="E111" s="64">
        <f ca="1">AN110+IF(controls!$B$33=1,G111,F111)</f>
        <v>101.00000005960464</v>
      </c>
      <c r="F111" s="78">
        <f ca="1">IF(controls!$B$44=0,H111-'main page'!$K$27*T110,H111-'main page'!$K$27*T110+'main page'!$K$31*AI110)</f>
        <v>101.00000005960464</v>
      </c>
      <c r="G111" s="62">
        <f ca="1">IF(controls!$B$44=0,I111-'main page'!$K$27*T110,I111-'main page'!$K$27*T110+'main page'!$K$31*'normal case'!AI110)</f>
        <v>101.00000005960464</v>
      </c>
      <c r="H111" s="62">
        <f t="shared" ca="1" si="18"/>
        <v>108</v>
      </c>
      <c r="I111" s="62">
        <f t="shared" ca="1" si="19"/>
        <v>108</v>
      </c>
      <c r="L111" s="62">
        <f ca="1">IF(ABS('main page'!$K$29*L110+(1-'main page'!$K$29)*(controls!$B$9/100)*100+'main page'!$K$25*(D111-B111)-L110)&lt;0.0000001,L110,'main page'!$K$29*L110+(1-'main page'!$K$29)*(controls!$B$9/100)*100+'main page'!$K$25*(D111-B111))</f>
        <v>1.9999998807907104</v>
      </c>
      <c r="Q111" s="409">
        <f ca="1">(1-'main page'!$K$29)*($AS$11/100)*100+'main page'!$K$25*(D111-B111)</f>
        <v>5.9604644775390625E-8</v>
      </c>
      <c r="R111" s="409">
        <f>'main page'!G115+'main page'!$K$29*M110</f>
        <v>0</v>
      </c>
      <c r="S111" s="409">
        <f t="shared" ca="1" si="17"/>
        <v>5.9604644775390625E-8</v>
      </c>
      <c r="T111" s="79">
        <f ca="1">IF(controls!$B$10=1,T110,IF(SUM(controls!$B$44:$B$46)=2,U111-'main page'!$K$29*'normal case'!L111-(1-'main page'!$K$29)*'main page'!$K$32,U111-'main page'!$K$29*'normal case'!L111-(1-'main page'!$K$29)*controls!$B$9))</f>
        <v>3.4999999701976776</v>
      </c>
      <c r="U111" s="164">
        <f ca="1">IF(controls!$B$45=1,IF(controls!$B$46=1,'main page'!$K$24+'main page'!$K$11+'main page'!$U$8,'main page'!$K$24+'main page'!$K$11+'main page'!$K$32),IF(controls!$B$44=1,IF(V111&lt;0,0,V111),IF(V111+'main page'!$K$11&lt;0,0,V111+'main page'!$K$11)))</f>
        <v>5.4999998509883881</v>
      </c>
      <c r="V111" s="63">
        <f ca="1">IF(controls!$B$10=1,'normal case'!T111+'normal case'!L111,'normal case'!W111)</f>
        <v>5.4999998509883881</v>
      </c>
      <c r="W111" s="61">
        <f t="shared" ca="1" si="13"/>
        <v>5.4999998509883881</v>
      </c>
      <c r="X111" s="166">
        <f ca="1">IF(controls!$B$44=0,Y111+'main page'!$K$29*L111+(1-'main page'!$K$29)*controls!$B$9+(('main page'!$K$25*'main page'!$U$13*'main page'!$K$29)/('main page'!$K$27*(1+('main page'!$K$25^2)*'main page'!$U$13)))*(L111-controls!$B$9),Y111+'main page'!$K$29*L111+(1-'main page'!$K$29)*controls!$B$9+(('main page'!$K$25*'main page'!$U$13*'normal case'!$AV$3)/'normal case'!$AV$4)*('normal case'!L111-controls!$B$9))</f>
        <v>5.4999998509883881</v>
      </c>
      <c r="Y111" s="81">
        <f ca="1">IF(controls!$B$44=1,'main page'!$K$24+'main page'!$K$11,IF(controls!$B$33=1,((I112-D111*AD112-B112+B111*AC112)/'main page'!$K$27)-'main page'!$K$11,((H112-D111*AD112-B112+B111*AC112)/'main page'!$K$27)-'main page'!$K$11))</f>
        <v>3.5</v>
      </c>
      <c r="AA111" s="58">
        <f>IF(controls!$B$6=1,$AS$3*(1+('main page'!$K$35/100))^AB111-$AS$3*(1+('main page'!$K$35/100))^AB110,$AS$3*(1+('main page'!$G$8/100))*(1+('main page'!$K$35/100))^AB111-$AS$3*(1+('main page'!$G$8/100))*(1+('main page'!$K$35/100))^AB110)</f>
        <v>0</v>
      </c>
      <c r="AB111" s="60">
        <v>104</v>
      </c>
      <c r="AC111" s="125">
        <v>0</v>
      </c>
      <c r="AD111" s="36">
        <v>0</v>
      </c>
      <c r="AE111" s="44">
        <f ca="1">IF(controls!$B$33=1,D111-($I$3-'main page'!$K$27*2)*(1+('main page'!$K$35/100))^A110,D111-$AS$4)</f>
        <v>1.0000000596046448</v>
      </c>
      <c r="AF111" s="44">
        <f ca="1">ABS(L111-(controls!$B$9/100)*100)</f>
        <v>1.1920928955078125E-7</v>
      </c>
      <c r="AH111" s="44">
        <f ca="1">IF(controls!$B$33=1,(B112-B111*AC112-I112+D111*AD112+'main page'!$K$27*('main page'!$K$24+'main page'!$K$11))/'main page'!$K$31,(B112-B111*AC112+D111*AD112-H112+'main page'!$K$27*('main page'!$K$24+'main page'!$K$11))/'main page'!$K$31)</f>
        <v>1</v>
      </c>
      <c r="AI111" s="44">
        <f ca="1">IF(controls!$B$45=1,LOG(AM111,1.01)+LOG(AL111,1.01)-LOG(AK111,1.01),-((T111-('main page'!$K$24+'main page'!$K$11))/(1-'normal case'!$AV$3))+'normal case'!AH111)</f>
        <v>2.0000000596046448</v>
      </c>
      <c r="AJ111" s="80">
        <f t="shared" ca="1" si="14"/>
        <v>1.0506250015463039</v>
      </c>
      <c r="AK111" s="44">
        <f t="shared" ca="1" si="15"/>
        <v>8.322905161683126</v>
      </c>
      <c r="AL111" s="44">
        <f>AL110*(1+'main page'!$K$32/100)</f>
        <v>1</v>
      </c>
      <c r="AM111" s="44">
        <f ca="1">IF(ABS(IF(controls!$B$45=1,$AS$13,AK111*AJ111/AL111)-AM110)&lt;0.00001,AM110,IF(controls!$B$45=1,$AS$13,AK111*AJ111/AL111))</f>
        <v>8.7442522483630754</v>
      </c>
      <c r="AN111" s="44">
        <f>IF(controls!$B$46=0,0,IF(controls!$B$33=2,B112-B111*AC112-('normal case'!H112-D111*AD112-'main page'!$K$27*'normal case'!T111+'main page'!$K$31*'normal case'!AI111)-(('main page'!$K$25*'main page'!$U$13*'main page'!$K$29)/(1+('main page'!$K$25^2)*'main page'!$U$13))*('normal case'!L111-'main page'!$U$8),B112-B111*AC112-('normal case'!I112-D111*AD112-'main page'!$K$27*'normal case'!T111+'main page'!$K$31*'normal case'!AI111)-(('main page'!$K$25*'main page'!$U$13*'main page'!$K$29)/(1+('main page'!$K$25^2)*'main page'!$U$13))*('normal case'!L111-'main page'!$U$8)))</f>
        <v>0</v>
      </c>
      <c r="AU111" s="36"/>
      <c r="AV111" s="36"/>
    </row>
    <row r="112" spans="1:48">
      <c r="A112" s="43">
        <v>110</v>
      </c>
      <c r="B112" s="62">
        <f ca="1">IF(controls!$B$33=1,B111*(1+AC112)+AA112,B111*(1+AC112))</f>
        <v>101</v>
      </c>
      <c r="C112" s="67">
        <f t="shared" ca="1" si="16"/>
        <v>-1.5107707374006907E-7</v>
      </c>
      <c r="D112" s="64">
        <f t="shared" ca="1" si="12"/>
        <v>101.00000005960464</v>
      </c>
      <c r="E112" s="64">
        <f ca="1">AN111+IF(controls!$B$33=1,G112,F112)</f>
        <v>101.00000005960464</v>
      </c>
      <c r="F112" s="78">
        <f ca="1">IF(controls!$B$44=0,H112-'main page'!$K$27*T111,H112-'main page'!$K$27*T111+'main page'!$K$31*AI111)</f>
        <v>101.00000005960464</v>
      </c>
      <c r="G112" s="62">
        <f ca="1">IF(controls!$B$44=0,I112-'main page'!$K$27*T111,I112-'main page'!$K$27*T111+'main page'!$K$31*'normal case'!AI111)</f>
        <v>101.00000005960464</v>
      </c>
      <c r="H112" s="62">
        <f t="shared" ca="1" si="18"/>
        <v>108</v>
      </c>
      <c r="I112" s="62">
        <f t="shared" ca="1" si="19"/>
        <v>108</v>
      </c>
      <c r="L112" s="62">
        <f ca="1">IF(ABS('main page'!$K$29*L111+(1-'main page'!$K$29)*(controls!$B$9/100)*100+'main page'!$K$25*(D112-B112)-L111)&lt;0.0000001,L111,'main page'!$K$29*L111+(1-'main page'!$K$29)*(controls!$B$9/100)*100+'main page'!$K$25*(D112-B112))</f>
        <v>1.9999998807907104</v>
      </c>
      <c r="Q112" s="409">
        <f ca="1">(1-'main page'!$K$29)*($AS$11/100)*100+'main page'!$K$25*(D112-B112)</f>
        <v>5.9604644775390625E-8</v>
      </c>
      <c r="R112" s="409">
        <f>'main page'!G116+'main page'!$K$29*M111</f>
        <v>0</v>
      </c>
      <c r="S112" s="409">
        <f t="shared" ca="1" si="17"/>
        <v>5.9604644775390625E-8</v>
      </c>
      <c r="T112" s="79">
        <f ca="1">IF(controls!$B$10=1,T111,IF(SUM(controls!$B$44:$B$46)=2,U112-'main page'!$K$29*'normal case'!L112-(1-'main page'!$K$29)*'main page'!$K$32,U112-'main page'!$K$29*'normal case'!L112-(1-'main page'!$K$29)*controls!$B$9))</f>
        <v>3.4999999701976776</v>
      </c>
      <c r="U112" s="164">
        <f ca="1">IF(controls!$B$45=1,IF(controls!$B$46=1,'main page'!$K$24+'main page'!$K$11+'main page'!$U$8,'main page'!$K$24+'main page'!$K$11+'main page'!$K$32),IF(controls!$B$44=1,IF(V112&lt;0,0,V112),IF(V112+'main page'!$K$11&lt;0,0,V112+'main page'!$K$11)))</f>
        <v>5.4999998509883881</v>
      </c>
      <c r="V112" s="63">
        <f ca="1">IF(controls!$B$10=1,'normal case'!T112+'normal case'!L112,'normal case'!W112)</f>
        <v>5.4999998509883881</v>
      </c>
      <c r="W112" s="61">
        <f t="shared" ca="1" si="13"/>
        <v>5.4999998509883881</v>
      </c>
      <c r="X112" s="166">
        <f ca="1">IF(controls!$B$44=0,Y112+'main page'!$K$29*L112+(1-'main page'!$K$29)*controls!$B$9+(('main page'!$K$25*'main page'!$U$13*'main page'!$K$29)/('main page'!$K$27*(1+('main page'!$K$25^2)*'main page'!$U$13)))*(L112-controls!$B$9),Y112+'main page'!$K$29*L112+(1-'main page'!$K$29)*controls!$B$9+(('main page'!$K$25*'main page'!$U$13*'normal case'!$AV$3)/'normal case'!$AV$4)*('normal case'!L112-controls!$B$9))</f>
        <v>5.4999998509883881</v>
      </c>
      <c r="Y112" s="81">
        <f ca="1">IF(controls!$B$44=1,'main page'!$K$24+'main page'!$K$11,IF(controls!$B$33=1,((I113-D112*AD113-B113+B112*AC113)/'main page'!$K$27)-'main page'!$K$11,((H113-D112*AD113-B113+B112*AC113)/'main page'!$K$27)-'main page'!$K$11))</f>
        <v>3.5</v>
      </c>
      <c r="AA112" s="58">
        <f>IF(controls!$B$6=1,$AS$3*(1+('main page'!$K$35/100))^AB112-$AS$3*(1+('main page'!$K$35/100))^AB111,$AS$3*(1+('main page'!$G$8/100))*(1+('main page'!$K$35/100))^AB112-$AS$3*(1+('main page'!$G$8/100))*(1+('main page'!$K$35/100))^AB111)</f>
        <v>0</v>
      </c>
      <c r="AB112" s="60">
        <v>105</v>
      </c>
      <c r="AC112" s="125">
        <v>0</v>
      </c>
      <c r="AD112" s="36">
        <v>0</v>
      </c>
      <c r="AE112" s="44">
        <f ca="1">IF(controls!$B$33=1,D112-($I$3-'main page'!$K$27*2)*(1+('main page'!$K$35/100))^A111,D112-$AS$4)</f>
        <v>1.0000000596046448</v>
      </c>
      <c r="AF112" s="44">
        <f ca="1">ABS(L112-(controls!$B$9/100)*100)</f>
        <v>1.1920928955078125E-7</v>
      </c>
      <c r="AH112" s="44">
        <f ca="1">IF(controls!$B$33=1,(B113-B112*AC113-I113+D112*AD113+'main page'!$K$27*('main page'!$K$24+'main page'!$K$11))/'main page'!$K$31,(B113-B112*AC113+D112*AD113-H113+'main page'!$K$27*('main page'!$K$24+'main page'!$K$11))/'main page'!$K$31)</f>
        <v>1</v>
      </c>
      <c r="AI112" s="44">
        <f ca="1">IF(controls!$B$45=1,LOG(AM112,1.01)+LOG(AL112,1.01)-LOG(AK112,1.01),-((T112-('main page'!$K$24+'main page'!$K$11))/(1-'normal case'!$AV$3))+'normal case'!AH112)</f>
        <v>2.0000000596046448</v>
      </c>
      <c r="AJ112" s="80">
        <f t="shared" ca="1" si="14"/>
        <v>1.0506250015463039</v>
      </c>
      <c r="AK112" s="44">
        <f t="shared" ca="1" si="15"/>
        <v>8.4893632549951121</v>
      </c>
      <c r="AL112" s="44">
        <f>AL111*(1+'main page'!$K$32/100)</f>
        <v>1</v>
      </c>
      <c r="AM112" s="44">
        <f ca="1">IF(ABS(IF(controls!$B$45=1,$AS$13,AK112*AJ112/AL112)-AM111)&lt;0.00001,AM111,IF(controls!$B$45=1,$AS$13,AK112*AJ112/AL112))</f>
        <v>8.9191372829063749</v>
      </c>
      <c r="AN112" s="44">
        <f>IF(controls!$B$46=0,0,IF(controls!$B$33=2,B113-B112*AC113-('normal case'!H113-D112*AD113-'main page'!$K$27*'normal case'!T112+'main page'!$K$31*'normal case'!AI112)-(('main page'!$K$25*'main page'!$U$13*'main page'!$K$29)/(1+('main page'!$K$25^2)*'main page'!$U$13))*('normal case'!L112-'main page'!$U$8),B113-B112*AC113-('normal case'!I113-D112*AD113-'main page'!$K$27*'normal case'!T112+'main page'!$K$31*'normal case'!AI112)-(('main page'!$K$25*'main page'!$U$13*'main page'!$K$29)/(1+('main page'!$K$25^2)*'main page'!$U$13))*('normal case'!L112-'main page'!$U$8)))</f>
        <v>0</v>
      </c>
      <c r="AU112" s="36"/>
      <c r="AV112" s="36"/>
    </row>
    <row r="113" spans="1:48">
      <c r="A113" s="43">
        <v>111</v>
      </c>
      <c r="B113" s="62">
        <f ca="1">IF(controls!$B$33=1,B112*(1+AC113)+AA113,B112*(1+AC113))</f>
        <v>101</v>
      </c>
      <c r="C113" s="67">
        <f t="shared" ca="1" si="16"/>
        <v>-1.5107707374006907E-7</v>
      </c>
      <c r="D113" s="64">
        <f t="shared" ca="1" si="12"/>
        <v>101.00000005960464</v>
      </c>
      <c r="E113" s="64">
        <f ca="1">AN112+IF(controls!$B$33=1,G113,F113)</f>
        <v>101.00000005960464</v>
      </c>
      <c r="F113" s="78">
        <f ca="1">IF(controls!$B$44=0,H113-'main page'!$K$27*T112,H113-'main page'!$K$27*T112+'main page'!$K$31*AI112)</f>
        <v>101.00000005960464</v>
      </c>
      <c r="G113" s="62">
        <f ca="1">IF(controls!$B$44=0,I113-'main page'!$K$27*T112,I113-'main page'!$K$27*T112+'main page'!$K$31*'normal case'!AI112)</f>
        <v>101.00000005960464</v>
      </c>
      <c r="H113" s="62">
        <f t="shared" ca="1" si="18"/>
        <v>108</v>
      </c>
      <c r="I113" s="62">
        <f t="shared" ca="1" si="19"/>
        <v>108</v>
      </c>
      <c r="L113" s="62">
        <f ca="1">IF(ABS('main page'!$K$29*L112+(1-'main page'!$K$29)*(controls!$B$9/100)*100+'main page'!$K$25*(D113-B113)-L112)&lt;0.0000001,L112,'main page'!$K$29*L112+(1-'main page'!$K$29)*(controls!$B$9/100)*100+'main page'!$K$25*(D113-B113))</f>
        <v>1.9999998807907104</v>
      </c>
      <c r="Q113" s="409">
        <f ca="1">(1-'main page'!$K$29)*($AS$11/100)*100+'main page'!$K$25*(D113-B113)</f>
        <v>5.9604644775390625E-8</v>
      </c>
      <c r="R113" s="409">
        <f>'main page'!G117+'main page'!$K$29*M112</f>
        <v>0</v>
      </c>
      <c r="S113" s="409">
        <f t="shared" ca="1" si="17"/>
        <v>5.9604644775390625E-8</v>
      </c>
      <c r="T113" s="79">
        <f ca="1">IF(controls!$B$10=1,T112,IF(SUM(controls!$B$44:$B$46)=2,U113-'main page'!$K$29*'normal case'!L113-(1-'main page'!$K$29)*'main page'!$K$32,U113-'main page'!$K$29*'normal case'!L113-(1-'main page'!$K$29)*controls!$B$9))</f>
        <v>3.4999999701976776</v>
      </c>
      <c r="U113" s="164">
        <f ca="1">IF(controls!$B$45=1,IF(controls!$B$46=1,'main page'!$K$24+'main page'!$K$11+'main page'!$U$8,'main page'!$K$24+'main page'!$K$11+'main page'!$K$32),IF(controls!$B$44=1,IF(V113&lt;0,0,V113),IF(V113+'main page'!$K$11&lt;0,0,V113+'main page'!$K$11)))</f>
        <v>5.4999998509883881</v>
      </c>
      <c r="V113" s="63">
        <f ca="1">IF(controls!$B$10=1,'normal case'!T113+'normal case'!L113,'normal case'!W113)</f>
        <v>5.4999998509883881</v>
      </c>
      <c r="W113" s="61">
        <f t="shared" ca="1" si="13"/>
        <v>5.4999998509883881</v>
      </c>
      <c r="X113" s="166">
        <f ca="1">IF(controls!$B$44=0,Y113+'main page'!$K$29*L113+(1-'main page'!$K$29)*controls!$B$9+(('main page'!$K$25*'main page'!$U$13*'main page'!$K$29)/('main page'!$K$27*(1+('main page'!$K$25^2)*'main page'!$U$13)))*(L113-controls!$B$9),Y113+'main page'!$K$29*L113+(1-'main page'!$K$29)*controls!$B$9+(('main page'!$K$25*'main page'!$U$13*'normal case'!$AV$3)/'normal case'!$AV$4)*('normal case'!L113-controls!$B$9))</f>
        <v>5.4999998509883881</v>
      </c>
      <c r="Y113" s="81">
        <f ca="1">IF(controls!$B$44=1,'main page'!$K$24+'main page'!$K$11,IF(controls!$B$33=1,((I114-D113*AD114-B114+B113*AC114)/'main page'!$K$27)-'main page'!$K$11,((H114-D113*AD114-B114+B113*AC114)/'main page'!$K$27)-'main page'!$K$11))</f>
        <v>3.5</v>
      </c>
      <c r="AA113" s="58">
        <f>IF(controls!$B$6=1,$AS$3*(1+('main page'!$K$35/100))^AB113-$AS$3*(1+('main page'!$K$35/100))^AB112,$AS$3*(1+('main page'!$G$8/100))*(1+('main page'!$K$35/100))^AB113-$AS$3*(1+('main page'!$G$8/100))*(1+('main page'!$K$35/100))^AB112)</f>
        <v>0</v>
      </c>
      <c r="AB113" s="60">
        <v>106</v>
      </c>
      <c r="AC113" s="125">
        <f ca="1">IF(controls!$B$4=1,IF(controls!$H112=1,controls!$B$34*AC112+RAND()*('main page'!$K$16/100)-RAND()*('main page'!$K$16/100),0),0)</f>
        <v>0</v>
      </c>
      <c r="AD113" s="36">
        <f ca="1">IF(controls!$B$4=1,IF(controls!$I112=1,controls!$B$34*AD112+RAND()*('main page'!$K$16/100)-RAND()*('main page'!$K$16/100),0),0)</f>
        <v>0</v>
      </c>
      <c r="AE113" s="44">
        <f ca="1">IF(controls!$B$33=1,D113-($I$3-'main page'!$K$27*2)*(1+('main page'!$K$35/100))^A112,D113-$AS$4)</f>
        <v>1.0000000596046448</v>
      </c>
      <c r="AF113" s="44">
        <f ca="1">ABS(L113-(controls!$B$9/100)*100)</f>
        <v>1.1920928955078125E-7</v>
      </c>
      <c r="AH113" s="44">
        <f ca="1">IF(controls!$B$33=1,(B114-B113*AC114-I114+D113*AD114+'main page'!$K$27*('main page'!$K$24+'main page'!$K$11))/'main page'!$K$31,(B114-B113*AC114+D113*AD114-H114+'main page'!$K$27*('main page'!$K$24+'main page'!$K$11))/'main page'!$K$31)</f>
        <v>1</v>
      </c>
      <c r="AI113" s="44">
        <f ca="1">IF(controls!$B$45=1,LOG(AM113,1.01)+LOG(AL113,1.01)-LOG(AK113,1.01),-((T113-('main page'!$K$24+'main page'!$K$11))/(1-'normal case'!$AV$3))+'normal case'!AH113)</f>
        <v>2.0000000596046448</v>
      </c>
      <c r="AJ113" s="80">
        <f t="shared" ca="1" si="14"/>
        <v>1.0506250015463039</v>
      </c>
      <c r="AK113" s="44">
        <f t="shared" ca="1" si="15"/>
        <v>8.6591505099749053</v>
      </c>
      <c r="AL113" s="44">
        <f>AL112*(1+'main page'!$K$32/100)</f>
        <v>1</v>
      </c>
      <c r="AM113" s="44">
        <f ca="1">IF(ABS(IF(controls!$B$45=1,$AS$13,AK113*AJ113/AL113)-AM112)&lt;0.00001,AM112,IF(controls!$B$45=1,$AS$13,AK113*AJ113/AL113))</f>
        <v>9.0975200179320623</v>
      </c>
      <c r="AN113" s="44">
        <f>IF(controls!$B$46=0,0,IF(controls!$B$33=2,B114-B113*AC114-('normal case'!H114-D113*AD114-'main page'!$K$27*'normal case'!T113+'main page'!$K$31*'normal case'!AI113)-(('main page'!$K$25*'main page'!$U$13*'main page'!$K$29)/(1+('main page'!$K$25^2)*'main page'!$U$13))*('normal case'!L113-'main page'!$U$8),B114-B113*AC114-('normal case'!I114-D113*AD114-'main page'!$K$27*'normal case'!T113+'main page'!$K$31*'normal case'!AI113)-(('main page'!$K$25*'main page'!$U$13*'main page'!$K$29)/(1+('main page'!$K$25^2)*'main page'!$U$13))*('normal case'!L113-'main page'!$U$8)))</f>
        <v>0</v>
      </c>
      <c r="AU113" s="36"/>
      <c r="AV113" s="36"/>
    </row>
    <row r="114" spans="1:48">
      <c r="A114" s="43">
        <v>112</v>
      </c>
      <c r="B114" s="62">
        <f ca="1">IF(controls!$B$33=1,B113*(1+AC114)+AA114,B113*(1+AC114))</f>
        <v>101</v>
      </c>
      <c r="C114" s="67">
        <f t="shared" ca="1" si="16"/>
        <v>-1.5107707374006907E-7</v>
      </c>
      <c r="D114" s="64">
        <f t="shared" ca="1" si="12"/>
        <v>101.00000005960464</v>
      </c>
      <c r="E114" s="64">
        <f ca="1">AN113+IF(controls!$B$33=1,G114,F114)</f>
        <v>101.00000005960464</v>
      </c>
      <c r="F114" s="78">
        <f ca="1">IF(controls!$B$44=0,H114-'main page'!$K$27*T113,H114-'main page'!$K$27*T113+'main page'!$K$31*AI113)</f>
        <v>101.00000005960464</v>
      </c>
      <c r="G114" s="62">
        <f ca="1">IF(controls!$B$44=0,I114-'main page'!$K$27*T113,I114-'main page'!$K$27*T113+'main page'!$K$31*'normal case'!AI113)</f>
        <v>101.00000005960464</v>
      </c>
      <c r="H114" s="62">
        <f t="shared" ca="1" si="18"/>
        <v>108</v>
      </c>
      <c r="I114" s="62">
        <f t="shared" ca="1" si="19"/>
        <v>108</v>
      </c>
      <c r="L114" s="62">
        <f ca="1">IF(ABS('main page'!$K$29*L113+(1-'main page'!$K$29)*(controls!$B$9/100)*100+'main page'!$K$25*(D114-B114)-L113)&lt;0.0000001,L113,'main page'!$K$29*L113+(1-'main page'!$K$29)*(controls!$B$9/100)*100+'main page'!$K$25*(D114-B114))</f>
        <v>1.9999998807907104</v>
      </c>
      <c r="Q114" s="409">
        <f ca="1">(1-'main page'!$K$29)*($AS$11/100)*100+'main page'!$K$25*(D114-B114)</f>
        <v>5.9604644775390625E-8</v>
      </c>
      <c r="R114" s="409">
        <f>'main page'!G118+'main page'!$K$29*M113</f>
        <v>0</v>
      </c>
      <c r="S114" s="409">
        <f t="shared" ca="1" si="17"/>
        <v>5.9604644775390625E-8</v>
      </c>
      <c r="T114" s="79">
        <f ca="1">IF(controls!$B$10=1,T113,IF(SUM(controls!$B$44:$B$46)=2,U114-'main page'!$K$29*'normal case'!L114-(1-'main page'!$K$29)*'main page'!$K$32,U114-'main page'!$K$29*'normal case'!L114-(1-'main page'!$K$29)*controls!$B$9))</f>
        <v>3.4999999701976776</v>
      </c>
      <c r="U114" s="164">
        <f ca="1">IF(controls!$B$45=1,IF(controls!$B$46=1,'main page'!$K$24+'main page'!$K$11+'main page'!$U$8,'main page'!$K$24+'main page'!$K$11+'main page'!$K$32),IF(controls!$B$44=1,IF(V114&lt;0,0,V114),IF(V114+'main page'!$K$11&lt;0,0,V114+'main page'!$K$11)))</f>
        <v>5.4999998509883881</v>
      </c>
      <c r="V114" s="63">
        <f ca="1">IF(controls!$B$10=1,'normal case'!T114+'normal case'!L114,'normal case'!W114)</f>
        <v>5.4999998509883881</v>
      </c>
      <c r="W114" s="61">
        <f t="shared" ca="1" si="13"/>
        <v>5.4999998509883881</v>
      </c>
      <c r="X114" s="166">
        <f ca="1">IF(controls!$B$44=0,Y114+'main page'!$K$29*L114+(1-'main page'!$K$29)*controls!$B$9+(('main page'!$K$25*'main page'!$U$13*'main page'!$K$29)/('main page'!$K$27*(1+('main page'!$K$25^2)*'main page'!$U$13)))*(L114-controls!$B$9),Y114+'main page'!$K$29*L114+(1-'main page'!$K$29)*controls!$B$9+(('main page'!$K$25*'main page'!$U$13*'normal case'!$AV$3)/'normal case'!$AV$4)*('normal case'!L114-controls!$B$9))</f>
        <v>5.4999998509883881</v>
      </c>
      <c r="Y114" s="81">
        <f ca="1">IF(controls!$B$44=1,'main page'!$K$24+'main page'!$K$11,IF(controls!$B$33=1,((I115-D114*AD115-B115+B114*AC115)/'main page'!$K$27)-'main page'!$K$11,((H115-D114*AD115-B115+B114*AC115)/'main page'!$K$27)-'main page'!$K$11))</f>
        <v>3.5</v>
      </c>
      <c r="AA114" s="58">
        <f>IF(controls!$B$6=1,$AS$3*(1+('main page'!$K$35/100))^AB114-$AS$3*(1+('main page'!$K$35/100))^AB113,$AS$3*(1+('main page'!$G$8/100))*(1+('main page'!$K$35/100))^AB114-$AS$3*(1+('main page'!$G$8/100))*(1+('main page'!$K$35/100))^AB113)</f>
        <v>0</v>
      </c>
      <c r="AB114" s="60">
        <v>107</v>
      </c>
      <c r="AC114" s="125">
        <v>0</v>
      </c>
      <c r="AD114" s="36">
        <v>0</v>
      </c>
      <c r="AE114" s="44">
        <f ca="1">IF(controls!$B$33=1,D114-($I$3-'main page'!$K$27*2)*(1+('main page'!$K$35/100))^A113,D114-$AS$4)</f>
        <v>1.0000000596046448</v>
      </c>
      <c r="AF114" s="44">
        <f ca="1">ABS(L114-(controls!$B$9/100)*100)</f>
        <v>1.1920928955078125E-7</v>
      </c>
      <c r="AH114" s="44">
        <f ca="1">IF(controls!$B$33=1,(B115-B114*AC115-I115+D114*AD115+'main page'!$K$27*('main page'!$K$24+'main page'!$K$11))/'main page'!$K$31,(B115-B114*AC115+D114*AD115-H115+'main page'!$K$27*('main page'!$K$24+'main page'!$K$11))/'main page'!$K$31)</f>
        <v>1</v>
      </c>
      <c r="AI114" s="44">
        <f ca="1">IF(controls!$B$45=1,LOG(AM114,1.01)+LOG(AL114,1.01)-LOG(AK114,1.01),-((T114-('main page'!$K$24+'main page'!$K$11))/(1-'normal case'!$AV$3))+'normal case'!AH114)</f>
        <v>2.0000000596046448</v>
      </c>
      <c r="AJ114" s="80">
        <f t="shared" ca="1" si="14"/>
        <v>1.0506250015463039</v>
      </c>
      <c r="AK114" s="44">
        <f t="shared" ca="1" si="15"/>
        <v>8.8323335098518925</v>
      </c>
      <c r="AL114" s="44">
        <f>AL113*(1+'main page'!$K$32/100)</f>
        <v>1</v>
      </c>
      <c r="AM114" s="44">
        <f ca="1">IF(ABS(IF(controls!$B$45=1,$AS$13,AK114*AJ114/AL114)-AM113)&lt;0.00001,AM113,IF(controls!$B$45=1,$AS$13,AK114*AJ114/AL114))</f>
        <v>9.2794704074456167</v>
      </c>
      <c r="AN114" s="44">
        <f>IF(controls!$B$46=0,0,IF(controls!$B$33=2,B115-B114*AC115-('normal case'!H115-D114*AD115-'main page'!$K$27*'normal case'!T114+'main page'!$K$31*'normal case'!AI114)-(('main page'!$K$25*'main page'!$U$13*'main page'!$K$29)/(1+('main page'!$K$25^2)*'main page'!$U$13))*('normal case'!L114-'main page'!$U$8),B115-B114*AC115-('normal case'!I115-D114*AD115-'main page'!$K$27*'normal case'!T114+'main page'!$K$31*'normal case'!AI114)-(('main page'!$K$25*'main page'!$U$13*'main page'!$K$29)/(1+('main page'!$K$25^2)*'main page'!$U$13))*('normal case'!L114-'main page'!$U$8)))</f>
        <v>0</v>
      </c>
      <c r="AU114" s="36"/>
      <c r="AV114" s="36"/>
    </row>
    <row r="115" spans="1:48">
      <c r="A115" s="43">
        <v>113</v>
      </c>
      <c r="B115" s="62">
        <f ca="1">IF(controls!$B$33=1,B114*(1+AC115)+AA115,B114*(1+AC115))</f>
        <v>101</v>
      </c>
      <c r="C115" s="67">
        <f t="shared" ca="1" si="16"/>
        <v>-1.5107707374006907E-7</v>
      </c>
      <c r="D115" s="64">
        <f t="shared" ca="1" si="12"/>
        <v>101.00000005960464</v>
      </c>
      <c r="E115" s="64">
        <f ca="1">AN114+IF(controls!$B$33=1,G115,F115)</f>
        <v>101.00000005960464</v>
      </c>
      <c r="F115" s="78">
        <f ca="1">IF(controls!$B$44=0,H115-'main page'!$K$27*T114,H115-'main page'!$K$27*T114+'main page'!$K$31*AI114)</f>
        <v>101.00000005960464</v>
      </c>
      <c r="G115" s="62">
        <f ca="1">IF(controls!$B$44=0,I115-'main page'!$K$27*T114,I115-'main page'!$K$27*T114+'main page'!$K$31*'normal case'!AI114)</f>
        <v>101.00000005960464</v>
      </c>
      <c r="H115" s="62">
        <f t="shared" ca="1" si="18"/>
        <v>108</v>
      </c>
      <c r="I115" s="62">
        <f t="shared" ca="1" si="19"/>
        <v>108</v>
      </c>
      <c r="L115" s="62">
        <f ca="1">IF(ABS('main page'!$K$29*L114+(1-'main page'!$K$29)*(controls!$B$9/100)*100+'main page'!$K$25*(D115-B115)-L114)&lt;0.0000001,L114,'main page'!$K$29*L114+(1-'main page'!$K$29)*(controls!$B$9/100)*100+'main page'!$K$25*(D115-B115))</f>
        <v>1.9999998807907104</v>
      </c>
      <c r="Q115" s="409">
        <f ca="1">(1-'main page'!$K$29)*($AS$11/100)*100+'main page'!$K$25*(D115-B115)</f>
        <v>5.9604644775390625E-8</v>
      </c>
      <c r="R115" s="409">
        <f>'main page'!G119+'main page'!$K$29*M114</f>
        <v>0</v>
      </c>
      <c r="S115" s="409">
        <f t="shared" ca="1" si="17"/>
        <v>5.9604644775390625E-8</v>
      </c>
      <c r="T115" s="79">
        <f ca="1">IF(controls!$B$10=1,T114,IF(SUM(controls!$B$44:$B$46)=2,U115-'main page'!$K$29*'normal case'!L115-(1-'main page'!$K$29)*'main page'!$K$32,U115-'main page'!$K$29*'normal case'!L115-(1-'main page'!$K$29)*controls!$B$9))</f>
        <v>3.4999999701976776</v>
      </c>
      <c r="U115" s="164">
        <f ca="1">IF(controls!$B$45=1,IF(controls!$B$46=1,'main page'!$K$24+'main page'!$K$11+'main page'!$U$8,'main page'!$K$24+'main page'!$K$11+'main page'!$K$32),IF(controls!$B$44=1,IF(V115&lt;0,0,V115),IF(V115+'main page'!$K$11&lt;0,0,V115+'main page'!$K$11)))</f>
        <v>5.4999998509883881</v>
      </c>
      <c r="V115" s="63">
        <f ca="1">IF(controls!$B$10=1,'normal case'!T115+'normal case'!L115,'normal case'!W115)</f>
        <v>5.4999998509883881</v>
      </c>
      <c r="W115" s="61">
        <f t="shared" ca="1" si="13"/>
        <v>5.4999998509883881</v>
      </c>
      <c r="X115" s="166">
        <f ca="1">IF(controls!$B$44=0,Y115+'main page'!$K$29*L115+(1-'main page'!$K$29)*controls!$B$9+(('main page'!$K$25*'main page'!$U$13*'main page'!$K$29)/('main page'!$K$27*(1+('main page'!$K$25^2)*'main page'!$U$13)))*(L115-controls!$B$9),Y115+'main page'!$K$29*L115+(1-'main page'!$K$29)*controls!$B$9+(('main page'!$K$25*'main page'!$U$13*'normal case'!$AV$3)/'normal case'!$AV$4)*('normal case'!L115-controls!$B$9))</f>
        <v>5.4999998509883881</v>
      </c>
      <c r="Y115" s="81">
        <f ca="1">IF(controls!$B$44=1,'main page'!$K$24+'main page'!$K$11,IF(controls!$B$33=1,((I116-D115*AD116-B116+B115*AC116)/'main page'!$K$27)-'main page'!$K$11,((H116-D115*AD116-B116+B115*AC116)/'main page'!$K$27)-'main page'!$K$11))</f>
        <v>3.5</v>
      </c>
      <c r="AA115" s="58">
        <f>IF(controls!$B$6=1,$AS$3*(1+('main page'!$K$35/100))^AB115-$AS$3*(1+('main page'!$K$35/100))^AB114,$AS$3*(1+('main page'!$G$8/100))*(1+('main page'!$K$35/100))^AB115-$AS$3*(1+('main page'!$G$8/100))*(1+('main page'!$K$35/100))^AB114)</f>
        <v>0</v>
      </c>
      <c r="AB115" s="60">
        <v>108</v>
      </c>
      <c r="AC115" s="125">
        <v>0</v>
      </c>
      <c r="AD115" s="36">
        <v>0</v>
      </c>
      <c r="AE115" s="44">
        <f ca="1">IF(controls!$B$33=1,D115-($I$3-'main page'!$K$27*2)*(1+('main page'!$K$35/100))^A114,D115-$AS$4)</f>
        <v>1.0000000596046448</v>
      </c>
      <c r="AF115" s="44">
        <f ca="1">ABS(L115-(controls!$B$9/100)*100)</f>
        <v>1.1920928955078125E-7</v>
      </c>
      <c r="AH115" s="44">
        <f ca="1">IF(controls!$B$33=1,(B116-B115*AC116-I116+D115*AD116+'main page'!$K$27*('main page'!$K$24+'main page'!$K$11))/'main page'!$K$31,(B116-B115*AC116+D115*AD116-H116+'main page'!$K$27*('main page'!$K$24+'main page'!$K$11))/'main page'!$K$31)</f>
        <v>1</v>
      </c>
      <c r="AI115" s="44">
        <f ca="1">IF(controls!$B$45=1,LOG(AM115,1.01)+LOG(AL115,1.01)-LOG(AK115,1.01),-((T115-('main page'!$K$24+'main page'!$K$11))/(1-'normal case'!$AV$3))+'normal case'!AH115)</f>
        <v>2.0000000596046448</v>
      </c>
      <c r="AJ115" s="80">
        <f t="shared" ca="1" si="14"/>
        <v>1.0506250015463039</v>
      </c>
      <c r="AK115" s="44">
        <f t="shared" ca="1" si="15"/>
        <v>9.0089801695199689</v>
      </c>
      <c r="AL115" s="44">
        <f>AL114*(1+'main page'!$K$32/100)</f>
        <v>1</v>
      </c>
      <c r="AM115" s="44">
        <f ca="1">IF(ABS(IF(controls!$B$45=1,$AS$13,AK115*AJ115/AL115)-AM114)&lt;0.00001,AM114,IF(controls!$B$45=1,$AS$13,AK115*AJ115/AL115))</f>
        <v>9.4650598045325385</v>
      </c>
      <c r="AN115" s="44">
        <f>IF(controls!$B$46=0,0,IF(controls!$B$33=2,B116-B115*AC116-('normal case'!H116-D115*AD116-'main page'!$K$27*'normal case'!T115+'main page'!$K$31*'normal case'!AI115)-(('main page'!$K$25*'main page'!$U$13*'main page'!$K$29)/(1+('main page'!$K$25^2)*'main page'!$U$13))*('normal case'!L115-'main page'!$U$8),B116-B115*AC116-('normal case'!I116-D115*AD116-'main page'!$K$27*'normal case'!T115+'main page'!$K$31*'normal case'!AI115)-(('main page'!$K$25*'main page'!$U$13*'main page'!$K$29)/(1+('main page'!$K$25^2)*'main page'!$U$13))*('normal case'!L115-'main page'!$U$8)))</f>
        <v>0</v>
      </c>
      <c r="AU115" s="36"/>
      <c r="AV115" s="36"/>
    </row>
    <row r="116" spans="1:48">
      <c r="A116" s="43">
        <v>114</v>
      </c>
      <c r="B116" s="62">
        <f ca="1">IF(controls!$B$33=1,B115*(1+AC116)+AA116,B115*(1+AC116))</f>
        <v>101</v>
      </c>
      <c r="C116" s="67">
        <f t="shared" ca="1" si="16"/>
        <v>-1.5107707374006907E-7</v>
      </c>
      <c r="D116" s="64">
        <f t="shared" ca="1" si="12"/>
        <v>101.00000005960464</v>
      </c>
      <c r="E116" s="64">
        <f ca="1">AN115+IF(controls!$B$33=1,G116,F116)</f>
        <v>101.00000005960464</v>
      </c>
      <c r="F116" s="78">
        <f ca="1">IF(controls!$B$44=0,H116-'main page'!$K$27*T115,H116-'main page'!$K$27*T115+'main page'!$K$31*AI115)</f>
        <v>101.00000005960464</v>
      </c>
      <c r="G116" s="62">
        <f ca="1">IF(controls!$B$44=0,I116-'main page'!$K$27*T115,I116-'main page'!$K$27*T115+'main page'!$K$31*'normal case'!AI115)</f>
        <v>101.00000005960464</v>
      </c>
      <c r="H116" s="62">
        <f t="shared" ca="1" si="18"/>
        <v>108</v>
      </c>
      <c r="I116" s="62">
        <f t="shared" ca="1" si="19"/>
        <v>108</v>
      </c>
      <c r="L116" s="62">
        <f ca="1">IF(ABS('main page'!$K$29*L115+(1-'main page'!$K$29)*(controls!$B$9/100)*100+'main page'!$K$25*(D116-B116)-L115)&lt;0.0000001,L115,'main page'!$K$29*L115+(1-'main page'!$K$29)*(controls!$B$9/100)*100+'main page'!$K$25*(D116-B116))</f>
        <v>1.9999998807907104</v>
      </c>
      <c r="Q116" s="409">
        <f ca="1">(1-'main page'!$K$29)*($AS$11/100)*100+'main page'!$K$25*(D116-B116)</f>
        <v>5.9604644775390625E-8</v>
      </c>
      <c r="R116" s="409">
        <f>'main page'!G120+'main page'!$K$29*M115</f>
        <v>0</v>
      </c>
      <c r="S116" s="409">
        <f t="shared" ca="1" si="17"/>
        <v>5.9604644775390625E-8</v>
      </c>
      <c r="T116" s="79">
        <f ca="1">IF(controls!$B$10=1,T115,IF(SUM(controls!$B$44:$B$46)=2,U116-'main page'!$K$29*'normal case'!L116-(1-'main page'!$K$29)*'main page'!$K$32,U116-'main page'!$K$29*'normal case'!L116-(1-'main page'!$K$29)*controls!$B$9))</f>
        <v>3.4999999701976776</v>
      </c>
      <c r="U116" s="164">
        <f ca="1">IF(controls!$B$45=1,IF(controls!$B$46=1,'main page'!$K$24+'main page'!$K$11+'main page'!$U$8,'main page'!$K$24+'main page'!$K$11+'main page'!$K$32),IF(controls!$B$44=1,IF(V116&lt;0,0,V116),IF(V116+'main page'!$K$11&lt;0,0,V116+'main page'!$K$11)))</f>
        <v>5.4999998509883881</v>
      </c>
      <c r="V116" s="63">
        <f ca="1">IF(controls!$B$10=1,'normal case'!T116+'normal case'!L116,'normal case'!W116)</f>
        <v>5.4999998509883881</v>
      </c>
      <c r="W116" s="61">
        <f t="shared" ca="1" si="13"/>
        <v>5.4999998509883881</v>
      </c>
      <c r="X116" s="166">
        <f ca="1">IF(controls!$B$44=0,Y116+'main page'!$K$29*L116+(1-'main page'!$K$29)*controls!$B$9+(('main page'!$K$25*'main page'!$U$13*'main page'!$K$29)/('main page'!$K$27*(1+('main page'!$K$25^2)*'main page'!$U$13)))*(L116-controls!$B$9),Y116+'main page'!$K$29*L116+(1-'main page'!$K$29)*controls!$B$9+(('main page'!$K$25*'main page'!$U$13*'normal case'!$AV$3)/'normal case'!$AV$4)*('normal case'!L116-controls!$B$9))</f>
        <v>5.4999998509883881</v>
      </c>
      <c r="Y116" s="81">
        <f ca="1">IF(controls!$B$44=1,'main page'!$K$24+'main page'!$K$11,IF(controls!$B$33=1,((I117-D116*AD117-B117+B116*AC117)/'main page'!$K$27)-'main page'!$K$11,((H117-D116*AD117-B117+B116*AC117)/'main page'!$K$27)-'main page'!$K$11))</f>
        <v>3.5</v>
      </c>
      <c r="AA116" s="58">
        <f>IF(controls!$B$6=1,$AS$3*(1+('main page'!$K$35/100))^AB116-$AS$3*(1+('main page'!$K$35/100))^AB115,$AS$3*(1+('main page'!$G$8/100))*(1+('main page'!$K$35/100))^AB116-$AS$3*(1+('main page'!$G$8/100))*(1+('main page'!$K$35/100))^AB115)</f>
        <v>0</v>
      </c>
      <c r="AB116" s="60">
        <v>109</v>
      </c>
      <c r="AC116" s="125">
        <f ca="1">IF(controls!$B$4=1,IF(controls!$H115=1,controls!$B$34*AC115+RAND()*('main page'!$K$16/100)-RAND()*('main page'!$K$16/100),0),0)</f>
        <v>0</v>
      </c>
      <c r="AD116" s="36">
        <f ca="1">IF(controls!$B$4=1,IF(controls!$I115=1,controls!$B$34*AD115+RAND()*('main page'!$K$16/100)-RAND()*('main page'!$K$16/100),0),0)</f>
        <v>0</v>
      </c>
      <c r="AE116" s="44">
        <f ca="1">IF(controls!$B$33=1,D116-($I$3-'main page'!$K$27*2)*(1+('main page'!$K$35/100))^A115,D116-$AS$4)</f>
        <v>1.0000000596046448</v>
      </c>
      <c r="AF116" s="44">
        <f ca="1">ABS(L116-(controls!$B$9/100)*100)</f>
        <v>1.1920928955078125E-7</v>
      </c>
      <c r="AH116" s="44">
        <f ca="1">IF(controls!$B$33=1,(B117-B116*AC117-I117+D116*AD117+'main page'!$K$27*('main page'!$K$24+'main page'!$K$11))/'main page'!$K$31,(B117-B116*AC117+D116*AD117-H117+'main page'!$K$27*('main page'!$K$24+'main page'!$K$11))/'main page'!$K$31)</f>
        <v>1</v>
      </c>
      <c r="AI116" s="44">
        <f ca="1">IF(controls!$B$45=1,LOG(AM116,1.01)+LOG(AL116,1.01)-LOG(AK116,1.01),-((T116-('main page'!$K$24+'main page'!$K$11))/(1-'normal case'!$AV$3))+'normal case'!AH116)</f>
        <v>2.0000000596046448</v>
      </c>
      <c r="AJ116" s="80">
        <f t="shared" ca="1" si="14"/>
        <v>1.0506250015463039</v>
      </c>
      <c r="AK116" s="44">
        <f t="shared" ca="1" si="15"/>
        <v>9.1891597621708279</v>
      </c>
      <c r="AL116" s="44">
        <f>AL115*(1+'main page'!$K$32/100)</f>
        <v>1</v>
      </c>
      <c r="AM116" s="44">
        <f ca="1">IF(ABS(IF(controls!$B$45=1,$AS$13,AK116*AJ116/AL116)-AM115)&lt;0.00001,AM115,IF(controls!$B$45=1,$AS$13,AK116*AJ116/AL116))</f>
        <v>9.6543609893399598</v>
      </c>
      <c r="AN116" s="44">
        <f>IF(controls!$B$46=0,0,IF(controls!$B$33=2,B117-B116*AC117-('normal case'!H117-D116*AD117-'main page'!$K$27*'normal case'!T116+'main page'!$K$31*'normal case'!AI116)-(('main page'!$K$25*'main page'!$U$13*'main page'!$K$29)/(1+('main page'!$K$25^2)*'main page'!$U$13))*('normal case'!L116-'main page'!$U$8),B117-B116*AC117-('normal case'!I117-D116*AD117-'main page'!$K$27*'normal case'!T116+'main page'!$K$31*'normal case'!AI116)-(('main page'!$K$25*'main page'!$U$13*'main page'!$K$29)/(1+('main page'!$K$25^2)*'main page'!$U$13))*('normal case'!L116-'main page'!$U$8)))</f>
        <v>0</v>
      </c>
      <c r="AU116" s="36"/>
      <c r="AV116" s="36"/>
    </row>
    <row r="117" spans="1:48">
      <c r="A117" s="43">
        <v>115</v>
      </c>
      <c r="B117" s="62">
        <f ca="1">IF(controls!$B$33=1,B116*(1+AC117)+AA117,B116*(1+AC117))</f>
        <v>101</v>
      </c>
      <c r="C117" s="67">
        <f t="shared" ca="1" si="16"/>
        <v>-1.5107707374006907E-7</v>
      </c>
      <c r="D117" s="64">
        <f t="shared" ca="1" si="12"/>
        <v>101.00000005960464</v>
      </c>
      <c r="E117" s="64">
        <f ca="1">AN116+IF(controls!$B$33=1,G117,F117)</f>
        <v>101.00000005960464</v>
      </c>
      <c r="F117" s="78">
        <f ca="1">IF(controls!$B$44=0,H117-'main page'!$K$27*T116,H117-'main page'!$K$27*T116+'main page'!$K$31*AI116)</f>
        <v>101.00000005960464</v>
      </c>
      <c r="G117" s="62">
        <f ca="1">IF(controls!$B$44=0,I117-'main page'!$K$27*T116,I117-'main page'!$K$27*T116+'main page'!$K$31*'normal case'!AI116)</f>
        <v>101.00000005960464</v>
      </c>
      <c r="H117" s="62">
        <f t="shared" ca="1" si="18"/>
        <v>108</v>
      </c>
      <c r="I117" s="62">
        <f t="shared" ca="1" si="19"/>
        <v>108</v>
      </c>
      <c r="L117" s="62">
        <f ca="1">IF(ABS('main page'!$K$29*L116+(1-'main page'!$K$29)*(controls!$B$9/100)*100+'main page'!$K$25*(D117-B117)-L116)&lt;0.0000001,L116,'main page'!$K$29*L116+(1-'main page'!$K$29)*(controls!$B$9/100)*100+'main page'!$K$25*(D117-B117))</f>
        <v>1.9999998807907104</v>
      </c>
      <c r="Q117" s="409">
        <f ca="1">(1-'main page'!$K$29)*($AS$11/100)*100+'main page'!$K$25*(D117-B117)</f>
        <v>5.9604644775390625E-8</v>
      </c>
      <c r="R117" s="409">
        <f>'main page'!G121+'main page'!$K$29*M116</f>
        <v>0</v>
      </c>
      <c r="S117" s="409">
        <f t="shared" ca="1" si="17"/>
        <v>5.9604644775390625E-8</v>
      </c>
      <c r="T117" s="79">
        <f ca="1">IF(controls!$B$10=1,T116,IF(SUM(controls!$B$44:$B$46)=2,U117-'main page'!$K$29*'normal case'!L117-(1-'main page'!$K$29)*'main page'!$K$32,U117-'main page'!$K$29*'normal case'!L117-(1-'main page'!$K$29)*controls!$B$9))</f>
        <v>3.4999999701976776</v>
      </c>
      <c r="U117" s="164">
        <f ca="1">IF(controls!$B$45=1,IF(controls!$B$46=1,'main page'!$K$24+'main page'!$K$11+'main page'!$U$8,'main page'!$K$24+'main page'!$K$11+'main page'!$K$32),IF(controls!$B$44=1,IF(V117&lt;0,0,V117),IF(V117+'main page'!$K$11&lt;0,0,V117+'main page'!$K$11)))</f>
        <v>5.4999998509883881</v>
      </c>
      <c r="V117" s="63">
        <f ca="1">IF(controls!$B$10=1,'normal case'!T117+'normal case'!L117,'normal case'!W117)</f>
        <v>5.4999998509883881</v>
      </c>
      <c r="W117" s="61">
        <f t="shared" ca="1" si="13"/>
        <v>5.4999998509883881</v>
      </c>
      <c r="X117" s="166">
        <f ca="1">IF(controls!$B$44=0,Y117+'main page'!$K$29*L117+(1-'main page'!$K$29)*controls!$B$9+(('main page'!$K$25*'main page'!$U$13*'main page'!$K$29)/('main page'!$K$27*(1+('main page'!$K$25^2)*'main page'!$U$13)))*(L117-controls!$B$9),Y117+'main page'!$K$29*L117+(1-'main page'!$K$29)*controls!$B$9+(('main page'!$K$25*'main page'!$U$13*'normal case'!$AV$3)/'normal case'!$AV$4)*('normal case'!L117-controls!$B$9))</f>
        <v>5.4999998509883881</v>
      </c>
      <c r="Y117" s="81">
        <f ca="1">IF(controls!$B$44=1,'main page'!$K$24+'main page'!$K$11,IF(controls!$B$33=1,((I118-D117*AD118-B118+B117*AC118)/'main page'!$K$27)-'main page'!$K$11,((H118-D117*AD118-B118+B117*AC118)/'main page'!$K$27)-'main page'!$K$11))</f>
        <v>3.5</v>
      </c>
      <c r="AA117" s="58">
        <f>IF(controls!$B$6=1,$AS$3*(1+('main page'!$K$35/100))^AB117-$AS$3*(1+('main page'!$K$35/100))^AB116,$AS$3*(1+('main page'!$G$8/100))*(1+('main page'!$K$35/100))^AB117-$AS$3*(1+('main page'!$G$8/100))*(1+('main page'!$K$35/100))^AB116)</f>
        <v>0</v>
      </c>
      <c r="AB117" s="60">
        <v>110</v>
      </c>
      <c r="AC117" s="125">
        <v>0</v>
      </c>
      <c r="AD117" s="36">
        <v>0</v>
      </c>
      <c r="AE117" s="44">
        <f ca="1">IF(controls!$B$33=1,D117-($I$3-'main page'!$K$27*2)*(1+('main page'!$K$35/100))^A116,D117-$AS$4)</f>
        <v>1.0000000596046448</v>
      </c>
      <c r="AF117" s="44">
        <f ca="1">ABS(L117-(controls!$B$9/100)*100)</f>
        <v>1.1920928955078125E-7</v>
      </c>
      <c r="AH117" s="44">
        <f ca="1">IF(controls!$B$33=1,(B118-B117*AC118-I118+D117*AD118+'main page'!$K$27*('main page'!$K$24+'main page'!$K$11))/'main page'!$K$31,(B118-B117*AC118+D117*AD118-H118+'main page'!$K$27*('main page'!$K$24+'main page'!$K$11))/'main page'!$K$31)</f>
        <v>1</v>
      </c>
      <c r="AI117" s="44">
        <f ca="1">IF(controls!$B$45=1,LOG(AM117,1.01)+LOG(AL117,1.01)-LOG(AK117,1.01),-((T117-('main page'!$K$24+'main page'!$K$11))/(1-'normal case'!$AV$3))+'normal case'!AH117)</f>
        <v>2.0000000596046448</v>
      </c>
      <c r="AJ117" s="80">
        <f t="shared" ca="1" si="14"/>
        <v>1.0506250015463039</v>
      </c>
      <c r="AK117" s="44">
        <f t="shared" ca="1" si="15"/>
        <v>9.3729429464599132</v>
      </c>
      <c r="AL117" s="44">
        <f>AL116*(1+'main page'!$K$32/100)</f>
        <v>1</v>
      </c>
      <c r="AM117" s="44">
        <f ca="1">IF(ABS(IF(controls!$B$45=1,$AS$13,AK117*AJ117/AL117)-AM116)&lt;0.00001,AM116,IF(controls!$B$45=1,$AS$13,AK117*AJ117/AL117))</f>
        <v>9.8474481976178652</v>
      </c>
      <c r="AN117" s="44">
        <f>IF(controls!$B$46=0,0,IF(controls!$B$33=2,B118-B117*AC118-('normal case'!H118-D117*AD118-'main page'!$K$27*'normal case'!T117+'main page'!$K$31*'normal case'!AI117)-(('main page'!$K$25*'main page'!$U$13*'main page'!$K$29)/(1+('main page'!$K$25^2)*'main page'!$U$13))*('normal case'!L117-'main page'!$U$8),B118-B117*AC118-('normal case'!I118-D117*AD118-'main page'!$K$27*'normal case'!T117+'main page'!$K$31*'normal case'!AI117)-(('main page'!$K$25*'main page'!$U$13*'main page'!$K$29)/(1+('main page'!$K$25^2)*'main page'!$U$13))*('normal case'!L117-'main page'!$U$8)))</f>
        <v>0</v>
      </c>
      <c r="AU117" s="36"/>
      <c r="AV117" s="36"/>
    </row>
    <row r="118" spans="1:48">
      <c r="A118" s="43">
        <v>116</v>
      </c>
      <c r="B118" s="62">
        <f ca="1">IF(controls!$B$33=1,B117*(1+AC118)+AA118,B117*(1+AC118))</f>
        <v>101</v>
      </c>
      <c r="C118" s="67">
        <f t="shared" ca="1" si="16"/>
        <v>-1.5107707374006907E-7</v>
      </c>
      <c r="D118" s="64">
        <f t="shared" ca="1" si="12"/>
        <v>101.00000005960464</v>
      </c>
      <c r="E118" s="64">
        <f ca="1">AN117+IF(controls!$B$33=1,G118,F118)</f>
        <v>101.00000005960464</v>
      </c>
      <c r="F118" s="78">
        <f ca="1">IF(controls!$B$44=0,H118-'main page'!$K$27*T117,H118-'main page'!$K$27*T117+'main page'!$K$31*AI117)</f>
        <v>101.00000005960464</v>
      </c>
      <c r="G118" s="62">
        <f ca="1">IF(controls!$B$44=0,I118-'main page'!$K$27*T117,I118-'main page'!$K$27*T117+'main page'!$K$31*'normal case'!AI117)</f>
        <v>101.00000005960464</v>
      </c>
      <c r="H118" s="62">
        <f t="shared" ca="1" si="18"/>
        <v>108</v>
      </c>
      <c r="I118" s="62">
        <f t="shared" ca="1" si="19"/>
        <v>108</v>
      </c>
      <c r="L118" s="62">
        <f ca="1">IF(ABS('main page'!$K$29*L117+(1-'main page'!$K$29)*(controls!$B$9/100)*100+'main page'!$K$25*(D118-B118)-L117)&lt;0.0000001,L117,'main page'!$K$29*L117+(1-'main page'!$K$29)*(controls!$B$9/100)*100+'main page'!$K$25*(D118-B118))</f>
        <v>1.9999998807907104</v>
      </c>
      <c r="Q118" s="409">
        <f ca="1">(1-'main page'!$K$29)*($AS$11/100)*100+'main page'!$K$25*(D118-B118)</f>
        <v>5.9604644775390625E-8</v>
      </c>
      <c r="R118" s="409">
        <f>'main page'!G122+'main page'!$K$29*M117</f>
        <v>0</v>
      </c>
      <c r="S118" s="409">
        <f t="shared" ca="1" si="17"/>
        <v>5.9604644775390625E-8</v>
      </c>
      <c r="T118" s="79">
        <f ca="1">IF(controls!$B$10=1,T117,IF(SUM(controls!$B$44:$B$46)=2,U118-'main page'!$K$29*'normal case'!L118-(1-'main page'!$K$29)*'main page'!$K$32,U118-'main page'!$K$29*'normal case'!L118-(1-'main page'!$K$29)*controls!$B$9))</f>
        <v>3.4999999701976776</v>
      </c>
      <c r="U118" s="164">
        <f ca="1">IF(controls!$B$45=1,IF(controls!$B$46=1,'main page'!$K$24+'main page'!$K$11+'main page'!$U$8,'main page'!$K$24+'main page'!$K$11+'main page'!$K$32),IF(controls!$B$44=1,IF(V118&lt;0,0,V118),IF(V118+'main page'!$K$11&lt;0,0,V118+'main page'!$K$11)))</f>
        <v>5.4999998509883881</v>
      </c>
      <c r="V118" s="63">
        <f ca="1">IF(controls!$B$10=1,'normal case'!T118+'normal case'!L118,'normal case'!W118)</f>
        <v>5.4999998509883881</v>
      </c>
      <c r="W118" s="61">
        <f t="shared" ca="1" si="13"/>
        <v>5.4999998509883881</v>
      </c>
      <c r="X118" s="166">
        <f ca="1">IF(controls!$B$44=0,Y118+'main page'!$K$29*L118+(1-'main page'!$K$29)*controls!$B$9+(('main page'!$K$25*'main page'!$U$13*'main page'!$K$29)/('main page'!$K$27*(1+('main page'!$K$25^2)*'main page'!$U$13)))*(L118-controls!$B$9),Y118+'main page'!$K$29*L118+(1-'main page'!$K$29)*controls!$B$9+(('main page'!$K$25*'main page'!$U$13*'normal case'!$AV$3)/'normal case'!$AV$4)*('normal case'!L118-controls!$B$9))</f>
        <v>5.4999998509883881</v>
      </c>
      <c r="Y118" s="81">
        <f ca="1">IF(controls!$B$44=1,'main page'!$K$24+'main page'!$K$11,IF(controls!$B$33=1,((I119-D118*AD119-B119+B118*AC119)/'main page'!$K$27)-'main page'!$K$11,((H119-D118*AD119-B119+B118*AC119)/'main page'!$K$27)-'main page'!$K$11))</f>
        <v>3.5</v>
      </c>
      <c r="AA118" s="58">
        <f>IF(controls!$B$6=1,$AS$3*(1+('main page'!$K$35/100))^AB118-$AS$3*(1+('main page'!$K$35/100))^AB117,$AS$3*(1+('main page'!$G$8/100))*(1+('main page'!$K$35/100))^AB118-$AS$3*(1+('main page'!$G$8/100))*(1+('main page'!$K$35/100))^AB117)</f>
        <v>0</v>
      </c>
      <c r="AB118" s="60">
        <v>111</v>
      </c>
      <c r="AC118" s="125">
        <v>0</v>
      </c>
      <c r="AD118" s="36">
        <v>0</v>
      </c>
      <c r="AE118" s="44">
        <f ca="1">IF(controls!$B$33=1,D118-($I$3-'main page'!$K$27*2)*(1+('main page'!$K$35/100))^A117,D118-$AS$4)</f>
        <v>1.0000000596046448</v>
      </c>
      <c r="AF118" s="44">
        <f ca="1">ABS(L118-(controls!$B$9/100)*100)</f>
        <v>1.1920928955078125E-7</v>
      </c>
      <c r="AH118" s="44">
        <f ca="1">IF(controls!$B$33=1,(B119-B118*AC119-I119+D118*AD119+'main page'!$K$27*('main page'!$K$24+'main page'!$K$11))/'main page'!$K$31,(B119-B118*AC119+D118*AD119-H119+'main page'!$K$27*('main page'!$K$24+'main page'!$K$11))/'main page'!$K$31)</f>
        <v>1</v>
      </c>
      <c r="AI118" s="44">
        <f ca="1">IF(controls!$B$45=1,LOG(AM118,1.01)+LOG(AL118,1.01)-LOG(AK118,1.01),-((T118-('main page'!$K$24+'main page'!$K$11))/(1-'normal case'!$AV$3))+'normal case'!AH118)</f>
        <v>2.0000000596046448</v>
      </c>
      <c r="AJ118" s="80">
        <f t="shared" ca="1" si="14"/>
        <v>1.0506250015463039</v>
      </c>
      <c r="AK118" s="44">
        <f t="shared" ca="1" si="15"/>
        <v>9.5604017942156929</v>
      </c>
      <c r="AL118" s="44">
        <f>AL117*(1+'main page'!$K$32/100)</f>
        <v>1</v>
      </c>
      <c r="AM118" s="44">
        <f ca="1">IF(ABS(IF(controls!$B$45=1,$AS$13,AK118*AJ118/AL118)-AM117)&lt;0.00001,AM117,IF(controls!$B$45=1,$AS$13,AK118*AJ118/AL118))</f>
        <v>10.044397149831148</v>
      </c>
      <c r="AN118" s="44">
        <f>IF(controls!$B$46=0,0,IF(controls!$B$33=2,B119-B118*AC119-('normal case'!H119-D118*AD119-'main page'!$K$27*'normal case'!T118+'main page'!$K$31*'normal case'!AI118)-(('main page'!$K$25*'main page'!$U$13*'main page'!$K$29)/(1+('main page'!$K$25^2)*'main page'!$U$13))*('normal case'!L118-'main page'!$U$8),B119-B118*AC119-('normal case'!I119-D118*AD119-'main page'!$K$27*'normal case'!T118+'main page'!$K$31*'normal case'!AI118)-(('main page'!$K$25*'main page'!$U$13*'main page'!$K$29)/(1+('main page'!$K$25^2)*'main page'!$U$13))*('normal case'!L118-'main page'!$U$8)))</f>
        <v>0</v>
      </c>
      <c r="AU118" s="36"/>
      <c r="AV118" s="36"/>
    </row>
    <row r="119" spans="1:48">
      <c r="A119" s="43">
        <v>117</v>
      </c>
      <c r="B119" s="62">
        <f ca="1">IF(controls!$B$33=1,B118*(1+AC119)+AA119,B118*(1+AC119))</f>
        <v>101</v>
      </c>
      <c r="C119" s="67">
        <f t="shared" ca="1" si="16"/>
        <v>-1.5107707374006907E-7</v>
      </c>
      <c r="D119" s="64">
        <f t="shared" ca="1" si="12"/>
        <v>101.00000005960464</v>
      </c>
      <c r="E119" s="64">
        <f ca="1">AN118+IF(controls!$B$33=1,G119,F119)</f>
        <v>101.00000005960464</v>
      </c>
      <c r="F119" s="78">
        <f ca="1">IF(controls!$B$44=0,H119-'main page'!$K$27*T118,H119-'main page'!$K$27*T118+'main page'!$K$31*AI118)</f>
        <v>101.00000005960464</v>
      </c>
      <c r="G119" s="62">
        <f ca="1">IF(controls!$B$44=0,I119-'main page'!$K$27*T118,I119-'main page'!$K$27*T118+'main page'!$K$31*'normal case'!AI118)</f>
        <v>101.00000005960464</v>
      </c>
      <c r="H119" s="62">
        <f t="shared" ca="1" si="18"/>
        <v>108</v>
      </c>
      <c r="I119" s="62">
        <f t="shared" ca="1" si="19"/>
        <v>108</v>
      </c>
      <c r="L119" s="62">
        <f ca="1">IF(ABS('main page'!$K$29*L118+(1-'main page'!$K$29)*(controls!$B$9/100)*100+'main page'!$K$25*(D119-B119)-L118)&lt;0.0000001,L118,'main page'!$K$29*L118+(1-'main page'!$K$29)*(controls!$B$9/100)*100+'main page'!$K$25*(D119-B119))</f>
        <v>1.9999998807907104</v>
      </c>
      <c r="Q119" s="409">
        <f ca="1">(1-'main page'!$K$29)*($AS$11/100)*100+'main page'!$K$25*(D119-B119)</f>
        <v>5.9604644775390625E-8</v>
      </c>
      <c r="R119" s="409">
        <f>'main page'!G123+'main page'!$K$29*M118</f>
        <v>0</v>
      </c>
      <c r="S119" s="409">
        <f t="shared" ca="1" si="17"/>
        <v>5.9604644775390625E-8</v>
      </c>
      <c r="T119" s="79">
        <f ca="1">IF(controls!$B$10=1,T118,IF(SUM(controls!$B$44:$B$46)=2,U119-'main page'!$K$29*'normal case'!L119-(1-'main page'!$K$29)*'main page'!$K$32,U119-'main page'!$K$29*'normal case'!L119-(1-'main page'!$K$29)*controls!$B$9))</f>
        <v>3.4999999701976776</v>
      </c>
      <c r="U119" s="164">
        <f ca="1">IF(controls!$B$45=1,IF(controls!$B$46=1,'main page'!$K$24+'main page'!$K$11+'main page'!$U$8,'main page'!$K$24+'main page'!$K$11+'main page'!$K$32),IF(controls!$B$44=1,IF(V119&lt;0,0,V119),IF(V119+'main page'!$K$11&lt;0,0,V119+'main page'!$K$11)))</f>
        <v>5.4999998509883881</v>
      </c>
      <c r="V119" s="63">
        <f ca="1">IF(controls!$B$10=1,'normal case'!T119+'normal case'!L119,'normal case'!W119)</f>
        <v>5.4999998509883881</v>
      </c>
      <c r="W119" s="61">
        <f t="shared" ca="1" si="13"/>
        <v>5.4999998509883881</v>
      </c>
      <c r="X119" s="166">
        <f ca="1">IF(controls!$B$44=0,Y119+'main page'!$K$29*L119+(1-'main page'!$K$29)*controls!$B$9+(('main page'!$K$25*'main page'!$U$13*'main page'!$K$29)/('main page'!$K$27*(1+('main page'!$K$25^2)*'main page'!$U$13)))*(L119-controls!$B$9),Y119+'main page'!$K$29*L119+(1-'main page'!$K$29)*controls!$B$9+(('main page'!$K$25*'main page'!$U$13*'normal case'!$AV$3)/'normal case'!$AV$4)*('normal case'!L119-controls!$B$9))</f>
        <v>5.4999998509883881</v>
      </c>
      <c r="Y119" s="81">
        <f ca="1">IF(controls!$B$44=1,'main page'!$K$24+'main page'!$K$11,IF(controls!$B$33=1,((I120-D119*AD120-B120+B119*AC120)/'main page'!$K$27)-'main page'!$K$11,((H120-D119*AD120-B120+B119*AC120)/'main page'!$K$27)-'main page'!$K$11))</f>
        <v>3.5</v>
      </c>
      <c r="AA119" s="58">
        <f>IF(controls!$B$6=1,$AS$3*(1+('main page'!$K$35/100))^AB119-$AS$3*(1+('main page'!$K$35/100))^AB118,$AS$3*(1+('main page'!$G$8/100))*(1+('main page'!$K$35/100))^AB119-$AS$3*(1+('main page'!$G$8/100))*(1+('main page'!$K$35/100))^AB118)</f>
        <v>0</v>
      </c>
      <c r="AB119" s="60">
        <v>112</v>
      </c>
      <c r="AC119" s="125">
        <f ca="1">IF(controls!$B$4=1,IF(controls!$H118=1,controls!$B$34*AC118+RAND()*('main page'!$K$16/100)-RAND()*('main page'!$K$16/100),0),0)</f>
        <v>0</v>
      </c>
      <c r="AD119" s="36">
        <f ca="1">IF(controls!$B$4=1,IF(controls!$I118=1,controls!$B$34*AD118+RAND()*('main page'!$K$16/100)-RAND()*('main page'!$K$16/100),0),0)</f>
        <v>0</v>
      </c>
      <c r="AE119" s="44">
        <f ca="1">IF(controls!$B$33=1,D119-($I$3-'main page'!$K$27*2)*(1+('main page'!$K$35/100))^A118,D119-$AS$4)</f>
        <v>1.0000000596046448</v>
      </c>
      <c r="AF119" s="44">
        <f ca="1">ABS(L119-(controls!$B$9/100)*100)</f>
        <v>1.1920928955078125E-7</v>
      </c>
      <c r="AH119" s="44">
        <f ca="1">IF(controls!$B$33=1,(B120-B119*AC120-I120+D119*AD120+'main page'!$K$27*('main page'!$K$24+'main page'!$K$11))/'main page'!$K$31,(B120-B119*AC120+D119*AD120-H120+'main page'!$K$27*('main page'!$K$24+'main page'!$K$11))/'main page'!$K$31)</f>
        <v>1</v>
      </c>
      <c r="AI119" s="44">
        <f ca="1">IF(controls!$B$45=1,LOG(AM119,1.01)+LOG(AL119,1.01)-LOG(AK119,1.01),-((T119-('main page'!$K$24+'main page'!$K$11))/(1-'normal case'!$AV$3))+'normal case'!AH119)</f>
        <v>2.0000000596046448</v>
      </c>
      <c r="AJ119" s="80">
        <f t="shared" ca="1" si="14"/>
        <v>1.0506250015463039</v>
      </c>
      <c r="AK119" s="44">
        <f t="shared" ca="1" si="15"/>
        <v>9.7516098187031197</v>
      </c>
      <c r="AL119" s="44">
        <f>AL118*(1+'main page'!$K$32/100)</f>
        <v>1</v>
      </c>
      <c r="AM119" s="44">
        <f ca="1">IF(ABS(IF(controls!$B$45=1,$AS$13,AK119*AJ119/AL119)-AM118)&lt;0.00001,AM118,IF(controls!$B$45=1,$AS$13,AK119*AJ119/AL119))</f>
        <v>10.245285080853918</v>
      </c>
      <c r="AN119" s="44">
        <f>IF(controls!$B$46=0,0,IF(controls!$B$33=2,B120-B119*AC120-('normal case'!H120-D119*AD120-'main page'!$K$27*'normal case'!T119+'main page'!$K$31*'normal case'!AI119)-(('main page'!$K$25*'main page'!$U$13*'main page'!$K$29)/(1+('main page'!$K$25^2)*'main page'!$U$13))*('normal case'!L119-'main page'!$U$8),B120-B119*AC120-('normal case'!I120-D119*AD120-'main page'!$K$27*'normal case'!T119+'main page'!$K$31*'normal case'!AI119)-(('main page'!$K$25*'main page'!$U$13*'main page'!$K$29)/(1+('main page'!$K$25^2)*'main page'!$U$13))*('normal case'!L119-'main page'!$U$8)))</f>
        <v>0</v>
      </c>
      <c r="AU119" s="36"/>
      <c r="AV119" s="36"/>
    </row>
    <row r="120" spans="1:48">
      <c r="A120" s="43">
        <v>118</v>
      </c>
      <c r="B120" s="62">
        <f ca="1">IF(controls!$B$33=1,B119*(1+AC120)+AA120,B119*(1+AC120))</f>
        <v>101</v>
      </c>
      <c r="C120" s="67">
        <f t="shared" ca="1" si="16"/>
        <v>-1.5107707374006907E-7</v>
      </c>
      <c r="D120" s="64">
        <f t="shared" ca="1" si="12"/>
        <v>101.00000005960464</v>
      </c>
      <c r="E120" s="64">
        <f ca="1">AN119+IF(controls!$B$33=1,G120,F120)</f>
        <v>101.00000005960464</v>
      </c>
      <c r="F120" s="78">
        <f ca="1">IF(controls!$B$44=0,H120-'main page'!$K$27*T119,H120-'main page'!$K$27*T119+'main page'!$K$31*AI119)</f>
        <v>101.00000005960464</v>
      </c>
      <c r="G120" s="62">
        <f ca="1">IF(controls!$B$44=0,I120-'main page'!$K$27*T119,I120-'main page'!$K$27*T119+'main page'!$K$31*'normal case'!AI119)</f>
        <v>101.00000005960464</v>
      </c>
      <c r="H120" s="62">
        <f t="shared" ca="1" si="18"/>
        <v>108</v>
      </c>
      <c r="I120" s="62">
        <f t="shared" ca="1" si="19"/>
        <v>108</v>
      </c>
      <c r="L120" s="62">
        <f ca="1">IF(ABS('main page'!$K$29*L119+(1-'main page'!$K$29)*(controls!$B$9/100)*100+'main page'!$K$25*(D120-B120)-L119)&lt;0.0000001,L119,'main page'!$K$29*L119+(1-'main page'!$K$29)*(controls!$B$9/100)*100+'main page'!$K$25*(D120-B120))</f>
        <v>1.9999998807907104</v>
      </c>
      <c r="Q120" s="409">
        <f ca="1">(1-'main page'!$K$29)*($AS$11/100)*100+'main page'!$K$25*(D120-B120)</f>
        <v>5.9604644775390625E-8</v>
      </c>
      <c r="R120" s="409">
        <f>'main page'!G124+'main page'!$K$29*M119</f>
        <v>0</v>
      </c>
      <c r="S120" s="409">
        <f t="shared" ca="1" si="17"/>
        <v>5.9604644775390625E-8</v>
      </c>
      <c r="T120" s="79">
        <f ca="1">IF(controls!$B$10=1,T119,IF(SUM(controls!$B$44:$B$46)=2,U120-'main page'!$K$29*'normal case'!L120-(1-'main page'!$K$29)*'main page'!$K$32,U120-'main page'!$K$29*'normal case'!L120-(1-'main page'!$K$29)*controls!$B$9))</f>
        <v>3.4999999701976776</v>
      </c>
      <c r="U120" s="164">
        <f ca="1">IF(controls!$B$45=1,IF(controls!$B$46=1,'main page'!$K$24+'main page'!$K$11+'main page'!$U$8,'main page'!$K$24+'main page'!$K$11+'main page'!$K$32),IF(controls!$B$44=1,IF(V120&lt;0,0,V120),IF(V120+'main page'!$K$11&lt;0,0,V120+'main page'!$K$11)))</f>
        <v>5.4999998509883881</v>
      </c>
      <c r="V120" s="63">
        <f ca="1">IF(controls!$B$10=1,'normal case'!T120+'normal case'!L120,'normal case'!W120)</f>
        <v>5.4999998509883881</v>
      </c>
      <c r="W120" s="61">
        <f t="shared" ca="1" si="13"/>
        <v>5.4999998509883881</v>
      </c>
      <c r="X120" s="166">
        <f ca="1">IF(controls!$B$44=0,Y120+'main page'!$K$29*L120+(1-'main page'!$K$29)*controls!$B$9+(('main page'!$K$25*'main page'!$U$13*'main page'!$K$29)/('main page'!$K$27*(1+('main page'!$K$25^2)*'main page'!$U$13)))*(L120-controls!$B$9),Y120+'main page'!$K$29*L120+(1-'main page'!$K$29)*controls!$B$9+(('main page'!$K$25*'main page'!$U$13*'normal case'!$AV$3)/'normal case'!$AV$4)*('normal case'!L120-controls!$B$9))</f>
        <v>5.4999998509883881</v>
      </c>
      <c r="Y120" s="81">
        <f ca="1">IF(controls!$B$44=1,'main page'!$K$24+'main page'!$K$11,IF(controls!$B$33=1,((I121-D120*AD121-B121+B120*AC121)/'main page'!$K$27)-'main page'!$K$11,((H121-D120*AD121-B121+B120*AC121)/'main page'!$K$27)-'main page'!$K$11))</f>
        <v>3.5</v>
      </c>
      <c r="AA120" s="58">
        <f>IF(controls!$B$6=1,$AS$3*(1+('main page'!$K$35/100))^AB120-$AS$3*(1+('main page'!$K$35/100))^AB119,$AS$3*(1+('main page'!$G$8/100))*(1+('main page'!$K$35/100))^AB120-$AS$3*(1+('main page'!$G$8/100))*(1+('main page'!$K$35/100))^AB119)</f>
        <v>0</v>
      </c>
      <c r="AB120" s="60">
        <v>113</v>
      </c>
      <c r="AC120" s="125">
        <v>0</v>
      </c>
      <c r="AD120" s="36">
        <v>0</v>
      </c>
      <c r="AE120" s="44">
        <f ca="1">IF(controls!$B$33=1,D120-($I$3-'main page'!$K$27*2)*(1+('main page'!$K$35/100))^A119,D120-$AS$4)</f>
        <v>1.0000000596046448</v>
      </c>
      <c r="AF120" s="44">
        <f ca="1">ABS(L120-(controls!$B$9/100)*100)</f>
        <v>1.1920928955078125E-7</v>
      </c>
      <c r="AH120" s="44">
        <f ca="1">IF(controls!$B$33=1,(B121-B120*AC121-I121+D120*AD121+'main page'!$K$27*('main page'!$K$24+'main page'!$K$11))/'main page'!$K$31,(B121-B120*AC121+D120*AD121-H121+'main page'!$K$27*('main page'!$K$24+'main page'!$K$11))/'main page'!$K$31)</f>
        <v>1</v>
      </c>
      <c r="AI120" s="44">
        <f ca="1">IF(controls!$B$45=1,LOG(AM120,1.01)+LOG(AL120,1.01)-LOG(AK120,1.01),-((T120-('main page'!$K$24+'main page'!$K$11))/(1-'normal case'!$AV$3))+'normal case'!AH120)</f>
        <v>2.0000000596046448</v>
      </c>
      <c r="AJ120" s="80">
        <f t="shared" ca="1" si="14"/>
        <v>1.0506250015463039</v>
      </c>
      <c r="AK120" s="44">
        <f t="shared" ca="1" si="15"/>
        <v>9.9466420034523573</v>
      </c>
      <c r="AL120" s="44">
        <f>AL119*(1+'main page'!$K$32/100)</f>
        <v>1</v>
      </c>
      <c r="AM120" s="44">
        <f ca="1">IF(ABS(IF(controls!$B$45=1,$AS$13,AK120*AJ120/AL120)-AM119)&lt;0.00001,AM119,IF(controls!$B$45=1,$AS$13,AK120*AJ120/AL120))</f>
        <v>10.450190770257665</v>
      </c>
      <c r="AN120" s="44">
        <f>IF(controls!$B$46=0,0,IF(controls!$B$33=2,B121-B120*AC121-('normal case'!H121-D120*AD121-'main page'!$K$27*'normal case'!T120+'main page'!$K$31*'normal case'!AI120)-(('main page'!$K$25*'main page'!$U$13*'main page'!$K$29)/(1+('main page'!$K$25^2)*'main page'!$U$13))*('normal case'!L120-'main page'!$U$8),B121-B120*AC121-('normal case'!I121-D120*AD121-'main page'!$K$27*'normal case'!T120+'main page'!$K$31*'normal case'!AI120)-(('main page'!$K$25*'main page'!$U$13*'main page'!$K$29)/(1+('main page'!$K$25^2)*'main page'!$U$13))*('normal case'!L120-'main page'!$U$8)))</f>
        <v>0</v>
      </c>
      <c r="AU120" s="36"/>
      <c r="AV120" s="36"/>
    </row>
    <row r="121" spans="1:48">
      <c r="A121" s="43">
        <v>119</v>
      </c>
      <c r="B121" s="62">
        <f ca="1">IF(controls!$B$33=1,B120*(1+AC121)+AA121,B120*(1+AC121))</f>
        <v>101</v>
      </c>
      <c r="C121" s="67">
        <f t="shared" ca="1" si="16"/>
        <v>-1.5107707374006907E-7</v>
      </c>
      <c r="D121" s="64">
        <f t="shared" ca="1" si="12"/>
        <v>101.00000005960464</v>
      </c>
      <c r="E121" s="64">
        <f ca="1">AN120+IF(controls!$B$33=1,G121,F121)</f>
        <v>101.00000005960464</v>
      </c>
      <c r="F121" s="78">
        <f ca="1">IF(controls!$B$44=0,H121-'main page'!$K$27*T120,H121-'main page'!$K$27*T120+'main page'!$K$31*AI120)</f>
        <v>101.00000005960464</v>
      </c>
      <c r="G121" s="62">
        <f ca="1">IF(controls!$B$44=0,I121-'main page'!$K$27*T120,I121-'main page'!$K$27*T120+'main page'!$K$31*'normal case'!AI120)</f>
        <v>101.00000005960464</v>
      </c>
      <c r="H121" s="62">
        <f t="shared" ca="1" si="18"/>
        <v>108</v>
      </c>
      <c r="I121" s="62">
        <f t="shared" ca="1" si="19"/>
        <v>108</v>
      </c>
      <c r="L121" s="62">
        <f ca="1">IF(ABS('main page'!$K$29*L120+(1-'main page'!$K$29)*(controls!$B$9/100)*100+'main page'!$K$25*(D121-B121)-L120)&lt;0.0000001,L120,'main page'!$K$29*L120+(1-'main page'!$K$29)*(controls!$B$9/100)*100+'main page'!$K$25*(D121-B121))</f>
        <v>1.9999998807907104</v>
      </c>
      <c r="Q121" s="409">
        <f ca="1">(1-'main page'!$K$29)*($AS$11/100)*100+'main page'!$K$25*(D121-B121)</f>
        <v>5.9604644775390625E-8</v>
      </c>
      <c r="R121" s="409">
        <f>'main page'!G125+'main page'!$K$29*M120</f>
        <v>0</v>
      </c>
      <c r="S121" s="409">
        <f t="shared" ca="1" si="17"/>
        <v>5.9604644775390625E-8</v>
      </c>
      <c r="T121" s="79">
        <f ca="1">IF(controls!$B$10=1,T120,IF(SUM(controls!$B$44:$B$46)=2,U121-'main page'!$K$29*'normal case'!L121-(1-'main page'!$K$29)*'main page'!$K$32,U121-'main page'!$K$29*'normal case'!L121-(1-'main page'!$K$29)*controls!$B$9))</f>
        <v>3.4999999701976776</v>
      </c>
      <c r="U121" s="164">
        <f ca="1">IF(controls!$B$45=1,IF(controls!$B$46=1,'main page'!$K$24+'main page'!$K$11+'main page'!$U$8,'main page'!$K$24+'main page'!$K$11+'main page'!$K$32),IF(controls!$B$44=1,IF(V121&lt;0,0,V121),IF(V121+'main page'!$K$11&lt;0,0,V121+'main page'!$K$11)))</f>
        <v>5.4999998509883881</v>
      </c>
      <c r="V121" s="63">
        <f ca="1">IF(controls!$B$10=1,'normal case'!T121+'normal case'!L121,'normal case'!W121)</f>
        <v>5.4999998509883881</v>
      </c>
      <c r="W121" s="61">
        <f t="shared" ca="1" si="13"/>
        <v>5.4999998509883881</v>
      </c>
      <c r="X121" s="166">
        <f ca="1">IF(controls!$B$44=0,Y121+'main page'!$K$29*L121+(1-'main page'!$K$29)*controls!$B$9+(('main page'!$K$25*'main page'!$U$13*'main page'!$K$29)/('main page'!$K$27*(1+('main page'!$K$25^2)*'main page'!$U$13)))*(L121-controls!$B$9),Y121+'main page'!$K$29*L121+(1-'main page'!$K$29)*controls!$B$9+(('main page'!$K$25*'main page'!$U$13*'normal case'!$AV$3)/'normal case'!$AV$4)*('normal case'!L121-controls!$B$9))</f>
        <v>5.4999998509883881</v>
      </c>
      <c r="Y121" s="81">
        <f ca="1">IF(controls!$B$44=1,'main page'!$K$24+'main page'!$K$11,IF(controls!$B$33=1,((I122-D121*AD122-B122+B121*AC122)/'main page'!$K$27)-'main page'!$K$11,((H122-D121*AD122-B122+B121*AC122)/'main page'!$K$27)-'main page'!$K$11))</f>
        <v>3.5</v>
      </c>
      <c r="AA121" s="58">
        <f>IF(controls!$B$6=1,$AS$3*(1+('main page'!$K$35/100))^AB121-$AS$3*(1+('main page'!$K$35/100))^AB120,$AS$3*(1+('main page'!$G$8/100))*(1+('main page'!$K$35/100))^AB121-$AS$3*(1+('main page'!$G$8/100))*(1+('main page'!$K$35/100))^AB120)</f>
        <v>0</v>
      </c>
      <c r="AB121" s="60">
        <v>114</v>
      </c>
      <c r="AC121" s="125">
        <v>0</v>
      </c>
      <c r="AD121" s="36">
        <v>0</v>
      </c>
      <c r="AE121" s="44">
        <f ca="1">IF(controls!$B$33=1,D121-($I$3-'main page'!$K$27*2)*(1+('main page'!$K$35/100))^A120,D121-$AS$4)</f>
        <v>1.0000000596046448</v>
      </c>
      <c r="AF121" s="44">
        <f ca="1">ABS(L121-(controls!$B$9/100)*100)</f>
        <v>1.1920928955078125E-7</v>
      </c>
      <c r="AH121" s="44">
        <f ca="1">IF(controls!$B$33=1,(B122-B121*AC122-I122+D121*AD122+'main page'!$K$27*('main page'!$K$24+'main page'!$K$11))/'main page'!$K$31,(B122-B121*AC122+D121*AD122-H122+'main page'!$K$27*('main page'!$K$24+'main page'!$K$11))/'main page'!$K$31)</f>
        <v>1</v>
      </c>
      <c r="AI121" s="44">
        <f ca="1">IF(controls!$B$45=1,LOG(AM121,1.01)+LOG(AL121,1.01)-LOG(AK121,1.01),-((T121-('main page'!$K$24+'main page'!$K$11))/(1-'normal case'!$AV$3))+'normal case'!AH121)</f>
        <v>2.0000000596046448</v>
      </c>
      <c r="AJ121" s="80">
        <f t="shared" ca="1" si="14"/>
        <v>1.0506250015463039</v>
      </c>
      <c r="AK121" s="44">
        <f t="shared" ca="1" si="15"/>
        <v>10.145574831664083</v>
      </c>
      <c r="AL121" s="44">
        <f>AL120*(1+'main page'!$K$32/100)</f>
        <v>1</v>
      </c>
      <c r="AM121" s="44">
        <f ca="1">IF(ABS(IF(controls!$B$45=1,$AS$13,AK121*AJ121/AL121)-AM120)&lt;0.00001,AM120,IF(controls!$B$45=1,$AS$13,AK121*AJ121/AL121))</f>
        <v>10.65919457320522</v>
      </c>
      <c r="AN121" s="44">
        <f>IF(controls!$B$46=0,0,IF(controls!$B$33=2,B122-B121*AC122-('normal case'!H122-D121*AD122-'main page'!$K$27*'normal case'!T121+'main page'!$K$31*'normal case'!AI121)-(('main page'!$K$25*'main page'!$U$13*'main page'!$K$29)/(1+('main page'!$K$25^2)*'main page'!$U$13))*('normal case'!L121-'main page'!$U$8),B122-B121*AC122-('normal case'!I122-D121*AD122-'main page'!$K$27*'normal case'!T121+'main page'!$K$31*'normal case'!AI121)-(('main page'!$K$25*'main page'!$U$13*'main page'!$K$29)/(1+('main page'!$K$25^2)*'main page'!$U$13))*('normal case'!L121-'main page'!$U$8)))</f>
        <v>0</v>
      </c>
      <c r="AU121" s="36"/>
      <c r="AV121" s="36"/>
    </row>
    <row r="122" spans="1:48">
      <c r="A122" s="43">
        <v>120</v>
      </c>
      <c r="B122" s="62">
        <f ca="1">IF(controls!$B$33=1,B121*(1+AC122)+AA122,B121*(1+AC122))</f>
        <v>101</v>
      </c>
      <c r="C122" s="67">
        <f t="shared" ca="1" si="16"/>
        <v>-1.5107707374006907E-7</v>
      </c>
      <c r="D122" s="64">
        <f t="shared" ca="1" si="12"/>
        <v>101.00000005960464</v>
      </c>
      <c r="E122" s="64">
        <f ca="1">AN121+IF(controls!$B$33=1,G122,F122)</f>
        <v>101.00000005960464</v>
      </c>
      <c r="F122" s="78">
        <f ca="1">IF(controls!$B$44=0,H122-'main page'!$K$27*T121,H122-'main page'!$K$27*T121+'main page'!$K$31*AI121)</f>
        <v>101.00000005960464</v>
      </c>
      <c r="G122" s="62">
        <f ca="1">IF(controls!$B$44=0,I122-'main page'!$K$27*T121,I122-'main page'!$K$27*T121+'main page'!$K$31*'normal case'!AI121)</f>
        <v>101.00000005960464</v>
      </c>
      <c r="H122" s="62">
        <f t="shared" ca="1" si="18"/>
        <v>108</v>
      </c>
      <c r="I122" s="62">
        <f t="shared" ca="1" si="19"/>
        <v>108</v>
      </c>
      <c r="L122" s="62">
        <f ca="1">IF(ABS('main page'!$K$29*L121+(1-'main page'!$K$29)*(controls!$B$9/100)*100+'main page'!$K$25*(D122-B122)-L121)&lt;0.0000001,L121,'main page'!$K$29*L121+(1-'main page'!$K$29)*(controls!$B$9/100)*100+'main page'!$K$25*(D122-B122))</f>
        <v>1.9999998807907104</v>
      </c>
      <c r="Q122" s="409">
        <f ca="1">(1-'main page'!$K$29)*($AS$11/100)*100+'main page'!$K$25*(D122-B122)</f>
        <v>5.9604644775390625E-8</v>
      </c>
      <c r="R122" s="409">
        <f>'main page'!G126+'main page'!$K$29*M121</f>
        <v>0</v>
      </c>
      <c r="S122" s="409">
        <f t="shared" ca="1" si="17"/>
        <v>5.9604644775390625E-8</v>
      </c>
      <c r="T122" s="79">
        <f ca="1">IF(controls!$B$10=1,T121,IF(SUM(controls!$B$44:$B$46)=2,U122-'main page'!$K$29*'normal case'!L122-(1-'main page'!$K$29)*'main page'!$K$32,U122-'main page'!$K$29*'normal case'!L122-(1-'main page'!$K$29)*controls!$B$9))</f>
        <v>3.4999999701976776</v>
      </c>
      <c r="U122" s="164">
        <f ca="1">IF(controls!$B$45=1,IF(controls!$B$46=1,'main page'!$K$24+'main page'!$K$11+'main page'!$U$8,'main page'!$K$24+'main page'!$K$11+'main page'!$K$32),IF(controls!$B$44=1,IF(V122&lt;0,0,V122),IF(V122+'main page'!$K$11&lt;0,0,V122+'main page'!$K$11)))</f>
        <v>5.4999998509883881</v>
      </c>
      <c r="V122" s="63">
        <f ca="1">IF(controls!$B$10=1,'normal case'!T122+'normal case'!L122,'normal case'!W122)</f>
        <v>5.4999998509883881</v>
      </c>
      <c r="W122" s="61">
        <f t="shared" ca="1" si="13"/>
        <v>5.4999998509883881</v>
      </c>
      <c r="X122" s="166">
        <f ca="1">IF(controls!$B$44=0,Y122+'main page'!$K$29*L122+(1-'main page'!$K$29)*controls!$B$9+(('main page'!$K$25*'main page'!$U$13*'main page'!$K$29)/('main page'!$K$27*(1+('main page'!$K$25^2)*'main page'!$U$13)))*(L122-controls!$B$9),Y122+'main page'!$K$29*L122+(1-'main page'!$K$29)*controls!$B$9+(('main page'!$K$25*'main page'!$U$13*'normal case'!$AV$3)/'normal case'!$AV$4)*('normal case'!L122-controls!$B$9))</f>
        <v>5.4999998509883881</v>
      </c>
      <c r="Y122" s="81">
        <f ca="1">IF(controls!$B$44=1,'main page'!$K$24+'main page'!$K$11,IF(controls!$B$33=1,((I123-D122*AD123-B123+B122*AC123)/'main page'!$K$27)-'main page'!$K$11,((H123-D122*AD123-B123+B122*AC123)/'main page'!$K$27)-'main page'!$K$11))</f>
        <v>3.5</v>
      </c>
      <c r="AA122" s="58">
        <f>IF(controls!$B$6=1,$AS$3*(1+('main page'!$K$35/100))^AB122-$AS$3*(1+('main page'!$K$35/100))^AB121,$AS$3*(1+('main page'!$G$8/100))*(1+('main page'!$K$35/100))^AB122-$AS$3*(1+('main page'!$G$8/100))*(1+('main page'!$K$35/100))^AB121)</f>
        <v>0</v>
      </c>
      <c r="AB122" s="60">
        <v>115</v>
      </c>
      <c r="AC122" s="125">
        <f ca="1">IF(controls!$B$4=1,IF(controls!$H121=1,controls!$B$34*AC121+RAND()*('main page'!$K$16/100)-RAND()*('main page'!$K$16/100),0),0)</f>
        <v>0</v>
      </c>
      <c r="AD122" s="36">
        <f ca="1">IF(controls!$B$4=1,IF(controls!$I121=1,controls!$B$34*AD121+RAND()*('main page'!$K$16/100)-RAND()*('main page'!$K$16/100),0),0)</f>
        <v>0</v>
      </c>
      <c r="AE122" s="44">
        <f ca="1">IF(controls!$B$33=1,D122-($I$3-'main page'!$K$27*2)*(1+('main page'!$K$35/100))^A121,D122-$AS$4)</f>
        <v>1.0000000596046448</v>
      </c>
      <c r="AF122" s="44">
        <f ca="1">ABS(L122-(controls!$B$9/100)*100)</f>
        <v>1.1920928955078125E-7</v>
      </c>
      <c r="AH122" s="44">
        <f ca="1">IF(controls!$B$33=1,(B123-B122*AC123-I123+D122*AD123+'main page'!$K$27*('main page'!$K$24+'main page'!$K$11))/'main page'!$K$31,(B123-B122*AC123+D122*AD123-H123+'main page'!$K$27*('main page'!$K$24+'main page'!$K$11))/'main page'!$K$31)</f>
        <v>1</v>
      </c>
      <c r="AI122" s="44">
        <f ca="1">IF(controls!$B$45=1,LOG(AM122,1.01)+LOG(AL122,1.01)-LOG(AK122,1.01),-((T122-('main page'!$K$24+'main page'!$K$11))/(1-'normal case'!$AV$3))+'normal case'!AH122)</f>
        <v>2.0000000596046448</v>
      </c>
      <c r="AJ122" s="80">
        <f t="shared" ca="1" si="14"/>
        <v>1.0506250015463039</v>
      </c>
      <c r="AK122" s="44">
        <f t="shared" ca="1" si="15"/>
        <v>10.348486316202898</v>
      </c>
      <c r="AL122" s="44">
        <f>AL121*(1+'main page'!$K$32/100)</f>
        <v>1</v>
      </c>
      <c r="AM122" s="44">
        <f ca="1">IF(ABS(IF(controls!$B$45=1,$AS$13,AK122*AJ122/AL122)-AM121)&lt;0.00001,AM121,IF(controls!$B$45=1,$AS$13,AK122*AJ122/AL122))</f>
        <v>10.872378451962573</v>
      </c>
      <c r="AN122" s="44">
        <f>IF(controls!$B$46=0,0,IF(controls!$B$33=2,B123-B122*AC123-('normal case'!H123-D122*AD123-'main page'!$K$27*'normal case'!T122+'main page'!$K$31*'normal case'!AI122)-(('main page'!$K$25*'main page'!$U$13*'main page'!$K$29)/(1+('main page'!$K$25^2)*'main page'!$U$13))*('normal case'!L122-'main page'!$U$8),B123-B122*AC123-('normal case'!I123-D122*AD123-'main page'!$K$27*'normal case'!T122+'main page'!$K$31*'normal case'!AI122)-(('main page'!$K$25*'main page'!$U$13*'main page'!$K$29)/(1+('main page'!$K$25^2)*'main page'!$U$13))*('normal case'!L122-'main page'!$U$8)))</f>
        <v>0</v>
      </c>
      <c r="AU122" s="36"/>
      <c r="AV122" s="36"/>
    </row>
    <row r="123" spans="1:48">
      <c r="A123" s="43">
        <v>121</v>
      </c>
      <c r="B123" s="62">
        <f ca="1">IF(controls!$B$33=1,B122*(1+AC123)+AA123,B122*(1+AC123))</f>
        <v>101</v>
      </c>
      <c r="C123" s="67">
        <f t="shared" ca="1" si="16"/>
        <v>-1.5107707374006907E-7</v>
      </c>
      <c r="D123" s="64">
        <f t="shared" ca="1" si="12"/>
        <v>101.00000005960464</v>
      </c>
      <c r="E123" s="64">
        <f ca="1">AN122+IF(controls!$B$33=1,G123,F123)</f>
        <v>101.00000005960464</v>
      </c>
      <c r="F123" s="78">
        <f ca="1">IF(controls!$B$44=0,H123-'main page'!$K$27*T122,H123-'main page'!$K$27*T122+'main page'!$K$31*AI122)</f>
        <v>101.00000005960464</v>
      </c>
      <c r="G123" s="62">
        <f ca="1">IF(controls!$B$44=0,I123-'main page'!$K$27*T122,I123-'main page'!$K$27*T122+'main page'!$K$31*'normal case'!AI122)</f>
        <v>101.00000005960464</v>
      </c>
      <c r="H123" s="62">
        <f t="shared" ca="1" si="18"/>
        <v>108</v>
      </c>
      <c r="I123" s="62">
        <f t="shared" ca="1" si="19"/>
        <v>108</v>
      </c>
      <c r="L123" s="62">
        <f ca="1">IF(ABS('main page'!$K$29*L122+(1-'main page'!$K$29)*(controls!$B$9/100)*100+'main page'!$K$25*(D123-B123)-L122)&lt;0.0000001,L122,'main page'!$K$29*L122+(1-'main page'!$K$29)*(controls!$B$9/100)*100+'main page'!$K$25*(D123-B123))</f>
        <v>1.9999998807907104</v>
      </c>
      <c r="Q123" s="409">
        <f ca="1">(1-'main page'!$K$29)*($AS$11/100)*100+'main page'!$K$25*(D123-B123)</f>
        <v>5.9604644775390625E-8</v>
      </c>
      <c r="R123" s="409">
        <f>'main page'!G127+'main page'!$K$29*M122</f>
        <v>0</v>
      </c>
      <c r="S123" s="409">
        <f t="shared" ca="1" si="17"/>
        <v>5.9604644775390625E-8</v>
      </c>
      <c r="T123" s="79">
        <f ca="1">IF(controls!$B$10=1,T122,IF(SUM(controls!$B$44:$B$46)=2,U123-'main page'!$K$29*'normal case'!L123-(1-'main page'!$K$29)*'main page'!$K$32,U123-'main page'!$K$29*'normal case'!L123-(1-'main page'!$K$29)*controls!$B$9))</f>
        <v>3.4999999701976776</v>
      </c>
      <c r="U123" s="164">
        <f ca="1">IF(controls!$B$45=1,IF(controls!$B$46=1,'main page'!$K$24+'main page'!$K$11+'main page'!$U$8,'main page'!$K$24+'main page'!$K$11+'main page'!$K$32),IF(controls!$B$44=1,IF(V123&lt;0,0,V123),IF(V123+'main page'!$K$11&lt;0,0,V123+'main page'!$K$11)))</f>
        <v>5.4999998509883881</v>
      </c>
      <c r="V123" s="63">
        <f ca="1">IF(controls!$B$10=1,'normal case'!T123+'normal case'!L123,'normal case'!W123)</f>
        <v>5.4999998509883881</v>
      </c>
      <c r="W123" s="61">
        <f t="shared" ca="1" si="13"/>
        <v>5.4999998509883881</v>
      </c>
      <c r="X123" s="166">
        <f ca="1">IF(controls!$B$44=0,Y123+'main page'!$K$29*L123+(1-'main page'!$K$29)*controls!$B$9+(('main page'!$K$25*'main page'!$U$13*'main page'!$K$29)/('main page'!$K$27*(1+('main page'!$K$25^2)*'main page'!$U$13)))*(L123-controls!$B$9),Y123+'main page'!$K$29*L123+(1-'main page'!$K$29)*controls!$B$9+(('main page'!$K$25*'main page'!$U$13*'normal case'!$AV$3)/'normal case'!$AV$4)*('normal case'!L123-controls!$B$9))</f>
        <v>5.4999998509883881</v>
      </c>
      <c r="Y123" s="81">
        <f ca="1">IF(controls!$B$44=1,'main page'!$K$24+'main page'!$K$11,IF(controls!$B$33=1,((I124-D123*AD124-B124+B123*AC124)/'main page'!$K$27)-'main page'!$K$11,((H124-D123*AD124-B124+B123*AC124)/'main page'!$K$27)-'main page'!$K$11))</f>
        <v>3.5</v>
      </c>
      <c r="AA123" s="58">
        <f>IF(controls!$B$6=1,$AS$3*(1+('main page'!$K$35/100))^AB123-$AS$3*(1+('main page'!$K$35/100))^AB122,$AS$3*(1+('main page'!$G$8/100))*(1+('main page'!$K$35/100))^AB123-$AS$3*(1+('main page'!$G$8/100))*(1+('main page'!$K$35/100))^AB122)</f>
        <v>0</v>
      </c>
      <c r="AB123" s="60">
        <v>116</v>
      </c>
      <c r="AC123" s="125">
        <v>0</v>
      </c>
      <c r="AD123" s="36">
        <v>0</v>
      </c>
      <c r="AE123" s="44">
        <f ca="1">IF(controls!$B$33=1,D123-($I$3-'main page'!$K$27*2)*(1+('main page'!$K$35/100))^A122,D123-$AS$4)</f>
        <v>1.0000000596046448</v>
      </c>
      <c r="AF123" s="44">
        <f ca="1">ABS(L123-(controls!$B$9/100)*100)</f>
        <v>1.1920928955078125E-7</v>
      </c>
      <c r="AH123" s="44">
        <f ca="1">IF(controls!$B$33=1,(B124-B123*AC124-I124+D123*AD124+'main page'!$K$27*('main page'!$K$24+'main page'!$K$11))/'main page'!$K$31,(B124-B123*AC124+D123*AD124-H124+'main page'!$K$27*('main page'!$K$24+'main page'!$K$11))/'main page'!$K$31)</f>
        <v>1</v>
      </c>
      <c r="AI123" s="44">
        <f ca="1">IF(controls!$B$45=1,LOG(AM123,1.01)+LOG(AL123,1.01)-LOG(AK123,1.01),-((T123-('main page'!$K$24+'main page'!$K$11))/(1-'normal case'!$AV$3))+'normal case'!AH123)</f>
        <v>2.0000000596046448</v>
      </c>
      <c r="AJ123" s="80">
        <f t="shared" ca="1" si="14"/>
        <v>1.0506250015463039</v>
      </c>
      <c r="AK123" s="44">
        <f t="shared" ca="1" si="15"/>
        <v>10.5554560301906</v>
      </c>
      <c r="AL123" s="44">
        <f>AL122*(1+'main page'!$K$32/100)</f>
        <v>1</v>
      </c>
      <c r="AM123" s="44">
        <f ca="1">IF(ABS(IF(controls!$B$45=1,$AS$13,AK123*AJ123/AL123)-AM122)&lt;0.00001,AM122,IF(controls!$B$45=1,$AS$13,AK123*AJ123/AL123))</f>
        <v>11.089826008040941</v>
      </c>
      <c r="AN123" s="44">
        <f>IF(controls!$B$46=0,0,IF(controls!$B$33=2,B124-B123*AC124-('normal case'!H124-D123*AD124-'main page'!$K$27*'normal case'!T123+'main page'!$K$31*'normal case'!AI123)-(('main page'!$K$25*'main page'!$U$13*'main page'!$K$29)/(1+('main page'!$K$25^2)*'main page'!$U$13))*('normal case'!L123-'main page'!$U$8),B124-B123*AC124-('normal case'!I124-D123*AD124-'main page'!$K$27*'normal case'!T123+'main page'!$K$31*'normal case'!AI123)-(('main page'!$K$25*'main page'!$U$13*'main page'!$K$29)/(1+('main page'!$K$25^2)*'main page'!$U$13))*('normal case'!L123-'main page'!$U$8)))</f>
        <v>0</v>
      </c>
      <c r="AU123" s="36"/>
      <c r="AV123" s="36"/>
    </row>
    <row r="124" spans="1:48">
      <c r="A124" s="43">
        <v>122</v>
      </c>
      <c r="B124" s="62">
        <f ca="1">IF(controls!$B$33=1,B123*(1+AC124)+AA124,B123*(1+AC124))</f>
        <v>101</v>
      </c>
      <c r="C124" s="67">
        <f t="shared" ca="1" si="16"/>
        <v>-1.5107707374006907E-7</v>
      </c>
      <c r="D124" s="64">
        <f t="shared" ca="1" si="12"/>
        <v>101.00000005960464</v>
      </c>
      <c r="E124" s="64">
        <f ca="1">AN123+IF(controls!$B$33=1,G124,F124)</f>
        <v>101.00000005960464</v>
      </c>
      <c r="F124" s="78">
        <f ca="1">IF(controls!$B$44=0,H124-'main page'!$K$27*T123,H124-'main page'!$K$27*T123+'main page'!$K$31*AI123)</f>
        <v>101.00000005960464</v>
      </c>
      <c r="G124" s="62">
        <f ca="1">IF(controls!$B$44=0,I124-'main page'!$K$27*T123,I124-'main page'!$K$27*T123+'main page'!$K$31*'normal case'!AI123)</f>
        <v>101.00000005960464</v>
      </c>
      <c r="H124" s="62">
        <f t="shared" ca="1" si="18"/>
        <v>108</v>
      </c>
      <c r="I124" s="62">
        <f t="shared" ca="1" si="19"/>
        <v>108</v>
      </c>
      <c r="L124" s="62">
        <f ca="1">IF(ABS('main page'!$K$29*L123+(1-'main page'!$K$29)*(controls!$B$9/100)*100+'main page'!$K$25*(D124-B124)-L123)&lt;0.0000001,L123,'main page'!$K$29*L123+(1-'main page'!$K$29)*(controls!$B$9/100)*100+'main page'!$K$25*(D124-B124))</f>
        <v>1.9999998807907104</v>
      </c>
      <c r="Q124" s="409">
        <f ca="1">(1-'main page'!$K$29)*($AS$11/100)*100+'main page'!$K$25*(D124-B124)</f>
        <v>5.9604644775390625E-8</v>
      </c>
      <c r="R124" s="409">
        <f>'main page'!G128+'main page'!$K$29*M123</f>
        <v>0</v>
      </c>
      <c r="S124" s="409">
        <f t="shared" ca="1" si="17"/>
        <v>5.9604644775390625E-8</v>
      </c>
      <c r="T124" s="79">
        <f ca="1">IF(controls!$B$10=1,T123,IF(SUM(controls!$B$44:$B$46)=2,U124-'main page'!$K$29*'normal case'!L124-(1-'main page'!$K$29)*'main page'!$K$32,U124-'main page'!$K$29*'normal case'!L124-(1-'main page'!$K$29)*controls!$B$9))</f>
        <v>3.4999999701976776</v>
      </c>
      <c r="U124" s="164">
        <f ca="1">IF(controls!$B$45=1,IF(controls!$B$46=1,'main page'!$K$24+'main page'!$K$11+'main page'!$U$8,'main page'!$K$24+'main page'!$K$11+'main page'!$K$32),IF(controls!$B$44=1,IF(V124&lt;0,0,V124),IF(V124+'main page'!$K$11&lt;0,0,V124+'main page'!$K$11)))</f>
        <v>5.4999998509883881</v>
      </c>
      <c r="V124" s="63">
        <f ca="1">IF(controls!$B$10=1,'normal case'!T124+'normal case'!L124,'normal case'!W124)</f>
        <v>5.4999998509883881</v>
      </c>
      <c r="W124" s="61">
        <f t="shared" ca="1" si="13"/>
        <v>5.4999998509883881</v>
      </c>
      <c r="X124" s="166">
        <f ca="1">IF(controls!$B$44=0,Y124+'main page'!$K$29*L124+(1-'main page'!$K$29)*controls!$B$9+(('main page'!$K$25*'main page'!$U$13*'main page'!$K$29)/('main page'!$K$27*(1+('main page'!$K$25^2)*'main page'!$U$13)))*(L124-controls!$B$9),Y124+'main page'!$K$29*L124+(1-'main page'!$K$29)*controls!$B$9+(('main page'!$K$25*'main page'!$U$13*'normal case'!$AV$3)/'normal case'!$AV$4)*('normal case'!L124-controls!$B$9))</f>
        <v>5.4999998509883881</v>
      </c>
      <c r="Y124" s="81">
        <f ca="1">IF(controls!$B$44=1,'main page'!$K$24+'main page'!$K$11,IF(controls!$B$33=1,((I125-D124*AD125-B125+B124*AC125)/'main page'!$K$27)-'main page'!$K$11,((H125-D124*AD125-B125+B124*AC125)/'main page'!$K$27)-'main page'!$K$11))</f>
        <v>3.5</v>
      </c>
      <c r="AA124" s="58">
        <f>IF(controls!$B$6=1,$AS$3*(1+('main page'!$K$35/100))^AB124-$AS$3*(1+('main page'!$K$35/100))^AB123,$AS$3*(1+('main page'!$G$8/100))*(1+('main page'!$K$35/100))^AB124-$AS$3*(1+('main page'!$G$8/100))*(1+('main page'!$K$35/100))^AB123)</f>
        <v>0</v>
      </c>
      <c r="AB124" s="60">
        <v>117</v>
      </c>
      <c r="AC124" s="125">
        <v>0</v>
      </c>
      <c r="AD124" s="36">
        <v>0</v>
      </c>
      <c r="AE124" s="44">
        <f ca="1">IF(controls!$B$33=1,D124-($I$3-'main page'!$K$27*2)*(1+('main page'!$K$35/100))^A123,D124-$AS$4)</f>
        <v>1.0000000596046448</v>
      </c>
      <c r="AF124" s="44">
        <f ca="1">ABS(L124-(controls!$B$9/100)*100)</f>
        <v>1.1920928955078125E-7</v>
      </c>
      <c r="AH124" s="44">
        <f ca="1">IF(controls!$B$33=1,(B125-B124*AC125-I125+D124*AD125+'main page'!$K$27*('main page'!$K$24+'main page'!$K$11))/'main page'!$K$31,(B125-B124*AC125+D124*AD125-H125+'main page'!$K$27*('main page'!$K$24+'main page'!$K$11))/'main page'!$K$31)</f>
        <v>1</v>
      </c>
      <c r="AI124" s="44">
        <f ca="1">IF(controls!$B$45=1,LOG(AM124,1.01)+LOG(AL124,1.01)-LOG(AK124,1.01),-((T124-('main page'!$K$24+'main page'!$K$11))/(1-'normal case'!$AV$3))+'normal case'!AH124)</f>
        <v>2.0000000596046448</v>
      </c>
      <c r="AJ124" s="80">
        <f t="shared" ca="1" si="14"/>
        <v>1.0506250015463039</v>
      </c>
      <c r="AK124" s="44">
        <f t="shared" ca="1" si="15"/>
        <v>10.766565138211329</v>
      </c>
      <c r="AL124" s="44">
        <f>AL123*(1+'main page'!$K$32/100)</f>
        <v>1</v>
      </c>
      <c r="AM124" s="44">
        <f ca="1">IF(ABS(IF(controls!$B$45=1,$AS$13,AK124*AJ124/AL124)-AM123)&lt;0.00001,AM123,IF(controls!$B$45=1,$AS$13,AK124*AJ124/AL124))</f>
        <v>11.311622514981659</v>
      </c>
      <c r="AN124" s="44">
        <f>IF(controls!$B$46=0,0,IF(controls!$B$33=2,B125-B124*AC125-('normal case'!H125-D124*AD125-'main page'!$K$27*'normal case'!T124+'main page'!$K$31*'normal case'!AI124)-(('main page'!$K$25*'main page'!$U$13*'main page'!$K$29)/(1+('main page'!$K$25^2)*'main page'!$U$13))*('normal case'!L124-'main page'!$U$8),B125-B124*AC125-('normal case'!I125-D124*AD125-'main page'!$K$27*'normal case'!T124+'main page'!$K$31*'normal case'!AI124)-(('main page'!$K$25*'main page'!$U$13*'main page'!$K$29)/(1+('main page'!$K$25^2)*'main page'!$U$13))*('normal case'!L124-'main page'!$U$8)))</f>
        <v>0</v>
      </c>
      <c r="AU124" s="36"/>
      <c r="AV124" s="36"/>
    </row>
    <row r="125" spans="1:48">
      <c r="A125" s="43">
        <v>123</v>
      </c>
      <c r="B125" s="62">
        <f ca="1">IF(controls!$B$33=1,B124*(1+AC125)+AA125,B124*(1+AC125))</f>
        <v>101</v>
      </c>
      <c r="C125" s="67">
        <f t="shared" ca="1" si="16"/>
        <v>-1.5107707374006907E-7</v>
      </c>
      <c r="D125" s="64">
        <f t="shared" ca="1" si="12"/>
        <v>101.00000005960464</v>
      </c>
      <c r="E125" s="64">
        <f ca="1">AN124+IF(controls!$B$33=1,G125,F125)</f>
        <v>101.00000005960464</v>
      </c>
      <c r="F125" s="78">
        <f ca="1">IF(controls!$B$44=0,H125-'main page'!$K$27*T124,H125-'main page'!$K$27*T124+'main page'!$K$31*AI124)</f>
        <v>101.00000005960464</v>
      </c>
      <c r="G125" s="62">
        <f ca="1">IF(controls!$B$44=0,I125-'main page'!$K$27*T124,I125-'main page'!$K$27*T124+'main page'!$K$31*'normal case'!AI124)</f>
        <v>101.00000005960464</v>
      </c>
      <c r="H125" s="62">
        <f t="shared" ca="1" si="18"/>
        <v>108</v>
      </c>
      <c r="I125" s="62">
        <f t="shared" ca="1" si="19"/>
        <v>108</v>
      </c>
      <c r="L125" s="62">
        <f ca="1">IF(ABS('main page'!$K$29*L124+(1-'main page'!$K$29)*(controls!$B$9/100)*100+'main page'!$K$25*(D125-B125)-L124)&lt;0.0000001,L124,'main page'!$K$29*L124+(1-'main page'!$K$29)*(controls!$B$9/100)*100+'main page'!$K$25*(D125-B125))</f>
        <v>1.9999998807907104</v>
      </c>
      <c r="Q125" s="409">
        <f ca="1">(1-'main page'!$K$29)*($AS$11/100)*100+'main page'!$K$25*(D125-B125)</f>
        <v>5.9604644775390625E-8</v>
      </c>
      <c r="R125" s="409">
        <f>'main page'!G129+'main page'!$K$29*M124</f>
        <v>0</v>
      </c>
      <c r="S125" s="409">
        <f t="shared" ca="1" si="17"/>
        <v>5.9604644775390625E-8</v>
      </c>
      <c r="T125" s="79">
        <f ca="1">IF(controls!$B$10=1,T124,IF(SUM(controls!$B$44:$B$46)=2,U125-'main page'!$K$29*'normal case'!L125-(1-'main page'!$K$29)*'main page'!$K$32,U125-'main page'!$K$29*'normal case'!L125-(1-'main page'!$K$29)*controls!$B$9))</f>
        <v>3.4999999701976776</v>
      </c>
      <c r="U125" s="164">
        <f ca="1">IF(controls!$B$45=1,IF(controls!$B$46=1,'main page'!$K$24+'main page'!$K$11+'main page'!$U$8,'main page'!$K$24+'main page'!$K$11+'main page'!$K$32),IF(controls!$B$44=1,IF(V125&lt;0,0,V125),IF(V125+'main page'!$K$11&lt;0,0,V125+'main page'!$K$11)))</f>
        <v>5.4999998509883881</v>
      </c>
      <c r="V125" s="63">
        <f ca="1">IF(controls!$B$10=1,'normal case'!T125+'normal case'!L125,'normal case'!W125)</f>
        <v>5.4999998509883881</v>
      </c>
      <c r="W125" s="61">
        <f t="shared" ca="1" si="13"/>
        <v>5.4999998509883881</v>
      </c>
      <c r="X125" s="166">
        <f ca="1">IF(controls!$B$44=0,Y125+'main page'!$K$29*L125+(1-'main page'!$K$29)*controls!$B$9+(('main page'!$K$25*'main page'!$U$13*'main page'!$K$29)/('main page'!$K$27*(1+('main page'!$K$25^2)*'main page'!$U$13)))*(L125-controls!$B$9),Y125+'main page'!$K$29*L125+(1-'main page'!$K$29)*controls!$B$9+(('main page'!$K$25*'main page'!$U$13*'normal case'!$AV$3)/'normal case'!$AV$4)*('normal case'!L125-controls!$B$9))</f>
        <v>5.4999998509883881</v>
      </c>
      <c r="Y125" s="81">
        <f ca="1">IF(controls!$B$44=1,'main page'!$K$24+'main page'!$K$11,IF(controls!$B$33=1,((I126-D125*AD126-B126+B125*AC126)/'main page'!$K$27)-'main page'!$K$11,((H126-D125*AD126-B126+B125*AC126)/'main page'!$K$27)-'main page'!$K$11))</f>
        <v>3.5</v>
      </c>
      <c r="AA125" s="58">
        <f>IF(controls!$B$6=1,$AS$3*(1+('main page'!$K$35/100))^AB125-$AS$3*(1+('main page'!$K$35/100))^AB124,$AS$3*(1+('main page'!$G$8/100))*(1+('main page'!$K$35/100))^AB125-$AS$3*(1+('main page'!$G$8/100))*(1+('main page'!$K$35/100))^AB124)</f>
        <v>0</v>
      </c>
      <c r="AB125" s="60">
        <v>118</v>
      </c>
      <c r="AC125" s="125">
        <f ca="1">IF(controls!$B$4=1,IF(controls!$H124=1,controls!$B$34*AC124+RAND()*('main page'!$K$16/100)-RAND()*('main page'!$K$16/100),0),0)</f>
        <v>0</v>
      </c>
      <c r="AD125" s="36">
        <f ca="1">IF(controls!$B$4=1,IF(controls!$I124=1,controls!$B$34*AD124+RAND()*('main page'!$K$16/100)-RAND()*('main page'!$K$16/100),0),0)</f>
        <v>0</v>
      </c>
      <c r="AE125" s="44">
        <f ca="1">IF(controls!$B$33=1,D125-($I$3-'main page'!$K$27*2)*(1+('main page'!$K$35/100))^A124,D125-$AS$4)</f>
        <v>1.0000000596046448</v>
      </c>
      <c r="AF125" s="44">
        <f ca="1">ABS(L125-(controls!$B$9/100)*100)</f>
        <v>1.1920928955078125E-7</v>
      </c>
      <c r="AH125" s="44">
        <f ca="1">IF(controls!$B$33=1,(B126-B125*AC126-I126+D125*AD126+'main page'!$K$27*('main page'!$K$24+'main page'!$K$11))/'main page'!$K$31,(B126-B125*AC126+D125*AD126-H126+'main page'!$K$27*('main page'!$K$24+'main page'!$K$11))/'main page'!$K$31)</f>
        <v>1</v>
      </c>
      <c r="AI125" s="44">
        <f ca="1">IF(controls!$B$45=1,LOG(AM125,1.01)+LOG(AL125,1.01)-LOG(AK125,1.01),-((T125-('main page'!$K$24+'main page'!$K$11))/(1-'normal case'!$AV$3))+'normal case'!AH125)</f>
        <v>2.0000000596046448</v>
      </c>
      <c r="AJ125" s="80">
        <f t="shared" ca="1" si="14"/>
        <v>1.0506250015463039</v>
      </c>
      <c r="AK125" s="44">
        <f t="shared" ca="1" si="15"/>
        <v>10.981896428140809</v>
      </c>
      <c r="AL125" s="44">
        <f>AL124*(1+'main page'!$K$32/100)</f>
        <v>1</v>
      </c>
      <c r="AM125" s="44">
        <f ca="1">IF(ABS(IF(controls!$B$45=1,$AS$13,AK125*AJ125/AL125)-AM124)&lt;0.00001,AM124,IF(controls!$B$45=1,$AS$13,AK125*AJ125/AL125))</f>
        <v>11.537854951796787</v>
      </c>
      <c r="AN125" s="44">
        <f>IF(controls!$B$46=0,0,IF(controls!$B$33=2,B126-B125*AC126-('normal case'!H126-D125*AD126-'main page'!$K$27*'normal case'!T125+'main page'!$K$31*'normal case'!AI125)-(('main page'!$K$25*'main page'!$U$13*'main page'!$K$29)/(1+('main page'!$K$25^2)*'main page'!$U$13))*('normal case'!L125-'main page'!$U$8),B126-B125*AC126-('normal case'!I126-D125*AD126-'main page'!$K$27*'normal case'!T125+'main page'!$K$31*'normal case'!AI125)-(('main page'!$K$25*'main page'!$U$13*'main page'!$K$29)/(1+('main page'!$K$25^2)*'main page'!$U$13))*('normal case'!L125-'main page'!$U$8)))</f>
        <v>0</v>
      </c>
      <c r="AU125" s="36"/>
      <c r="AV125" s="36"/>
    </row>
    <row r="126" spans="1:48">
      <c r="A126" s="43">
        <v>124</v>
      </c>
      <c r="B126" s="62">
        <f ca="1">IF(controls!$B$33=1,B125*(1+AC126)+AA126,B125*(1+AC126))</f>
        <v>101</v>
      </c>
      <c r="C126" s="67">
        <f t="shared" ca="1" si="16"/>
        <v>-1.5107707374006907E-7</v>
      </c>
      <c r="D126" s="64">
        <f t="shared" ca="1" si="12"/>
        <v>101.00000005960464</v>
      </c>
      <c r="E126" s="64">
        <f ca="1">AN125+IF(controls!$B$33=1,G126,F126)</f>
        <v>101.00000005960464</v>
      </c>
      <c r="F126" s="78">
        <f ca="1">IF(controls!$B$44=0,H126-'main page'!$K$27*T125,H126-'main page'!$K$27*T125+'main page'!$K$31*AI125)</f>
        <v>101.00000005960464</v>
      </c>
      <c r="G126" s="62">
        <f ca="1">IF(controls!$B$44=0,I126-'main page'!$K$27*T125,I126-'main page'!$K$27*T125+'main page'!$K$31*'normal case'!AI125)</f>
        <v>101.00000005960464</v>
      </c>
      <c r="H126" s="62">
        <f t="shared" ca="1" si="18"/>
        <v>108</v>
      </c>
      <c r="I126" s="62">
        <f t="shared" ca="1" si="19"/>
        <v>108</v>
      </c>
      <c r="L126" s="62">
        <f ca="1">IF(ABS('main page'!$K$29*L125+(1-'main page'!$K$29)*(controls!$B$9/100)*100+'main page'!$K$25*(D126-B126)-L125)&lt;0.0000001,L125,'main page'!$K$29*L125+(1-'main page'!$K$29)*(controls!$B$9/100)*100+'main page'!$K$25*(D126-B126))</f>
        <v>1.9999998807907104</v>
      </c>
      <c r="Q126" s="409">
        <f ca="1">(1-'main page'!$K$29)*($AS$11/100)*100+'main page'!$K$25*(D126-B126)</f>
        <v>5.9604644775390625E-8</v>
      </c>
      <c r="R126" s="409">
        <f>'main page'!G130+'main page'!$K$29*M125</f>
        <v>0</v>
      </c>
      <c r="S126" s="409">
        <f t="shared" ca="1" si="17"/>
        <v>5.9604644775390625E-8</v>
      </c>
      <c r="T126" s="79">
        <f ca="1">IF(controls!$B$10=1,T125,IF(SUM(controls!$B$44:$B$46)=2,U126-'main page'!$K$29*'normal case'!L126-(1-'main page'!$K$29)*'main page'!$K$32,U126-'main page'!$K$29*'normal case'!L126-(1-'main page'!$K$29)*controls!$B$9))</f>
        <v>3.4999999701976776</v>
      </c>
      <c r="U126" s="164">
        <f ca="1">IF(controls!$B$45=1,IF(controls!$B$46=1,'main page'!$K$24+'main page'!$K$11+'main page'!$U$8,'main page'!$K$24+'main page'!$K$11+'main page'!$K$32),IF(controls!$B$44=1,IF(V126&lt;0,0,V126),IF(V126+'main page'!$K$11&lt;0,0,V126+'main page'!$K$11)))</f>
        <v>5.4999998509883881</v>
      </c>
      <c r="V126" s="63">
        <f ca="1">IF(controls!$B$10=1,'normal case'!T126+'normal case'!L126,'normal case'!W126)</f>
        <v>5.4999998509883881</v>
      </c>
      <c r="W126" s="61">
        <f t="shared" ca="1" si="13"/>
        <v>5.4999998509883881</v>
      </c>
      <c r="X126" s="166">
        <f ca="1">IF(controls!$B$44=0,Y126+'main page'!$K$29*L126+(1-'main page'!$K$29)*controls!$B$9+(('main page'!$K$25*'main page'!$U$13*'main page'!$K$29)/('main page'!$K$27*(1+('main page'!$K$25^2)*'main page'!$U$13)))*(L126-controls!$B$9),Y126+'main page'!$K$29*L126+(1-'main page'!$K$29)*controls!$B$9+(('main page'!$K$25*'main page'!$U$13*'normal case'!$AV$3)/'normal case'!$AV$4)*('normal case'!L126-controls!$B$9))</f>
        <v>5.4999998509883881</v>
      </c>
      <c r="Y126" s="81">
        <f ca="1">IF(controls!$B$44=1,'main page'!$K$24+'main page'!$K$11,IF(controls!$B$33=1,((I127-D126*AD127-B127+B126*AC127)/'main page'!$K$27)-'main page'!$K$11,((H127-D126*AD127-B127+B126*AC127)/'main page'!$K$27)-'main page'!$K$11))</f>
        <v>3.5</v>
      </c>
      <c r="AA126" s="58">
        <f>IF(controls!$B$6=1,$AS$3*(1+('main page'!$K$35/100))^AB126-$AS$3*(1+('main page'!$K$35/100))^AB125,$AS$3*(1+('main page'!$G$8/100))*(1+('main page'!$K$35/100))^AB126-$AS$3*(1+('main page'!$G$8/100))*(1+('main page'!$K$35/100))^AB125)</f>
        <v>0</v>
      </c>
      <c r="AB126" s="60">
        <v>119</v>
      </c>
      <c r="AC126" s="125">
        <v>0</v>
      </c>
      <c r="AD126" s="36">
        <v>0</v>
      </c>
      <c r="AE126" s="44">
        <f ca="1">IF(controls!$B$33=1,D126-($I$3-'main page'!$K$27*2)*(1+('main page'!$K$35/100))^A125,D126-$AS$4)</f>
        <v>1.0000000596046448</v>
      </c>
      <c r="AF126" s="44">
        <f ca="1">ABS(L126-(controls!$B$9/100)*100)</f>
        <v>1.1920928955078125E-7</v>
      </c>
      <c r="AH126" s="44">
        <f ca="1">IF(controls!$B$33=1,(B127-B126*AC127-I127+D126*AD127+'main page'!$K$27*('main page'!$K$24+'main page'!$K$11))/'main page'!$K$31,(B127-B126*AC127+D126*AD127-H127+'main page'!$K$27*('main page'!$K$24+'main page'!$K$11))/'main page'!$K$31)</f>
        <v>1</v>
      </c>
      <c r="AI126" s="44">
        <f ca="1">IF(controls!$B$45=1,LOG(AM126,1.01)+LOG(AL126,1.01)-LOG(AK126,1.01),-((T126-('main page'!$K$24+'main page'!$K$11))/(1-'normal case'!$AV$3))+'normal case'!AH126)</f>
        <v>2.0000000596046448</v>
      </c>
      <c r="AJ126" s="80">
        <f t="shared" ca="1" si="14"/>
        <v>1.0506250015463039</v>
      </c>
      <c r="AK126" s="44">
        <f t="shared" ca="1" si="15"/>
        <v>11.201534343612185</v>
      </c>
      <c r="AL126" s="44">
        <f>AL125*(1+'main page'!$K$32/100)</f>
        <v>1</v>
      </c>
      <c r="AM126" s="44">
        <f ca="1">IF(ABS(IF(controls!$B$45=1,$AS$13,AK126*AJ126/AL126)-AM125)&lt;0.00001,AM125,IF(controls!$B$45=1,$AS$13,AK126*AJ126/AL126))</f>
        <v>11.768612037078528</v>
      </c>
      <c r="AN126" s="44">
        <f>IF(controls!$B$46=0,0,IF(controls!$B$33=2,B127-B126*AC127-('normal case'!H127-D126*AD127-'main page'!$K$27*'normal case'!T126+'main page'!$K$31*'normal case'!AI126)-(('main page'!$K$25*'main page'!$U$13*'main page'!$K$29)/(1+('main page'!$K$25^2)*'main page'!$U$13))*('normal case'!L126-'main page'!$U$8),B127-B126*AC127-('normal case'!I127-D126*AD127-'main page'!$K$27*'normal case'!T126+'main page'!$K$31*'normal case'!AI126)-(('main page'!$K$25*'main page'!$U$13*'main page'!$K$29)/(1+('main page'!$K$25^2)*'main page'!$U$13))*('normal case'!L126-'main page'!$U$8)))</f>
        <v>0</v>
      </c>
      <c r="AU126" s="36"/>
      <c r="AV126" s="36"/>
    </row>
    <row r="127" spans="1:48">
      <c r="A127" s="43">
        <v>125</v>
      </c>
      <c r="B127" s="62">
        <f ca="1">IF(controls!$B$33=1,B126*(1+AC127)+AA127,B126*(1+AC127))</f>
        <v>101</v>
      </c>
      <c r="C127" s="67">
        <f t="shared" ca="1" si="16"/>
        <v>-1.5107707374006907E-7</v>
      </c>
      <c r="D127" s="64">
        <f t="shared" ca="1" si="12"/>
        <v>101.00000005960464</v>
      </c>
      <c r="E127" s="64">
        <f ca="1">AN126+IF(controls!$B$33=1,G127,F127)</f>
        <v>101.00000005960464</v>
      </c>
      <c r="F127" s="78">
        <f ca="1">IF(controls!$B$44=0,H127-'main page'!$K$27*T126,H127-'main page'!$K$27*T126+'main page'!$K$31*AI126)</f>
        <v>101.00000005960464</v>
      </c>
      <c r="G127" s="62">
        <f ca="1">IF(controls!$B$44=0,I127-'main page'!$K$27*T126,I127-'main page'!$K$27*T126+'main page'!$K$31*'normal case'!AI126)</f>
        <v>101.00000005960464</v>
      </c>
      <c r="H127" s="62">
        <f t="shared" ca="1" si="18"/>
        <v>108</v>
      </c>
      <c r="I127" s="62">
        <f t="shared" ca="1" si="19"/>
        <v>108</v>
      </c>
      <c r="L127" s="62">
        <f ca="1">IF(ABS('main page'!$K$29*L126+(1-'main page'!$K$29)*(controls!$B$9/100)*100+'main page'!$K$25*(D127-B127)-L126)&lt;0.0000001,L126,'main page'!$K$29*L126+(1-'main page'!$K$29)*(controls!$B$9/100)*100+'main page'!$K$25*(D127-B127))</f>
        <v>1.9999998807907104</v>
      </c>
      <c r="Q127" s="409">
        <f ca="1">(1-'main page'!$K$29)*($AS$11/100)*100+'main page'!$K$25*(D127-B127)</f>
        <v>5.9604644775390625E-8</v>
      </c>
      <c r="R127" s="409">
        <f>'main page'!G131+'main page'!$K$29*M126</f>
        <v>0</v>
      </c>
      <c r="S127" s="409">
        <f t="shared" ca="1" si="17"/>
        <v>5.9604644775390625E-8</v>
      </c>
      <c r="T127" s="79">
        <f ca="1">IF(controls!$B$10=1,T126,IF(SUM(controls!$B$44:$B$46)=2,U127-'main page'!$K$29*'normal case'!L127-(1-'main page'!$K$29)*'main page'!$K$32,U127-'main page'!$K$29*'normal case'!L127-(1-'main page'!$K$29)*controls!$B$9))</f>
        <v>3.4999999701976776</v>
      </c>
      <c r="U127" s="164">
        <f ca="1">IF(controls!$B$45=1,IF(controls!$B$46=1,'main page'!$K$24+'main page'!$K$11+'main page'!$U$8,'main page'!$K$24+'main page'!$K$11+'main page'!$K$32),IF(controls!$B$44=1,IF(V127&lt;0,0,V127),IF(V127+'main page'!$K$11&lt;0,0,V127+'main page'!$K$11)))</f>
        <v>5.4999998509883881</v>
      </c>
      <c r="V127" s="63">
        <f ca="1">IF(controls!$B$10=1,'normal case'!T127+'normal case'!L127,'normal case'!W127)</f>
        <v>5.4999998509883881</v>
      </c>
      <c r="W127" s="61">
        <f t="shared" ca="1" si="13"/>
        <v>5.4999998509883881</v>
      </c>
      <c r="X127" s="166">
        <f ca="1">IF(controls!$B$44=0,Y127+'main page'!$K$29*L127+(1-'main page'!$K$29)*controls!$B$9+(('main page'!$K$25*'main page'!$U$13*'main page'!$K$29)/('main page'!$K$27*(1+('main page'!$K$25^2)*'main page'!$U$13)))*(L127-controls!$B$9),Y127+'main page'!$K$29*L127+(1-'main page'!$K$29)*controls!$B$9+(('main page'!$K$25*'main page'!$U$13*'normal case'!$AV$3)/'normal case'!$AV$4)*('normal case'!L127-controls!$B$9))</f>
        <v>5.4999998509883881</v>
      </c>
      <c r="Y127" s="81">
        <f ca="1">IF(controls!$B$44=1,'main page'!$K$24+'main page'!$K$11,IF(controls!$B$33=1,((I128-D127*AD128-B128+B127*AC128)/'main page'!$K$27)-'main page'!$K$11,((H128-D127*AD128-B128+B127*AC128)/'main page'!$K$27)-'main page'!$K$11))</f>
        <v>3.5</v>
      </c>
      <c r="AA127" s="58">
        <f>IF(controls!$B$6=1,$AS$3*(1+('main page'!$K$35/100))^AB127-$AS$3*(1+('main page'!$K$35/100))^AB126,$AS$3*(1+('main page'!$G$8/100))*(1+('main page'!$K$35/100))^AB127-$AS$3*(1+('main page'!$G$8/100))*(1+('main page'!$K$35/100))^AB126)</f>
        <v>0</v>
      </c>
      <c r="AB127" s="60">
        <v>120</v>
      </c>
      <c r="AC127" s="125">
        <v>0</v>
      </c>
      <c r="AD127" s="36">
        <v>0</v>
      </c>
      <c r="AE127" s="44">
        <f ca="1">IF(controls!$B$33=1,D127-($I$3-'main page'!$K$27*2)*(1+('main page'!$K$35/100))^A126,D127-$AS$4)</f>
        <v>1.0000000596046448</v>
      </c>
      <c r="AF127" s="44">
        <f ca="1">ABS(L127-(controls!$B$9/100)*100)</f>
        <v>1.1920928955078125E-7</v>
      </c>
      <c r="AH127" s="44">
        <f ca="1">IF(controls!$B$33=1,(B128-B127*AC128-I128+D127*AD128+'main page'!$K$27*('main page'!$K$24+'main page'!$K$11))/'main page'!$K$31,(B128-B127*AC128+D127*AD128-H128+'main page'!$K$27*('main page'!$K$24+'main page'!$K$11))/'main page'!$K$31)</f>
        <v>1</v>
      </c>
      <c r="AI127" s="44">
        <f ca="1">IF(controls!$B$45=1,LOG(AM127,1.01)+LOG(AL127,1.01)-LOG(AK127,1.01),-((T127-('main page'!$K$24+'main page'!$K$11))/(1-'normal case'!$AV$3))+'normal case'!AH127)</f>
        <v>2.0000000596046448</v>
      </c>
      <c r="AJ127" s="80">
        <f t="shared" ca="1" si="14"/>
        <v>1.0506250015463039</v>
      </c>
      <c r="AK127" s="44">
        <f t="shared" ca="1" si="15"/>
        <v>11.425565017131159</v>
      </c>
      <c r="AL127" s="44">
        <f>AL126*(1+'main page'!$K$32/100)</f>
        <v>1</v>
      </c>
      <c r="AM127" s="44">
        <f ca="1">IF(ABS(IF(controls!$B$45=1,$AS$13,AK127*AJ127/AL127)-AM126)&lt;0.00001,AM126,IF(controls!$B$45=1,$AS$13,AK127*AJ127/AL127))</f>
        <v>12.003984263790819</v>
      </c>
      <c r="AN127" s="44">
        <f>IF(controls!$B$46=0,0,IF(controls!$B$33=2,B128-B127*AC128-('normal case'!H128-D127*AD128-'main page'!$K$27*'normal case'!T127+'main page'!$K$31*'normal case'!AI127)-(('main page'!$K$25*'main page'!$U$13*'main page'!$K$29)/(1+('main page'!$K$25^2)*'main page'!$U$13))*('normal case'!L127-'main page'!$U$8),B128-B127*AC128-('normal case'!I128-D127*AD128-'main page'!$K$27*'normal case'!T127+'main page'!$K$31*'normal case'!AI127)-(('main page'!$K$25*'main page'!$U$13*'main page'!$K$29)/(1+('main page'!$K$25^2)*'main page'!$U$13))*('normal case'!L127-'main page'!$U$8)))</f>
        <v>0</v>
      </c>
      <c r="AU127" s="36"/>
      <c r="AV127" s="36"/>
    </row>
    <row r="128" spans="1:48">
      <c r="A128" s="43">
        <v>126</v>
      </c>
      <c r="B128" s="62">
        <f ca="1">IF(controls!$B$33=1,B127*(1+AC128)+AA128,B127*(1+AC128))</f>
        <v>101</v>
      </c>
      <c r="C128" s="67">
        <f t="shared" ca="1" si="16"/>
        <v>-1.5107707374006907E-7</v>
      </c>
      <c r="D128" s="64">
        <f t="shared" ca="1" si="12"/>
        <v>101.00000005960464</v>
      </c>
      <c r="E128" s="64">
        <f ca="1">AN127+IF(controls!$B$33=1,G128,F128)</f>
        <v>101.00000005960464</v>
      </c>
      <c r="F128" s="78">
        <f ca="1">IF(controls!$B$44=0,H128-'main page'!$K$27*T127,H128-'main page'!$K$27*T127+'main page'!$K$31*AI127)</f>
        <v>101.00000005960464</v>
      </c>
      <c r="G128" s="62">
        <f ca="1">IF(controls!$B$44=0,I128-'main page'!$K$27*T127,I128-'main page'!$K$27*T127+'main page'!$K$31*'normal case'!AI127)</f>
        <v>101.00000005960464</v>
      </c>
      <c r="H128" s="62">
        <f t="shared" ca="1" si="18"/>
        <v>108</v>
      </c>
      <c r="I128" s="62">
        <f t="shared" ca="1" si="19"/>
        <v>108</v>
      </c>
      <c r="L128" s="62">
        <f ca="1">IF(ABS('main page'!$K$29*L127+(1-'main page'!$K$29)*(controls!$B$9/100)*100+'main page'!$K$25*(D128-B128)-L127)&lt;0.0000001,L127,'main page'!$K$29*L127+(1-'main page'!$K$29)*(controls!$B$9/100)*100+'main page'!$K$25*(D128-B128))</f>
        <v>1.9999998807907104</v>
      </c>
      <c r="Q128" s="409">
        <f ca="1">(1-'main page'!$K$29)*($AS$11/100)*100+'main page'!$K$25*(D128-B128)</f>
        <v>5.9604644775390625E-8</v>
      </c>
      <c r="R128" s="409">
        <f>'main page'!G132+'main page'!$K$29*M127</f>
        <v>0</v>
      </c>
      <c r="S128" s="409">
        <f t="shared" ca="1" si="17"/>
        <v>5.9604644775390625E-8</v>
      </c>
      <c r="T128" s="79">
        <f ca="1">IF(controls!$B$10=1,T127,IF(SUM(controls!$B$44:$B$46)=2,U128-'main page'!$K$29*'normal case'!L128-(1-'main page'!$K$29)*'main page'!$K$32,U128-'main page'!$K$29*'normal case'!L128-(1-'main page'!$K$29)*controls!$B$9))</f>
        <v>3.4999999701976776</v>
      </c>
      <c r="U128" s="164">
        <f ca="1">IF(controls!$B$45=1,IF(controls!$B$46=1,'main page'!$K$24+'main page'!$K$11+'main page'!$U$8,'main page'!$K$24+'main page'!$K$11+'main page'!$K$32),IF(controls!$B$44=1,IF(V128&lt;0,0,V128),IF(V128+'main page'!$K$11&lt;0,0,V128+'main page'!$K$11)))</f>
        <v>5.4999998509883881</v>
      </c>
      <c r="V128" s="63">
        <f ca="1">IF(controls!$B$10=1,'normal case'!T128+'normal case'!L128,'normal case'!W128)</f>
        <v>5.4999998509883881</v>
      </c>
      <c r="W128" s="61">
        <f t="shared" ca="1" si="13"/>
        <v>5.4999998509883881</v>
      </c>
      <c r="X128" s="166">
        <f ca="1">IF(controls!$B$44=0,Y128+'main page'!$K$29*L128+(1-'main page'!$K$29)*controls!$B$9+(('main page'!$K$25*'main page'!$U$13*'main page'!$K$29)/('main page'!$K$27*(1+('main page'!$K$25^2)*'main page'!$U$13)))*(L128-controls!$B$9),Y128+'main page'!$K$29*L128+(1-'main page'!$K$29)*controls!$B$9+(('main page'!$K$25*'main page'!$U$13*'normal case'!$AV$3)/'normal case'!$AV$4)*('normal case'!L128-controls!$B$9))</f>
        <v>5.4999998509883881</v>
      </c>
      <c r="Y128" s="81">
        <f ca="1">IF(controls!$B$44=1,'main page'!$K$24+'main page'!$K$11,IF(controls!$B$33=1,((I129-D128*AD129-B129+B128*AC129)/'main page'!$K$27)-'main page'!$K$11,((H129-D128*AD129-B129+B128*AC129)/'main page'!$K$27)-'main page'!$K$11))</f>
        <v>3.5</v>
      </c>
      <c r="AA128" s="58">
        <f>IF(controls!$B$6=1,$AS$3*(1+('main page'!$K$35/100))^AB128-$AS$3*(1+('main page'!$K$35/100))^AB127,$AS$3*(1+('main page'!$G$8/100))*(1+('main page'!$K$35/100))^AB128-$AS$3*(1+('main page'!$G$8/100))*(1+('main page'!$K$35/100))^AB127)</f>
        <v>0</v>
      </c>
      <c r="AB128" s="60">
        <v>121</v>
      </c>
      <c r="AC128" s="125">
        <f ca="1">IF(controls!$B$4=1,IF(controls!$H127=1,controls!$B$34*AC127+RAND()*('main page'!$K$16/100)-RAND()*('main page'!$K$16/100),0),0)</f>
        <v>0</v>
      </c>
      <c r="AD128" s="36">
        <f ca="1">IF(controls!$B$4=1,IF(controls!$I127=1,controls!$B$34*AD127+RAND()*('main page'!$K$16/100)-RAND()*('main page'!$K$16/100),0),0)</f>
        <v>0</v>
      </c>
      <c r="AE128" s="44">
        <f ca="1">IF(controls!$B$33=1,D128-($I$3-'main page'!$K$27*2)*(1+('main page'!$K$35/100))^A127,D128-$AS$4)</f>
        <v>1.0000000596046448</v>
      </c>
      <c r="AF128" s="44">
        <f ca="1">ABS(L128-(controls!$B$9/100)*100)</f>
        <v>1.1920928955078125E-7</v>
      </c>
      <c r="AH128" s="44">
        <f ca="1">IF(controls!$B$33=1,(B129-B128*AC129-I129+D128*AD129+'main page'!$K$27*('main page'!$K$24+'main page'!$K$11))/'main page'!$K$31,(B129-B128*AC129+D128*AD129-H129+'main page'!$K$27*('main page'!$K$24+'main page'!$K$11))/'main page'!$K$31)</f>
        <v>1</v>
      </c>
      <c r="AI128" s="44">
        <f ca="1">IF(controls!$B$45=1,LOG(AM128,1.01)+LOG(AL128,1.01)-LOG(AK128,1.01),-((T128-('main page'!$K$24+'main page'!$K$11))/(1-'normal case'!$AV$3))+'normal case'!AH128)</f>
        <v>2.0000000596046448</v>
      </c>
      <c r="AJ128" s="80">
        <f t="shared" ca="1" si="14"/>
        <v>1.0506250015463039</v>
      </c>
      <c r="AK128" s="44">
        <f t="shared" ca="1" si="15"/>
        <v>11.654076303853449</v>
      </c>
      <c r="AL128" s="44">
        <f>AL127*(1+'main page'!$K$32/100)</f>
        <v>1</v>
      </c>
      <c r="AM128" s="44">
        <f ca="1">IF(ABS(IF(controls!$B$45=1,$AS$13,AK128*AJ128/AL128)-AM127)&lt;0.00001,AM127,IF(controls!$B$45=1,$AS$13,AK128*AJ128/AL128))</f>
        <v>12.244063934756774</v>
      </c>
      <c r="AN128" s="44">
        <f>IF(controls!$B$46=0,0,IF(controls!$B$33=2,B129-B128*AC129-('normal case'!H129-D128*AD129-'main page'!$K$27*'normal case'!T128+'main page'!$K$31*'normal case'!AI128)-(('main page'!$K$25*'main page'!$U$13*'main page'!$K$29)/(1+('main page'!$K$25^2)*'main page'!$U$13))*('normal case'!L128-'main page'!$U$8),B129-B128*AC129-('normal case'!I129-D128*AD129-'main page'!$K$27*'normal case'!T128+'main page'!$K$31*'normal case'!AI128)-(('main page'!$K$25*'main page'!$U$13*'main page'!$K$29)/(1+('main page'!$K$25^2)*'main page'!$U$13))*('normal case'!L128-'main page'!$U$8)))</f>
        <v>0</v>
      </c>
      <c r="AU128" s="36"/>
      <c r="AV128" s="36"/>
    </row>
    <row r="129" spans="1:48">
      <c r="A129" s="43">
        <v>127</v>
      </c>
      <c r="B129" s="62">
        <f ca="1">IF(controls!$B$33=1,B128*(1+AC129)+AA129,B128*(1+AC129))</f>
        <v>101</v>
      </c>
      <c r="C129" s="67">
        <f t="shared" ca="1" si="16"/>
        <v>-1.5107707374006907E-7</v>
      </c>
      <c r="D129" s="64">
        <f t="shared" ca="1" si="12"/>
        <v>101.00000005960464</v>
      </c>
      <c r="E129" s="64">
        <f ca="1">AN128+IF(controls!$B$33=1,G129,F129)</f>
        <v>101.00000005960464</v>
      </c>
      <c r="F129" s="78">
        <f ca="1">IF(controls!$B$44=0,H129-'main page'!$K$27*T128,H129-'main page'!$K$27*T128+'main page'!$K$31*AI128)</f>
        <v>101.00000005960464</v>
      </c>
      <c r="G129" s="62">
        <f ca="1">IF(controls!$B$44=0,I129-'main page'!$K$27*T128,I129-'main page'!$K$27*T128+'main page'!$K$31*'normal case'!AI128)</f>
        <v>101.00000005960464</v>
      </c>
      <c r="H129" s="62">
        <f t="shared" ca="1" si="18"/>
        <v>108</v>
      </c>
      <c r="I129" s="62">
        <f t="shared" ca="1" si="19"/>
        <v>108</v>
      </c>
      <c r="L129" s="62">
        <f ca="1">IF(ABS('main page'!$K$29*L128+(1-'main page'!$K$29)*(controls!$B$9/100)*100+'main page'!$K$25*(D129-B129)-L128)&lt;0.0000001,L128,'main page'!$K$29*L128+(1-'main page'!$K$29)*(controls!$B$9/100)*100+'main page'!$K$25*(D129-B129))</f>
        <v>1.9999998807907104</v>
      </c>
      <c r="Q129" s="409">
        <f ca="1">(1-'main page'!$K$29)*($AS$11/100)*100+'main page'!$K$25*(D129-B129)</f>
        <v>5.9604644775390625E-8</v>
      </c>
      <c r="R129" s="409">
        <f>'main page'!G133+'main page'!$K$29*M128</f>
        <v>0</v>
      </c>
      <c r="S129" s="409">
        <f t="shared" ca="1" si="17"/>
        <v>5.9604644775390625E-8</v>
      </c>
      <c r="T129" s="79">
        <f ca="1">IF(controls!$B$10=1,T128,IF(SUM(controls!$B$44:$B$46)=2,U129-'main page'!$K$29*'normal case'!L129-(1-'main page'!$K$29)*'main page'!$K$32,U129-'main page'!$K$29*'normal case'!L129-(1-'main page'!$K$29)*controls!$B$9))</f>
        <v>3.4999999701976776</v>
      </c>
      <c r="U129" s="164">
        <f ca="1">IF(controls!$B$45=1,IF(controls!$B$46=1,'main page'!$K$24+'main page'!$K$11+'main page'!$U$8,'main page'!$K$24+'main page'!$K$11+'main page'!$K$32),IF(controls!$B$44=1,IF(V129&lt;0,0,V129),IF(V129+'main page'!$K$11&lt;0,0,V129+'main page'!$K$11)))</f>
        <v>5.4999998509883881</v>
      </c>
      <c r="V129" s="63">
        <f ca="1">IF(controls!$B$10=1,'normal case'!T129+'normal case'!L129,'normal case'!W129)</f>
        <v>5.4999998509883881</v>
      </c>
      <c r="W129" s="61">
        <f t="shared" ca="1" si="13"/>
        <v>5.4999998509883881</v>
      </c>
      <c r="X129" s="166">
        <f ca="1">IF(controls!$B$44=0,Y129+'main page'!$K$29*L129+(1-'main page'!$K$29)*controls!$B$9+(('main page'!$K$25*'main page'!$U$13*'main page'!$K$29)/('main page'!$K$27*(1+('main page'!$K$25^2)*'main page'!$U$13)))*(L129-controls!$B$9),Y129+'main page'!$K$29*L129+(1-'main page'!$K$29)*controls!$B$9+(('main page'!$K$25*'main page'!$U$13*'normal case'!$AV$3)/'normal case'!$AV$4)*('normal case'!L129-controls!$B$9))</f>
        <v>5.4999998509883881</v>
      </c>
      <c r="Y129" s="81">
        <f ca="1">IF(controls!$B$44=1,'main page'!$K$24+'main page'!$K$11,IF(controls!$B$33=1,((I130-D129*AD130-B130+B129*AC130)/'main page'!$K$27)-'main page'!$K$11,((H130-D129*AD130-B130+B129*AC130)/'main page'!$K$27)-'main page'!$K$11))</f>
        <v>3.5</v>
      </c>
      <c r="AA129" s="58">
        <f>IF(controls!$B$6=1,$AS$3*(1+('main page'!$K$35/100))^AB129-$AS$3*(1+('main page'!$K$35/100))^AB128,$AS$3*(1+('main page'!$G$8/100))*(1+('main page'!$K$35/100))^AB129-$AS$3*(1+('main page'!$G$8/100))*(1+('main page'!$K$35/100))^AB128)</f>
        <v>0</v>
      </c>
      <c r="AB129" s="60">
        <v>122</v>
      </c>
      <c r="AC129" s="125">
        <v>0</v>
      </c>
      <c r="AD129" s="36">
        <v>0</v>
      </c>
      <c r="AE129" s="44">
        <f ca="1">IF(controls!$B$33=1,D129-($I$3-'main page'!$K$27*2)*(1+('main page'!$K$35/100))^A128,D129-$AS$4)</f>
        <v>1.0000000596046448</v>
      </c>
      <c r="AF129" s="44">
        <f ca="1">ABS(L129-(controls!$B$9/100)*100)</f>
        <v>1.1920928955078125E-7</v>
      </c>
      <c r="AH129" s="44">
        <f ca="1">IF(controls!$B$33=1,(B130-B129*AC130-I130+D129*AD130+'main page'!$K$27*('main page'!$K$24+'main page'!$K$11))/'main page'!$K$31,(B130-B129*AC130+D129*AD130-H130+'main page'!$K$27*('main page'!$K$24+'main page'!$K$11))/'main page'!$K$31)</f>
        <v>1</v>
      </c>
      <c r="AI129" s="44">
        <f ca="1">IF(controls!$B$45=1,LOG(AM129,1.01)+LOG(AL129,1.01)-LOG(AK129,1.01),-((T129-('main page'!$K$24+'main page'!$K$11))/(1-'normal case'!$AV$3))+'normal case'!AH129)</f>
        <v>2.0000000596046448</v>
      </c>
      <c r="AJ129" s="80">
        <f t="shared" ca="1" si="14"/>
        <v>1.0506250015463039</v>
      </c>
      <c r="AK129" s="44">
        <f t="shared" ca="1" si="15"/>
        <v>11.887157816037776</v>
      </c>
      <c r="AL129" s="44">
        <f>AL128*(1+'main page'!$K$32/100)</f>
        <v>1</v>
      </c>
      <c r="AM129" s="44">
        <f ca="1">IF(ABS(IF(controls!$B$45=1,$AS$13,AK129*AJ129/AL129)-AM128)&lt;0.00001,AM128,IF(controls!$B$45=1,$AS$13,AK129*AJ129/AL129))</f>
        <v>12.488945198855847</v>
      </c>
      <c r="AN129" s="44">
        <f>IF(controls!$B$46=0,0,IF(controls!$B$33=2,B130-B129*AC130-('normal case'!H130-D129*AD130-'main page'!$K$27*'normal case'!T129+'main page'!$K$31*'normal case'!AI129)-(('main page'!$K$25*'main page'!$U$13*'main page'!$K$29)/(1+('main page'!$K$25^2)*'main page'!$U$13))*('normal case'!L129-'main page'!$U$8),B130-B129*AC130-('normal case'!I130-D129*AD130-'main page'!$K$27*'normal case'!T129+'main page'!$K$31*'normal case'!AI129)-(('main page'!$K$25*'main page'!$U$13*'main page'!$K$29)/(1+('main page'!$K$25^2)*'main page'!$U$13))*('normal case'!L129-'main page'!$U$8)))</f>
        <v>0</v>
      </c>
      <c r="AU129" s="36"/>
      <c r="AV129" s="36"/>
    </row>
    <row r="130" spans="1:48">
      <c r="A130" s="43">
        <v>128</v>
      </c>
      <c r="B130" s="62">
        <f ca="1">IF(controls!$B$33=1,B129*(1+AC130)+AA130,B129*(1+AC130))</f>
        <v>101</v>
      </c>
      <c r="C130" s="67">
        <f t="shared" ca="1" si="16"/>
        <v>-1.5107707374006907E-7</v>
      </c>
      <c r="D130" s="64">
        <f t="shared" ca="1" si="12"/>
        <v>101.00000005960464</v>
      </c>
      <c r="E130" s="64">
        <f ca="1">AN129+IF(controls!$B$33=1,G130,F130)</f>
        <v>101.00000005960464</v>
      </c>
      <c r="F130" s="78">
        <f ca="1">IF(controls!$B$44=0,H130-'main page'!$K$27*T129,H130-'main page'!$K$27*T129+'main page'!$K$31*AI129)</f>
        <v>101.00000005960464</v>
      </c>
      <c r="G130" s="62">
        <f ca="1">IF(controls!$B$44=0,I130-'main page'!$K$27*T129,I130-'main page'!$K$27*T129+'main page'!$K$31*'normal case'!AI129)</f>
        <v>101.00000005960464</v>
      </c>
      <c r="H130" s="62">
        <f t="shared" ca="1" si="18"/>
        <v>108</v>
      </c>
      <c r="I130" s="62">
        <f t="shared" ca="1" si="19"/>
        <v>108</v>
      </c>
      <c r="L130" s="62">
        <f ca="1">IF(ABS('main page'!$K$29*L129+(1-'main page'!$K$29)*(controls!$B$9/100)*100+'main page'!$K$25*(D130-B130)-L129)&lt;0.0000001,L129,'main page'!$K$29*L129+(1-'main page'!$K$29)*(controls!$B$9/100)*100+'main page'!$K$25*(D130-B130))</f>
        <v>1.9999998807907104</v>
      </c>
      <c r="Q130" s="409">
        <f ca="1">(1-'main page'!$K$29)*($AS$11/100)*100+'main page'!$K$25*(D130-B130)</f>
        <v>5.9604644775390625E-8</v>
      </c>
      <c r="R130" s="409">
        <f>'main page'!G134+'main page'!$K$29*M129</f>
        <v>0</v>
      </c>
      <c r="S130" s="409">
        <f t="shared" ca="1" si="17"/>
        <v>5.9604644775390625E-8</v>
      </c>
      <c r="T130" s="79">
        <f ca="1">IF(controls!$B$10=1,T129,IF(SUM(controls!$B$44:$B$46)=2,U130-'main page'!$K$29*'normal case'!L130-(1-'main page'!$K$29)*'main page'!$K$32,U130-'main page'!$K$29*'normal case'!L130-(1-'main page'!$K$29)*controls!$B$9))</f>
        <v>3.4999999701976776</v>
      </c>
      <c r="U130" s="164">
        <f ca="1">IF(controls!$B$45=1,IF(controls!$B$46=1,'main page'!$K$24+'main page'!$K$11+'main page'!$U$8,'main page'!$K$24+'main page'!$K$11+'main page'!$K$32),IF(controls!$B$44=1,IF(V130&lt;0,0,V130),IF(V130+'main page'!$K$11&lt;0,0,V130+'main page'!$K$11)))</f>
        <v>5.4999998509883881</v>
      </c>
      <c r="V130" s="63">
        <f ca="1">IF(controls!$B$10=1,'normal case'!T130+'normal case'!L130,'normal case'!W130)</f>
        <v>5.4999998509883881</v>
      </c>
      <c r="W130" s="61">
        <f t="shared" ca="1" si="13"/>
        <v>5.4999998509883881</v>
      </c>
      <c r="X130" s="166">
        <f ca="1">IF(controls!$B$44=0,Y130+'main page'!$K$29*L130+(1-'main page'!$K$29)*controls!$B$9+(('main page'!$K$25*'main page'!$U$13*'main page'!$K$29)/('main page'!$K$27*(1+('main page'!$K$25^2)*'main page'!$U$13)))*(L130-controls!$B$9),Y130+'main page'!$K$29*L130+(1-'main page'!$K$29)*controls!$B$9+(('main page'!$K$25*'main page'!$U$13*'normal case'!$AV$3)/'normal case'!$AV$4)*('normal case'!L130-controls!$B$9))</f>
        <v>5.4999998509883881</v>
      </c>
      <c r="Y130" s="81">
        <f ca="1">IF(controls!$B$44=1,'main page'!$K$24+'main page'!$K$11,IF(controls!$B$33=1,((I131-D130*AD131-B131+B130*AC131)/'main page'!$K$27)-'main page'!$K$11,((H131-D130*AD131-B131+B130*AC131)/'main page'!$K$27)-'main page'!$K$11))</f>
        <v>3.5</v>
      </c>
      <c r="AA130" s="58">
        <f>IF(controls!$B$6=1,$AS$3*(1+('main page'!$K$35/100))^AB130-$AS$3*(1+('main page'!$K$35/100))^AB129,$AS$3*(1+('main page'!$G$8/100))*(1+('main page'!$K$35/100))^AB130-$AS$3*(1+('main page'!$G$8/100))*(1+('main page'!$K$35/100))^AB129)</f>
        <v>0</v>
      </c>
      <c r="AB130" s="60">
        <v>123</v>
      </c>
      <c r="AC130" s="125">
        <v>0</v>
      </c>
      <c r="AD130" s="36">
        <v>0</v>
      </c>
      <c r="AE130" s="44">
        <f ca="1">IF(controls!$B$33=1,D130-($I$3-'main page'!$K$27*2)*(1+('main page'!$K$35/100))^A129,D130-$AS$4)</f>
        <v>1.0000000596046448</v>
      </c>
      <c r="AF130" s="44">
        <f ca="1">ABS(L130-(controls!$B$9/100)*100)</f>
        <v>1.1920928955078125E-7</v>
      </c>
      <c r="AH130" s="44">
        <f ca="1">IF(controls!$B$33=1,(B131-B130*AC131-I131+D130*AD131+'main page'!$K$27*('main page'!$K$24+'main page'!$K$11))/'main page'!$K$31,(B131-B130*AC131+D130*AD131-H131+'main page'!$K$27*('main page'!$K$24+'main page'!$K$11))/'main page'!$K$31)</f>
        <v>1</v>
      </c>
      <c r="AI130" s="44">
        <f ca="1">IF(controls!$B$45=1,LOG(AM130,1.01)+LOG(AL130,1.01)-LOG(AK130,1.01),-((T130-('main page'!$K$24+'main page'!$K$11))/(1-'normal case'!$AV$3))+'normal case'!AH130)</f>
        <v>2.0000000596046448</v>
      </c>
      <c r="AJ130" s="80">
        <f t="shared" ca="1" si="14"/>
        <v>1.0506250015463039</v>
      </c>
      <c r="AK130" s="44">
        <f t="shared" ca="1" si="15"/>
        <v>12.124900958187936</v>
      </c>
      <c r="AL130" s="44">
        <f>AL129*(1+'main page'!$K$32/100)</f>
        <v>1</v>
      </c>
      <c r="AM130" s="44">
        <f ca="1">IF(ABS(IF(controls!$B$45=1,$AS$13,AK130*AJ130/AL130)-AM129)&lt;0.00001,AM129,IF(controls!$B$45=1,$AS$13,AK130*AJ130/AL130))</f>
        <v>12.738724087944982</v>
      </c>
      <c r="AN130" s="44">
        <f>IF(controls!$B$46=0,0,IF(controls!$B$33=2,B131-B130*AC131-('normal case'!H131-D130*AD131-'main page'!$K$27*'normal case'!T130+'main page'!$K$31*'normal case'!AI130)-(('main page'!$K$25*'main page'!$U$13*'main page'!$K$29)/(1+('main page'!$K$25^2)*'main page'!$U$13))*('normal case'!L130-'main page'!$U$8),B131-B130*AC131-('normal case'!I131-D130*AD131-'main page'!$K$27*'normal case'!T130+'main page'!$K$31*'normal case'!AI130)-(('main page'!$K$25*'main page'!$U$13*'main page'!$K$29)/(1+('main page'!$K$25^2)*'main page'!$U$13))*('normal case'!L130-'main page'!$U$8)))</f>
        <v>0</v>
      </c>
      <c r="AU130" s="36"/>
      <c r="AV130" s="36"/>
    </row>
    <row r="131" spans="1:48">
      <c r="A131" s="43">
        <v>129</v>
      </c>
      <c r="B131" s="62">
        <f ca="1">IF(controls!$B$33=1,B130*(1+AC131)+AA131,B130*(1+AC131))</f>
        <v>101</v>
      </c>
      <c r="C131" s="67">
        <f t="shared" ca="1" si="16"/>
        <v>-1.5107707374006907E-7</v>
      </c>
      <c r="D131" s="64">
        <f t="shared" ca="1" si="12"/>
        <v>101.00000005960464</v>
      </c>
      <c r="E131" s="64">
        <f ca="1">AN130+IF(controls!$B$33=1,G131,F131)</f>
        <v>101.00000005960464</v>
      </c>
      <c r="F131" s="78">
        <f ca="1">IF(controls!$B$44=0,H131-'main page'!$K$27*T130,H131-'main page'!$K$27*T130+'main page'!$K$31*AI130)</f>
        <v>101.00000005960464</v>
      </c>
      <c r="G131" s="62">
        <f ca="1">IF(controls!$B$44=0,I131-'main page'!$K$27*T130,I131-'main page'!$K$27*T130+'main page'!$K$31*'normal case'!AI130)</f>
        <v>101.00000005960464</v>
      </c>
      <c r="H131" s="62">
        <f t="shared" ca="1" si="18"/>
        <v>108</v>
      </c>
      <c r="I131" s="62">
        <f t="shared" ca="1" si="19"/>
        <v>108</v>
      </c>
      <c r="L131" s="62">
        <f ca="1">IF(ABS('main page'!$K$29*L130+(1-'main page'!$K$29)*(controls!$B$9/100)*100+'main page'!$K$25*(D131-B131)-L130)&lt;0.0000001,L130,'main page'!$K$29*L130+(1-'main page'!$K$29)*(controls!$B$9/100)*100+'main page'!$K$25*(D131-B131))</f>
        <v>1.9999998807907104</v>
      </c>
      <c r="Q131" s="409">
        <f ca="1">(1-'main page'!$K$29)*($AS$11/100)*100+'main page'!$K$25*(D131-B131)</f>
        <v>5.9604644775390625E-8</v>
      </c>
      <c r="R131" s="409">
        <f>'main page'!G135+'main page'!$K$29*M130</f>
        <v>0</v>
      </c>
      <c r="S131" s="409">
        <f t="shared" ca="1" si="17"/>
        <v>5.9604644775390625E-8</v>
      </c>
      <c r="T131" s="79">
        <f ca="1">IF(controls!$B$10=1,T130,IF(SUM(controls!$B$44:$B$46)=2,U131-'main page'!$K$29*'normal case'!L131-(1-'main page'!$K$29)*'main page'!$K$32,U131-'main page'!$K$29*'normal case'!L131-(1-'main page'!$K$29)*controls!$B$9))</f>
        <v>3.4999999701976776</v>
      </c>
      <c r="U131" s="164">
        <f ca="1">IF(controls!$B$45=1,IF(controls!$B$46=1,'main page'!$K$24+'main page'!$K$11+'main page'!$U$8,'main page'!$K$24+'main page'!$K$11+'main page'!$K$32),IF(controls!$B$44=1,IF(V131&lt;0,0,V131),IF(V131+'main page'!$K$11&lt;0,0,V131+'main page'!$K$11)))</f>
        <v>5.4999998509883881</v>
      </c>
      <c r="V131" s="63">
        <f ca="1">IF(controls!$B$10=1,'normal case'!T131+'normal case'!L131,'normal case'!W131)</f>
        <v>5.4999998509883881</v>
      </c>
      <c r="W131" s="61">
        <f t="shared" ca="1" si="13"/>
        <v>5.4999998509883881</v>
      </c>
      <c r="X131" s="166">
        <f ca="1">IF(controls!$B$44=0,Y131+'main page'!$K$29*L131+(1-'main page'!$K$29)*controls!$B$9+(('main page'!$K$25*'main page'!$U$13*'main page'!$K$29)/('main page'!$K$27*(1+('main page'!$K$25^2)*'main page'!$U$13)))*(L131-controls!$B$9),Y131+'main page'!$K$29*L131+(1-'main page'!$K$29)*controls!$B$9+(('main page'!$K$25*'main page'!$U$13*'normal case'!$AV$3)/'normal case'!$AV$4)*('normal case'!L131-controls!$B$9))</f>
        <v>5.4999998509883881</v>
      </c>
      <c r="Y131" s="81">
        <f ca="1">IF(controls!$B$44=1,'main page'!$K$24+'main page'!$K$11,IF(controls!$B$33=1,((I132-D131*AD132-B132+B131*AC132)/'main page'!$K$27)-'main page'!$K$11,((H132-D131*AD132-B132+B131*AC132)/'main page'!$K$27)-'main page'!$K$11))</f>
        <v>3.5</v>
      </c>
      <c r="AA131" s="58">
        <f>IF(controls!$B$6=1,$AS$3*(1+('main page'!$K$35/100))^AB131-$AS$3*(1+('main page'!$K$35/100))^AB130,$AS$3*(1+('main page'!$G$8/100))*(1+('main page'!$K$35/100))^AB131-$AS$3*(1+('main page'!$G$8/100))*(1+('main page'!$K$35/100))^AB130)</f>
        <v>0</v>
      </c>
      <c r="AB131" s="60">
        <v>124</v>
      </c>
      <c r="AC131" s="125">
        <f ca="1">IF(controls!$B$4=1,IF(controls!$H130=1,controls!$B$34*AC130+RAND()*('main page'!$K$16/100)-RAND()*('main page'!$K$16/100),0),0)</f>
        <v>0</v>
      </c>
      <c r="AD131" s="36">
        <f ca="1">IF(controls!$B$4=1,IF(controls!$I130=1,controls!$B$34*AD130+RAND()*('main page'!$K$16/100)-RAND()*('main page'!$K$16/100),0),0)</f>
        <v>0</v>
      </c>
      <c r="AE131" s="44">
        <f ca="1">IF(controls!$B$33=1,D131-($I$3-'main page'!$K$27*2)*(1+('main page'!$K$35/100))^A130,D131-$AS$4)</f>
        <v>1.0000000596046448</v>
      </c>
      <c r="AF131" s="44">
        <f ca="1">ABS(L131-(controls!$B$9/100)*100)</f>
        <v>1.1920928955078125E-7</v>
      </c>
      <c r="AH131" s="44">
        <f ca="1">IF(controls!$B$33=1,(B132-B131*AC132-I132+D131*AD132+'main page'!$K$27*('main page'!$K$24+'main page'!$K$11))/'main page'!$K$31,(B132-B131*AC132+D131*AD132-H132+'main page'!$K$27*('main page'!$K$24+'main page'!$K$11))/'main page'!$K$31)</f>
        <v>1</v>
      </c>
      <c r="AI131" s="44">
        <f ca="1">IF(controls!$B$45=1,LOG(AM131,1.01)+LOG(AL131,1.01)-LOG(AK131,1.01),-((T131-('main page'!$K$24+'main page'!$K$11))/(1-'normal case'!$AV$3))+'normal case'!AH131)</f>
        <v>2.0000000596046448</v>
      </c>
      <c r="AJ131" s="80">
        <f t="shared" ca="1" si="14"/>
        <v>1.0506250015463039</v>
      </c>
      <c r="AK131" s="44">
        <f t="shared" ca="1" si="15"/>
        <v>12.367398962897687</v>
      </c>
      <c r="AL131" s="44">
        <f>AL130*(1+'main page'!$K$32/100)</f>
        <v>1</v>
      </c>
      <c r="AM131" s="44">
        <f ca="1">IF(ABS(IF(controls!$B$45=1,$AS$13,AK131*AJ131/AL131)-AM130)&lt;0.00001,AM130,IF(controls!$B$45=1,$AS$13,AK131*AJ131/AL131))</f>
        <v>12.993498554518139</v>
      </c>
      <c r="AN131" s="44">
        <f>IF(controls!$B$46=0,0,IF(controls!$B$33=2,B132-B131*AC132-('normal case'!H132-D131*AD132-'main page'!$K$27*'normal case'!T131+'main page'!$K$31*'normal case'!AI131)-(('main page'!$K$25*'main page'!$U$13*'main page'!$K$29)/(1+('main page'!$K$25^2)*'main page'!$U$13))*('normal case'!L131-'main page'!$U$8),B132-B131*AC132-('normal case'!I132-D131*AD132-'main page'!$K$27*'normal case'!T131+'main page'!$K$31*'normal case'!AI131)-(('main page'!$K$25*'main page'!$U$13*'main page'!$K$29)/(1+('main page'!$K$25^2)*'main page'!$U$13))*('normal case'!L131-'main page'!$U$8)))</f>
        <v>0</v>
      </c>
      <c r="AU131" s="36"/>
      <c r="AV131" s="36"/>
    </row>
    <row r="132" spans="1:48">
      <c r="A132" s="43">
        <v>130</v>
      </c>
      <c r="B132" s="62">
        <f ca="1">IF(controls!$B$33=1,B131*(1+AC132)+AA132,B131*(1+AC132))</f>
        <v>101</v>
      </c>
      <c r="C132" s="67">
        <f t="shared" ca="1" si="16"/>
        <v>-1.5107707374006907E-7</v>
      </c>
      <c r="D132" s="64">
        <f t="shared" ref="D132:D195" ca="1" si="20">IF(E132&gt;0,E132,0.1)</f>
        <v>101.00000005960464</v>
      </c>
      <c r="E132" s="64">
        <f ca="1">AN131+IF(controls!$B$33=1,G132,F132)</f>
        <v>101.00000005960464</v>
      </c>
      <c r="F132" s="78">
        <f ca="1">IF(controls!$B$44=0,H132-'main page'!$K$27*T131,H132-'main page'!$K$27*T131+'main page'!$K$31*AI131)</f>
        <v>101.00000005960464</v>
      </c>
      <c r="G132" s="62">
        <f ca="1">IF(controls!$B$44=0,I132-'main page'!$K$27*T131,I132-'main page'!$K$27*T131+'main page'!$K$31*'normal case'!AI131)</f>
        <v>101.00000005960464</v>
      </c>
      <c r="H132" s="62">
        <f t="shared" ca="1" si="18"/>
        <v>108</v>
      </c>
      <c r="I132" s="62">
        <f t="shared" ca="1" si="19"/>
        <v>108</v>
      </c>
      <c r="L132" s="62">
        <f ca="1">IF(ABS('main page'!$K$29*L131+(1-'main page'!$K$29)*(controls!$B$9/100)*100+'main page'!$K$25*(D132-B132)-L131)&lt;0.0000001,L131,'main page'!$K$29*L131+(1-'main page'!$K$29)*(controls!$B$9/100)*100+'main page'!$K$25*(D132-B132))</f>
        <v>1.9999998807907104</v>
      </c>
      <c r="Q132" s="409">
        <f ca="1">(1-'main page'!$K$29)*($AS$11/100)*100+'main page'!$K$25*(D132-B132)</f>
        <v>5.9604644775390625E-8</v>
      </c>
      <c r="R132" s="409">
        <f>'main page'!G136+'main page'!$K$29*M131</f>
        <v>0</v>
      </c>
      <c r="S132" s="409">
        <f t="shared" ca="1" si="17"/>
        <v>5.9604644775390625E-8</v>
      </c>
      <c r="T132" s="79">
        <f ca="1">IF(controls!$B$10=1,T131,IF(SUM(controls!$B$44:$B$46)=2,U132-'main page'!$K$29*'normal case'!L132-(1-'main page'!$K$29)*'main page'!$K$32,U132-'main page'!$K$29*'normal case'!L132-(1-'main page'!$K$29)*controls!$B$9))</f>
        <v>3.4999999701976776</v>
      </c>
      <c r="U132" s="164">
        <f ca="1">IF(controls!$B$45=1,IF(controls!$B$46=1,'main page'!$K$24+'main page'!$K$11+'main page'!$U$8,'main page'!$K$24+'main page'!$K$11+'main page'!$K$32),IF(controls!$B$44=1,IF(V132&lt;0,0,V132),IF(V132+'main page'!$K$11&lt;0,0,V132+'main page'!$K$11)))</f>
        <v>5.4999998509883881</v>
      </c>
      <c r="V132" s="63">
        <f ca="1">IF(controls!$B$10=1,'normal case'!T132+'normal case'!L132,'normal case'!W132)</f>
        <v>5.4999998509883881</v>
      </c>
      <c r="W132" s="61">
        <f t="shared" ref="W132:W195" ca="1" si="21">IF(X132&lt;0,0,X132)</f>
        <v>5.4999998509883881</v>
      </c>
      <c r="X132" s="166">
        <f ca="1">IF(controls!$B$44=0,Y132+'main page'!$K$29*L132+(1-'main page'!$K$29)*controls!$B$9+(('main page'!$K$25*'main page'!$U$13*'main page'!$K$29)/('main page'!$K$27*(1+('main page'!$K$25^2)*'main page'!$U$13)))*(L132-controls!$B$9),Y132+'main page'!$K$29*L132+(1-'main page'!$K$29)*controls!$B$9+(('main page'!$K$25*'main page'!$U$13*'normal case'!$AV$3)/'normal case'!$AV$4)*('normal case'!L132-controls!$B$9))</f>
        <v>5.4999998509883881</v>
      </c>
      <c r="Y132" s="81">
        <f ca="1">IF(controls!$B$44=1,'main page'!$K$24+'main page'!$K$11,IF(controls!$B$33=1,((I133-D132*AD133-B133+B132*AC133)/'main page'!$K$27)-'main page'!$K$11,((H133-D132*AD133-B133+B132*AC133)/'main page'!$K$27)-'main page'!$K$11))</f>
        <v>3.5</v>
      </c>
      <c r="AA132" s="58">
        <f>IF(controls!$B$6=1,$AS$3*(1+('main page'!$K$35/100))^AB132-$AS$3*(1+('main page'!$K$35/100))^AB131,$AS$3*(1+('main page'!$G$8/100))*(1+('main page'!$K$35/100))^AB132-$AS$3*(1+('main page'!$G$8/100))*(1+('main page'!$K$35/100))^AB131)</f>
        <v>0</v>
      </c>
      <c r="AB132" s="60">
        <v>125</v>
      </c>
      <c r="AC132" s="125">
        <v>0</v>
      </c>
      <c r="AD132" s="36">
        <v>0</v>
      </c>
      <c r="AE132" s="44">
        <f ca="1">IF(controls!$B$33=1,D132-($I$3-'main page'!$K$27*2)*(1+('main page'!$K$35/100))^A131,D132-$AS$4)</f>
        <v>1.0000000596046448</v>
      </c>
      <c r="AF132" s="44">
        <f ca="1">ABS(L132-(controls!$B$9/100)*100)</f>
        <v>1.1920928955078125E-7</v>
      </c>
      <c r="AH132" s="44">
        <f ca="1">IF(controls!$B$33=1,(B133-B132*AC133-I133+D132*AD133+'main page'!$K$27*('main page'!$K$24+'main page'!$K$11))/'main page'!$K$31,(B133-B132*AC133+D132*AD133-H133+'main page'!$K$27*('main page'!$K$24+'main page'!$K$11))/'main page'!$K$31)</f>
        <v>1</v>
      </c>
      <c r="AI132" s="44">
        <f ca="1">IF(controls!$B$45=1,LOG(AM132,1.01)+LOG(AL132,1.01)-LOG(AK132,1.01),-((T132-('main page'!$K$24+'main page'!$K$11))/(1-'normal case'!$AV$3))+'normal case'!AH132)</f>
        <v>2.0000000596046448</v>
      </c>
      <c r="AJ132" s="80">
        <f t="shared" ref="AJ132:AJ195" ca="1" si="22">IF(ABS(1.025^AI132-1)&lt;0.000000000001,1,1.025^AI132)</f>
        <v>1.0506250015463039</v>
      </c>
      <c r="AK132" s="44">
        <f t="shared" ref="AK132:AK195" ca="1" si="23">AK131*(1+L132/100)</f>
        <v>12.614746927412552</v>
      </c>
      <c r="AL132" s="44">
        <f>AL131*(1+'main page'!$K$32/100)</f>
        <v>1</v>
      </c>
      <c r="AM132" s="44">
        <f ca="1">IF(ABS(IF(controls!$B$45=1,$AS$13,AK132*AJ132/AL132)-AM131)&lt;0.00001,AM131,IF(controls!$B$45=1,$AS$13,AK132*AJ132/AL132))</f>
        <v>13.253368510119046</v>
      </c>
      <c r="AN132" s="44">
        <f>IF(controls!$B$46=0,0,IF(controls!$B$33=2,B133-B132*AC133-('normal case'!H133-D132*AD133-'main page'!$K$27*'normal case'!T132+'main page'!$K$31*'normal case'!AI132)-(('main page'!$K$25*'main page'!$U$13*'main page'!$K$29)/(1+('main page'!$K$25^2)*'main page'!$U$13))*('normal case'!L132-'main page'!$U$8),B133-B132*AC133-('normal case'!I133-D132*AD133-'main page'!$K$27*'normal case'!T132+'main page'!$K$31*'normal case'!AI132)-(('main page'!$K$25*'main page'!$U$13*'main page'!$K$29)/(1+('main page'!$K$25^2)*'main page'!$U$13))*('normal case'!L132-'main page'!$U$8)))</f>
        <v>0</v>
      </c>
      <c r="AU132" s="36"/>
      <c r="AV132" s="36"/>
    </row>
    <row r="133" spans="1:48">
      <c r="A133" s="43">
        <v>131</v>
      </c>
      <c r="B133" s="62">
        <f ca="1">IF(controls!$B$33=1,B132*(1+AC133)+AA133,B132*(1+AC133))</f>
        <v>101</v>
      </c>
      <c r="C133" s="67">
        <f t="shared" ca="1" si="16"/>
        <v>-1.5107707374006907E-7</v>
      </c>
      <c r="D133" s="64">
        <f t="shared" ca="1" si="20"/>
        <v>101.00000005960464</v>
      </c>
      <c r="E133" s="64">
        <f ca="1">AN132+IF(controls!$B$33=1,G133,F133)</f>
        <v>101.00000005960464</v>
      </c>
      <c r="F133" s="78">
        <f ca="1">IF(controls!$B$44=0,H133-'main page'!$K$27*T132,H133-'main page'!$K$27*T132+'main page'!$K$31*AI132)</f>
        <v>101.00000005960464</v>
      </c>
      <c r="G133" s="62">
        <f ca="1">IF(controls!$B$44=0,I133-'main page'!$K$27*T132,I133-'main page'!$K$27*T132+'main page'!$K$31*'normal case'!AI132)</f>
        <v>101.00000005960464</v>
      </c>
      <c r="H133" s="62">
        <f t="shared" ca="1" si="18"/>
        <v>108</v>
      </c>
      <c r="I133" s="62">
        <f t="shared" ca="1" si="19"/>
        <v>108</v>
      </c>
      <c r="L133" s="62">
        <f ca="1">IF(ABS('main page'!$K$29*L132+(1-'main page'!$K$29)*(controls!$B$9/100)*100+'main page'!$K$25*(D133-B133)-L132)&lt;0.0000001,L132,'main page'!$K$29*L132+(1-'main page'!$K$29)*(controls!$B$9/100)*100+'main page'!$K$25*(D133-B133))</f>
        <v>1.9999998807907104</v>
      </c>
      <c r="Q133" s="409">
        <f ca="1">(1-'main page'!$K$29)*($AS$11/100)*100+'main page'!$K$25*(D133-B133)</f>
        <v>5.9604644775390625E-8</v>
      </c>
      <c r="R133" s="409">
        <f>'main page'!G137+'main page'!$K$29*M132</f>
        <v>0</v>
      </c>
      <c r="S133" s="409">
        <f t="shared" ca="1" si="17"/>
        <v>5.9604644775390625E-8</v>
      </c>
      <c r="T133" s="79">
        <f ca="1">IF(controls!$B$10=1,T132,IF(SUM(controls!$B$44:$B$46)=2,U133-'main page'!$K$29*'normal case'!L133-(1-'main page'!$K$29)*'main page'!$K$32,U133-'main page'!$K$29*'normal case'!L133-(1-'main page'!$K$29)*controls!$B$9))</f>
        <v>3.4999999701976776</v>
      </c>
      <c r="U133" s="164">
        <f ca="1">IF(controls!$B$45=1,IF(controls!$B$46=1,'main page'!$K$24+'main page'!$K$11+'main page'!$U$8,'main page'!$K$24+'main page'!$K$11+'main page'!$K$32),IF(controls!$B$44=1,IF(V133&lt;0,0,V133),IF(V133+'main page'!$K$11&lt;0,0,V133+'main page'!$K$11)))</f>
        <v>5.4999998509883881</v>
      </c>
      <c r="V133" s="63">
        <f ca="1">IF(controls!$B$10=1,'normal case'!T133+'normal case'!L133,'normal case'!W133)</f>
        <v>5.4999998509883881</v>
      </c>
      <c r="W133" s="61">
        <f t="shared" ca="1" si="21"/>
        <v>5.4999998509883881</v>
      </c>
      <c r="X133" s="166">
        <f ca="1">IF(controls!$B$44=0,Y133+'main page'!$K$29*L133+(1-'main page'!$K$29)*controls!$B$9+(('main page'!$K$25*'main page'!$U$13*'main page'!$K$29)/('main page'!$K$27*(1+('main page'!$K$25^2)*'main page'!$U$13)))*(L133-controls!$B$9),Y133+'main page'!$K$29*L133+(1-'main page'!$K$29)*controls!$B$9+(('main page'!$K$25*'main page'!$U$13*'normal case'!$AV$3)/'normal case'!$AV$4)*('normal case'!L133-controls!$B$9))</f>
        <v>5.4999998509883881</v>
      </c>
      <c r="Y133" s="81">
        <f ca="1">IF(controls!$B$44=1,'main page'!$K$24+'main page'!$K$11,IF(controls!$B$33=1,((I134-D133*AD134-B134+B133*AC134)/'main page'!$K$27)-'main page'!$K$11,((H134-D133*AD134-B134+B133*AC134)/'main page'!$K$27)-'main page'!$K$11))</f>
        <v>3.5</v>
      </c>
      <c r="AA133" s="58">
        <f>IF(controls!$B$6=1,$AS$3*(1+('main page'!$K$35/100))^AB133-$AS$3*(1+('main page'!$K$35/100))^AB132,$AS$3*(1+('main page'!$G$8/100))*(1+('main page'!$K$35/100))^AB133-$AS$3*(1+('main page'!$G$8/100))*(1+('main page'!$K$35/100))^AB132)</f>
        <v>0</v>
      </c>
      <c r="AB133" s="60">
        <v>126</v>
      </c>
      <c r="AC133" s="125">
        <v>0</v>
      </c>
      <c r="AD133" s="36">
        <v>0</v>
      </c>
      <c r="AE133" s="44">
        <f ca="1">IF(controls!$B$33=1,D133-($I$3-'main page'!$K$27*2)*(1+('main page'!$K$35/100))^A132,D133-$AS$4)</f>
        <v>1.0000000596046448</v>
      </c>
      <c r="AF133" s="44">
        <f ca="1">ABS(L133-(controls!$B$9/100)*100)</f>
        <v>1.1920928955078125E-7</v>
      </c>
      <c r="AH133" s="44">
        <f ca="1">IF(controls!$B$33=1,(B134-B133*AC134-I134+D133*AD134+'main page'!$K$27*('main page'!$K$24+'main page'!$K$11))/'main page'!$K$31,(B134-B133*AC134+D133*AD134-H134+'main page'!$K$27*('main page'!$K$24+'main page'!$K$11))/'main page'!$K$31)</f>
        <v>1</v>
      </c>
      <c r="AI133" s="44">
        <f ca="1">IF(controls!$B$45=1,LOG(AM133,1.01)+LOG(AL133,1.01)-LOG(AK133,1.01),-((T133-('main page'!$K$24+'main page'!$K$11))/(1-'normal case'!$AV$3))+'normal case'!AH133)</f>
        <v>2.0000000596046448</v>
      </c>
      <c r="AJ133" s="80">
        <f t="shared" ca="1" si="22"/>
        <v>1.0506250015463039</v>
      </c>
      <c r="AK133" s="44">
        <f t="shared" ca="1" si="23"/>
        <v>12.867041850922854</v>
      </c>
      <c r="AL133" s="44">
        <f>AL132*(1+'main page'!$K$32/100)</f>
        <v>1</v>
      </c>
      <c r="AM133" s="44">
        <f ca="1">IF(ABS(IF(controls!$B$45=1,$AS$13,AK133*AJ133/AL133)-AM132)&lt;0.00001,AM132,IF(controls!$B$45=1,$AS$13,AK133*AJ133/AL133))</f>
        <v>13.51843586452218</v>
      </c>
      <c r="AN133" s="44">
        <f>IF(controls!$B$46=0,0,IF(controls!$B$33=2,B134-B133*AC134-('normal case'!H134-D133*AD134-'main page'!$K$27*'normal case'!T133+'main page'!$K$31*'normal case'!AI133)-(('main page'!$K$25*'main page'!$U$13*'main page'!$K$29)/(1+('main page'!$K$25^2)*'main page'!$U$13))*('normal case'!L133-'main page'!$U$8),B134-B133*AC134-('normal case'!I134-D133*AD134-'main page'!$K$27*'normal case'!T133+'main page'!$K$31*'normal case'!AI133)-(('main page'!$K$25*'main page'!$U$13*'main page'!$K$29)/(1+('main page'!$K$25^2)*'main page'!$U$13))*('normal case'!L133-'main page'!$U$8)))</f>
        <v>0</v>
      </c>
      <c r="AU133" s="36"/>
      <c r="AV133" s="36"/>
    </row>
    <row r="134" spans="1:48">
      <c r="A134" s="43">
        <v>132</v>
      </c>
      <c r="B134" s="62">
        <f ca="1">IF(controls!$B$33=1,B133*(1+AC134)+AA134,B133*(1+AC134))</f>
        <v>101</v>
      </c>
      <c r="C134" s="67">
        <f t="shared" ref="C134:C197" ca="1" si="24">IF(ABS((D134/D133-1)-C133)&lt;0.000001,C133,D134/D133-1)</f>
        <v>-1.5107707374006907E-7</v>
      </c>
      <c r="D134" s="64">
        <f t="shared" ca="1" si="20"/>
        <v>101.00000005960464</v>
      </c>
      <c r="E134" s="64">
        <f ca="1">AN133+IF(controls!$B$33=1,G134,F134)</f>
        <v>101.00000005960464</v>
      </c>
      <c r="F134" s="78">
        <f ca="1">IF(controls!$B$44=0,H134-'main page'!$K$27*T133,H134-'main page'!$K$27*T133+'main page'!$K$31*AI133)</f>
        <v>101.00000005960464</v>
      </c>
      <c r="G134" s="62">
        <f ca="1">IF(controls!$B$44=0,I134-'main page'!$K$27*T133,I134-'main page'!$K$27*T133+'main page'!$K$31*'normal case'!AI133)</f>
        <v>101.00000005960464</v>
      </c>
      <c r="H134" s="62">
        <f t="shared" ca="1" si="18"/>
        <v>108</v>
      </c>
      <c r="I134" s="62">
        <f t="shared" ca="1" si="19"/>
        <v>108</v>
      </c>
      <c r="L134" s="62">
        <f ca="1">IF(ABS('main page'!$K$29*L133+(1-'main page'!$K$29)*(controls!$B$9/100)*100+'main page'!$K$25*(D134-B134)-L133)&lt;0.0000001,L133,'main page'!$K$29*L133+(1-'main page'!$K$29)*(controls!$B$9/100)*100+'main page'!$K$25*(D134-B134))</f>
        <v>1.9999998807907104</v>
      </c>
      <c r="Q134" s="409">
        <f ca="1">(1-'main page'!$K$29)*($AS$11/100)*100+'main page'!$K$25*(D134-B134)</f>
        <v>5.9604644775390625E-8</v>
      </c>
      <c r="R134" s="409">
        <f>'main page'!G138+'main page'!$K$29*M133</f>
        <v>0</v>
      </c>
      <c r="S134" s="409">
        <f t="shared" ca="1" si="17"/>
        <v>5.9604644775390625E-8</v>
      </c>
      <c r="T134" s="79">
        <f ca="1">IF(controls!$B$10=1,T133,IF(SUM(controls!$B$44:$B$46)=2,U134-'main page'!$K$29*'normal case'!L134-(1-'main page'!$K$29)*'main page'!$K$32,U134-'main page'!$K$29*'normal case'!L134-(1-'main page'!$K$29)*controls!$B$9))</f>
        <v>3.4999999701976776</v>
      </c>
      <c r="U134" s="164">
        <f ca="1">IF(controls!$B$45=1,IF(controls!$B$46=1,'main page'!$K$24+'main page'!$K$11+'main page'!$U$8,'main page'!$K$24+'main page'!$K$11+'main page'!$K$32),IF(controls!$B$44=1,IF(V134&lt;0,0,V134),IF(V134+'main page'!$K$11&lt;0,0,V134+'main page'!$K$11)))</f>
        <v>5.4999998509883881</v>
      </c>
      <c r="V134" s="63">
        <f ca="1">IF(controls!$B$10=1,'normal case'!T134+'normal case'!L134,'normal case'!W134)</f>
        <v>5.4999998509883881</v>
      </c>
      <c r="W134" s="61">
        <f t="shared" ca="1" si="21"/>
        <v>5.4999998509883881</v>
      </c>
      <c r="X134" s="166">
        <f ca="1">IF(controls!$B$44=0,Y134+'main page'!$K$29*L134+(1-'main page'!$K$29)*controls!$B$9+(('main page'!$K$25*'main page'!$U$13*'main page'!$K$29)/('main page'!$K$27*(1+('main page'!$K$25^2)*'main page'!$U$13)))*(L134-controls!$B$9),Y134+'main page'!$K$29*L134+(1-'main page'!$K$29)*controls!$B$9+(('main page'!$K$25*'main page'!$U$13*'normal case'!$AV$3)/'normal case'!$AV$4)*('normal case'!L134-controls!$B$9))</f>
        <v>5.4999998509883881</v>
      </c>
      <c r="Y134" s="81">
        <f ca="1">IF(controls!$B$44=1,'main page'!$K$24+'main page'!$K$11,IF(controls!$B$33=1,((I135-D134*AD135-B135+B134*AC135)/'main page'!$K$27)-'main page'!$K$11,((H135-D134*AD135-B135+B134*AC135)/'main page'!$K$27)-'main page'!$K$11))</f>
        <v>3.5</v>
      </c>
      <c r="AA134" s="58">
        <f>IF(controls!$B$6=1,$AS$3*(1+('main page'!$K$35/100))^AB134-$AS$3*(1+('main page'!$K$35/100))^AB133,$AS$3*(1+('main page'!$G$8/100))*(1+('main page'!$K$35/100))^AB134-$AS$3*(1+('main page'!$G$8/100))*(1+('main page'!$K$35/100))^AB133)</f>
        <v>0</v>
      </c>
      <c r="AB134" s="60">
        <v>127</v>
      </c>
      <c r="AC134" s="125">
        <f ca="1">IF(controls!$B$4=1,IF(controls!$H133=1,controls!$B$34*AC133+RAND()*('main page'!$K$16/100)-RAND()*('main page'!$K$16/100),0),0)</f>
        <v>0</v>
      </c>
      <c r="AD134" s="36">
        <f ca="1">IF(controls!$B$4=1,IF(controls!$I133=1,controls!$B$34*AD133+RAND()*('main page'!$K$16/100)-RAND()*('main page'!$K$16/100),0),0)</f>
        <v>0</v>
      </c>
      <c r="AE134" s="44">
        <f ca="1">IF(controls!$B$33=1,D134-($I$3-'main page'!$K$27*2)*(1+('main page'!$K$35/100))^A133,D134-$AS$4)</f>
        <v>1.0000000596046448</v>
      </c>
      <c r="AF134" s="44">
        <f ca="1">ABS(L134-(controls!$B$9/100)*100)</f>
        <v>1.1920928955078125E-7</v>
      </c>
      <c r="AH134" s="44">
        <f ca="1">IF(controls!$B$33=1,(B135-B134*AC135-I135+D134*AD135+'main page'!$K$27*('main page'!$K$24+'main page'!$K$11))/'main page'!$K$31,(B135-B134*AC135+D134*AD135-H135+'main page'!$K$27*('main page'!$K$24+'main page'!$K$11))/'main page'!$K$31)</f>
        <v>1</v>
      </c>
      <c r="AI134" s="44">
        <f ca="1">IF(controls!$B$45=1,LOG(AM134,1.01)+LOG(AL134,1.01)-LOG(AK134,1.01),-((T134-('main page'!$K$24+'main page'!$K$11))/(1-'normal case'!$AV$3))+'normal case'!AH134)</f>
        <v>2.0000000596046448</v>
      </c>
      <c r="AJ134" s="80">
        <f t="shared" ca="1" si="22"/>
        <v>1.0506250015463039</v>
      </c>
      <c r="AK134" s="44">
        <f t="shared" ca="1" si="23"/>
        <v>13.124382672602604</v>
      </c>
      <c r="AL134" s="44">
        <f>AL133*(1+'main page'!$K$32/100)</f>
        <v>1</v>
      </c>
      <c r="AM134" s="44">
        <f ca="1">IF(ABS(IF(controls!$B$45=1,$AS$13,AK134*AJ134/AL134)-AM133)&lt;0.00001,AM133,IF(controls!$B$45=1,$AS$13,AK134*AJ134/AL134))</f>
        <v>13.788804565697394</v>
      </c>
      <c r="AN134" s="44">
        <f>IF(controls!$B$46=0,0,IF(controls!$B$33=2,B135-B134*AC135-('normal case'!H135-D134*AD135-'main page'!$K$27*'normal case'!T134+'main page'!$K$31*'normal case'!AI134)-(('main page'!$K$25*'main page'!$U$13*'main page'!$K$29)/(1+('main page'!$K$25^2)*'main page'!$U$13))*('normal case'!L134-'main page'!$U$8),B135-B134*AC135-('normal case'!I135-D134*AD135-'main page'!$K$27*'normal case'!T134+'main page'!$K$31*'normal case'!AI134)-(('main page'!$K$25*'main page'!$U$13*'main page'!$K$29)/(1+('main page'!$K$25^2)*'main page'!$U$13))*('normal case'!L134-'main page'!$U$8)))</f>
        <v>0</v>
      </c>
      <c r="AU134" s="36"/>
      <c r="AV134" s="36"/>
    </row>
    <row r="135" spans="1:48">
      <c r="A135" s="43">
        <v>133</v>
      </c>
      <c r="B135" s="62">
        <f ca="1">IF(controls!$B$33=1,B134*(1+AC135)+AA135,B134*(1+AC135))</f>
        <v>101</v>
      </c>
      <c r="C135" s="67">
        <f t="shared" ca="1" si="24"/>
        <v>-1.5107707374006907E-7</v>
      </c>
      <c r="D135" s="64">
        <f t="shared" ca="1" si="20"/>
        <v>101.00000005960464</v>
      </c>
      <c r="E135" s="64">
        <f ca="1">AN134+IF(controls!$B$33=1,G135,F135)</f>
        <v>101.00000005960464</v>
      </c>
      <c r="F135" s="78">
        <f ca="1">IF(controls!$B$44=0,H135-'main page'!$K$27*T134,H135-'main page'!$K$27*T134+'main page'!$K$31*AI134)</f>
        <v>101.00000005960464</v>
      </c>
      <c r="G135" s="62">
        <f ca="1">IF(controls!$B$44=0,I135-'main page'!$K$27*T134,I135-'main page'!$K$27*T134+'main page'!$K$31*'normal case'!AI134)</f>
        <v>101.00000005960464</v>
      </c>
      <c r="H135" s="62">
        <f t="shared" ca="1" si="18"/>
        <v>108</v>
      </c>
      <c r="I135" s="62">
        <f t="shared" ca="1" si="19"/>
        <v>108</v>
      </c>
      <c r="L135" s="62">
        <f ca="1">IF(ABS('main page'!$K$29*L134+(1-'main page'!$K$29)*(controls!$B$9/100)*100+'main page'!$K$25*(D135-B135)-L134)&lt;0.0000001,L134,'main page'!$K$29*L134+(1-'main page'!$K$29)*(controls!$B$9/100)*100+'main page'!$K$25*(D135-B135))</f>
        <v>1.9999998807907104</v>
      </c>
      <c r="Q135" s="409">
        <f ca="1">(1-'main page'!$K$29)*($AS$11/100)*100+'main page'!$K$25*(D135-B135)</f>
        <v>5.9604644775390625E-8</v>
      </c>
      <c r="R135" s="409">
        <f>'main page'!G139+'main page'!$K$29*M134</f>
        <v>0</v>
      </c>
      <c r="S135" s="409">
        <f t="shared" ca="1" si="17"/>
        <v>5.9604644775390625E-8</v>
      </c>
      <c r="T135" s="79">
        <f ca="1">IF(controls!$B$10=1,T134,IF(SUM(controls!$B$44:$B$46)=2,U135-'main page'!$K$29*'normal case'!L135-(1-'main page'!$K$29)*'main page'!$K$32,U135-'main page'!$K$29*'normal case'!L135-(1-'main page'!$K$29)*controls!$B$9))</f>
        <v>3.4999999701976776</v>
      </c>
      <c r="U135" s="164">
        <f ca="1">IF(controls!$B$45=1,IF(controls!$B$46=1,'main page'!$K$24+'main page'!$K$11+'main page'!$U$8,'main page'!$K$24+'main page'!$K$11+'main page'!$K$32),IF(controls!$B$44=1,IF(V135&lt;0,0,V135),IF(V135+'main page'!$K$11&lt;0,0,V135+'main page'!$K$11)))</f>
        <v>5.4999998509883881</v>
      </c>
      <c r="V135" s="63">
        <f ca="1">IF(controls!$B$10=1,'normal case'!T135+'normal case'!L135,'normal case'!W135)</f>
        <v>5.4999998509883881</v>
      </c>
      <c r="W135" s="61">
        <f t="shared" ca="1" si="21"/>
        <v>5.4999998509883881</v>
      </c>
      <c r="X135" s="166">
        <f ca="1">IF(controls!$B$44=0,Y135+'main page'!$K$29*L135+(1-'main page'!$K$29)*controls!$B$9+(('main page'!$K$25*'main page'!$U$13*'main page'!$K$29)/('main page'!$K$27*(1+('main page'!$K$25^2)*'main page'!$U$13)))*(L135-controls!$B$9),Y135+'main page'!$K$29*L135+(1-'main page'!$K$29)*controls!$B$9+(('main page'!$K$25*'main page'!$U$13*'normal case'!$AV$3)/'normal case'!$AV$4)*('normal case'!L135-controls!$B$9))</f>
        <v>5.4999998509883881</v>
      </c>
      <c r="Y135" s="81">
        <f ca="1">IF(controls!$B$44=1,'main page'!$K$24+'main page'!$K$11,IF(controls!$B$33=1,((I136-D135*AD136-B136+B135*AC136)/'main page'!$K$27)-'main page'!$K$11,((H136-D135*AD136-B136+B135*AC136)/'main page'!$K$27)-'main page'!$K$11))</f>
        <v>3.5</v>
      </c>
      <c r="AA135" s="58">
        <f>IF(controls!$B$6=1,$AS$3*(1+('main page'!$K$35/100))^AB135-$AS$3*(1+('main page'!$K$35/100))^AB134,$AS$3*(1+('main page'!$G$8/100))*(1+('main page'!$K$35/100))^AB135-$AS$3*(1+('main page'!$G$8/100))*(1+('main page'!$K$35/100))^AB134)</f>
        <v>0</v>
      </c>
      <c r="AB135" s="60">
        <v>128</v>
      </c>
      <c r="AC135" s="125">
        <v>0</v>
      </c>
      <c r="AD135" s="36">
        <v>0</v>
      </c>
      <c r="AE135" s="44">
        <f ca="1">IF(controls!$B$33=1,D135-($I$3-'main page'!$K$27*2)*(1+('main page'!$K$35/100))^A134,D135-$AS$4)</f>
        <v>1.0000000596046448</v>
      </c>
      <c r="AF135" s="44">
        <f ca="1">ABS(L135-(controls!$B$9/100)*100)</f>
        <v>1.1920928955078125E-7</v>
      </c>
      <c r="AH135" s="44">
        <f ca="1">IF(controls!$B$33=1,(B136-B135*AC136-I136+D135*AD136+'main page'!$K$27*('main page'!$K$24+'main page'!$K$11))/'main page'!$K$31,(B136-B135*AC136+D135*AD136-H136+'main page'!$K$27*('main page'!$K$24+'main page'!$K$11))/'main page'!$K$31)</f>
        <v>1</v>
      </c>
      <c r="AI135" s="44">
        <f ca="1">IF(controls!$B$45=1,LOG(AM135,1.01)+LOG(AL135,1.01)-LOG(AK135,1.01),-((T135-('main page'!$K$24+'main page'!$K$11))/(1-'normal case'!$AV$3))+'normal case'!AH135)</f>
        <v>2.0000000596046448</v>
      </c>
      <c r="AJ135" s="80">
        <f t="shared" ca="1" si="22"/>
        <v>1.0506250015463039</v>
      </c>
      <c r="AK135" s="44">
        <f t="shared" ca="1" si="23"/>
        <v>13.386870310409172</v>
      </c>
      <c r="AL135" s="44">
        <f>AL134*(1+'main page'!$K$32/100)</f>
        <v>1</v>
      </c>
      <c r="AM135" s="44">
        <f ca="1">IF(ABS(IF(controls!$B$45=1,$AS$13,AK135*AJ135/AL135)-AM134)&lt;0.00001,AM134,IF(controls!$B$45=1,$AS$13,AK135*AJ135/AL135))</f>
        <v>14.064580640573807</v>
      </c>
      <c r="AN135" s="44">
        <f>IF(controls!$B$46=0,0,IF(controls!$B$33=2,B136-B135*AC136-('normal case'!H136-D135*AD136-'main page'!$K$27*'normal case'!T135+'main page'!$K$31*'normal case'!AI135)-(('main page'!$K$25*'main page'!$U$13*'main page'!$K$29)/(1+('main page'!$K$25^2)*'main page'!$U$13))*('normal case'!L135-'main page'!$U$8),B136-B135*AC136-('normal case'!I136-D135*AD136-'main page'!$K$27*'normal case'!T135+'main page'!$K$31*'normal case'!AI135)-(('main page'!$K$25*'main page'!$U$13*'main page'!$K$29)/(1+('main page'!$K$25^2)*'main page'!$U$13))*('normal case'!L135-'main page'!$U$8)))</f>
        <v>0</v>
      </c>
      <c r="AU135" s="36"/>
      <c r="AV135" s="36"/>
    </row>
    <row r="136" spans="1:48">
      <c r="A136" s="43">
        <v>134</v>
      </c>
      <c r="B136" s="62">
        <f ca="1">IF(controls!$B$33=1,B135*(1+AC136)+AA136,B135*(1+AC136))</f>
        <v>101</v>
      </c>
      <c r="C136" s="67">
        <f t="shared" ca="1" si="24"/>
        <v>-1.5107707374006907E-7</v>
      </c>
      <c r="D136" s="64">
        <f t="shared" ca="1" si="20"/>
        <v>101.00000005960464</v>
      </c>
      <c r="E136" s="64">
        <f ca="1">AN135+IF(controls!$B$33=1,G136,F136)</f>
        <v>101.00000005960464</v>
      </c>
      <c r="F136" s="78">
        <f ca="1">IF(controls!$B$44=0,H136-'main page'!$K$27*T135,H136-'main page'!$K$27*T135+'main page'!$K$31*AI135)</f>
        <v>101.00000005960464</v>
      </c>
      <c r="G136" s="62">
        <f ca="1">IF(controls!$B$44=0,I136-'main page'!$K$27*T135,I136-'main page'!$K$27*T135+'main page'!$K$31*'normal case'!AI135)</f>
        <v>101.00000005960464</v>
      </c>
      <c r="H136" s="62">
        <f t="shared" ca="1" si="18"/>
        <v>108</v>
      </c>
      <c r="I136" s="62">
        <f t="shared" ca="1" si="19"/>
        <v>108</v>
      </c>
      <c r="L136" s="62">
        <f ca="1">IF(ABS('main page'!$K$29*L135+(1-'main page'!$K$29)*(controls!$B$9/100)*100+'main page'!$K$25*(D136-B136)-L135)&lt;0.0000001,L135,'main page'!$K$29*L135+(1-'main page'!$K$29)*(controls!$B$9/100)*100+'main page'!$K$25*(D136-B136))</f>
        <v>1.9999998807907104</v>
      </c>
      <c r="Q136" s="409">
        <f ca="1">(1-'main page'!$K$29)*($AS$11/100)*100+'main page'!$K$25*(D136-B136)</f>
        <v>5.9604644775390625E-8</v>
      </c>
      <c r="R136" s="409">
        <f>'main page'!G140+'main page'!$K$29*M135</f>
        <v>0</v>
      </c>
      <c r="S136" s="409">
        <f t="shared" ref="S136:S199" ca="1" si="25">Q136+R136</f>
        <v>5.9604644775390625E-8</v>
      </c>
      <c r="T136" s="79">
        <f ca="1">IF(controls!$B$10=1,T135,IF(SUM(controls!$B$44:$B$46)=2,U136-'main page'!$K$29*'normal case'!L136-(1-'main page'!$K$29)*'main page'!$K$32,U136-'main page'!$K$29*'normal case'!L136-(1-'main page'!$K$29)*controls!$B$9))</f>
        <v>3.4999999701976776</v>
      </c>
      <c r="U136" s="164">
        <f ca="1">IF(controls!$B$45=1,IF(controls!$B$46=1,'main page'!$K$24+'main page'!$K$11+'main page'!$U$8,'main page'!$K$24+'main page'!$K$11+'main page'!$K$32),IF(controls!$B$44=1,IF(V136&lt;0,0,V136),IF(V136+'main page'!$K$11&lt;0,0,V136+'main page'!$K$11)))</f>
        <v>5.4999998509883881</v>
      </c>
      <c r="V136" s="63">
        <f ca="1">IF(controls!$B$10=1,'normal case'!T136+'normal case'!L136,'normal case'!W136)</f>
        <v>5.4999998509883881</v>
      </c>
      <c r="W136" s="61">
        <f t="shared" ca="1" si="21"/>
        <v>5.4999998509883881</v>
      </c>
      <c r="X136" s="166">
        <f ca="1">IF(controls!$B$44=0,Y136+'main page'!$K$29*L136+(1-'main page'!$K$29)*controls!$B$9+(('main page'!$K$25*'main page'!$U$13*'main page'!$K$29)/('main page'!$K$27*(1+('main page'!$K$25^2)*'main page'!$U$13)))*(L136-controls!$B$9),Y136+'main page'!$K$29*L136+(1-'main page'!$K$29)*controls!$B$9+(('main page'!$K$25*'main page'!$U$13*'normal case'!$AV$3)/'normal case'!$AV$4)*('normal case'!L136-controls!$B$9))</f>
        <v>5.4999998509883881</v>
      </c>
      <c r="Y136" s="81">
        <f ca="1">IF(controls!$B$44=1,'main page'!$K$24+'main page'!$K$11,IF(controls!$B$33=1,((I137-D136*AD137-B137+B136*AC137)/'main page'!$K$27)-'main page'!$K$11,((H137-D136*AD137-B137+B136*AC137)/'main page'!$K$27)-'main page'!$K$11))</f>
        <v>3.5</v>
      </c>
      <c r="AA136" s="58">
        <f>IF(controls!$B$6=1,$AS$3*(1+('main page'!$K$35/100))^AB136-$AS$3*(1+('main page'!$K$35/100))^AB135,$AS$3*(1+('main page'!$G$8/100))*(1+('main page'!$K$35/100))^AB136-$AS$3*(1+('main page'!$G$8/100))*(1+('main page'!$K$35/100))^AB135)</f>
        <v>0</v>
      </c>
      <c r="AB136" s="60">
        <v>129</v>
      </c>
      <c r="AC136" s="125">
        <v>0</v>
      </c>
      <c r="AD136" s="36">
        <v>0</v>
      </c>
      <c r="AE136" s="44">
        <f ca="1">IF(controls!$B$33=1,D136-($I$3-'main page'!$K$27*2)*(1+('main page'!$K$35/100))^A135,D136-$AS$4)</f>
        <v>1.0000000596046448</v>
      </c>
      <c r="AF136" s="44">
        <f ca="1">ABS(L136-(controls!$B$9/100)*100)</f>
        <v>1.1920928955078125E-7</v>
      </c>
      <c r="AH136" s="44">
        <f ca="1">IF(controls!$B$33=1,(B137-B136*AC137-I137+D136*AD137+'main page'!$K$27*('main page'!$K$24+'main page'!$K$11))/'main page'!$K$31,(B137-B136*AC137+D136*AD137-H137+'main page'!$K$27*('main page'!$K$24+'main page'!$K$11))/'main page'!$K$31)</f>
        <v>1</v>
      </c>
      <c r="AI136" s="44">
        <f ca="1">IF(controls!$B$45=1,LOG(AM136,1.01)+LOG(AL136,1.01)-LOG(AK136,1.01),-((T136-('main page'!$K$24+'main page'!$K$11))/(1-'normal case'!$AV$3))+'normal case'!AH136)</f>
        <v>2.0000000596046448</v>
      </c>
      <c r="AJ136" s="80">
        <f t="shared" ca="1" si="22"/>
        <v>1.0506250015463039</v>
      </c>
      <c r="AK136" s="44">
        <f t="shared" ca="1" si="23"/>
        <v>13.654607700658964</v>
      </c>
      <c r="AL136" s="44">
        <f>AL135*(1+'main page'!$K$32/100)</f>
        <v>1</v>
      </c>
      <c r="AM136" s="44">
        <f ca="1">IF(ABS(IF(controls!$B$45=1,$AS$13,AK136*AJ136/AL136)-AM135)&lt;0.00001,AM135,IF(controls!$B$45=1,$AS$13,AK136*AJ136/AL136))</f>
        <v>14.345872236618996</v>
      </c>
      <c r="AN136" s="44">
        <f>IF(controls!$B$46=0,0,IF(controls!$B$33=2,B137-B136*AC137-('normal case'!H137-D136*AD137-'main page'!$K$27*'normal case'!T136+'main page'!$K$31*'normal case'!AI136)-(('main page'!$K$25*'main page'!$U$13*'main page'!$K$29)/(1+('main page'!$K$25^2)*'main page'!$U$13))*('normal case'!L136-'main page'!$U$8),B137-B136*AC137-('normal case'!I137-D136*AD137-'main page'!$K$27*'normal case'!T136+'main page'!$K$31*'normal case'!AI136)-(('main page'!$K$25*'main page'!$U$13*'main page'!$K$29)/(1+('main page'!$K$25^2)*'main page'!$U$13))*('normal case'!L136-'main page'!$U$8)))</f>
        <v>0</v>
      </c>
      <c r="AU136" s="36"/>
      <c r="AV136" s="36"/>
    </row>
    <row r="137" spans="1:48">
      <c r="A137" s="43">
        <v>135</v>
      </c>
      <c r="B137" s="62">
        <f ca="1">IF(controls!$B$33=1,B136*(1+AC137)+AA137,B136*(1+AC137))</f>
        <v>101</v>
      </c>
      <c r="C137" s="67">
        <f t="shared" ca="1" si="24"/>
        <v>-1.5107707374006907E-7</v>
      </c>
      <c r="D137" s="64">
        <f t="shared" ca="1" si="20"/>
        <v>101.00000005960464</v>
      </c>
      <c r="E137" s="64">
        <f ca="1">AN136+IF(controls!$B$33=1,G137,F137)</f>
        <v>101.00000005960464</v>
      </c>
      <c r="F137" s="78">
        <f ca="1">IF(controls!$B$44=0,H137-'main page'!$K$27*T136,H137-'main page'!$K$27*T136+'main page'!$K$31*AI136)</f>
        <v>101.00000005960464</v>
      </c>
      <c r="G137" s="62">
        <f ca="1">IF(controls!$B$44=0,I137-'main page'!$K$27*T136,I137-'main page'!$K$27*T136+'main page'!$K$31*'normal case'!AI136)</f>
        <v>101.00000005960464</v>
      </c>
      <c r="H137" s="62">
        <f t="shared" ca="1" si="18"/>
        <v>108</v>
      </c>
      <c r="I137" s="62">
        <f t="shared" ca="1" si="19"/>
        <v>108</v>
      </c>
      <c r="L137" s="62">
        <f ca="1">IF(ABS('main page'!$K$29*L136+(1-'main page'!$K$29)*(controls!$B$9/100)*100+'main page'!$K$25*(D137-B137)-L136)&lt;0.0000001,L136,'main page'!$K$29*L136+(1-'main page'!$K$29)*(controls!$B$9/100)*100+'main page'!$K$25*(D137-B137))</f>
        <v>1.9999998807907104</v>
      </c>
      <c r="Q137" s="409">
        <f ca="1">(1-'main page'!$K$29)*($AS$11/100)*100+'main page'!$K$25*(D137-B137)</f>
        <v>5.9604644775390625E-8</v>
      </c>
      <c r="R137" s="409">
        <f>'main page'!G141+'main page'!$K$29*M136</f>
        <v>0</v>
      </c>
      <c r="S137" s="409">
        <f t="shared" ca="1" si="25"/>
        <v>5.9604644775390625E-8</v>
      </c>
      <c r="T137" s="79">
        <f ca="1">IF(controls!$B$10=1,T136,IF(SUM(controls!$B$44:$B$46)=2,U137-'main page'!$K$29*'normal case'!L137-(1-'main page'!$K$29)*'main page'!$K$32,U137-'main page'!$K$29*'normal case'!L137-(1-'main page'!$K$29)*controls!$B$9))</f>
        <v>3.4999999701976776</v>
      </c>
      <c r="U137" s="164">
        <f ca="1">IF(controls!$B$45=1,IF(controls!$B$46=1,'main page'!$K$24+'main page'!$K$11+'main page'!$U$8,'main page'!$K$24+'main page'!$K$11+'main page'!$K$32),IF(controls!$B$44=1,IF(V137&lt;0,0,V137),IF(V137+'main page'!$K$11&lt;0,0,V137+'main page'!$K$11)))</f>
        <v>5.4999998509883881</v>
      </c>
      <c r="V137" s="63">
        <f ca="1">IF(controls!$B$10=1,'normal case'!T137+'normal case'!L137,'normal case'!W137)</f>
        <v>5.4999998509883881</v>
      </c>
      <c r="W137" s="61">
        <f t="shared" ca="1" si="21"/>
        <v>5.4999998509883881</v>
      </c>
      <c r="X137" s="166">
        <f ca="1">IF(controls!$B$44=0,Y137+'main page'!$K$29*L137+(1-'main page'!$K$29)*controls!$B$9+(('main page'!$K$25*'main page'!$U$13*'main page'!$K$29)/('main page'!$K$27*(1+('main page'!$K$25^2)*'main page'!$U$13)))*(L137-controls!$B$9),Y137+'main page'!$K$29*L137+(1-'main page'!$K$29)*controls!$B$9+(('main page'!$K$25*'main page'!$U$13*'normal case'!$AV$3)/'normal case'!$AV$4)*('normal case'!L137-controls!$B$9))</f>
        <v>5.4999998509883881</v>
      </c>
      <c r="Y137" s="81">
        <f ca="1">IF(controls!$B$44=1,'main page'!$K$24+'main page'!$K$11,IF(controls!$B$33=1,((I138-D137*AD138-B138+B137*AC138)/'main page'!$K$27)-'main page'!$K$11,((H138-D137*AD138-B138+B137*AC138)/'main page'!$K$27)-'main page'!$K$11))</f>
        <v>3.5</v>
      </c>
      <c r="AA137" s="58">
        <f>IF(controls!$B$6=1,$AS$3*(1+('main page'!$K$35/100))^AB137-$AS$3*(1+('main page'!$K$35/100))^AB136,$AS$3*(1+('main page'!$G$8/100))*(1+('main page'!$K$35/100))^AB137-$AS$3*(1+('main page'!$G$8/100))*(1+('main page'!$K$35/100))^AB136)</f>
        <v>0</v>
      </c>
      <c r="AB137" s="60">
        <v>130</v>
      </c>
      <c r="AC137" s="125">
        <f ca="1">IF(controls!$B$4=1,IF(controls!$H136=1,controls!$B$34*AC136+RAND()*('main page'!$K$16/100)-RAND()*('main page'!$K$16/100),0),0)</f>
        <v>0</v>
      </c>
      <c r="AD137" s="36">
        <f ca="1">IF(controls!$B$4=1,IF(controls!$I136=1,controls!$B$34*AD136+RAND()*('main page'!$K$16/100)-RAND()*('main page'!$K$16/100),0),0)</f>
        <v>0</v>
      </c>
      <c r="AE137" s="44">
        <f ca="1">IF(controls!$B$33=1,D137-($I$3-'main page'!$K$27*2)*(1+('main page'!$K$35/100))^A136,D137-$AS$4)</f>
        <v>1.0000000596046448</v>
      </c>
      <c r="AF137" s="44">
        <f ca="1">ABS(L137-(controls!$B$9/100)*100)</f>
        <v>1.1920928955078125E-7</v>
      </c>
      <c r="AH137" s="44">
        <f ca="1">IF(controls!$B$33=1,(B138-B137*AC138-I138+D137*AD138+'main page'!$K$27*('main page'!$K$24+'main page'!$K$11))/'main page'!$K$31,(B138-B137*AC138+D137*AD138-H138+'main page'!$K$27*('main page'!$K$24+'main page'!$K$11))/'main page'!$K$31)</f>
        <v>1</v>
      </c>
      <c r="AI137" s="44">
        <f ca="1">IF(controls!$B$45=1,LOG(AM137,1.01)+LOG(AL137,1.01)-LOG(AK137,1.01),-((T137-('main page'!$K$24+'main page'!$K$11))/(1-'normal case'!$AV$3))+'normal case'!AH137)</f>
        <v>2.0000000596046448</v>
      </c>
      <c r="AJ137" s="80">
        <f t="shared" ca="1" si="22"/>
        <v>1.0506250015463039</v>
      </c>
      <c r="AK137" s="44">
        <f t="shared" ca="1" si="23"/>
        <v>13.927699838394583</v>
      </c>
      <c r="AL137" s="44">
        <f>AL136*(1+'main page'!$K$32/100)</f>
        <v>1</v>
      </c>
      <c r="AM137" s="44">
        <f ca="1">IF(ABS(IF(controls!$B$45=1,$AS$13,AK137*AJ137/AL137)-AM136)&lt;0.00001,AM136,IF(controls!$B$45=1,$AS$13,AK137*AJ137/AL137))</f>
        <v>14.632789664249765</v>
      </c>
      <c r="AN137" s="44">
        <f>IF(controls!$B$46=0,0,IF(controls!$B$33=2,B138-B137*AC138-('normal case'!H138-D137*AD138-'main page'!$K$27*'normal case'!T137+'main page'!$K$31*'normal case'!AI137)-(('main page'!$K$25*'main page'!$U$13*'main page'!$K$29)/(1+('main page'!$K$25^2)*'main page'!$U$13))*('normal case'!L137-'main page'!$U$8),B138-B137*AC138-('normal case'!I138-D137*AD138-'main page'!$K$27*'normal case'!T137+'main page'!$K$31*'normal case'!AI137)-(('main page'!$K$25*'main page'!$U$13*'main page'!$K$29)/(1+('main page'!$K$25^2)*'main page'!$U$13))*('normal case'!L137-'main page'!$U$8)))</f>
        <v>0</v>
      </c>
      <c r="AU137" s="36"/>
      <c r="AV137" s="36"/>
    </row>
    <row r="138" spans="1:48">
      <c r="A138" s="43">
        <v>136</v>
      </c>
      <c r="B138" s="62">
        <f ca="1">IF(controls!$B$33=1,B137*(1+AC138)+AA138,B137*(1+AC138))</f>
        <v>101</v>
      </c>
      <c r="C138" s="67">
        <f t="shared" ca="1" si="24"/>
        <v>-1.5107707374006907E-7</v>
      </c>
      <c r="D138" s="64">
        <f t="shared" ca="1" si="20"/>
        <v>101.00000005960464</v>
      </c>
      <c r="E138" s="64">
        <f ca="1">AN137+IF(controls!$B$33=1,G138,F138)</f>
        <v>101.00000005960464</v>
      </c>
      <c r="F138" s="78">
        <f ca="1">IF(controls!$B$44=0,H138-'main page'!$K$27*T137,H138-'main page'!$K$27*T137+'main page'!$K$31*AI137)</f>
        <v>101.00000005960464</v>
      </c>
      <c r="G138" s="62">
        <f ca="1">IF(controls!$B$44=0,I138-'main page'!$K$27*T137,I138-'main page'!$K$27*T137+'main page'!$K$31*'normal case'!AI137)</f>
        <v>101.00000005960464</v>
      </c>
      <c r="H138" s="62">
        <f t="shared" ca="1" si="18"/>
        <v>108</v>
      </c>
      <c r="I138" s="62">
        <f t="shared" ca="1" si="19"/>
        <v>108</v>
      </c>
      <c r="L138" s="62">
        <f ca="1">IF(ABS('main page'!$K$29*L137+(1-'main page'!$K$29)*(controls!$B$9/100)*100+'main page'!$K$25*(D138-B138)-L137)&lt;0.0000001,L137,'main page'!$K$29*L137+(1-'main page'!$K$29)*(controls!$B$9/100)*100+'main page'!$K$25*(D138-B138))</f>
        <v>1.9999998807907104</v>
      </c>
      <c r="Q138" s="409">
        <f ca="1">(1-'main page'!$K$29)*($AS$11/100)*100+'main page'!$K$25*(D138-B138)</f>
        <v>5.9604644775390625E-8</v>
      </c>
      <c r="R138" s="409">
        <f>'main page'!G142+'main page'!$K$29*M137</f>
        <v>0</v>
      </c>
      <c r="S138" s="409">
        <f t="shared" ca="1" si="25"/>
        <v>5.9604644775390625E-8</v>
      </c>
      <c r="T138" s="79">
        <f ca="1">IF(controls!$B$10=1,T137,IF(SUM(controls!$B$44:$B$46)=2,U138-'main page'!$K$29*'normal case'!L138-(1-'main page'!$K$29)*'main page'!$K$32,U138-'main page'!$K$29*'normal case'!L138-(1-'main page'!$K$29)*controls!$B$9))</f>
        <v>3.4999999701976776</v>
      </c>
      <c r="U138" s="164">
        <f ca="1">IF(controls!$B$45=1,IF(controls!$B$46=1,'main page'!$K$24+'main page'!$K$11+'main page'!$U$8,'main page'!$K$24+'main page'!$K$11+'main page'!$K$32),IF(controls!$B$44=1,IF(V138&lt;0,0,V138),IF(V138+'main page'!$K$11&lt;0,0,V138+'main page'!$K$11)))</f>
        <v>5.4999998509883881</v>
      </c>
      <c r="V138" s="63">
        <f ca="1">IF(controls!$B$10=1,'normal case'!T138+'normal case'!L138,'normal case'!W138)</f>
        <v>5.4999998509883881</v>
      </c>
      <c r="W138" s="61">
        <f t="shared" ca="1" si="21"/>
        <v>5.4999998509883881</v>
      </c>
      <c r="X138" s="166">
        <f ca="1">IF(controls!$B$44=0,Y138+'main page'!$K$29*L138+(1-'main page'!$K$29)*controls!$B$9+(('main page'!$K$25*'main page'!$U$13*'main page'!$K$29)/('main page'!$K$27*(1+('main page'!$K$25^2)*'main page'!$U$13)))*(L138-controls!$B$9),Y138+'main page'!$K$29*L138+(1-'main page'!$K$29)*controls!$B$9+(('main page'!$K$25*'main page'!$U$13*'normal case'!$AV$3)/'normal case'!$AV$4)*('normal case'!L138-controls!$B$9))</f>
        <v>5.4999998509883881</v>
      </c>
      <c r="Y138" s="81">
        <f ca="1">IF(controls!$B$44=1,'main page'!$K$24+'main page'!$K$11,IF(controls!$B$33=1,((I139-D138*AD139-B139+B138*AC139)/'main page'!$K$27)-'main page'!$K$11,((H139-D138*AD139-B139+B138*AC139)/'main page'!$K$27)-'main page'!$K$11))</f>
        <v>3.5</v>
      </c>
      <c r="AA138" s="58">
        <f>IF(controls!$B$6=1,$AS$3*(1+('main page'!$K$35/100))^AB138-$AS$3*(1+('main page'!$K$35/100))^AB137,$AS$3*(1+('main page'!$G$8/100))*(1+('main page'!$K$35/100))^AB138-$AS$3*(1+('main page'!$G$8/100))*(1+('main page'!$K$35/100))^AB137)</f>
        <v>0</v>
      </c>
      <c r="AB138" s="60">
        <v>131</v>
      </c>
      <c r="AC138" s="125">
        <v>0</v>
      </c>
      <c r="AD138" s="36">
        <v>0</v>
      </c>
      <c r="AE138" s="44">
        <f ca="1">IF(controls!$B$33=1,D138-($I$3-'main page'!$K$27*2)*(1+('main page'!$K$35/100))^A137,D138-$AS$4)</f>
        <v>1.0000000596046448</v>
      </c>
      <c r="AF138" s="44">
        <f ca="1">ABS(L138-(controls!$B$9/100)*100)</f>
        <v>1.1920928955078125E-7</v>
      </c>
      <c r="AH138" s="44">
        <f ca="1">IF(controls!$B$33=1,(B139-B138*AC139-I139+D138*AD139+'main page'!$K$27*('main page'!$K$24+'main page'!$K$11))/'main page'!$K$31,(B139-B138*AC139+D138*AD139-H139+'main page'!$K$27*('main page'!$K$24+'main page'!$K$11))/'main page'!$K$31)</f>
        <v>1</v>
      </c>
      <c r="AI138" s="44">
        <f ca="1">IF(controls!$B$45=1,LOG(AM138,1.01)+LOG(AL138,1.01)-LOG(AK138,1.01),-((T138-('main page'!$K$24+'main page'!$K$11))/(1-'normal case'!$AV$3))+'normal case'!AH138)</f>
        <v>2.0000000596046448</v>
      </c>
      <c r="AJ138" s="80">
        <f t="shared" ca="1" si="22"/>
        <v>1.0506250015463039</v>
      </c>
      <c r="AK138" s="44">
        <f t="shared" ca="1" si="23"/>
        <v>14.206253818559363</v>
      </c>
      <c r="AL138" s="44">
        <f>AL137*(1+'main page'!$K$32/100)</f>
        <v>1</v>
      </c>
      <c r="AM138" s="44">
        <f ca="1">IF(ABS(IF(controls!$B$45=1,$AS$13,AK138*AJ138/AL138)-AM137)&lt;0.00001,AM137,IF(controls!$B$45=1,$AS$13,AK138*AJ138/AL138))</f>
        <v>14.925445440091115</v>
      </c>
      <c r="AN138" s="44">
        <f>IF(controls!$B$46=0,0,IF(controls!$B$33=2,B139-B138*AC139-('normal case'!H139-D138*AD139-'main page'!$K$27*'normal case'!T138+'main page'!$K$31*'normal case'!AI138)-(('main page'!$K$25*'main page'!$U$13*'main page'!$K$29)/(1+('main page'!$K$25^2)*'main page'!$U$13))*('normal case'!L138-'main page'!$U$8),B139-B138*AC139-('normal case'!I139-D138*AD139-'main page'!$K$27*'normal case'!T138+'main page'!$K$31*'normal case'!AI138)-(('main page'!$K$25*'main page'!$U$13*'main page'!$K$29)/(1+('main page'!$K$25^2)*'main page'!$U$13))*('normal case'!L138-'main page'!$U$8)))</f>
        <v>0</v>
      </c>
      <c r="AU138" s="36"/>
      <c r="AV138" s="36"/>
    </row>
    <row r="139" spans="1:48">
      <c r="A139" s="43">
        <v>137</v>
      </c>
      <c r="B139" s="62">
        <f ca="1">IF(controls!$B$33=1,B138*(1+AC139)+AA139,B138*(1+AC139))</f>
        <v>101</v>
      </c>
      <c r="C139" s="67">
        <f t="shared" ca="1" si="24"/>
        <v>-1.5107707374006907E-7</v>
      </c>
      <c r="D139" s="64">
        <f t="shared" ca="1" si="20"/>
        <v>101.00000005960464</v>
      </c>
      <c r="E139" s="64">
        <f ca="1">AN138+IF(controls!$B$33=1,G139,F139)</f>
        <v>101.00000005960464</v>
      </c>
      <c r="F139" s="78">
        <f ca="1">IF(controls!$B$44=0,H139-'main page'!$K$27*T138,H139-'main page'!$K$27*T138+'main page'!$K$31*AI138)</f>
        <v>101.00000005960464</v>
      </c>
      <c r="G139" s="62">
        <f ca="1">IF(controls!$B$44=0,I139-'main page'!$K$27*T138,I139-'main page'!$K$27*T138+'main page'!$K$31*'normal case'!AI138)</f>
        <v>101.00000005960464</v>
      </c>
      <c r="H139" s="62">
        <f t="shared" ca="1" si="18"/>
        <v>108</v>
      </c>
      <c r="I139" s="62">
        <f t="shared" ca="1" si="19"/>
        <v>108</v>
      </c>
      <c r="L139" s="62">
        <f ca="1">IF(ABS('main page'!$K$29*L138+(1-'main page'!$K$29)*(controls!$B$9/100)*100+'main page'!$K$25*(D139-B139)-L138)&lt;0.0000001,L138,'main page'!$K$29*L138+(1-'main page'!$K$29)*(controls!$B$9/100)*100+'main page'!$K$25*(D139-B139))</f>
        <v>1.9999998807907104</v>
      </c>
      <c r="Q139" s="409">
        <f ca="1">(1-'main page'!$K$29)*($AS$11/100)*100+'main page'!$K$25*(D139-B139)</f>
        <v>5.9604644775390625E-8</v>
      </c>
      <c r="R139" s="409">
        <f>'main page'!G143+'main page'!$K$29*M138</f>
        <v>0</v>
      </c>
      <c r="S139" s="409">
        <f t="shared" ca="1" si="25"/>
        <v>5.9604644775390625E-8</v>
      </c>
      <c r="T139" s="79">
        <f ca="1">IF(controls!$B$10=1,T138,IF(SUM(controls!$B$44:$B$46)=2,U139-'main page'!$K$29*'normal case'!L139-(1-'main page'!$K$29)*'main page'!$K$32,U139-'main page'!$K$29*'normal case'!L139-(1-'main page'!$K$29)*controls!$B$9))</f>
        <v>3.4999999701976776</v>
      </c>
      <c r="U139" s="164">
        <f ca="1">IF(controls!$B$45=1,IF(controls!$B$46=1,'main page'!$K$24+'main page'!$K$11+'main page'!$U$8,'main page'!$K$24+'main page'!$K$11+'main page'!$K$32),IF(controls!$B$44=1,IF(V139&lt;0,0,V139),IF(V139+'main page'!$K$11&lt;0,0,V139+'main page'!$K$11)))</f>
        <v>5.4999998509883881</v>
      </c>
      <c r="V139" s="63">
        <f ca="1">IF(controls!$B$10=1,'normal case'!T139+'normal case'!L139,'normal case'!W139)</f>
        <v>5.4999998509883881</v>
      </c>
      <c r="W139" s="61">
        <f t="shared" ca="1" si="21"/>
        <v>5.4999998509883881</v>
      </c>
      <c r="X139" s="166">
        <f ca="1">IF(controls!$B$44=0,Y139+'main page'!$K$29*L139+(1-'main page'!$K$29)*controls!$B$9+(('main page'!$K$25*'main page'!$U$13*'main page'!$K$29)/('main page'!$K$27*(1+('main page'!$K$25^2)*'main page'!$U$13)))*(L139-controls!$B$9),Y139+'main page'!$K$29*L139+(1-'main page'!$K$29)*controls!$B$9+(('main page'!$K$25*'main page'!$U$13*'normal case'!$AV$3)/'normal case'!$AV$4)*('normal case'!L139-controls!$B$9))</f>
        <v>5.4999998509883881</v>
      </c>
      <c r="Y139" s="81">
        <f ca="1">IF(controls!$B$44=1,'main page'!$K$24+'main page'!$K$11,IF(controls!$B$33=1,((I140-D139*AD140-B140+B139*AC140)/'main page'!$K$27)-'main page'!$K$11,((H140-D139*AD140-B140+B139*AC140)/'main page'!$K$27)-'main page'!$K$11))</f>
        <v>3.5</v>
      </c>
      <c r="AA139" s="58">
        <f>IF(controls!$B$6=1,$AS$3*(1+('main page'!$K$35/100))^AB139-$AS$3*(1+('main page'!$K$35/100))^AB138,$AS$3*(1+('main page'!$G$8/100))*(1+('main page'!$K$35/100))^AB139-$AS$3*(1+('main page'!$G$8/100))*(1+('main page'!$K$35/100))^AB138)</f>
        <v>0</v>
      </c>
      <c r="AB139" s="60">
        <v>132</v>
      </c>
      <c r="AC139" s="125">
        <v>0</v>
      </c>
      <c r="AD139" s="36">
        <v>0</v>
      </c>
      <c r="AE139" s="44">
        <f ca="1">IF(controls!$B$33=1,D139-($I$3-'main page'!$K$27*2)*(1+('main page'!$K$35/100))^A138,D139-$AS$4)</f>
        <v>1.0000000596046448</v>
      </c>
      <c r="AF139" s="44">
        <f ca="1">ABS(L139-(controls!$B$9/100)*100)</f>
        <v>1.1920928955078125E-7</v>
      </c>
      <c r="AH139" s="44">
        <f ca="1">IF(controls!$B$33=1,(B140-B139*AC140-I140+D139*AD140+'main page'!$K$27*('main page'!$K$24+'main page'!$K$11))/'main page'!$K$31,(B140-B139*AC140+D139*AD140-H140+'main page'!$K$27*('main page'!$K$24+'main page'!$K$11))/'main page'!$K$31)</f>
        <v>1</v>
      </c>
      <c r="AI139" s="44">
        <f ca="1">IF(controls!$B$45=1,LOG(AM139,1.01)+LOG(AL139,1.01)-LOG(AK139,1.01),-((T139-('main page'!$K$24+'main page'!$K$11))/(1-'normal case'!$AV$3))+'normal case'!AH139)</f>
        <v>2.0000000596046448</v>
      </c>
      <c r="AJ139" s="80">
        <f t="shared" ca="1" si="22"/>
        <v>1.0506250015463039</v>
      </c>
      <c r="AK139" s="44">
        <f t="shared" ca="1" si="23"/>
        <v>14.490378877995376</v>
      </c>
      <c r="AL139" s="44">
        <f>AL138*(1+'main page'!$K$32/100)</f>
        <v>1</v>
      </c>
      <c r="AM139" s="44">
        <f ca="1">IF(ABS(IF(controls!$B$45=1,$AS$13,AK139*AJ139/AL139)-AM138)&lt;0.00001,AM138,IF(controls!$B$45=1,$AS$13,AK139*AJ139/AL139))</f>
        <v>15.223954331100421</v>
      </c>
      <c r="AN139" s="44">
        <f>IF(controls!$B$46=0,0,IF(controls!$B$33=2,B140-B139*AC140-('normal case'!H140-D139*AD140-'main page'!$K$27*'normal case'!T139+'main page'!$K$31*'normal case'!AI139)-(('main page'!$K$25*'main page'!$U$13*'main page'!$K$29)/(1+('main page'!$K$25^2)*'main page'!$U$13))*('normal case'!L139-'main page'!$U$8),B140-B139*AC140-('normal case'!I140-D139*AD140-'main page'!$K$27*'normal case'!T139+'main page'!$K$31*'normal case'!AI139)-(('main page'!$K$25*'main page'!$U$13*'main page'!$K$29)/(1+('main page'!$K$25^2)*'main page'!$U$13))*('normal case'!L139-'main page'!$U$8)))</f>
        <v>0</v>
      </c>
      <c r="AU139" s="36"/>
      <c r="AV139" s="36"/>
    </row>
    <row r="140" spans="1:48">
      <c r="A140" s="43">
        <v>138</v>
      </c>
      <c r="B140" s="62">
        <f ca="1">IF(controls!$B$33=1,B139*(1+AC140)+AA140,B139*(1+AC140))</f>
        <v>101</v>
      </c>
      <c r="C140" s="67">
        <f t="shared" ca="1" si="24"/>
        <v>-1.5107707374006907E-7</v>
      </c>
      <c r="D140" s="64">
        <f t="shared" ca="1" si="20"/>
        <v>101.00000005960464</v>
      </c>
      <c r="E140" s="64">
        <f ca="1">AN139+IF(controls!$B$33=1,G140,F140)</f>
        <v>101.00000005960464</v>
      </c>
      <c r="F140" s="78">
        <f ca="1">IF(controls!$B$44=0,H140-'main page'!$K$27*T139,H140-'main page'!$K$27*T139+'main page'!$K$31*AI139)</f>
        <v>101.00000005960464</v>
      </c>
      <c r="G140" s="62">
        <f ca="1">IF(controls!$B$44=0,I140-'main page'!$K$27*T139,I140-'main page'!$K$27*T139+'main page'!$K$31*'normal case'!AI139)</f>
        <v>101.00000005960464</v>
      </c>
      <c r="H140" s="62">
        <f t="shared" ca="1" si="18"/>
        <v>108</v>
      </c>
      <c r="I140" s="62">
        <f t="shared" ca="1" si="19"/>
        <v>108</v>
      </c>
      <c r="L140" s="62">
        <f ca="1">IF(ABS('main page'!$K$29*L139+(1-'main page'!$K$29)*(controls!$B$9/100)*100+'main page'!$K$25*(D140-B140)-L139)&lt;0.0000001,L139,'main page'!$K$29*L139+(1-'main page'!$K$29)*(controls!$B$9/100)*100+'main page'!$K$25*(D140-B140))</f>
        <v>1.9999998807907104</v>
      </c>
      <c r="Q140" s="409">
        <f ca="1">(1-'main page'!$K$29)*($AS$11/100)*100+'main page'!$K$25*(D140-B140)</f>
        <v>5.9604644775390625E-8</v>
      </c>
      <c r="R140" s="409">
        <f>'main page'!G144+'main page'!$K$29*M139</f>
        <v>0</v>
      </c>
      <c r="S140" s="409">
        <f t="shared" ca="1" si="25"/>
        <v>5.9604644775390625E-8</v>
      </c>
      <c r="T140" s="79">
        <f ca="1">IF(controls!$B$10=1,T139,IF(SUM(controls!$B$44:$B$46)=2,U140-'main page'!$K$29*'normal case'!L140-(1-'main page'!$K$29)*'main page'!$K$32,U140-'main page'!$K$29*'normal case'!L140-(1-'main page'!$K$29)*controls!$B$9))</f>
        <v>3.4999999701976776</v>
      </c>
      <c r="U140" s="164">
        <f ca="1">IF(controls!$B$45=1,IF(controls!$B$46=1,'main page'!$K$24+'main page'!$K$11+'main page'!$U$8,'main page'!$K$24+'main page'!$K$11+'main page'!$K$32),IF(controls!$B$44=1,IF(V140&lt;0,0,V140),IF(V140+'main page'!$K$11&lt;0,0,V140+'main page'!$K$11)))</f>
        <v>5.4999998509883881</v>
      </c>
      <c r="V140" s="63">
        <f ca="1">IF(controls!$B$10=1,'normal case'!T140+'normal case'!L140,'normal case'!W140)</f>
        <v>5.4999998509883881</v>
      </c>
      <c r="W140" s="61">
        <f t="shared" ca="1" si="21"/>
        <v>5.4999998509883881</v>
      </c>
      <c r="X140" s="166">
        <f ca="1">IF(controls!$B$44=0,Y140+'main page'!$K$29*L140+(1-'main page'!$K$29)*controls!$B$9+(('main page'!$K$25*'main page'!$U$13*'main page'!$K$29)/('main page'!$K$27*(1+('main page'!$K$25^2)*'main page'!$U$13)))*(L140-controls!$B$9),Y140+'main page'!$K$29*L140+(1-'main page'!$K$29)*controls!$B$9+(('main page'!$K$25*'main page'!$U$13*'normal case'!$AV$3)/'normal case'!$AV$4)*('normal case'!L140-controls!$B$9))</f>
        <v>5.4999998509883881</v>
      </c>
      <c r="Y140" s="81">
        <f ca="1">IF(controls!$B$44=1,'main page'!$K$24+'main page'!$K$11,IF(controls!$B$33=1,((I141-D140*AD141-B141+B140*AC141)/'main page'!$K$27)-'main page'!$K$11,((H141-D140*AD141-B141+B140*AC141)/'main page'!$K$27)-'main page'!$K$11))</f>
        <v>3.5</v>
      </c>
      <c r="AA140" s="58">
        <f>IF(controls!$B$6=1,$AS$3*(1+('main page'!$K$35/100))^AB140-$AS$3*(1+('main page'!$K$35/100))^AB139,$AS$3*(1+('main page'!$G$8/100))*(1+('main page'!$K$35/100))^AB140-$AS$3*(1+('main page'!$G$8/100))*(1+('main page'!$K$35/100))^AB139)</f>
        <v>0</v>
      </c>
      <c r="AB140" s="60">
        <v>133</v>
      </c>
      <c r="AC140" s="125">
        <f ca="1">IF(controls!$B$4=1,IF(controls!$H139=1,controls!$B$34*AC139+RAND()*('main page'!$K$16/100)-RAND()*('main page'!$K$16/100),0),0)</f>
        <v>0</v>
      </c>
      <c r="AD140" s="36">
        <f ca="1">IF(controls!$B$4=1,IF(controls!$I139=1,controls!$B$34*AD139+RAND()*('main page'!$K$16/100)-RAND()*('main page'!$K$16/100),0),0)</f>
        <v>0</v>
      </c>
      <c r="AE140" s="44">
        <f ca="1">IF(controls!$B$33=1,D140-($I$3-'main page'!$K$27*2)*(1+('main page'!$K$35/100))^A139,D140-$AS$4)</f>
        <v>1.0000000596046448</v>
      </c>
      <c r="AF140" s="44">
        <f ca="1">ABS(L140-(controls!$B$9/100)*100)</f>
        <v>1.1920928955078125E-7</v>
      </c>
      <c r="AH140" s="44">
        <f ca="1">IF(controls!$B$33=1,(B141-B140*AC141-I141+D140*AD141+'main page'!$K$27*('main page'!$K$24+'main page'!$K$11))/'main page'!$K$31,(B141-B140*AC141+D140*AD141-H141+'main page'!$K$27*('main page'!$K$24+'main page'!$K$11))/'main page'!$K$31)</f>
        <v>1</v>
      </c>
      <c r="AI140" s="44">
        <f ca="1">IF(controls!$B$45=1,LOG(AM140,1.01)+LOG(AL140,1.01)-LOG(AK140,1.01),-((T140-('main page'!$K$24+'main page'!$K$11))/(1-'normal case'!$AV$3))+'normal case'!AH140)</f>
        <v>2.0000000596046448</v>
      </c>
      <c r="AJ140" s="80">
        <f t="shared" ca="1" si="22"/>
        <v>1.0506250015463039</v>
      </c>
      <c r="AK140" s="44">
        <f t="shared" ca="1" si="23"/>
        <v>14.780186438281406</v>
      </c>
      <c r="AL140" s="44">
        <f>AL139*(1+'main page'!$K$32/100)</f>
        <v>1</v>
      </c>
      <c r="AM140" s="44">
        <f ca="1">IF(ABS(IF(controls!$B$45=1,$AS$13,AK140*AJ140/AL140)-AM139)&lt;0.00001,AM139,IF(controls!$B$45=1,$AS$13,AK140*AJ140/AL140))</f>
        <v>15.528433399574062</v>
      </c>
      <c r="AN140" s="44">
        <f>IF(controls!$B$46=0,0,IF(controls!$B$33=2,B141-B140*AC141-('normal case'!H141-D140*AD141-'main page'!$K$27*'normal case'!T140+'main page'!$K$31*'normal case'!AI140)-(('main page'!$K$25*'main page'!$U$13*'main page'!$K$29)/(1+('main page'!$K$25^2)*'main page'!$U$13))*('normal case'!L140-'main page'!$U$8),B141-B140*AC141-('normal case'!I141-D140*AD141-'main page'!$K$27*'normal case'!T140+'main page'!$K$31*'normal case'!AI140)-(('main page'!$K$25*'main page'!$U$13*'main page'!$K$29)/(1+('main page'!$K$25^2)*'main page'!$U$13))*('normal case'!L140-'main page'!$U$8)))</f>
        <v>0</v>
      </c>
      <c r="AU140" s="36"/>
      <c r="AV140" s="36"/>
    </row>
    <row r="141" spans="1:48">
      <c r="A141" s="43">
        <v>139</v>
      </c>
      <c r="B141" s="62">
        <f ca="1">IF(controls!$B$33=1,B140*(1+AC141)+AA141,B140*(1+AC141))</f>
        <v>101</v>
      </c>
      <c r="C141" s="67">
        <f t="shared" ca="1" si="24"/>
        <v>-1.5107707374006907E-7</v>
      </c>
      <c r="D141" s="64">
        <f t="shared" ca="1" si="20"/>
        <v>101.00000005960464</v>
      </c>
      <c r="E141" s="64">
        <f ca="1">AN140+IF(controls!$B$33=1,G141,F141)</f>
        <v>101.00000005960464</v>
      </c>
      <c r="F141" s="78">
        <f ca="1">IF(controls!$B$44=0,H141-'main page'!$K$27*T140,H141-'main page'!$K$27*T140+'main page'!$K$31*AI140)</f>
        <v>101.00000005960464</v>
      </c>
      <c r="G141" s="62">
        <f ca="1">IF(controls!$B$44=0,I141-'main page'!$K$27*T140,I141-'main page'!$K$27*T140+'main page'!$K$31*'normal case'!AI140)</f>
        <v>101.00000005960464</v>
      </c>
      <c r="H141" s="62">
        <f t="shared" ca="1" si="18"/>
        <v>108</v>
      </c>
      <c r="I141" s="62">
        <f t="shared" ca="1" si="19"/>
        <v>108</v>
      </c>
      <c r="L141" s="62">
        <f ca="1">IF(ABS('main page'!$K$29*L140+(1-'main page'!$K$29)*(controls!$B$9/100)*100+'main page'!$K$25*(D141-B141)-L140)&lt;0.0000001,L140,'main page'!$K$29*L140+(1-'main page'!$K$29)*(controls!$B$9/100)*100+'main page'!$K$25*(D141-B141))</f>
        <v>1.9999998807907104</v>
      </c>
      <c r="Q141" s="409">
        <f ca="1">(1-'main page'!$K$29)*($AS$11/100)*100+'main page'!$K$25*(D141-B141)</f>
        <v>5.9604644775390625E-8</v>
      </c>
      <c r="R141" s="409">
        <f>'main page'!G145+'main page'!$K$29*M140</f>
        <v>0</v>
      </c>
      <c r="S141" s="409">
        <f t="shared" ca="1" si="25"/>
        <v>5.9604644775390625E-8</v>
      </c>
      <c r="T141" s="79">
        <f ca="1">IF(controls!$B$10=1,T140,IF(SUM(controls!$B$44:$B$46)=2,U141-'main page'!$K$29*'normal case'!L141-(1-'main page'!$K$29)*'main page'!$K$32,U141-'main page'!$K$29*'normal case'!L141-(1-'main page'!$K$29)*controls!$B$9))</f>
        <v>3.4999999701976776</v>
      </c>
      <c r="U141" s="164">
        <f ca="1">IF(controls!$B$45=1,IF(controls!$B$46=1,'main page'!$K$24+'main page'!$K$11+'main page'!$U$8,'main page'!$K$24+'main page'!$K$11+'main page'!$K$32),IF(controls!$B$44=1,IF(V141&lt;0,0,V141),IF(V141+'main page'!$K$11&lt;0,0,V141+'main page'!$K$11)))</f>
        <v>5.4999998509883881</v>
      </c>
      <c r="V141" s="63">
        <f ca="1">IF(controls!$B$10=1,'normal case'!T141+'normal case'!L141,'normal case'!W141)</f>
        <v>5.4999998509883881</v>
      </c>
      <c r="W141" s="61">
        <f t="shared" ca="1" si="21"/>
        <v>5.4999998509883881</v>
      </c>
      <c r="X141" s="166">
        <f ca="1">IF(controls!$B$44=0,Y141+'main page'!$K$29*L141+(1-'main page'!$K$29)*controls!$B$9+(('main page'!$K$25*'main page'!$U$13*'main page'!$K$29)/('main page'!$K$27*(1+('main page'!$K$25^2)*'main page'!$U$13)))*(L141-controls!$B$9),Y141+'main page'!$K$29*L141+(1-'main page'!$K$29)*controls!$B$9+(('main page'!$K$25*'main page'!$U$13*'normal case'!$AV$3)/'normal case'!$AV$4)*('normal case'!L141-controls!$B$9))</f>
        <v>5.4999998509883881</v>
      </c>
      <c r="Y141" s="81">
        <f ca="1">IF(controls!$B$44=1,'main page'!$K$24+'main page'!$K$11,IF(controls!$B$33=1,((I142-D141*AD142-B142+B141*AC142)/'main page'!$K$27)-'main page'!$K$11,((H142-D141*AD142-B142+B141*AC142)/'main page'!$K$27)-'main page'!$K$11))</f>
        <v>3.5</v>
      </c>
      <c r="AA141" s="58">
        <f>IF(controls!$B$6=1,$AS$3*(1+('main page'!$K$35/100))^AB141-$AS$3*(1+('main page'!$K$35/100))^AB140,$AS$3*(1+('main page'!$G$8/100))*(1+('main page'!$K$35/100))^AB141-$AS$3*(1+('main page'!$G$8/100))*(1+('main page'!$K$35/100))^AB140)</f>
        <v>0</v>
      </c>
      <c r="AB141" s="60">
        <v>134</v>
      </c>
      <c r="AC141" s="125">
        <v>0</v>
      </c>
      <c r="AD141" s="36">
        <v>0</v>
      </c>
      <c r="AE141" s="44">
        <f ca="1">IF(controls!$B$33=1,D141-($I$3-'main page'!$K$27*2)*(1+('main page'!$K$35/100))^A140,D141-$AS$4)</f>
        <v>1.0000000596046448</v>
      </c>
      <c r="AF141" s="44">
        <f ca="1">ABS(L141-(controls!$B$9/100)*100)</f>
        <v>1.1920928955078125E-7</v>
      </c>
      <c r="AH141" s="44">
        <f ca="1">IF(controls!$B$33=1,(B142-B141*AC142-I142+D141*AD142+'main page'!$K$27*('main page'!$K$24+'main page'!$K$11))/'main page'!$K$31,(B142-B141*AC142+D141*AD142-H142+'main page'!$K$27*('main page'!$K$24+'main page'!$K$11))/'main page'!$K$31)</f>
        <v>1</v>
      </c>
      <c r="AI141" s="44">
        <f ca="1">IF(controls!$B$45=1,LOG(AM141,1.01)+LOG(AL141,1.01)-LOG(AK141,1.01),-((T141-('main page'!$K$24+'main page'!$K$11))/(1-'normal case'!$AV$3))+'normal case'!AH141)</f>
        <v>2.0000000596046448</v>
      </c>
      <c r="AJ141" s="80">
        <f t="shared" ca="1" si="22"/>
        <v>1.0506250015463039</v>
      </c>
      <c r="AK141" s="44">
        <f t="shared" ca="1" si="23"/>
        <v>15.07579014942768</v>
      </c>
      <c r="AL141" s="44">
        <f>AL140*(1+'main page'!$K$32/100)</f>
        <v>1</v>
      </c>
      <c r="AM141" s="44">
        <f ca="1">IF(ABS(IF(controls!$B$45=1,$AS$13,AK141*AJ141/AL141)-AM140)&lt;0.00001,AM140,IF(controls!$B$45=1,$AS$13,AK141*AJ141/AL141))</f>
        <v>15.83900204905421</v>
      </c>
      <c r="AN141" s="44">
        <f>IF(controls!$B$46=0,0,IF(controls!$B$33=2,B142-B141*AC142-('normal case'!H142-D141*AD142-'main page'!$K$27*'normal case'!T141+'main page'!$K$31*'normal case'!AI141)-(('main page'!$K$25*'main page'!$U$13*'main page'!$K$29)/(1+('main page'!$K$25^2)*'main page'!$U$13))*('normal case'!L141-'main page'!$U$8),B142-B141*AC142-('normal case'!I142-D141*AD142-'main page'!$K$27*'normal case'!T141+'main page'!$K$31*'normal case'!AI141)-(('main page'!$K$25*'main page'!$U$13*'main page'!$K$29)/(1+('main page'!$K$25^2)*'main page'!$U$13))*('normal case'!L141-'main page'!$U$8)))</f>
        <v>0</v>
      </c>
      <c r="AU141" s="36"/>
      <c r="AV141" s="36"/>
    </row>
    <row r="142" spans="1:48">
      <c r="A142" s="43">
        <v>140</v>
      </c>
      <c r="B142" s="62">
        <f ca="1">IF(controls!$B$33=1,B141*(1+AC142)+AA142,B141*(1+AC142))</f>
        <v>101</v>
      </c>
      <c r="C142" s="67">
        <f t="shared" ca="1" si="24"/>
        <v>-1.5107707374006907E-7</v>
      </c>
      <c r="D142" s="64">
        <f t="shared" ca="1" si="20"/>
        <v>101.00000005960464</v>
      </c>
      <c r="E142" s="64">
        <f ca="1">AN141+IF(controls!$B$33=1,G142,F142)</f>
        <v>101.00000005960464</v>
      </c>
      <c r="F142" s="78">
        <f ca="1">IF(controls!$B$44=0,H142-'main page'!$K$27*T141,H142-'main page'!$K$27*T141+'main page'!$K$31*AI141)</f>
        <v>101.00000005960464</v>
      </c>
      <c r="G142" s="62">
        <f ca="1">IF(controls!$B$44=0,I142-'main page'!$K$27*T141,I142-'main page'!$K$27*T141+'main page'!$K$31*'normal case'!AI141)</f>
        <v>101.00000005960464</v>
      </c>
      <c r="H142" s="62">
        <f t="shared" ca="1" si="18"/>
        <v>108</v>
      </c>
      <c r="I142" s="62">
        <f t="shared" ca="1" si="19"/>
        <v>108</v>
      </c>
      <c r="L142" s="62">
        <f ca="1">IF(ABS('main page'!$K$29*L141+(1-'main page'!$K$29)*(controls!$B$9/100)*100+'main page'!$K$25*(D142-B142)-L141)&lt;0.0000001,L141,'main page'!$K$29*L141+(1-'main page'!$K$29)*(controls!$B$9/100)*100+'main page'!$K$25*(D142-B142))</f>
        <v>1.9999998807907104</v>
      </c>
      <c r="Q142" s="409">
        <f ca="1">(1-'main page'!$K$29)*($AS$11/100)*100+'main page'!$K$25*(D142-B142)</f>
        <v>5.9604644775390625E-8</v>
      </c>
      <c r="R142" s="409">
        <f>'main page'!G146+'main page'!$K$29*M141</f>
        <v>0</v>
      </c>
      <c r="S142" s="409">
        <f t="shared" ca="1" si="25"/>
        <v>5.9604644775390625E-8</v>
      </c>
      <c r="T142" s="79">
        <f ca="1">IF(controls!$B$10=1,T141,IF(SUM(controls!$B$44:$B$46)=2,U142-'main page'!$K$29*'normal case'!L142-(1-'main page'!$K$29)*'main page'!$K$32,U142-'main page'!$K$29*'normal case'!L142-(1-'main page'!$K$29)*controls!$B$9))</f>
        <v>3.4999999701976776</v>
      </c>
      <c r="U142" s="164">
        <f ca="1">IF(controls!$B$45=1,IF(controls!$B$46=1,'main page'!$K$24+'main page'!$K$11+'main page'!$U$8,'main page'!$K$24+'main page'!$K$11+'main page'!$K$32),IF(controls!$B$44=1,IF(V142&lt;0,0,V142),IF(V142+'main page'!$K$11&lt;0,0,V142+'main page'!$K$11)))</f>
        <v>5.4999998509883881</v>
      </c>
      <c r="V142" s="63">
        <f ca="1">IF(controls!$B$10=1,'normal case'!T142+'normal case'!L142,'normal case'!W142)</f>
        <v>5.4999998509883881</v>
      </c>
      <c r="W142" s="61">
        <f t="shared" ca="1" si="21"/>
        <v>5.4999998509883881</v>
      </c>
      <c r="X142" s="166">
        <f ca="1">IF(controls!$B$44=0,Y142+'main page'!$K$29*L142+(1-'main page'!$K$29)*controls!$B$9+(('main page'!$K$25*'main page'!$U$13*'main page'!$K$29)/('main page'!$K$27*(1+('main page'!$K$25^2)*'main page'!$U$13)))*(L142-controls!$B$9),Y142+'main page'!$K$29*L142+(1-'main page'!$K$29)*controls!$B$9+(('main page'!$K$25*'main page'!$U$13*'normal case'!$AV$3)/'normal case'!$AV$4)*('normal case'!L142-controls!$B$9))</f>
        <v>5.4999998509883881</v>
      </c>
      <c r="Y142" s="81">
        <f ca="1">IF(controls!$B$44=1,'main page'!$K$24+'main page'!$K$11,IF(controls!$B$33=1,((I143-D142*AD143-B143+B142*AC143)/'main page'!$K$27)-'main page'!$K$11,((H143-D142*AD143-B143+B142*AC143)/'main page'!$K$27)-'main page'!$K$11))</f>
        <v>3.5</v>
      </c>
      <c r="AA142" s="58">
        <f>IF(controls!$B$6=1,$AS$3*(1+('main page'!$K$35/100))^AB142-$AS$3*(1+('main page'!$K$35/100))^AB141,$AS$3*(1+('main page'!$G$8/100))*(1+('main page'!$K$35/100))^AB142-$AS$3*(1+('main page'!$G$8/100))*(1+('main page'!$K$35/100))^AB141)</f>
        <v>0</v>
      </c>
      <c r="AB142" s="60">
        <v>135</v>
      </c>
      <c r="AC142" s="125">
        <v>0</v>
      </c>
      <c r="AD142" s="36">
        <v>0</v>
      </c>
      <c r="AE142" s="44">
        <f ca="1">IF(controls!$B$33=1,D142-($I$3-'main page'!$K$27*2)*(1+('main page'!$K$35/100))^A141,D142-$AS$4)</f>
        <v>1.0000000596046448</v>
      </c>
      <c r="AF142" s="44">
        <f ca="1">ABS(L142-(controls!$B$9/100)*100)</f>
        <v>1.1920928955078125E-7</v>
      </c>
      <c r="AH142" s="44">
        <f ca="1">IF(controls!$B$33=1,(B143-B142*AC143-I143+D142*AD143+'main page'!$K$27*('main page'!$K$24+'main page'!$K$11))/'main page'!$K$31,(B143-B142*AC143+D142*AD143-H143+'main page'!$K$27*('main page'!$K$24+'main page'!$K$11))/'main page'!$K$31)</f>
        <v>1</v>
      </c>
      <c r="AI142" s="44">
        <f ca="1">IF(controls!$B$45=1,LOG(AM142,1.01)+LOG(AL142,1.01)-LOG(AK142,1.01),-((T142-('main page'!$K$24+'main page'!$K$11))/(1-'normal case'!$AV$3))+'normal case'!AH142)</f>
        <v>2.0000000596046448</v>
      </c>
      <c r="AJ142" s="80">
        <f t="shared" ca="1" si="22"/>
        <v>1.0506250015463039</v>
      </c>
      <c r="AK142" s="44">
        <f t="shared" ca="1" si="23"/>
        <v>15.377305934444493</v>
      </c>
      <c r="AL142" s="44">
        <f>AL141*(1+'main page'!$K$32/100)</f>
        <v>1</v>
      </c>
      <c r="AM142" s="44">
        <f ca="1">IF(ABS(IF(controls!$B$45=1,$AS$13,AK142*AJ142/AL142)-AM141)&lt;0.00001,AM141,IF(controls!$B$45=1,$AS$13,AK142*AJ142/AL142))</f>
        <v>16.155782071153734</v>
      </c>
      <c r="AN142" s="44">
        <f>IF(controls!$B$46=0,0,IF(controls!$B$33=2,B143-B142*AC143-('normal case'!H143-D142*AD143-'main page'!$K$27*'normal case'!T142+'main page'!$K$31*'normal case'!AI142)-(('main page'!$K$25*'main page'!$U$13*'main page'!$K$29)/(1+('main page'!$K$25^2)*'main page'!$U$13))*('normal case'!L142-'main page'!$U$8),B143-B142*AC143-('normal case'!I143-D142*AD143-'main page'!$K$27*'normal case'!T142+'main page'!$K$31*'normal case'!AI142)-(('main page'!$K$25*'main page'!$U$13*'main page'!$K$29)/(1+('main page'!$K$25^2)*'main page'!$U$13))*('normal case'!L142-'main page'!$U$8)))</f>
        <v>0</v>
      </c>
      <c r="AU142" s="36"/>
      <c r="AV142" s="36"/>
    </row>
    <row r="143" spans="1:48">
      <c r="A143" s="43">
        <v>141</v>
      </c>
      <c r="B143" s="62">
        <f ca="1">IF(controls!$B$33=1,B142*(1+AC143)+AA143,B142*(1+AC143))</f>
        <v>101</v>
      </c>
      <c r="C143" s="67">
        <f t="shared" ca="1" si="24"/>
        <v>-1.5107707374006907E-7</v>
      </c>
      <c r="D143" s="64">
        <f t="shared" ca="1" si="20"/>
        <v>101.00000005960464</v>
      </c>
      <c r="E143" s="64">
        <f ca="1">AN142+IF(controls!$B$33=1,G143,F143)</f>
        <v>101.00000005960464</v>
      </c>
      <c r="F143" s="78">
        <f ca="1">IF(controls!$B$44=0,H143-'main page'!$K$27*T142,H143-'main page'!$K$27*T142+'main page'!$K$31*AI142)</f>
        <v>101.00000005960464</v>
      </c>
      <c r="G143" s="62">
        <f ca="1">IF(controls!$B$44=0,I143-'main page'!$K$27*T142,I143-'main page'!$K$27*T142+'main page'!$K$31*'normal case'!AI142)</f>
        <v>101.00000005960464</v>
      </c>
      <c r="H143" s="62">
        <f t="shared" ca="1" si="18"/>
        <v>108</v>
      </c>
      <c r="I143" s="62">
        <f t="shared" ca="1" si="19"/>
        <v>108</v>
      </c>
      <c r="L143" s="62">
        <f ca="1">IF(ABS('main page'!$K$29*L142+(1-'main page'!$K$29)*(controls!$B$9/100)*100+'main page'!$K$25*(D143-B143)-L142)&lt;0.0000001,L142,'main page'!$K$29*L142+(1-'main page'!$K$29)*(controls!$B$9/100)*100+'main page'!$K$25*(D143-B143))</f>
        <v>1.9999998807907104</v>
      </c>
      <c r="Q143" s="409">
        <f ca="1">(1-'main page'!$K$29)*($AS$11/100)*100+'main page'!$K$25*(D143-B143)</f>
        <v>5.9604644775390625E-8</v>
      </c>
      <c r="R143" s="409">
        <f>'main page'!G147+'main page'!$K$29*M142</f>
        <v>0</v>
      </c>
      <c r="S143" s="409">
        <f t="shared" ca="1" si="25"/>
        <v>5.9604644775390625E-8</v>
      </c>
      <c r="T143" s="79">
        <f ca="1">IF(controls!$B$10=1,T142,IF(SUM(controls!$B$44:$B$46)=2,U143-'main page'!$K$29*'normal case'!L143-(1-'main page'!$K$29)*'main page'!$K$32,U143-'main page'!$K$29*'normal case'!L143-(1-'main page'!$K$29)*controls!$B$9))</f>
        <v>3.4999999701976776</v>
      </c>
      <c r="U143" s="164">
        <f ca="1">IF(controls!$B$45=1,IF(controls!$B$46=1,'main page'!$K$24+'main page'!$K$11+'main page'!$U$8,'main page'!$K$24+'main page'!$K$11+'main page'!$K$32),IF(controls!$B$44=1,IF(V143&lt;0,0,V143),IF(V143+'main page'!$K$11&lt;0,0,V143+'main page'!$K$11)))</f>
        <v>5.4999998509883881</v>
      </c>
      <c r="V143" s="63">
        <f ca="1">IF(controls!$B$10=1,'normal case'!T143+'normal case'!L143,'normal case'!W143)</f>
        <v>5.4999998509883881</v>
      </c>
      <c r="W143" s="61">
        <f t="shared" ca="1" si="21"/>
        <v>5.4999998509883881</v>
      </c>
      <c r="X143" s="166">
        <f ca="1">IF(controls!$B$44=0,Y143+'main page'!$K$29*L143+(1-'main page'!$K$29)*controls!$B$9+(('main page'!$K$25*'main page'!$U$13*'main page'!$K$29)/('main page'!$K$27*(1+('main page'!$K$25^2)*'main page'!$U$13)))*(L143-controls!$B$9),Y143+'main page'!$K$29*L143+(1-'main page'!$K$29)*controls!$B$9+(('main page'!$K$25*'main page'!$U$13*'normal case'!$AV$3)/'normal case'!$AV$4)*('normal case'!L143-controls!$B$9))</f>
        <v>5.4999998509883881</v>
      </c>
      <c r="Y143" s="81">
        <f ca="1">IF(controls!$B$44=1,'main page'!$K$24+'main page'!$K$11,IF(controls!$B$33=1,((I144-D143*AD144-B144+B143*AC144)/'main page'!$K$27)-'main page'!$K$11,((H144-D143*AD144-B144+B143*AC144)/'main page'!$K$27)-'main page'!$K$11))</f>
        <v>3.5</v>
      </c>
      <c r="AA143" s="58">
        <f>IF(controls!$B$6=1,$AS$3*(1+('main page'!$K$35/100))^AB143-$AS$3*(1+('main page'!$K$35/100))^AB142,$AS$3*(1+('main page'!$G$8/100))*(1+('main page'!$K$35/100))^AB143-$AS$3*(1+('main page'!$G$8/100))*(1+('main page'!$K$35/100))^AB142)</f>
        <v>0</v>
      </c>
      <c r="AB143" s="60">
        <v>136</v>
      </c>
      <c r="AC143" s="125">
        <f ca="1">IF(controls!$B$4=1,IF(controls!$H142=1,controls!$B$34*AC142+RAND()*('main page'!$K$16/100)-RAND()*('main page'!$K$16/100),0),0)</f>
        <v>0</v>
      </c>
      <c r="AD143" s="36">
        <f ca="1">IF(controls!$B$4=1,IF(controls!$I142=1,controls!$B$34*AD142+RAND()*('main page'!$K$16/100)-RAND()*('main page'!$K$16/100),0),0)</f>
        <v>0</v>
      </c>
      <c r="AE143" s="44">
        <f ca="1">IF(controls!$B$33=1,D143-($I$3-'main page'!$K$27*2)*(1+('main page'!$K$35/100))^A142,D143-$AS$4)</f>
        <v>1.0000000596046448</v>
      </c>
      <c r="AF143" s="44">
        <f ca="1">ABS(L143-(controls!$B$9/100)*100)</f>
        <v>1.1920928955078125E-7</v>
      </c>
      <c r="AH143" s="44">
        <f ca="1">IF(controls!$B$33=1,(B144-B143*AC144-I144+D143*AD144+'main page'!$K$27*('main page'!$K$24+'main page'!$K$11))/'main page'!$K$31,(B144-B143*AC144+D143*AD144-H144+'main page'!$K$27*('main page'!$K$24+'main page'!$K$11))/'main page'!$K$31)</f>
        <v>1</v>
      </c>
      <c r="AI143" s="44">
        <f ca="1">IF(controls!$B$45=1,LOG(AM143,1.01)+LOG(AL143,1.01)-LOG(AK143,1.01),-((T143-('main page'!$K$24+'main page'!$K$11))/(1-'normal case'!$AV$3))+'normal case'!AH143)</f>
        <v>2.0000000596046448</v>
      </c>
      <c r="AJ143" s="80">
        <f t="shared" ca="1" si="22"/>
        <v>1.0506250015463039</v>
      </c>
      <c r="AK143" s="44">
        <f t="shared" ca="1" si="23"/>
        <v>15.684852034802207</v>
      </c>
      <c r="AL143" s="44">
        <f>AL142*(1+'main page'!$K$32/100)</f>
        <v>1</v>
      </c>
      <c r="AM143" s="44">
        <f ca="1">IF(ABS(IF(controls!$B$45=1,$AS$13,AK143*AJ143/AL143)-AM142)&lt;0.00001,AM142,IF(controls!$B$45=1,$AS$13,AK143*AJ143/AL143))</f>
        <v>16.478897693317617</v>
      </c>
      <c r="AN143" s="44">
        <f>IF(controls!$B$46=0,0,IF(controls!$B$33=2,B144-B143*AC144-('normal case'!H144-D143*AD144-'main page'!$K$27*'normal case'!T143+'main page'!$K$31*'normal case'!AI143)-(('main page'!$K$25*'main page'!$U$13*'main page'!$K$29)/(1+('main page'!$K$25^2)*'main page'!$U$13))*('normal case'!L143-'main page'!$U$8),B144-B143*AC144-('normal case'!I144-D143*AD144-'main page'!$K$27*'normal case'!T143+'main page'!$K$31*'normal case'!AI143)-(('main page'!$K$25*'main page'!$U$13*'main page'!$K$29)/(1+('main page'!$K$25^2)*'main page'!$U$13))*('normal case'!L143-'main page'!$U$8)))</f>
        <v>0</v>
      </c>
      <c r="AU143" s="36"/>
      <c r="AV143" s="36"/>
    </row>
    <row r="144" spans="1:48">
      <c r="A144" s="43">
        <v>142</v>
      </c>
      <c r="B144" s="62">
        <f ca="1">IF(controls!$B$33=1,B143*(1+AC144)+AA144,B143*(1+AC144))</f>
        <v>101</v>
      </c>
      <c r="C144" s="67">
        <f t="shared" ca="1" si="24"/>
        <v>-1.5107707374006907E-7</v>
      </c>
      <c r="D144" s="64">
        <f t="shared" ca="1" si="20"/>
        <v>101.00000005960464</v>
      </c>
      <c r="E144" s="64">
        <f ca="1">AN143+IF(controls!$B$33=1,G144,F144)</f>
        <v>101.00000005960464</v>
      </c>
      <c r="F144" s="78">
        <f ca="1">IF(controls!$B$44=0,H144-'main page'!$K$27*T143,H144-'main page'!$K$27*T143+'main page'!$K$31*AI143)</f>
        <v>101.00000005960464</v>
      </c>
      <c r="G144" s="62">
        <f ca="1">IF(controls!$B$44=0,I144-'main page'!$K$27*T143,I144-'main page'!$K$27*T143+'main page'!$K$31*'normal case'!AI143)</f>
        <v>101.00000005960464</v>
      </c>
      <c r="H144" s="62">
        <f t="shared" ca="1" si="18"/>
        <v>108</v>
      </c>
      <c r="I144" s="62">
        <f t="shared" ca="1" si="19"/>
        <v>108</v>
      </c>
      <c r="L144" s="62">
        <f ca="1">IF(ABS('main page'!$K$29*L143+(1-'main page'!$K$29)*(controls!$B$9/100)*100+'main page'!$K$25*(D144-B144)-L143)&lt;0.0000001,L143,'main page'!$K$29*L143+(1-'main page'!$K$29)*(controls!$B$9/100)*100+'main page'!$K$25*(D144-B144))</f>
        <v>1.9999998807907104</v>
      </c>
      <c r="Q144" s="409">
        <f ca="1">(1-'main page'!$K$29)*($AS$11/100)*100+'main page'!$K$25*(D144-B144)</f>
        <v>5.9604644775390625E-8</v>
      </c>
      <c r="R144" s="409">
        <f>'main page'!G148+'main page'!$K$29*M143</f>
        <v>0</v>
      </c>
      <c r="S144" s="409">
        <f t="shared" ca="1" si="25"/>
        <v>5.9604644775390625E-8</v>
      </c>
      <c r="T144" s="79">
        <f ca="1">IF(controls!$B$10=1,T143,IF(SUM(controls!$B$44:$B$46)=2,U144-'main page'!$K$29*'normal case'!L144-(1-'main page'!$K$29)*'main page'!$K$32,U144-'main page'!$K$29*'normal case'!L144-(1-'main page'!$K$29)*controls!$B$9))</f>
        <v>3.4999999701976776</v>
      </c>
      <c r="U144" s="164">
        <f ca="1">IF(controls!$B$45=1,IF(controls!$B$46=1,'main page'!$K$24+'main page'!$K$11+'main page'!$U$8,'main page'!$K$24+'main page'!$K$11+'main page'!$K$32),IF(controls!$B$44=1,IF(V144&lt;0,0,V144),IF(V144+'main page'!$K$11&lt;0,0,V144+'main page'!$K$11)))</f>
        <v>5.4999998509883881</v>
      </c>
      <c r="V144" s="63">
        <f ca="1">IF(controls!$B$10=1,'normal case'!T144+'normal case'!L144,'normal case'!W144)</f>
        <v>5.4999998509883881</v>
      </c>
      <c r="W144" s="61">
        <f t="shared" ca="1" si="21"/>
        <v>5.4999998509883881</v>
      </c>
      <c r="X144" s="166">
        <f ca="1">IF(controls!$B$44=0,Y144+'main page'!$K$29*L144+(1-'main page'!$K$29)*controls!$B$9+(('main page'!$K$25*'main page'!$U$13*'main page'!$K$29)/('main page'!$K$27*(1+('main page'!$K$25^2)*'main page'!$U$13)))*(L144-controls!$B$9),Y144+'main page'!$K$29*L144+(1-'main page'!$K$29)*controls!$B$9+(('main page'!$K$25*'main page'!$U$13*'normal case'!$AV$3)/'normal case'!$AV$4)*('normal case'!L144-controls!$B$9))</f>
        <v>5.4999998509883881</v>
      </c>
      <c r="Y144" s="81">
        <f ca="1">IF(controls!$B$44=1,'main page'!$K$24+'main page'!$K$11,IF(controls!$B$33=1,((I145-D144*AD145-B145+B144*AC145)/'main page'!$K$27)-'main page'!$K$11,((H145-D144*AD145-B145+B144*AC145)/'main page'!$K$27)-'main page'!$K$11))</f>
        <v>3.5</v>
      </c>
      <c r="AA144" s="58">
        <f>IF(controls!$B$6=1,$AS$3*(1+('main page'!$K$35/100))^AB144-$AS$3*(1+('main page'!$K$35/100))^AB143,$AS$3*(1+('main page'!$G$8/100))*(1+('main page'!$K$35/100))^AB144-$AS$3*(1+('main page'!$G$8/100))*(1+('main page'!$K$35/100))^AB143)</f>
        <v>0</v>
      </c>
      <c r="AB144" s="60">
        <v>137</v>
      </c>
      <c r="AC144" s="125">
        <v>0</v>
      </c>
      <c r="AD144" s="36">
        <v>0</v>
      </c>
      <c r="AE144" s="44">
        <f ca="1">IF(controls!$B$33=1,D144-($I$3-'main page'!$K$27*2)*(1+('main page'!$K$35/100))^A143,D144-$AS$4)</f>
        <v>1.0000000596046448</v>
      </c>
      <c r="AF144" s="44">
        <f ca="1">ABS(L144-(controls!$B$9/100)*100)</f>
        <v>1.1920928955078125E-7</v>
      </c>
      <c r="AH144" s="44">
        <f ca="1">IF(controls!$B$33=1,(B145-B144*AC145-I145+D144*AD145+'main page'!$K$27*('main page'!$K$24+'main page'!$K$11))/'main page'!$K$31,(B145-B144*AC145+D144*AD145-H145+'main page'!$K$27*('main page'!$K$24+'main page'!$K$11))/'main page'!$K$31)</f>
        <v>1</v>
      </c>
      <c r="AI144" s="44">
        <f ca="1">IF(controls!$B$45=1,LOG(AM144,1.01)+LOG(AL144,1.01)-LOG(AK144,1.01),-((T144-('main page'!$K$24+'main page'!$K$11))/(1-'normal case'!$AV$3))+'normal case'!AH144)</f>
        <v>2.0000000596046448</v>
      </c>
      <c r="AJ144" s="80">
        <f t="shared" ca="1" si="22"/>
        <v>1.0506250015463039</v>
      </c>
      <c r="AK144" s="44">
        <f t="shared" ca="1" si="23"/>
        <v>15.998549056800451</v>
      </c>
      <c r="AL144" s="44">
        <f>AL143*(1+'main page'!$K$32/100)</f>
        <v>1</v>
      </c>
      <c r="AM144" s="44">
        <f ca="1">IF(ABS(IF(controls!$B$45=1,$AS$13,AK144*AJ144/AL144)-AM143)&lt;0.00001,AM143,IF(controls!$B$45=1,$AS$13,AK144*AJ144/AL144))</f>
        <v>16.808475627539593</v>
      </c>
      <c r="AN144" s="44">
        <f>IF(controls!$B$46=0,0,IF(controls!$B$33=2,B145-B144*AC145-('normal case'!H145-D144*AD145-'main page'!$K$27*'normal case'!T144+'main page'!$K$31*'normal case'!AI144)-(('main page'!$K$25*'main page'!$U$13*'main page'!$K$29)/(1+('main page'!$K$25^2)*'main page'!$U$13))*('normal case'!L144-'main page'!$U$8),B145-B144*AC145-('normal case'!I145-D144*AD145-'main page'!$K$27*'normal case'!T144+'main page'!$K$31*'normal case'!AI144)-(('main page'!$K$25*'main page'!$U$13*'main page'!$K$29)/(1+('main page'!$K$25^2)*'main page'!$U$13))*('normal case'!L144-'main page'!$U$8)))</f>
        <v>0</v>
      </c>
      <c r="AU144" s="36"/>
      <c r="AV144" s="36"/>
    </row>
    <row r="145" spans="1:48">
      <c r="A145" s="43">
        <v>143</v>
      </c>
      <c r="B145" s="62">
        <f ca="1">IF(controls!$B$33=1,B144*(1+AC145)+AA145,B144*(1+AC145))</f>
        <v>101</v>
      </c>
      <c r="C145" s="67">
        <f t="shared" ca="1" si="24"/>
        <v>-1.5107707374006907E-7</v>
      </c>
      <c r="D145" s="64">
        <f t="shared" ca="1" si="20"/>
        <v>101.00000005960464</v>
      </c>
      <c r="E145" s="64">
        <f ca="1">AN144+IF(controls!$B$33=1,G145,F145)</f>
        <v>101.00000005960464</v>
      </c>
      <c r="F145" s="78">
        <f ca="1">IF(controls!$B$44=0,H145-'main page'!$K$27*T144,H145-'main page'!$K$27*T144+'main page'!$K$31*AI144)</f>
        <v>101.00000005960464</v>
      </c>
      <c r="G145" s="62">
        <f ca="1">IF(controls!$B$44=0,I145-'main page'!$K$27*T144,I145-'main page'!$K$27*T144+'main page'!$K$31*'normal case'!AI144)</f>
        <v>101.00000005960464</v>
      </c>
      <c r="H145" s="62">
        <f t="shared" ca="1" si="18"/>
        <v>108</v>
      </c>
      <c r="I145" s="62">
        <f t="shared" ca="1" si="19"/>
        <v>108</v>
      </c>
      <c r="L145" s="62">
        <f ca="1">IF(ABS('main page'!$K$29*L144+(1-'main page'!$K$29)*(controls!$B$9/100)*100+'main page'!$K$25*(D145-B145)-L144)&lt;0.0000001,L144,'main page'!$K$29*L144+(1-'main page'!$K$29)*(controls!$B$9/100)*100+'main page'!$K$25*(D145-B145))</f>
        <v>1.9999998807907104</v>
      </c>
      <c r="Q145" s="409">
        <f ca="1">(1-'main page'!$K$29)*($AS$11/100)*100+'main page'!$K$25*(D145-B145)</f>
        <v>5.9604644775390625E-8</v>
      </c>
      <c r="R145" s="409">
        <f>'main page'!G149+'main page'!$K$29*M144</f>
        <v>0</v>
      </c>
      <c r="S145" s="409">
        <f t="shared" ca="1" si="25"/>
        <v>5.9604644775390625E-8</v>
      </c>
      <c r="T145" s="79">
        <f ca="1">IF(controls!$B$10=1,T144,IF(SUM(controls!$B$44:$B$46)=2,U145-'main page'!$K$29*'normal case'!L145-(1-'main page'!$K$29)*'main page'!$K$32,U145-'main page'!$K$29*'normal case'!L145-(1-'main page'!$K$29)*controls!$B$9))</f>
        <v>3.4999999701976776</v>
      </c>
      <c r="U145" s="164">
        <f ca="1">IF(controls!$B$45=1,IF(controls!$B$46=1,'main page'!$K$24+'main page'!$K$11+'main page'!$U$8,'main page'!$K$24+'main page'!$K$11+'main page'!$K$32),IF(controls!$B$44=1,IF(V145&lt;0,0,V145),IF(V145+'main page'!$K$11&lt;0,0,V145+'main page'!$K$11)))</f>
        <v>5.4999998509883881</v>
      </c>
      <c r="V145" s="63">
        <f ca="1">IF(controls!$B$10=1,'normal case'!T145+'normal case'!L145,'normal case'!W145)</f>
        <v>5.4999998509883881</v>
      </c>
      <c r="W145" s="61">
        <f t="shared" ca="1" si="21"/>
        <v>5.4999998509883881</v>
      </c>
      <c r="X145" s="166">
        <f ca="1">IF(controls!$B$44=0,Y145+'main page'!$K$29*L145+(1-'main page'!$K$29)*controls!$B$9+(('main page'!$K$25*'main page'!$U$13*'main page'!$K$29)/('main page'!$K$27*(1+('main page'!$K$25^2)*'main page'!$U$13)))*(L145-controls!$B$9),Y145+'main page'!$K$29*L145+(1-'main page'!$K$29)*controls!$B$9+(('main page'!$K$25*'main page'!$U$13*'normal case'!$AV$3)/'normal case'!$AV$4)*('normal case'!L145-controls!$B$9))</f>
        <v>5.4999998509883881</v>
      </c>
      <c r="Y145" s="81">
        <f ca="1">IF(controls!$B$44=1,'main page'!$K$24+'main page'!$K$11,IF(controls!$B$33=1,((I146-D145*AD146-B146+B145*AC146)/'main page'!$K$27)-'main page'!$K$11,((H146-D145*AD146-B146+B145*AC146)/'main page'!$K$27)-'main page'!$K$11))</f>
        <v>3.5</v>
      </c>
      <c r="AA145" s="58">
        <f>IF(controls!$B$6=1,$AS$3*(1+('main page'!$K$35/100))^AB145-$AS$3*(1+('main page'!$K$35/100))^AB144,$AS$3*(1+('main page'!$G$8/100))*(1+('main page'!$K$35/100))^AB145-$AS$3*(1+('main page'!$G$8/100))*(1+('main page'!$K$35/100))^AB144)</f>
        <v>0</v>
      </c>
      <c r="AB145" s="60">
        <v>138</v>
      </c>
      <c r="AC145" s="125">
        <v>0</v>
      </c>
      <c r="AD145" s="36">
        <v>0</v>
      </c>
      <c r="AE145" s="44">
        <f ca="1">IF(controls!$B$33=1,D145-($I$3-'main page'!$K$27*2)*(1+('main page'!$K$35/100))^A144,D145-$AS$4)</f>
        <v>1.0000000596046448</v>
      </c>
      <c r="AF145" s="44">
        <f ca="1">ABS(L145-(controls!$B$9/100)*100)</f>
        <v>1.1920928955078125E-7</v>
      </c>
      <c r="AH145" s="44">
        <f ca="1">IF(controls!$B$33=1,(B146-B145*AC146-I146+D145*AD146+'main page'!$K$27*('main page'!$K$24+'main page'!$K$11))/'main page'!$K$31,(B146-B145*AC146+D145*AD146-H146+'main page'!$K$27*('main page'!$K$24+'main page'!$K$11))/'main page'!$K$31)</f>
        <v>1</v>
      </c>
      <c r="AI145" s="44">
        <f ca="1">IF(controls!$B$45=1,LOG(AM145,1.01)+LOG(AL145,1.01)-LOG(AK145,1.01),-((T145-('main page'!$K$24+'main page'!$K$11))/(1-'normal case'!$AV$3))+'normal case'!AH145)</f>
        <v>2.0000000596046448</v>
      </c>
      <c r="AJ145" s="80">
        <f t="shared" ca="1" si="22"/>
        <v>1.0506250015463039</v>
      </c>
      <c r="AK145" s="44">
        <f t="shared" ca="1" si="23"/>
        <v>16.318520018864703</v>
      </c>
      <c r="AL145" s="44">
        <f>AL144*(1+'main page'!$K$32/100)</f>
        <v>1</v>
      </c>
      <c r="AM145" s="44">
        <f ca="1">IF(ABS(IF(controls!$B$45=1,$AS$13,AK145*AJ145/AL145)-AM144)&lt;0.00001,AM144,IF(controls!$B$45=1,$AS$13,AK145*AJ145/AL145))</f>
        <v>17.14464512005312</v>
      </c>
      <c r="AN145" s="44">
        <f>IF(controls!$B$46=0,0,IF(controls!$B$33=2,B146-B145*AC146-('normal case'!H146-D145*AD146-'main page'!$K$27*'normal case'!T145+'main page'!$K$31*'normal case'!AI145)-(('main page'!$K$25*'main page'!$U$13*'main page'!$K$29)/(1+('main page'!$K$25^2)*'main page'!$U$13))*('normal case'!L145-'main page'!$U$8),B146-B145*AC146-('normal case'!I146-D145*AD146-'main page'!$K$27*'normal case'!T145+'main page'!$K$31*'normal case'!AI145)-(('main page'!$K$25*'main page'!$U$13*'main page'!$K$29)/(1+('main page'!$K$25^2)*'main page'!$U$13))*('normal case'!L145-'main page'!$U$8)))</f>
        <v>0</v>
      </c>
      <c r="AU145" s="36"/>
      <c r="AV145" s="36"/>
    </row>
    <row r="146" spans="1:48">
      <c r="A146" s="43">
        <v>144</v>
      </c>
      <c r="B146" s="62">
        <f ca="1">IF(controls!$B$33=1,B145*(1+AC146)+AA146,B145*(1+AC146))</f>
        <v>101</v>
      </c>
      <c r="C146" s="67">
        <f t="shared" ca="1" si="24"/>
        <v>-1.5107707374006907E-7</v>
      </c>
      <c r="D146" s="64">
        <f t="shared" ca="1" si="20"/>
        <v>101.00000005960464</v>
      </c>
      <c r="E146" s="64">
        <f ca="1">AN145+IF(controls!$B$33=1,G146,F146)</f>
        <v>101.00000005960464</v>
      </c>
      <c r="F146" s="78">
        <f ca="1">IF(controls!$B$44=0,H146-'main page'!$K$27*T145,H146-'main page'!$K$27*T145+'main page'!$K$31*AI145)</f>
        <v>101.00000005960464</v>
      </c>
      <c r="G146" s="62">
        <f ca="1">IF(controls!$B$44=0,I146-'main page'!$K$27*T145,I146-'main page'!$K$27*T145+'main page'!$K$31*'normal case'!AI145)</f>
        <v>101.00000005960464</v>
      </c>
      <c r="H146" s="62">
        <f t="shared" ca="1" si="18"/>
        <v>108</v>
      </c>
      <c r="I146" s="62">
        <f t="shared" ca="1" si="19"/>
        <v>108</v>
      </c>
      <c r="L146" s="62">
        <f ca="1">IF(ABS('main page'!$K$29*L145+(1-'main page'!$K$29)*(controls!$B$9/100)*100+'main page'!$K$25*(D146-B146)-L145)&lt;0.0000001,L145,'main page'!$K$29*L145+(1-'main page'!$K$29)*(controls!$B$9/100)*100+'main page'!$K$25*(D146-B146))</f>
        <v>1.9999998807907104</v>
      </c>
      <c r="Q146" s="409">
        <f ca="1">(1-'main page'!$K$29)*($AS$11/100)*100+'main page'!$K$25*(D146-B146)</f>
        <v>5.9604644775390625E-8</v>
      </c>
      <c r="R146" s="409">
        <f>'main page'!G150+'main page'!$K$29*M145</f>
        <v>0</v>
      </c>
      <c r="S146" s="409">
        <f t="shared" ca="1" si="25"/>
        <v>5.9604644775390625E-8</v>
      </c>
      <c r="T146" s="79">
        <f ca="1">IF(controls!$B$10=1,T145,IF(SUM(controls!$B$44:$B$46)=2,U146-'main page'!$K$29*'normal case'!L146-(1-'main page'!$K$29)*'main page'!$K$32,U146-'main page'!$K$29*'normal case'!L146-(1-'main page'!$K$29)*controls!$B$9))</f>
        <v>3.4999999701976776</v>
      </c>
      <c r="U146" s="164">
        <f ca="1">IF(controls!$B$45=1,IF(controls!$B$46=1,'main page'!$K$24+'main page'!$K$11+'main page'!$U$8,'main page'!$K$24+'main page'!$K$11+'main page'!$K$32),IF(controls!$B$44=1,IF(V146&lt;0,0,V146),IF(V146+'main page'!$K$11&lt;0,0,V146+'main page'!$K$11)))</f>
        <v>5.4999998509883881</v>
      </c>
      <c r="V146" s="63">
        <f ca="1">IF(controls!$B$10=1,'normal case'!T146+'normal case'!L146,'normal case'!W146)</f>
        <v>5.4999998509883881</v>
      </c>
      <c r="W146" s="61">
        <f t="shared" ca="1" si="21"/>
        <v>5.4999998509883881</v>
      </c>
      <c r="X146" s="166">
        <f ca="1">IF(controls!$B$44=0,Y146+'main page'!$K$29*L146+(1-'main page'!$K$29)*controls!$B$9+(('main page'!$K$25*'main page'!$U$13*'main page'!$K$29)/('main page'!$K$27*(1+('main page'!$K$25^2)*'main page'!$U$13)))*(L146-controls!$B$9),Y146+'main page'!$K$29*L146+(1-'main page'!$K$29)*controls!$B$9+(('main page'!$K$25*'main page'!$U$13*'normal case'!$AV$3)/'normal case'!$AV$4)*('normal case'!L146-controls!$B$9))</f>
        <v>5.4999998509883881</v>
      </c>
      <c r="Y146" s="81">
        <f ca="1">IF(controls!$B$44=1,'main page'!$K$24+'main page'!$K$11,IF(controls!$B$33=1,((I147-D146*AD147-B147+B146*AC147)/'main page'!$K$27)-'main page'!$K$11,((H147-D146*AD147-B147+B146*AC147)/'main page'!$K$27)-'main page'!$K$11))</f>
        <v>3.5</v>
      </c>
      <c r="AA146" s="58">
        <f>IF(controls!$B$6=1,$AS$3*(1+('main page'!$K$35/100))^AB146-$AS$3*(1+('main page'!$K$35/100))^AB145,$AS$3*(1+('main page'!$G$8/100))*(1+('main page'!$K$35/100))^AB146-$AS$3*(1+('main page'!$G$8/100))*(1+('main page'!$K$35/100))^AB145)</f>
        <v>0</v>
      </c>
      <c r="AB146" s="60">
        <v>139</v>
      </c>
      <c r="AC146" s="125">
        <f ca="1">IF(controls!$B$4=1,IF(controls!$H145=1,controls!$B$34*AC145+RAND()*('main page'!$K$16/100)-RAND()*('main page'!$K$16/100),0),0)</f>
        <v>0</v>
      </c>
      <c r="AD146" s="36">
        <f ca="1">IF(controls!$B$4=1,IF(controls!$I145=1,controls!$B$34*AD145+RAND()*('main page'!$K$16/100)-RAND()*('main page'!$K$16/100),0),0)</f>
        <v>0</v>
      </c>
      <c r="AE146" s="44">
        <f ca="1">IF(controls!$B$33=1,D146-($I$3-'main page'!$K$27*2)*(1+('main page'!$K$35/100))^A145,D146-$AS$4)</f>
        <v>1.0000000596046448</v>
      </c>
      <c r="AF146" s="44">
        <f ca="1">ABS(L146-(controls!$B$9/100)*100)</f>
        <v>1.1920928955078125E-7</v>
      </c>
      <c r="AH146" s="44">
        <f ca="1">IF(controls!$B$33=1,(B147-B146*AC147-I147+D146*AD147+'main page'!$K$27*('main page'!$K$24+'main page'!$K$11))/'main page'!$K$31,(B147-B146*AC147+D146*AD147-H147+'main page'!$K$27*('main page'!$K$24+'main page'!$K$11))/'main page'!$K$31)</f>
        <v>1</v>
      </c>
      <c r="AI146" s="44">
        <f ca="1">IF(controls!$B$45=1,LOG(AM146,1.01)+LOG(AL146,1.01)-LOG(AK146,1.01),-((T146-('main page'!$K$24+'main page'!$K$11))/(1-'normal case'!$AV$3))+'normal case'!AH146)</f>
        <v>2.0000000596046448</v>
      </c>
      <c r="AJ146" s="80">
        <f t="shared" ca="1" si="22"/>
        <v>1.0506250015463039</v>
      </c>
      <c r="AK146" s="44">
        <f t="shared" ca="1" si="23"/>
        <v>16.644890399788807</v>
      </c>
      <c r="AL146" s="44">
        <f>AL145*(1+'main page'!$K$32/100)</f>
        <v>1</v>
      </c>
      <c r="AM146" s="44">
        <f ca="1">IF(ABS(IF(controls!$B$45=1,$AS$13,AK146*AJ146/AL146)-AM145)&lt;0.00001,AM145,IF(controls!$B$45=1,$AS$13,AK146*AJ146/AL146))</f>
        <v>17.487538002016173</v>
      </c>
      <c r="AN146" s="44">
        <f>IF(controls!$B$46=0,0,IF(controls!$B$33=2,B147-B146*AC147-('normal case'!H147-D146*AD147-'main page'!$K$27*'normal case'!T146+'main page'!$K$31*'normal case'!AI146)-(('main page'!$K$25*'main page'!$U$13*'main page'!$K$29)/(1+('main page'!$K$25^2)*'main page'!$U$13))*('normal case'!L146-'main page'!$U$8),B147-B146*AC147-('normal case'!I147-D146*AD147-'main page'!$K$27*'normal case'!T146+'main page'!$K$31*'normal case'!AI146)-(('main page'!$K$25*'main page'!$U$13*'main page'!$K$29)/(1+('main page'!$K$25^2)*'main page'!$U$13))*('normal case'!L146-'main page'!$U$8)))</f>
        <v>0</v>
      </c>
      <c r="AU146" s="36"/>
      <c r="AV146" s="36"/>
    </row>
    <row r="147" spans="1:48">
      <c r="A147" s="43">
        <v>145</v>
      </c>
      <c r="B147" s="62">
        <f ca="1">IF(controls!$B$33=1,B146*(1+AC147)+AA147,B146*(1+AC147))</f>
        <v>101</v>
      </c>
      <c r="C147" s="67">
        <f t="shared" ca="1" si="24"/>
        <v>-1.5107707374006907E-7</v>
      </c>
      <c r="D147" s="64">
        <f t="shared" ca="1" si="20"/>
        <v>101.00000005960464</v>
      </c>
      <c r="E147" s="64">
        <f ca="1">AN146+IF(controls!$B$33=1,G147,F147)</f>
        <v>101.00000005960464</v>
      </c>
      <c r="F147" s="78">
        <f ca="1">IF(controls!$B$44=0,H147-'main page'!$K$27*T146,H147-'main page'!$K$27*T146+'main page'!$K$31*AI146)</f>
        <v>101.00000005960464</v>
      </c>
      <c r="G147" s="62">
        <f ca="1">IF(controls!$B$44=0,I147-'main page'!$K$27*T146,I147-'main page'!$K$27*T146+'main page'!$K$31*'normal case'!AI146)</f>
        <v>101.00000005960464</v>
      </c>
      <c r="H147" s="62">
        <f t="shared" ca="1" si="18"/>
        <v>108</v>
      </c>
      <c r="I147" s="62">
        <f t="shared" ca="1" si="19"/>
        <v>108</v>
      </c>
      <c r="L147" s="62">
        <f ca="1">IF(ABS('main page'!$K$29*L146+(1-'main page'!$K$29)*(controls!$B$9/100)*100+'main page'!$K$25*(D147-B147)-L146)&lt;0.0000001,L146,'main page'!$K$29*L146+(1-'main page'!$K$29)*(controls!$B$9/100)*100+'main page'!$K$25*(D147-B147))</f>
        <v>1.9999998807907104</v>
      </c>
      <c r="Q147" s="409">
        <f ca="1">(1-'main page'!$K$29)*($AS$11/100)*100+'main page'!$K$25*(D147-B147)</f>
        <v>5.9604644775390625E-8</v>
      </c>
      <c r="R147" s="409">
        <f>'main page'!G151+'main page'!$K$29*M146</f>
        <v>0</v>
      </c>
      <c r="S147" s="409">
        <f t="shared" ca="1" si="25"/>
        <v>5.9604644775390625E-8</v>
      </c>
      <c r="T147" s="79">
        <f ca="1">IF(controls!$B$10=1,T146,IF(SUM(controls!$B$44:$B$46)=2,U147-'main page'!$K$29*'normal case'!L147-(1-'main page'!$K$29)*'main page'!$K$32,U147-'main page'!$K$29*'normal case'!L147-(1-'main page'!$K$29)*controls!$B$9))</f>
        <v>3.4999999701976776</v>
      </c>
      <c r="U147" s="164">
        <f ca="1">IF(controls!$B$45=1,IF(controls!$B$46=1,'main page'!$K$24+'main page'!$K$11+'main page'!$U$8,'main page'!$K$24+'main page'!$K$11+'main page'!$K$32),IF(controls!$B$44=1,IF(V147&lt;0,0,V147),IF(V147+'main page'!$K$11&lt;0,0,V147+'main page'!$K$11)))</f>
        <v>5.4999998509883881</v>
      </c>
      <c r="V147" s="63">
        <f ca="1">IF(controls!$B$10=1,'normal case'!T147+'normal case'!L147,'normal case'!W147)</f>
        <v>5.4999998509883881</v>
      </c>
      <c r="W147" s="61">
        <f t="shared" ca="1" si="21"/>
        <v>5.4999998509883881</v>
      </c>
      <c r="X147" s="166">
        <f ca="1">IF(controls!$B$44=0,Y147+'main page'!$K$29*L147+(1-'main page'!$K$29)*controls!$B$9+(('main page'!$K$25*'main page'!$U$13*'main page'!$K$29)/('main page'!$K$27*(1+('main page'!$K$25^2)*'main page'!$U$13)))*(L147-controls!$B$9),Y147+'main page'!$K$29*L147+(1-'main page'!$K$29)*controls!$B$9+(('main page'!$K$25*'main page'!$U$13*'normal case'!$AV$3)/'normal case'!$AV$4)*('normal case'!L147-controls!$B$9))</f>
        <v>5.4999998509883881</v>
      </c>
      <c r="Y147" s="81">
        <f ca="1">IF(controls!$B$44=1,'main page'!$K$24+'main page'!$K$11,IF(controls!$B$33=1,((I148-D147*AD148-B148+B147*AC148)/'main page'!$K$27)-'main page'!$K$11,((H148-D147*AD148-B148+B147*AC148)/'main page'!$K$27)-'main page'!$K$11))</f>
        <v>3.5</v>
      </c>
      <c r="AA147" s="58">
        <f>IF(controls!$B$6=1,$AS$3*(1+('main page'!$K$35/100))^AB147-$AS$3*(1+('main page'!$K$35/100))^AB146,$AS$3*(1+('main page'!$G$8/100))*(1+('main page'!$K$35/100))^AB147-$AS$3*(1+('main page'!$G$8/100))*(1+('main page'!$K$35/100))^AB146)</f>
        <v>0</v>
      </c>
      <c r="AB147" s="60">
        <v>140</v>
      </c>
      <c r="AC147" s="125">
        <v>0</v>
      </c>
      <c r="AD147" s="36">
        <v>0</v>
      </c>
      <c r="AE147" s="44">
        <f ca="1">IF(controls!$B$33=1,D147-($I$3-'main page'!$K$27*2)*(1+('main page'!$K$35/100))^A146,D147-$AS$4)</f>
        <v>1.0000000596046448</v>
      </c>
      <c r="AF147" s="44">
        <f ca="1">ABS(L147-(controls!$B$9/100)*100)</f>
        <v>1.1920928955078125E-7</v>
      </c>
      <c r="AH147" s="44">
        <f ca="1">IF(controls!$B$33=1,(B148-B147*AC148-I148+D147*AD148+'main page'!$K$27*('main page'!$K$24+'main page'!$K$11))/'main page'!$K$31,(B148-B147*AC148+D147*AD148-H148+'main page'!$K$27*('main page'!$K$24+'main page'!$K$11))/'main page'!$K$31)</f>
        <v>1</v>
      </c>
      <c r="AI147" s="44">
        <f ca="1">IF(controls!$B$45=1,LOG(AM147,1.01)+LOG(AL147,1.01)-LOG(AK147,1.01),-((T147-('main page'!$K$24+'main page'!$K$11))/(1-'normal case'!$AV$3))+'normal case'!AH147)</f>
        <v>2.0000000596046448</v>
      </c>
      <c r="AJ147" s="80">
        <f t="shared" ca="1" si="22"/>
        <v>1.0506250015463039</v>
      </c>
      <c r="AK147" s="44">
        <f t="shared" ca="1" si="23"/>
        <v>16.977788187942327</v>
      </c>
      <c r="AL147" s="44">
        <f>AL146*(1+'main page'!$K$32/100)</f>
        <v>1</v>
      </c>
      <c r="AM147" s="44">
        <f ca="1">IF(ABS(IF(controls!$B$45=1,$AS$13,AK147*AJ147/AL147)-AM146)&lt;0.00001,AM146,IF(controls!$B$45=1,$AS$13,AK147*AJ147/AL147))</f>
        <v>17.837288741209726</v>
      </c>
      <c r="AN147" s="44">
        <f>IF(controls!$B$46=0,0,IF(controls!$B$33=2,B148-B147*AC148-('normal case'!H148-D147*AD148-'main page'!$K$27*'normal case'!T147+'main page'!$K$31*'normal case'!AI147)-(('main page'!$K$25*'main page'!$U$13*'main page'!$K$29)/(1+('main page'!$K$25^2)*'main page'!$U$13))*('normal case'!L147-'main page'!$U$8),B148-B147*AC148-('normal case'!I148-D147*AD148-'main page'!$K$27*'normal case'!T147+'main page'!$K$31*'normal case'!AI147)-(('main page'!$K$25*'main page'!$U$13*'main page'!$K$29)/(1+('main page'!$K$25^2)*'main page'!$U$13))*('normal case'!L147-'main page'!$U$8)))</f>
        <v>0</v>
      </c>
      <c r="AU147" s="36"/>
      <c r="AV147" s="36"/>
    </row>
    <row r="148" spans="1:48">
      <c r="A148" s="43">
        <v>146</v>
      </c>
      <c r="B148" s="62">
        <f ca="1">IF(controls!$B$33=1,B147*(1+AC148)+AA148,B147*(1+AC148))</f>
        <v>101</v>
      </c>
      <c r="C148" s="67">
        <f t="shared" ca="1" si="24"/>
        <v>-1.5107707374006907E-7</v>
      </c>
      <c r="D148" s="64">
        <f t="shared" ca="1" si="20"/>
        <v>101.00000005960464</v>
      </c>
      <c r="E148" s="64">
        <f ca="1">AN147+IF(controls!$B$33=1,G148,F148)</f>
        <v>101.00000005960464</v>
      </c>
      <c r="F148" s="78">
        <f ca="1">IF(controls!$B$44=0,H148-'main page'!$K$27*T147,H148-'main page'!$K$27*T147+'main page'!$K$31*AI147)</f>
        <v>101.00000005960464</v>
      </c>
      <c r="G148" s="62">
        <f ca="1">IF(controls!$B$44=0,I148-'main page'!$K$27*T147,I148-'main page'!$K$27*T147+'main page'!$K$31*'normal case'!AI147)</f>
        <v>101.00000005960464</v>
      </c>
      <c r="H148" s="62">
        <f t="shared" ca="1" si="18"/>
        <v>108</v>
      </c>
      <c r="I148" s="62">
        <f t="shared" ca="1" si="19"/>
        <v>108</v>
      </c>
      <c r="L148" s="62">
        <f ca="1">IF(ABS('main page'!$K$29*L147+(1-'main page'!$K$29)*(controls!$B$9/100)*100+'main page'!$K$25*(D148-B148)-L147)&lt;0.0000001,L147,'main page'!$K$29*L147+(1-'main page'!$K$29)*(controls!$B$9/100)*100+'main page'!$K$25*(D148-B148))</f>
        <v>1.9999998807907104</v>
      </c>
      <c r="Q148" s="409">
        <f ca="1">(1-'main page'!$K$29)*($AS$11/100)*100+'main page'!$K$25*(D148-B148)</f>
        <v>5.9604644775390625E-8</v>
      </c>
      <c r="R148" s="409">
        <f>'main page'!G152+'main page'!$K$29*M147</f>
        <v>0</v>
      </c>
      <c r="S148" s="409">
        <f t="shared" ca="1" si="25"/>
        <v>5.9604644775390625E-8</v>
      </c>
      <c r="T148" s="79">
        <f ca="1">IF(controls!$B$10=1,T147,IF(SUM(controls!$B$44:$B$46)=2,U148-'main page'!$K$29*'normal case'!L148-(1-'main page'!$K$29)*'main page'!$K$32,U148-'main page'!$K$29*'normal case'!L148-(1-'main page'!$K$29)*controls!$B$9))</f>
        <v>3.4999999701976776</v>
      </c>
      <c r="U148" s="164">
        <f ca="1">IF(controls!$B$45=1,IF(controls!$B$46=1,'main page'!$K$24+'main page'!$K$11+'main page'!$U$8,'main page'!$K$24+'main page'!$K$11+'main page'!$K$32),IF(controls!$B$44=1,IF(V148&lt;0,0,V148),IF(V148+'main page'!$K$11&lt;0,0,V148+'main page'!$K$11)))</f>
        <v>5.4999998509883881</v>
      </c>
      <c r="V148" s="63">
        <f ca="1">IF(controls!$B$10=1,'normal case'!T148+'normal case'!L148,'normal case'!W148)</f>
        <v>5.4999998509883881</v>
      </c>
      <c r="W148" s="61">
        <f t="shared" ca="1" si="21"/>
        <v>5.4999998509883881</v>
      </c>
      <c r="X148" s="166">
        <f ca="1">IF(controls!$B$44=0,Y148+'main page'!$K$29*L148+(1-'main page'!$K$29)*controls!$B$9+(('main page'!$K$25*'main page'!$U$13*'main page'!$K$29)/('main page'!$K$27*(1+('main page'!$K$25^2)*'main page'!$U$13)))*(L148-controls!$B$9),Y148+'main page'!$K$29*L148+(1-'main page'!$K$29)*controls!$B$9+(('main page'!$K$25*'main page'!$U$13*'normal case'!$AV$3)/'normal case'!$AV$4)*('normal case'!L148-controls!$B$9))</f>
        <v>5.4999998509883881</v>
      </c>
      <c r="Y148" s="81">
        <f ca="1">IF(controls!$B$44=1,'main page'!$K$24+'main page'!$K$11,IF(controls!$B$33=1,((I149-D148*AD149-B149+B148*AC149)/'main page'!$K$27)-'main page'!$K$11,((H149-D148*AD149-B149+B148*AC149)/'main page'!$K$27)-'main page'!$K$11))</f>
        <v>3.5</v>
      </c>
      <c r="AA148" s="58">
        <f>IF(controls!$B$6=1,$AS$3*(1+('main page'!$K$35/100))^AB148-$AS$3*(1+('main page'!$K$35/100))^AB147,$AS$3*(1+('main page'!$G$8/100))*(1+('main page'!$K$35/100))^AB148-$AS$3*(1+('main page'!$G$8/100))*(1+('main page'!$K$35/100))^AB147)</f>
        <v>0</v>
      </c>
      <c r="AB148" s="60">
        <v>141</v>
      </c>
      <c r="AC148" s="125">
        <v>0</v>
      </c>
      <c r="AD148" s="36">
        <v>0</v>
      </c>
      <c r="AE148" s="44">
        <f ca="1">IF(controls!$B$33=1,D148-($I$3-'main page'!$K$27*2)*(1+('main page'!$K$35/100))^A147,D148-$AS$4)</f>
        <v>1.0000000596046448</v>
      </c>
      <c r="AF148" s="44">
        <f ca="1">ABS(L148-(controls!$B$9/100)*100)</f>
        <v>1.1920928955078125E-7</v>
      </c>
      <c r="AH148" s="44">
        <f ca="1">IF(controls!$B$33=1,(B149-B148*AC149-I149+D148*AD149+'main page'!$K$27*('main page'!$K$24+'main page'!$K$11))/'main page'!$K$31,(B149-B148*AC149+D148*AD149-H149+'main page'!$K$27*('main page'!$K$24+'main page'!$K$11))/'main page'!$K$31)</f>
        <v>1</v>
      </c>
      <c r="AI148" s="44">
        <f ca="1">IF(controls!$B$45=1,LOG(AM148,1.01)+LOG(AL148,1.01)-LOG(AK148,1.01),-((T148-('main page'!$K$24+'main page'!$K$11))/(1-'normal case'!$AV$3))+'normal case'!AH148)</f>
        <v>2.0000000596046448</v>
      </c>
      <c r="AJ148" s="80">
        <f t="shared" ca="1" si="22"/>
        <v>1.0506250015463039</v>
      </c>
      <c r="AK148" s="44">
        <f t="shared" ca="1" si="23"/>
        <v>17.317343931462073</v>
      </c>
      <c r="AL148" s="44">
        <f>AL147*(1+'main page'!$K$32/100)</f>
        <v>1</v>
      </c>
      <c r="AM148" s="44">
        <f ca="1">IF(ABS(IF(controls!$B$45=1,$AS$13,AK148*AJ148/AL148)-AM147)&lt;0.00001,AM147,IF(controls!$B$45=1,$AS$13,AK148*AJ148/AL148))</f>
        <v>18.194034494770218</v>
      </c>
      <c r="AN148" s="44">
        <f>IF(controls!$B$46=0,0,IF(controls!$B$33=2,B149-B148*AC149-('normal case'!H149-D148*AD149-'main page'!$K$27*'normal case'!T148+'main page'!$K$31*'normal case'!AI148)-(('main page'!$K$25*'main page'!$U$13*'main page'!$K$29)/(1+('main page'!$K$25^2)*'main page'!$U$13))*('normal case'!L148-'main page'!$U$8),B149-B148*AC149-('normal case'!I149-D148*AD149-'main page'!$K$27*'normal case'!T148+'main page'!$K$31*'normal case'!AI148)-(('main page'!$K$25*'main page'!$U$13*'main page'!$K$29)/(1+('main page'!$K$25^2)*'main page'!$U$13))*('normal case'!L148-'main page'!$U$8)))</f>
        <v>0</v>
      </c>
      <c r="AU148" s="36"/>
      <c r="AV148" s="36"/>
    </row>
    <row r="149" spans="1:48">
      <c r="A149" s="43">
        <v>147</v>
      </c>
      <c r="B149" s="62">
        <f ca="1">IF(controls!$B$33=1,B148*(1+AC149)+AA149,B148*(1+AC149))</f>
        <v>101</v>
      </c>
      <c r="C149" s="67">
        <f t="shared" ca="1" si="24"/>
        <v>-1.5107707374006907E-7</v>
      </c>
      <c r="D149" s="64">
        <f t="shared" ca="1" si="20"/>
        <v>101.00000005960464</v>
      </c>
      <c r="E149" s="64">
        <f ca="1">AN148+IF(controls!$B$33=1,G149,F149)</f>
        <v>101.00000005960464</v>
      </c>
      <c r="F149" s="78">
        <f ca="1">IF(controls!$B$44=0,H149-'main page'!$K$27*T148,H149-'main page'!$K$27*T148+'main page'!$K$31*AI148)</f>
        <v>101.00000005960464</v>
      </c>
      <c r="G149" s="62">
        <f ca="1">IF(controls!$B$44=0,I149-'main page'!$K$27*T148,I149-'main page'!$K$27*T148+'main page'!$K$31*'normal case'!AI148)</f>
        <v>101.00000005960464</v>
      </c>
      <c r="H149" s="62">
        <f t="shared" ca="1" si="18"/>
        <v>108</v>
      </c>
      <c r="I149" s="62">
        <f t="shared" ca="1" si="19"/>
        <v>108</v>
      </c>
      <c r="L149" s="62">
        <f ca="1">IF(ABS('main page'!$K$29*L148+(1-'main page'!$K$29)*(controls!$B$9/100)*100+'main page'!$K$25*(D149-B149)-L148)&lt;0.0000001,L148,'main page'!$K$29*L148+(1-'main page'!$K$29)*(controls!$B$9/100)*100+'main page'!$K$25*(D149-B149))</f>
        <v>1.9999998807907104</v>
      </c>
      <c r="Q149" s="409">
        <f ca="1">(1-'main page'!$K$29)*($AS$11/100)*100+'main page'!$K$25*(D149-B149)</f>
        <v>5.9604644775390625E-8</v>
      </c>
      <c r="R149" s="409">
        <f>'main page'!G153+'main page'!$K$29*M148</f>
        <v>0</v>
      </c>
      <c r="S149" s="409">
        <f t="shared" ca="1" si="25"/>
        <v>5.9604644775390625E-8</v>
      </c>
      <c r="T149" s="79">
        <f ca="1">IF(controls!$B$10=1,T148,IF(SUM(controls!$B$44:$B$46)=2,U149-'main page'!$K$29*'normal case'!L149-(1-'main page'!$K$29)*'main page'!$K$32,U149-'main page'!$K$29*'normal case'!L149-(1-'main page'!$K$29)*controls!$B$9))</f>
        <v>3.4999999701976776</v>
      </c>
      <c r="U149" s="164">
        <f ca="1">IF(controls!$B$45=1,IF(controls!$B$46=1,'main page'!$K$24+'main page'!$K$11+'main page'!$U$8,'main page'!$K$24+'main page'!$K$11+'main page'!$K$32),IF(controls!$B$44=1,IF(V149&lt;0,0,V149),IF(V149+'main page'!$K$11&lt;0,0,V149+'main page'!$K$11)))</f>
        <v>5.4999998509883881</v>
      </c>
      <c r="V149" s="63">
        <f ca="1">IF(controls!$B$10=1,'normal case'!T149+'normal case'!L149,'normal case'!W149)</f>
        <v>5.4999998509883881</v>
      </c>
      <c r="W149" s="61">
        <f t="shared" ca="1" si="21"/>
        <v>5.4999998509883881</v>
      </c>
      <c r="X149" s="166">
        <f ca="1">IF(controls!$B$44=0,Y149+'main page'!$K$29*L149+(1-'main page'!$K$29)*controls!$B$9+(('main page'!$K$25*'main page'!$U$13*'main page'!$K$29)/('main page'!$K$27*(1+('main page'!$K$25^2)*'main page'!$U$13)))*(L149-controls!$B$9),Y149+'main page'!$K$29*L149+(1-'main page'!$K$29)*controls!$B$9+(('main page'!$K$25*'main page'!$U$13*'normal case'!$AV$3)/'normal case'!$AV$4)*('normal case'!L149-controls!$B$9))</f>
        <v>5.4999998509883881</v>
      </c>
      <c r="Y149" s="81">
        <f ca="1">IF(controls!$B$44=1,'main page'!$K$24+'main page'!$K$11,IF(controls!$B$33=1,((I150-D149*AD150-B150+B149*AC150)/'main page'!$K$27)-'main page'!$K$11,((H150-D149*AD150-B150+B149*AC150)/'main page'!$K$27)-'main page'!$K$11))</f>
        <v>3.5</v>
      </c>
      <c r="AA149" s="58">
        <f>IF(controls!$B$6=1,$AS$3*(1+('main page'!$K$35/100))^AB149-$AS$3*(1+('main page'!$K$35/100))^AB148,$AS$3*(1+('main page'!$G$8/100))*(1+('main page'!$K$35/100))^AB149-$AS$3*(1+('main page'!$G$8/100))*(1+('main page'!$K$35/100))^AB148)</f>
        <v>0</v>
      </c>
      <c r="AB149" s="60">
        <v>142</v>
      </c>
      <c r="AC149" s="125">
        <f ca="1">IF(controls!$B$4=1,IF(controls!$H148=1,controls!$B$34*AC148+RAND()*('main page'!$K$16/100)-RAND()*('main page'!$K$16/100),0),0)</f>
        <v>0</v>
      </c>
      <c r="AD149" s="36">
        <f ca="1">IF(controls!$B$4=1,IF(controls!$I148=1,controls!$B$34*AD148+RAND()*('main page'!$K$16/100)-RAND()*('main page'!$K$16/100),0),0)</f>
        <v>0</v>
      </c>
      <c r="AE149" s="44">
        <f ca="1">IF(controls!$B$33=1,D149-($I$3-'main page'!$K$27*2)*(1+('main page'!$K$35/100))^A148,D149-$AS$4)</f>
        <v>1.0000000596046448</v>
      </c>
      <c r="AF149" s="44">
        <f ca="1">ABS(L149-(controls!$B$9/100)*100)</f>
        <v>1.1920928955078125E-7</v>
      </c>
      <c r="AH149" s="44">
        <f ca="1">IF(controls!$B$33=1,(B150-B149*AC150-I150+D149*AD150+'main page'!$K$27*('main page'!$K$24+'main page'!$K$11))/'main page'!$K$31,(B150-B149*AC150+D149*AD150-H150+'main page'!$K$27*('main page'!$K$24+'main page'!$K$11))/'main page'!$K$31)</f>
        <v>1</v>
      </c>
      <c r="AI149" s="44">
        <f ca="1">IF(controls!$B$45=1,LOG(AM149,1.01)+LOG(AL149,1.01)-LOG(AK149,1.01),-((T149-('main page'!$K$24+'main page'!$K$11))/(1-'normal case'!$AV$3))+'normal case'!AH149)</f>
        <v>2.0000000596046448</v>
      </c>
      <c r="AJ149" s="80">
        <f t="shared" ca="1" si="22"/>
        <v>1.0506250015463039</v>
      </c>
      <c r="AK149" s="44">
        <f t="shared" ca="1" si="23"/>
        <v>17.663690789447433</v>
      </c>
      <c r="AL149" s="44">
        <f>AL148*(1+'main page'!$K$32/100)</f>
        <v>1</v>
      </c>
      <c r="AM149" s="44">
        <f ca="1">IF(ABS(IF(controls!$B$45=1,$AS$13,AK149*AJ149/AL149)-AM148)&lt;0.00001,AM148,IF(controls!$B$45=1,$AS$13,AK149*AJ149/AL149))</f>
        <v>18.557915162976641</v>
      </c>
      <c r="AN149" s="44">
        <f>IF(controls!$B$46=0,0,IF(controls!$B$33=2,B150-B149*AC150-('normal case'!H150-D149*AD150-'main page'!$K$27*'normal case'!T149+'main page'!$K$31*'normal case'!AI149)-(('main page'!$K$25*'main page'!$U$13*'main page'!$K$29)/(1+('main page'!$K$25^2)*'main page'!$U$13))*('normal case'!L149-'main page'!$U$8),B150-B149*AC150-('normal case'!I150-D149*AD150-'main page'!$K$27*'normal case'!T149+'main page'!$K$31*'normal case'!AI149)-(('main page'!$K$25*'main page'!$U$13*'main page'!$K$29)/(1+('main page'!$K$25^2)*'main page'!$U$13))*('normal case'!L149-'main page'!$U$8)))</f>
        <v>0</v>
      </c>
      <c r="AU149" s="36"/>
      <c r="AV149" s="36"/>
    </row>
    <row r="150" spans="1:48">
      <c r="A150" s="43">
        <v>148</v>
      </c>
      <c r="B150" s="62">
        <f ca="1">IF(controls!$B$33=1,B149*(1+AC150)+AA150,B149*(1+AC150))</f>
        <v>101</v>
      </c>
      <c r="C150" s="67">
        <f t="shared" ca="1" si="24"/>
        <v>-1.5107707374006907E-7</v>
      </c>
      <c r="D150" s="64">
        <f t="shared" ca="1" si="20"/>
        <v>101.00000005960464</v>
      </c>
      <c r="E150" s="64">
        <f ca="1">AN149+IF(controls!$B$33=1,G150,F150)</f>
        <v>101.00000005960464</v>
      </c>
      <c r="F150" s="78">
        <f ca="1">IF(controls!$B$44=0,H150-'main page'!$K$27*T149,H150-'main page'!$K$27*T149+'main page'!$K$31*AI149)</f>
        <v>101.00000005960464</v>
      </c>
      <c r="G150" s="62">
        <f ca="1">IF(controls!$B$44=0,I150-'main page'!$K$27*T149,I150-'main page'!$K$27*T149+'main page'!$K$31*'normal case'!AI149)</f>
        <v>101.00000005960464</v>
      </c>
      <c r="H150" s="62">
        <f t="shared" ca="1" si="18"/>
        <v>108</v>
      </c>
      <c r="I150" s="62">
        <f t="shared" ca="1" si="19"/>
        <v>108</v>
      </c>
      <c r="L150" s="62">
        <f ca="1">IF(ABS('main page'!$K$29*L149+(1-'main page'!$K$29)*(controls!$B$9/100)*100+'main page'!$K$25*(D150-B150)-L149)&lt;0.0000001,L149,'main page'!$K$29*L149+(1-'main page'!$K$29)*(controls!$B$9/100)*100+'main page'!$K$25*(D150-B150))</f>
        <v>1.9999998807907104</v>
      </c>
      <c r="Q150" s="409">
        <f ca="1">(1-'main page'!$K$29)*($AS$11/100)*100+'main page'!$K$25*(D150-B150)</f>
        <v>5.9604644775390625E-8</v>
      </c>
      <c r="R150" s="409">
        <f>'main page'!G154+'main page'!$K$29*M149</f>
        <v>0</v>
      </c>
      <c r="S150" s="409">
        <f t="shared" ca="1" si="25"/>
        <v>5.9604644775390625E-8</v>
      </c>
      <c r="T150" s="79">
        <f ca="1">IF(controls!$B$10=1,T149,IF(SUM(controls!$B$44:$B$46)=2,U150-'main page'!$K$29*'normal case'!L150-(1-'main page'!$K$29)*'main page'!$K$32,U150-'main page'!$K$29*'normal case'!L150-(1-'main page'!$K$29)*controls!$B$9))</f>
        <v>3.4999999701976776</v>
      </c>
      <c r="U150" s="164">
        <f ca="1">IF(controls!$B$45=1,IF(controls!$B$46=1,'main page'!$K$24+'main page'!$K$11+'main page'!$U$8,'main page'!$K$24+'main page'!$K$11+'main page'!$K$32),IF(controls!$B$44=1,IF(V150&lt;0,0,V150),IF(V150+'main page'!$K$11&lt;0,0,V150+'main page'!$K$11)))</f>
        <v>5.4999998509883881</v>
      </c>
      <c r="V150" s="63">
        <f ca="1">IF(controls!$B$10=1,'normal case'!T150+'normal case'!L150,'normal case'!W150)</f>
        <v>5.4999998509883881</v>
      </c>
      <c r="W150" s="61">
        <f t="shared" ca="1" si="21"/>
        <v>5.4999998509883881</v>
      </c>
      <c r="X150" s="166">
        <f ca="1">IF(controls!$B$44=0,Y150+'main page'!$K$29*L150+(1-'main page'!$K$29)*controls!$B$9+(('main page'!$K$25*'main page'!$U$13*'main page'!$K$29)/('main page'!$K$27*(1+('main page'!$K$25^2)*'main page'!$U$13)))*(L150-controls!$B$9),Y150+'main page'!$K$29*L150+(1-'main page'!$K$29)*controls!$B$9+(('main page'!$K$25*'main page'!$U$13*'normal case'!$AV$3)/'normal case'!$AV$4)*('normal case'!L150-controls!$B$9))</f>
        <v>5.4999998509883881</v>
      </c>
      <c r="Y150" s="81">
        <f ca="1">IF(controls!$B$44=1,'main page'!$K$24+'main page'!$K$11,IF(controls!$B$33=1,((I151-D150*AD151-B151+B150*AC151)/'main page'!$K$27)-'main page'!$K$11,((H151-D150*AD151-B151+B150*AC151)/'main page'!$K$27)-'main page'!$K$11))</f>
        <v>3.5</v>
      </c>
      <c r="AA150" s="58">
        <f>IF(controls!$B$6=1,$AS$3*(1+('main page'!$K$35/100))^AB150-$AS$3*(1+('main page'!$K$35/100))^AB149,$AS$3*(1+('main page'!$G$8/100))*(1+('main page'!$K$35/100))^AB150-$AS$3*(1+('main page'!$G$8/100))*(1+('main page'!$K$35/100))^AB149)</f>
        <v>0</v>
      </c>
      <c r="AB150" s="60">
        <v>143</v>
      </c>
      <c r="AC150" s="125">
        <v>0</v>
      </c>
      <c r="AD150" s="36">
        <v>0</v>
      </c>
      <c r="AE150" s="44">
        <f ca="1">IF(controls!$B$33=1,D150-($I$3-'main page'!$K$27*2)*(1+('main page'!$K$35/100))^A149,D150-$AS$4)</f>
        <v>1.0000000596046448</v>
      </c>
      <c r="AF150" s="44">
        <f ca="1">ABS(L150-(controls!$B$9/100)*100)</f>
        <v>1.1920928955078125E-7</v>
      </c>
      <c r="AH150" s="44">
        <f ca="1">IF(controls!$B$33=1,(B151-B150*AC151-I151+D150*AD151+'main page'!$K$27*('main page'!$K$24+'main page'!$K$11))/'main page'!$K$31,(B151-B150*AC151+D150*AD151-H151+'main page'!$K$27*('main page'!$K$24+'main page'!$K$11))/'main page'!$K$31)</f>
        <v>1</v>
      </c>
      <c r="AI150" s="44">
        <f ca="1">IF(controls!$B$45=1,LOG(AM150,1.01)+LOG(AL150,1.01)-LOG(AK150,1.01),-((T150-('main page'!$K$24+'main page'!$K$11))/(1-'normal case'!$AV$3))+'normal case'!AH150)</f>
        <v>2.0000000596046448</v>
      </c>
      <c r="AJ150" s="80">
        <f t="shared" ca="1" si="22"/>
        <v>1.0506250015463039</v>
      </c>
      <c r="AK150" s="44">
        <f t="shared" ca="1" si="23"/>
        <v>18.016964584179622</v>
      </c>
      <c r="AL150" s="44">
        <f>AL149*(1+'main page'!$K$32/100)</f>
        <v>1</v>
      </c>
      <c r="AM150" s="44">
        <f ca="1">IF(ABS(IF(controls!$B$45=1,$AS$13,AK150*AJ150/AL150)-AM149)&lt;0.00001,AM149,IF(controls!$B$45=1,$AS$13,AK150*AJ150/AL150))</f>
        <v>18.929073444113417</v>
      </c>
      <c r="AN150" s="44">
        <f>IF(controls!$B$46=0,0,IF(controls!$B$33=2,B151-B150*AC151-('normal case'!H151-D150*AD151-'main page'!$K$27*'normal case'!T150+'main page'!$K$31*'normal case'!AI150)-(('main page'!$K$25*'main page'!$U$13*'main page'!$K$29)/(1+('main page'!$K$25^2)*'main page'!$U$13))*('normal case'!L150-'main page'!$U$8),B151-B150*AC151-('normal case'!I151-D150*AD151-'main page'!$K$27*'normal case'!T150+'main page'!$K$31*'normal case'!AI150)-(('main page'!$K$25*'main page'!$U$13*'main page'!$K$29)/(1+('main page'!$K$25^2)*'main page'!$U$13))*('normal case'!L150-'main page'!$U$8)))</f>
        <v>0</v>
      </c>
      <c r="AU150" s="36"/>
      <c r="AV150" s="36"/>
    </row>
    <row r="151" spans="1:48">
      <c r="A151" s="43">
        <v>149</v>
      </c>
      <c r="B151" s="62">
        <f ca="1">IF(controls!$B$33=1,B150*(1+AC151)+AA151,B150*(1+AC151))</f>
        <v>101</v>
      </c>
      <c r="C151" s="67">
        <f t="shared" ca="1" si="24"/>
        <v>-1.5107707374006907E-7</v>
      </c>
      <c r="D151" s="64">
        <f t="shared" ca="1" si="20"/>
        <v>101.00000005960464</v>
      </c>
      <c r="E151" s="64">
        <f ca="1">AN150+IF(controls!$B$33=1,G151,F151)</f>
        <v>101.00000005960464</v>
      </c>
      <c r="F151" s="78">
        <f ca="1">IF(controls!$B$44=0,H151-'main page'!$K$27*T150,H151-'main page'!$K$27*T150+'main page'!$K$31*AI150)</f>
        <v>101.00000005960464</v>
      </c>
      <c r="G151" s="62">
        <f ca="1">IF(controls!$B$44=0,I151-'main page'!$K$27*T150,I151-'main page'!$K$27*T150+'main page'!$K$31*'normal case'!AI150)</f>
        <v>101.00000005960464</v>
      </c>
      <c r="H151" s="62">
        <f t="shared" ca="1" si="18"/>
        <v>108</v>
      </c>
      <c r="I151" s="62">
        <f t="shared" ca="1" si="19"/>
        <v>108</v>
      </c>
      <c r="L151" s="62">
        <f ca="1">IF(ABS('main page'!$K$29*L150+(1-'main page'!$K$29)*(controls!$B$9/100)*100+'main page'!$K$25*(D151-B151)-L150)&lt;0.0000001,L150,'main page'!$K$29*L150+(1-'main page'!$K$29)*(controls!$B$9/100)*100+'main page'!$K$25*(D151-B151))</f>
        <v>1.9999998807907104</v>
      </c>
      <c r="Q151" s="409">
        <f ca="1">(1-'main page'!$K$29)*($AS$11/100)*100+'main page'!$K$25*(D151-B151)</f>
        <v>5.9604644775390625E-8</v>
      </c>
      <c r="R151" s="409">
        <f>'main page'!G155+'main page'!$K$29*M150</f>
        <v>0</v>
      </c>
      <c r="S151" s="409">
        <f t="shared" ca="1" si="25"/>
        <v>5.9604644775390625E-8</v>
      </c>
      <c r="T151" s="79">
        <f ca="1">IF(controls!$B$10=1,T150,IF(SUM(controls!$B$44:$B$46)=2,U151-'main page'!$K$29*'normal case'!L151-(1-'main page'!$K$29)*'main page'!$K$32,U151-'main page'!$K$29*'normal case'!L151-(1-'main page'!$K$29)*controls!$B$9))</f>
        <v>3.4999999701976776</v>
      </c>
      <c r="U151" s="164">
        <f ca="1">IF(controls!$B$45=1,IF(controls!$B$46=1,'main page'!$K$24+'main page'!$K$11+'main page'!$U$8,'main page'!$K$24+'main page'!$K$11+'main page'!$K$32),IF(controls!$B$44=1,IF(V151&lt;0,0,V151),IF(V151+'main page'!$K$11&lt;0,0,V151+'main page'!$K$11)))</f>
        <v>5.4999998509883881</v>
      </c>
      <c r="V151" s="63">
        <f ca="1">IF(controls!$B$10=1,'normal case'!T151+'normal case'!L151,'normal case'!W151)</f>
        <v>5.4999998509883881</v>
      </c>
      <c r="W151" s="61">
        <f t="shared" ca="1" si="21"/>
        <v>5.4999998509883881</v>
      </c>
      <c r="X151" s="166">
        <f ca="1">IF(controls!$B$44=0,Y151+'main page'!$K$29*L151+(1-'main page'!$K$29)*controls!$B$9+(('main page'!$K$25*'main page'!$U$13*'main page'!$K$29)/('main page'!$K$27*(1+('main page'!$K$25^2)*'main page'!$U$13)))*(L151-controls!$B$9),Y151+'main page'!$K$29*L151+(1-'main page'!$K$29)*controls!$B$9+(('main page'!$K$25*'main page'!$U$13*'normal case'!$AV$3)/'normal case'!$AV$4)*('normal case'!L151-controls!$B$9))</f>
        <v>5.4999998509883881</v>
      </c>
      <c r="Y151" s="81">
        <f ca="1">IF(controls!$B$44=1,'main page'!$K$24+'main page'!$K$11,IF(controls!$B$33=1,((I152-D151*AD152-B152+B151*AC152)/'main page'!$K$27)-'main page'!$K$11,((H152-D151*AD152-B152+B151*AC152)/'main page'!$K$27)-'main page'!$K$11))</f>
        <v>3.5</v>
      </c>
      <c r="AA151" s="58">
        <f>IF(controls!$B$6=1,$AS$3*(1+('main page'!$K$35/100))^AB151-$AS$3*(1+('main page'!$K$35/100))^AB150,$AS$3*(1+('main page'!$G$8/100))*(1+('main page'!$K$35/100))^AB151-$AS$3*(1+('main page'!$G$8/100))*(1+('main page'!$K$35/100))^AB150)</f>
        <v>0</v>
      </c>
      <c r="AB151" s="60">
        <v>144</v>
      </c>
      <c r="AC151" s="125">
        <v>0</v>
      </c>
      <c r="AD151" s="36">
        <v>0</v>
      </c>
      <c r="AE151" s="44">
        <f ca="1">IF(controls!$B$33=1,D151-($I$3-'main page'!$K$27*2)*(1+('main page'!$K$35/100))^A150,D151-$AS$4)</f>
        <v>1.0000000596046448</v>
      </c>
      <c r="AF151" s="44">
        <f ca="1">ABS(L151-(controls!$B$9/100)*100)</f>
        <v>1.1920928955078125E-7</v>
      </c>
      <c r="AH151" s="44">
        <f ca="1">IF(controls!$B$33=1,(B152-B151*AC152-I152+D151*AD152+'main page'!$K$27*('main page'!$K$24+'main page'!$K$11))/'main page'!$K$31,(B152-B151*AC152+D151*AD152-H152+'main page'!$K$27*('main page'!$K$24+'main page'!$K$11))/'main page'!$K$31)</f>
        <v>1</v>
      </c>
      <c r="AI151" s="44">
        <f ca="1">IF(controls!$B$45=1,LOG(AM151,1.01)+LOG(AL151,1.01)-LOG(AK151,1.01),-((T151-('main page'!$K$24+'main page'!$K$11))/(1-'normal case'!$AV$3))+'normal case'!AH151)</f>
        <v>2.0000000596046448</v>
      </c>
      <c r="AJ151" s="80">
        <f t="shared" ca="1" si="22"/>
        <v>1.0506250015463039</v>
      </c>
      <c r="AK151" s="44">
        <f t="shared" ca="1" si="23"/>
        <v>18.377303854385321</v>
      </c>
      <c r="AL151" s="44">
        <f>AL150*(1+'main page'!$K$32/100)</f>
        <v>1</v>
      </c>
      <c r="AM151" s="44">
        <f ca="1">IF(ABS(IF(controls!$B$45=1,$AS$13,AK151*AJ151/AL151)-AM150)&lt;0.00001,AM150,IF(controls!$B$45=1,$AS$13,AK151*AJ151/AL151))</f>
        <v>19.307654890430474</v>
      </c>
      <c r="AN151" s="44">
        <f>IF(controls!$B$46=0,0,IF(controls!$B$33=2,B152-B151*AC152-('normal case'!H152-D151*AD152-'main page'!$K$27*'normal case'!T151+'main page'!$K$31*'normal case'!AI151)-(('main page'!$K$25*'main page'!$U$13*'main page'!$K$29)/(1+('main page'!$K$25^2)*'main page'!$U$13))*('normal case'!L151-'main page'!$U$8),B152-B151*AC152-('normal case'!I152-D151*AD152-'main page'!$K$27*'normal case'!T151+'main page'!$K$31*'normal case'!AI151)-(('main page'!$K$25*'main page'!$U$13*'main page'!$K$29)/(1+('main page'!$K$25^2)*'main page'!$U$13))*('normal case'!L151-'main page'!$U$8)))</f>
        <v>0</v>
      </c>
      <c r="AU151" s="36"/>
      <c r="AV151" s="36"/>
    </row>
    <row r="152" spans="1:48">
      <c r="A152" s="43">
        <v>150</v>
      </c>
      <c r="B152" s="62">
        <f ca="1">IF(controls!$B$33=1,B151*(1+AC152)+AA152,B151*(1+AC152))</f>
        <v>101</v>
      </c>
      <c r="C152" s="67">
        <f t="shared" ca="1" si="24"/>
        <v>-1.5107707374006907E-7</v>
      </c>
      <c r="D152" s="64">
        <f t="shared" ca="1" si="20"/>
        <v>101.00000005960464</v>
      </c>
      <c r="E152" s="64">
        <f ca="1">AN151+IF(controls!$B$33=1,G152,F152)</f>
        <v>101.00000005960464</v>
      </c>
      <c r="F152" s="78">
        <f ca="1">IF(controls!$B$44=0,H152-'main page'!$K$27*T151,H152-'main page'!$K$27*T151+'main page'!$K$31*AI151)</f>
        <v>101.00000005960464</v>
      </c>
      <c r="G152" s="62">
        <f ca="1">IF(controls!$B$44=0,I152-'main page'!$K$27*T151,I152-'main page'!$K$27*T151+'main page'!$K$31*'normal case'!AI151)</f>
        <v>101.00000005960464</v>
      </c>
      <c r="H152" s="62">
        <f t="shared" ref="H152:H215" ca="1" si="26">H151+D151*AD152</f>
        <v>108</v>
      </c>
      <c r="I152" s="62">
        <f t="shared" ref="I152:I215" ca="1" si="27">I151+D151*AD152+AA152</f>
        <v>108</v>
      </c>
      <c r="L152" s="62">
        <f ca="1">IF(ABS('main page'!$K$29*L151+(1-'main page'!$K$29)*(controls!$B$9/100)*100+'main page'!$K$25*(D152-B152)-L151)&lt;0.0000001,L151,'main page'!$K$29*L151+(1-'main page'!$K$29)*(controls!$B$9/100)*100+'main page'!$K$25*(D152-B152))</f>
        <v>1.9999998807907104</v>
      </c>
      <c r="Q152" s="409">
        <f ca="1">(1-'main page'!$K$29)*($AS$11/100)*100+'main page'!$K$25*(D152-B152)</f>
        <v>5.9604644775390625E-8</v>
      </c>
      <c r="R152" s="409">
        <f>'main page'!G156+'main page'!$K$29*M151</f>
        <v>0</v>
      </c>
      <c r="S152" s="409">
        <f t="shared" ca="1" si="25"/>
        <v>5.9604644775390625E-8</v>
      </c>
      <c r="T152" s="79">
        <f ca="1">IF(controls!$B$10=1,T151,IF(SUM(controls!$B$44:$B$46)=2,U152-'main page'!$K$29*'normal case'!L152-(1-'main page'!$K$29)*'main page'!$K$32,U152-'main page'!$K$29*'normal case'!L152-(1-'main page'!$K$29)*controls!$B$9))</f>
        <v>3.4999999701976776</v>
      </c>
      <c r="U152" s="164">
        <f ca="1">IF(controls!$B$45=1,IF(controls!$B$46=1,'main page'!$K$24+'main page'!$K$11+'main page'!$U$8,'main page'!$K$24+'main page'!$K$11+'main page'!$K$32),IF(controls!$B$44=1,IF(V152&lt;0,0,V152),IF(V152+'main page'!$K$11&lt;0,0,V152+'main page'!$K$11)))</f>
        <v>5.4999998509883881</v>
      </c>
      <c r="V152" s="63">
        <f ca="1">IF(controls!$B$10=1,'normal case'!T152+'normal case'!L152,'normal case'!W152)</f>
        <v>5.4999998509883881</v>
      </c>
      <c r="W152" s="61">
        <f t="shared" ca="1" si="21"/>
        <v>5.4999998509883881</v>
      </c>
      <c r="X152" s="166">
        <f ca="1">IF(controls!$B$44=0,Y152+'main page'!$K$29*L152+(1-'main page'!$K$29)*controls!$B$9+(('main page'!$K$25*'main page'!$U$13*'main page'!$K$29)/('main page'!$K$27*(1+('main page'!$K$25^2)*'main page'!$U$13)))*(L152-controls!$B$9),Y152+'main page'!$K$29*L152+(1-'main page'!$K$29)*controls!$B$9+(('main page'!$K$25*'main page'!$U$13*'normal case'!$AV$3)/'normal case'!$AV$4)*('normal case'!L152-controls!$B$9))</f>
        <v>5.4999998509883881</v>
      </c>
      <c r="Y152" s="81">
        <f ca="1">IF(controls!$B$44=1,'main page'!$K$24+'main page'!$K$11,IF(controls!$B$33=1,((I153-D152*AD153-B153+B152*AC153)/'main page'!$K$27)-'main page'!$K$11,((H153-D152*AD153-B153+B152*AC153)/'main page'!$K$27)-'main page'!$K$11))</f>
        <v>3.5</v>
      </c>
      <c r="AA152" s="58">
        <f>IF(controls!$B$6=1,$AS$3*(1+('main page'!$K$35/100))^AB152-$AS$3*(1+('main page'!$K$35/100))^AB151,$AS$3*(1+('main page'!$G$8/100))*(1+('main page'!$K$35/100))^AB152-$AS$3*(1+('main page'!$G$8/100))*(1+('main page'!$K$35/100))^AB151)</f>
        <v>0</v>
      </c>
      <c r="AB152" s="60">
        <v>145</v>
      </c>
      <c r="AC152" s="125">
        <f ca="1">IF(controls!$B$4=1,IF(controls!$H151=1,controls!$B$34*AC151+RAND()*('main page'!$K$16/100)-RAND()*('main page'!$K$16/100),0),0)</f>
        <v>0</v>
      </c>
      <c r="AD152" s="36">
        <f ca="1">IF(controls!$B$4=1,IF(controls!$I151=1,controls!$B$34*AD151+RAND()*('main page'!$K$16/100)-RAND()*('main page'!$K$16/100),0),0)</f>
        <v>0</v>
      </c>
      <c r="AE152" s="44">
        <f ca="1">IF(controls!$B$33=1,D152-($I$3-'main page'!$K$27*2)*(1+('main page'!$K$35/100))^A151,D152-$AS$4)</f>
        <v>1.0000000596046448</v>
      </c>
      <c r="AF152" s="44">
        <f ca="1">ABS(L152-(controls!$B$9/100)*100)</f>
        <v>1.1920928955078125E-7</v>
      </c>
      <c r="AH152" s="44">
        <f ca="1">IF(controls!$B$33=1,(B153-B152*AC153-I153+D152*AD153+'main page'!$K$27*('main page'!$K$24+'main page'!$K$11))/'main page'!$K$31,(B153-B152*AC153+D152*AD153-H153+'main page'!$K$27*('main page'!$K$24+'main page'!$K$11))/'main page'!$K$31)</f>
        <v>1</v>
      </c>
      <c r="AI152" s="44">
        <f ca="1">IF(controls!$B$45=1,LOG(AM152,1.01)+LOG(AL152,1.01)-LOG(AK152,1.01),-((T152-('main page'!$K$24+'main page'!$K$11))/(1-'normal case'!$AV$3))+'normal case'!AH152)</f>
        <v>2.0000000596046448</v>
      </c>
      <c r="AJ152" s="80">
        <f t="shared" ca="1" si="22"/>
        <v>1.0506250015463039</v>
      </c>
      <c r="AK152" s="44">
        <f t="shared" ca="1" si="23"/>
        <v>18.744849909565573</v>
      </c>
      <c r="AL152" s="44">
        <f>AL151*(1+'main page'!$K$32/100)</f>
        <v>1</v>
      </c>
      <c r="AM152" s="44">
        <f ca="1">IF(ABS(IF(controls!$B$45=1,$AS$13,AK152*AJ152/AL152)-AM151)&lt;0.00001,AM151,IF(controls!$B$45=1,$AS$13,AK152*AJ152/AL152))</f>
        <v>19.693807965222565</v>
      </c>
      <c r="AN152" s="44">
        <f>IF(controls!$B$46=0,0,IF(controls!$B$33=2,B153-B152*AC153-('normal case'!H153-D152*AD153-'main page'!$K$27*'normal case'!T152+'main page'!$K$31*'normal case'!AI152)-(('main page'!$K$25*'main page'!$U$13*'main page'!$K$29)/(1+('main page'!$K$25^2)*'main page'!$U$13))*('normal case'!L152-'main page'!$U$8),B153-B152*AC153-('normal case'!I153-D152*AD153-'main page'!$K$27*'normal case'!T152+'main page'!$K$31*'normal case'!AI152)-(('main page'!$K$25*'main page'!$U$13*'main page'!$K$29)/(1+('main page'!$K$25^2)*'main page'!$U$13))*('normal case'!L152-'main page'!$U$8)))</f>
        <v>0</v>
      </c>
      <c r="AU152" s="36"/>
      <c r="AV152" s="36"/>
    </row>
    <row r="153" spans="1:48">
      <c r="A153" s="43">
        <v>151</v>
      </c>
      <c r="B153" s="62">
        <f ca="1">IF(controls!$B$33=1,B152*(1+AC153)+AA153,B152*(1+AC153))</f>
        <v>101</v>
      </c>
      <c r="C153" s="67">
        <f t="shared" ca="1" si="24"/>
        <v>-1.5107707374006907E-7</v>
      </c>
      <c r="D153" s="64">
        <f t="shared" ca="1" si="20"/>
        <v>101.00000005960464</v>
      </c>
      <c r="E153" s="64">
        <f ca="1">AN152+IF(controls!$B$33=1,G153,F153)</f>
        <v>101.00000005960464</v>
      </c>
      <c r="F153" s="78">
        <f ca="1">IF(controls!$B$44=0,H153-'main page'!$K$27*T152,H153-'main page'!$K$27*T152+'main page'!$K$31*AI152)</f>
        <v>101.00000005960464</v>
      </c>
      <c r="G153" s="62">
        <f ca="1">IF(controls!$B$44=0,I153-'main page'!$K$27*T152,I153-'main page'!$K$27*T152+'main page'!$K$31*'normal case'!AI152)</f>
        <v>101.00000005960464</v>
      </c>
      <c r="H153" s="62">
        <f t="shared" ca="1" si="26"/>
        <v>108</v>
      </c>
      <c r="I153" s="62">
        <f t="shared" ca="1" si="27"/>
        <v>108</v>
      </c>
      <c r="L153" s="62">
        <f ca="1">IF(ABS('main page'!$K$29*L152+(1-'main page'!$K$29)*(controls!$B$9/100)*100+'main page'!$K$25*(D153-B153)-L152)&lt;0.0000001,L152,'main page'!$K$29*L152+(1-'main page'!$K$29)*(controls!$B$9/100)*100+'main page'!$K$25*(D153-B153))</f>
        <v>1.9999998807907104</v>
      </c>
      <c r="Q153" s="409">
        <f ca="1">(1-'main page'!$K$29)*($AS$11/100)*100+'main page'!$K$25*(D153-B153)</f>
        <v>5.9604644775390625E-8</v>
      </c>
      <c r="R153" s="409">
        <f>'main page'!G157+'main page'!$K$29*M152</f>
        <v>0</v>
      </c>
      <c r="S153" s="409">
        <f t="shared" ca="1" si="25"/>
        <v>5.9604644775390625E-8</v>
      </c>
      <c r="T153" s="79">
        <f ca="1">IF(controls!$B$10=1,T152,IF(SUM(controls!$B$44:$B$46)=2,U153-'main page'!$K$29*'normal case'!L153-(1-'main page'!$K$29)*'main page'!$K$32,U153-'main page'!$K$29*'normal case'!L153-(1-'main page'!$K$29)*controls!$B$9))</f>
        <v>3.4999999701976776</v>
      </c>
      <c r="U153" s="164">
        <f ca="1">IF(controls!$B$45=1,IF(controls!$B$46=1,'main page'!$K$24+'main page'!$K$11+'main page'!$U$8,'main page'!$K$24+'main page'!$K$11+'main page'!$K$32),IF(controls!$B$44=1,IF(V153&lt;0,0,V153),IF(V153+'main page'!$K$11&lt;0,0,V153+'main page'!$K$11)))</f>
        <v>5.4999998509883881</v>
      </c>
      <c r="V153" s="63">
        <f ca="1">IF(controls!$B$10=1,'normal case'!T153+'normal case'!L153,'normal case'!W153)</f>
        <v>5.4999998509883881</v>
      </c>
      <c r="W153" s="61">
        <f t="shared" ca="1" si="21"/>
        <v>5.4999998509883881</v>
      </c>
      <c r="X153" s="166">
        <f ca="1">IF(controls!$B$44=0,Y153+'main page'!$K$29*L153+(1-'main page'!$K$29)*controls!$B$9+(('main page'!$K$25*'main page'!$U$13*'main page'!$K$29)/('main page'!$K$27*(1+('main page'!$K$25^2)*'main page'!$U$13)))*(L153-controls!$B$9),Y153+'main page'!$K$29*L153+(1-'main page'!$K$29)*controls!$B$9+(('main page'!$K$25*'main page'!$U$13*'normal case'!$AV$3)/'normal case'!$AV$4)*('normal case'!L153-controls!$B$9))</f>
        <v>5.4999998509883881</v>
      </c>
      <c r="Y153" s="81">
        <f ca="1">IF(controls!$B$44=1,'main page'!$K$24+'main page'!$K$11,IF(controls!$B$33=1,((I154-D153*AD154-B154+B153*AC154)/'main page'!$K$27)-'main page'!$K$11,((H154-D153*AD154-B154+B153*AC154)/'main page'!$K$27)-'main page'!$K$11))</f>
        <v>3.5</v>
      </c>
      <c r="AA153" s="58">
        <f>IF(controls!$B$6=1,$AS$3*(1+('main page'!$K$35/100))^AB153-$AS$3*(1+('main page'!$K$35/100))^AB152,$AS$3*(1+('main page'!$G$8/100))*(1+('main page'!$K$35/100))^AB153-$AS$3*(1+('main page'!$G$8/100))*(1+('main page'!$K$35/100))^AB152)</f>
        <v>0</v>
      </c>
      <c r="AB153" s="60">
        <v>146</v>
      </c>
      <c r="AC153" s="125">
        <v>0</v>
      </c>
      <c r="AD153" s="36">
        <v>0</v>
      </c>
      <c r="AE153" s="44">
        <f ca="1">IF(controls!$B$33=1,D153-($I$3-'main page'!$K$27*2)*(1+('main page'!$K$35/100))^A152,D153-$AS$4)</f>
        <v>1.0000000596046448</v>
      </c>
      <c r="AF153" s="44">
        <f ca="1">ABS(L153-(controls!$B$9/100)*100)</f>
        <v>1.1920928955078125E-7</v>
      </c>
      <c r="AH153" s="44">
        <f ca="1">IF(controls!$B$33=1,(B154-B153*AC154-I154+D153*AD154+'main page'!$K$27*('main page'!$K$24+'main page'!$K$11))/'main page'!$K$31,(B154-B153*AC154+D153*AD154-H154+'main page'!$K$27*('main page'!$K$24+'main page'!$K$11))/'main page'!$K$31)</f>
        <v>1</v>
      </c>
      <c r="AI153" s="44">
        <f ca="1">IF(controls!$B$45=1,LOG(AM153,1.01)+LOG(AL153,1.01)-LOG(AK153,1.01),-((T153-('main page'!$K$24+'main page'!$K$11))/(1-'normal case'!$AV$3))+'normal case'!AH153)</f>
        <v>2.0000000596046448</v>
      </c>
      <c r="AJ153" s="80">
        <f t="shared" ca="1" si="22"/>
        <v>1.0506250015463039</v>
      </c>
      <c r="AK153" s="44">
        <f t="shared" ca="1" si="23"/>
        <v>19.119746885411285</v>
      </c>
      <c r="AL153" s="44">
        <f>AL152*(1+'main page'!$K$32/100)</f>
        <v>1</v>
      </c>
      <c r="AM153" s="44">
        <f ca="1">IF(ABS(IF(controls!$B$45=1,$AS$13,AK153*AJ153/AL153)-AM152)&lt;0.00001,AM152,IF(controls!$B$45=1,$AS$13,AK153*AJ153/AL153))</f>
        <v>20.087684101050169</v>
      </c>
      <c r="AN153" s="44">
        <f>IF(controls!$B$46=0,0,IF(controls!$B$33=2,B154-B153*AC154-('normal case'!H154-D153*AD154-'main page'!$K$27*'normal case'!T153+'main page'!$K$31*'normal case'!AI153)-(('main page'!$K$25*'main page'!$U$13*'main page'!$K$29)/(1+('main page'!$K$25^2)*'main page'!$U$13))*('normal case'!L153-'main page'!$U$8),B154-B153*AC154-('normal case'!I154-D153*AD154-'main page'!$K$27*'normal case'!T153+'main page'!$K$31*'normal case'!AI153)-(('main page'!$K$25*'main page'!$U$13*'main page'!$K$29)/(1+('main page'!$K$25^2)*'main page'!$U$13))*('normal case'!L153-'main page'!$U$8)))</f>
        <v>0</v>
      </c>
      <c r="AU153" s="36"/>
      <c r="AV153" s="36"/>
    </row>
    <row r="154" spans="1:48">
      <c r="A154" s="43">
        <v>152</v>
      </c>
      <c r="B154" s="62">
        <f ca="1">IF(controls!$B$33=1,B153*(1+AC154)+AA154,B153*(1+AC154))</f>
        <v>101</v>
      </c>
      <c r="C154" s="67">
        <f t="shared" ca="1" si="24"/>
        <v>-1.5107707374006907E-7</v>
      </c>
      <c r="D154" s="64">
        <f t="shared" ca="1" si="20"/>
        <v>101.00000005960464</v>
      </c>
      <c r="E154" s="64">
        <f ca="1">AN153+IF(controls!$B$33=1,G154,F154)</f>
        <v>101.00000005960464</v>
      </c>
      <c r="F154" s="78">
        <f ca="1">IF(controls!$B$44=0,H154-'main page'!$K$27*T153,H154-'main page'!$K$27*T153+'main page'!$K$31*AI153)</f>
        <v>101.00000005960464</v>
      </c>
      <c r="G154" s="62">
        <f ca="1">IF(controls!$B$44=0,I154-'main page'!$K$27*T153,I154-'main page'!$K$27*T153+'main page'!$K$31*'normal case'!AI153)</f>
        <v>101.00000005960464</v>
      </c>
      <c r="H154" s="62">
        <f t="shared" ca="1" si="26"/>
        <v>108</v>
      </c>
      <c r="I154" s="62">
        <f t="shared" ca="1" si="27"/>
        <v>108</v>
      </c>
      <c r="L154" s="62">
        <f ca="1">IF(ABS('main page'!$K$29*L153+(1-'main page'!$K$29)*(controls!$B$9/100)*100+'main page'!$K$25*(D154-B154)-L153)&lt;0.0000001,L153,'main page'!$K$29*L153+(1-'main page'!$K$29)*(controls!$B$9/100)*100+'main page'!$K$25*(D154-B154))</f>
        <v>1.9999998807907104</v>
      </c>
      <c r="Q154" s="409">
        <f ca="1">(1-'main page'!$K$29)*($AS$11/100)*100+'main page'!$K$25*(D154-B154)</f>
        <v>5.9604644775390625E-8</v>
      </c>
      <c r="R154" s="409">
        <f>'main page'!G158+'main page'!$K$29*M153</f>
        <v>0</v>
      </c>
      <c r="S154" s="409">
        <f t="shared" ca="1" si="25"/>
        <v>5.9604644775390625E-8</v>
      </c>
      <c r="T154" s="79">
        <f ca="1">IF(controls!$B$10=1,T153,IF(SUM(controls!$B$44:$B$46)=2,U154-'main page'!$K$29*'normal case'!L154-(1-'main page'!$K$29)*'main page'!$K$32,U154-'main page'!$K$29*'normal case'!L154-(1-'main page'!$K$29)*controls!$B$9))</f>
        <v>3.4999999701976776</v>
      </c>
      <c r="U154" s="164">
        <f ca="1">IF(controls!$B$45=1,IF(controls!$B$46=1,'main page'!$K$24+'main page'!$K$11+'main page'!$U$8,'main page'!$K$24+'main page'!$K$11+'main page'!$K$32),IF(controls!$B$44=1,IF(V154&lt;0,0,V154),IF(V154+'main page'!$K$11&lt;0,0,V154+'main page'!$K$11)))</f>
        <v>5.4999998509883881</v>
      </c>
      <c r="V154" s="63">
        <f ca="1">IF(controls!$B$10=1,'normal case'!T154+'normal case'!L154,'normal case'!W154)</f>
        <v>5.4999998509883881</v>
      </c>
      <c r="W154" s="61">
        <f t="shared" ca="1" si="21"/>
        <v>5.4999998509883881</v>
      </c>
      <c r="X154" s="166">
        <f ca="1">IF(controls!$B$44=0,Y154+'main page'!$K$29*L154+(1-'main page'!$K$29)*controls!$B$9+(('main page'!$K$25*'main page'!$U$13*'main page'!$K$29)/('main page'!$K$27*(1+('main page'!$K$25^2)*'main page'!$U$13)))*(L154-controls!$B$9),Y154+'main page'!$K$29*L154+(1-'main page'!$K$29)*controls!$B$9+(('main page'!$K$25*'main page'!$U$13*'normal case'!$AV$3)/'normal case'!$AV$4)*('normal case'!L154-controls!$B$9))</f>
        <v>5.4999998509883881</v>
      </c>
      <c r="Y154" s="81">
        <f ca="1">IF(controls!$B$44=1,'main page'!$K$24+'main page'!$K$11,IF(controls!$B$33=1,((I155-D154*AD155-B155+B154*AC155)/'main page'!$K$27)-'main page'!$K$11,((H155-D154*AD155-B155+B154*AC155)/'main page'!$K$27)-'main page'!$K$11))</f>
        <v>3.5</v>
      </c>
      <c r="AA154" s="58">
        <f>IF(controls!$B$6=1,$AS$3*(1+('main page'!$K$35/100))^AB154-$AS$3*(1+('main page'!$K$35/100))^AB153,$AS$3*(1+('main page'!$G$8/100))*(1+('main page'!$K$35/100))^AB154-$AS$3*(1+('main page'!$G$8/100))*(1+('main page'!$K$35/100))^AB153)</f>
        <v>0</v>
      </c>
      <c r="AB154" s="60">
        <v>147</v>
      </c>
      <c r="AC154" s="125">
        <v>0</v>
      </c>
      <c r="AD154" s="36">
        <v>0</v>
      </c>
      <c r="AE154" s="44">
        <f ca="1">IF(controls!$B$33=1,D154-($I$3-'main page'!$K$27*2)*(1+('main page'!$K$35/100))^A153,D154-$AS$4)</f>
        <v>1.0000000596046448</v>
      </c>
      <c r="AF154" s="44">
        <f ca="1">ABS(L154-(controls!$B$9/100)*100)</f>
        <v>1.1920928955078125E-7</v>
      </c>
      <c r="AH154" s="44">
        <f ca="1">IF(controls!$B$33=1,(B155-B154*AC155-I155+D154*AD155+'main page'!$K$27*('main page'!$K$24+'main page'!$K$11))/'main page'!$K$31,(B155-B154*AC155+D154*AD155-H155+'main page'!$K$27*('main page'!$K$24+'main page'!$K$11))/'main page'!$K$31)</f>
        <v>1</v>
      </c>
      <c r="AI154" s="44">
        <f ca="1">IF(controls!$B$45=1,LOG(AM154,1.01)+LOG(AL154,1.01)-LOG(AK154,1.01),-((T154-('main page'!$K$24+'main page'!$K$11))/(1-'normal case'!$AV$3))+'normal case'!AH154)</f>
        <v>2.0000000596046448</v>
      </c>
      <c r="AJ154" s="80">
        <f t="shared" ca="1" si="22"/>
        <v>1.0506250015463039</v>
      </c>
      <c r="AK154" s="44">
        <f t="shared" ca="1" si="23"/>
        <v>19.502141800326996</v>
      </c>
      <c r="AL154" s="44">
        <f>AL153*(1+'main page'!$K$32/100)</f>
        <v>1</v>
      </c>
      <c r="AM154" s="44">
        <f ca="1">IF(ABS(IF(controls!$B$45=1,$AS$13,AK154*AJ154/AL154)-AM153)&lt;0.00001,AM153,IF(controls!$B$45=1,$AS$13,AK154*AJ154/AL154))</f>
        <v>20.489437759124787</v>
      </c>
      <c r="AN154" s="44">
        <f>IF(controls!$B$46=0,0,IF(controls!$B$33=2,B155-B154*AC155-('normal case'!H155-D154*AD155-'main page'!$K$27*'normal case'!T154+'main page'!$K$31*'normal case'!AI154)-(('main page'!$K$25*'main page'!$U$13*'main page'!$K$29)/(1+('main page'!$K$25^2)*'main page'!$U$13))*('normal case'!L154-'main page'!$U$8),B155-B154*AC155-('normal case'!I155-D154*AD155-'main page'!$K$27*'normal case'!T154+'main page'!$K$31*'normal case'!AI154)-(('main page'!$K$25*'main page'!$U$13*'main page'!$K$29)/(1+('main page'!$K$25^2)*'main page'!$U$13))*('normal case'!L154-'main page'!$U$8)))</f>
        <v>0</v>
      </c>
      <c r="AU154" s="36"/>
      <c r="AV154" s="36"/>
    </row>
    <row r="155" spans="1:48">
      <c r="A155" s="43">
        <v>153</v>
      </c>
      <c r="B155" s="62">
        <f ca="1">IF(controls!$B$33=1,B154*(1+AC155)+AA155,B154*(1+AC155))</f>
        <v>101</v>
      </c>
      <c r="C155" s="67">
        <f t="shared" ca="1" si="24"/>
        <v>-1.5107707374006907E-7</v>
      </c>
      <c r="D155" s="64">
        <f t="shared" ca="1" si="20"/>
        <v>101.00000005960464</v>
      </c>
      <c r="E155" s="64">
        <f ca="1">AN154+IF(controls!$B$33=1,G155,F155)</f>
        <v>101.00000005960464</v>
      </c>
      <c r="F155" s="78">
        <f ca="1">IF(controls!$B$44=0,H155-'main page'!$K$27*T154,H155-'main page'!$K$27*T154+'main page'!$K$31*AI154)</f>
        <v>101.00000005960464</v>
      </c>
      <c r="G155" s="62">
        <f ca="1">IF(controls!$B$44=0,I155-'main page'!$K$27*T154,I155-'main page'!$K$27*T154+'main page'!$K$31*'normal case'!AI154)</f>
        <v>101.00000005960464</v>
      </c>
      <c r="H155" s="62">
        <f t="shared" ca="1" si="26"/>
        <v>108</v>
      </c>
      <c r="I155" s="62">
        <f t="shared" ca="1" si="27"/>
        <v>108</v>
      </c>
      <c r="L155" s="62">
        <f ca="1">IF(ABS('main page'!$K$29*L154+(1-'main page'!$K$29)*(controls!$B$9/100)*100+'main page'!$K$25*(D155-B155)-L154)&lt;0.0000001,L154,'main page'!$K$29*L154+(1-'main page'!$K$29)*(controls!$B$9/100)*100+'main page'!$K$25*(D155-B155))</f>
        <v>1.9999998807907104</v>
      </c>
      <c r="Q155" s="409">
        <f ca="1">(1-'main page'!$K$29)*($AS$11/100)*100+'main page'!$K$25*(D155-B155)</f>
        <v>5.9604644775390625E-8</v>
      </c>
      <c r="R155" s="409">
        <f>'main page'!G159+'main page'!$K$29*M154</f>
        <v>0</v>
      </c>
      <c r="S155" s="409">
        <f t="shared" ca="1" si="25"/>
        <v>5.9604644775390625E-8</v>
      </c>
      <c r="T155" s="79">
        <f ca="1">IF(controls!$B$10=1,T154,IF(SUM(controls!$B$44:$B$46)=2,U155-'main page'!$K$29*'normal case'!L155-(1-'main page'!$K$29)*'main page'!$K$32,U155-'main page'!$K$29*'normal case'!L155-(1-'main page'!$K$29)*controls!$B$9))</f>
        <v>3.4999999701976776</v>
      </c>
      <c r="U155" s="164">
        <f ca="1">IF(controls!$B$45=1,IF(controls!$B$46=1,'main page'!$K$24+'main page'!$K$11+'main page'!$U$8,'main page'!$K$24+'main page'!$K$11+'main page'!$K$32),IF(controls!$B$44=1,IF(V155&lt;0,0,V155),IF(V155+'main page'!$K$11&lt;0,0,V155+'main page'!$K$11)))</f>
        <v>5.4999998509883881</v>
      </c>
      <c r="V155" s="63">
        <f ca="1">IF(controls!$B$10=1,'normal case'!T155+'normal case'!L155,'normal case'!W155)</f>
        <v>5.4999998509883881</v>
      </c>
      <c r="W155" s="61">
        <f t="shared" ca="1" si="21"/>
        <v>5.4999998509883881</v>
      </c>
      <c r="X155" s="166">
        <f ca="1">IF(controls!$B$44=0,Y155+'main page'!$K$29*L155+(1-'main page'!$K$29)*controls!$B$9+(('main page'!$K$25*'main page'!$U$13*'main page'!$K$29)/('main page'!$K$27*(1+('main page'!$K$25^2)*'main page'!$U$13)))*(L155-controls!$B$9),Y155+'main page'!$K$29*L155+(1-'main page'!$K$29)*controls!$B$9+(('main page'!$K$25*'main page'!$U$13*'normal case'!$AV$3)/'normal case'!$AV$4)*('normal case'!L155-controls!$B$9))</f>
        <v>5.4999998509883881</v>
      </c>
      <c r="Y155" s="81">
        <f ca="1">IF(controls!$B$44=1,'main page'!$K$24+'main page'!$K$11,IF(controls!$B$33=1,((I156-D155*AD156-B156+B155*AC156)/'main page'!$K$27)-'main page'!$K$11,((H156-D155*AD156-B156+B155*AC156)/'main page'!$K$27)-'main page'!$K$11))</f>
        <v>3.5</v>
      </c>
      <c r="AA155" s="58">
        <f>IF(controls!$B$6=1,$AS$3*(1+('main page'!$K$35/100))^AB155-$AS$3*(1+('main page'!$K$35/100))^AB154,$AS$3*(1+('main page'!$G$8/100))*(1+('main page'!$K$35/100))^AB155-$AS$3*(1+('main page'!$G$8/100))*(1+('main page'!$K$35/100))^AB154)</f>
        <v>0</v>
      </c>
      <c r="AB155" s="60">
        <v>148</v>
      </c>
      <c r="AC155" s="125">
        <f ca="1">IF(controls!$B$4=1,IF(controls!$H154=1,controls!$B$34*AC154+RAND()*('main page'!$K$16/100)-RAND()*('main page'!$K$16/100),0),0)</f>
        <v>0</v>
      </c>
      <c r="AD155" s="36">
        <f ca="1">IF(controls!$B$4=1,IF(controls!$I154=1,controls!$B$34*AD154+RAND()*('main page'!$K$16/100)-RAND()*('main page'!$K$16/100),0),0)</f>
        <v>0</v>
      </c>
      <c r="AE155" s="44">
        <f ca="1">IF(controls!$B$33=1,D155-($I$3-'main page'!$K$27*2)*(1+('main page'!$K$35/100))^A154,D155-$AS$4)</f>
        <v>1.0000000596046448</v>
      </c>
      <c r="AF155" s="44">
        <f ca="1">ABS(L155-(controls!$B$9/100)*100)</f>
        <v>1.1920928955078125E-7</v>
      </c>
      <c r="AH155" s="44">
        <f ca="1">IF(controls!$B$33=1,(B156-B155*AC156-I156+D155*AD156+'main page'!$K$27*('main page'!$K$24+'main page'!$K$11))/'main page'!$K$31,(B156-B155*AC156+D155*AD156-H156+'main page'!$K$27*('main page'!$K$24+'main page'!$K$11))/'main page'!$K$31)</f>
        <v>1</v>
      </c>
      <c r="AI155" s="44">
        <f ca="1">IF(controls!$B$45=1,LOG(AM155,1.01)+LOG(AL155,1.01)-LOG(AK155,1.01),-((T155-('main page'!$K$24+'main page'!$K$11))/(1-'normal case'!$AV$3))+'normal case'!AH155)</f>
        <v>2.0000000596046448</v>
      </c>
      <c r="AJ155" s="80">
        <f t="shared" ca="1" si="22"/>
        <v>1.0506250015463039</v>
      </c>
      <c r="AK155" s="44">
        <f t="shared" ca="1" si="23"/>
        <v>19.89218461308517</v>
      </c>
      <c r="AL155" s="44">
        <f>AL154*(1+'main page'!$K$32/100)</f>
        <v>1</v>
      </c>
      <c r="AM155" s="44">
        <f ca="1">IF(ABS(IF(controls!$B$45=1,$AS$13,AK155*AJ155/AL155)-AM154)&lt;0.00001,AM154,IF(controls!$B$45=1,$AS$13,AK155*AJ155/AL155))</f>
        <v>20.899226489881968</v>
      </c>
      <c r="AN155" s="44">
        <f>IF(controls!$B$46=0,0,IF(controls!$B$33=2,B156-B155*AC156-('normal case'!H156-D155*AD156-'main page'!$K$27*'normal case'!T155+'main page'!$K$31*'normal case'!AI155)-(('main page'!$K$25*'main page'!$U$13*'main page'!$K$29)/(1+('main page'!$K$25^2)*'main page'!$U$13))*('normal case'!L155-'main page'!$U$8),B156-B155*AC156-('normal case'!I156-D155*AD156-'main page'!$K$27*'normal case'!T155+'main page'!$K$31*'normal case'!AI155)-(('main page'!$K$25*'main page'!$U$13*'main page'!$K$29)/(1+('main page'!$K$25^2)*'main page'!$U$13))*('normal case'!L155-'main page'!$U$8)))</f>
        <v>0</v>
      </c>
      <c r="AU155" s="36"/>
      <c r="AV155" s="36"/>
    </row>
    <row r="156" spans="1:48">
      <c r="A156" s="43">
        <v>154</v>
      </c>
      <c r="B156" s="62">
        <f ca="1">IF(controls!$B$33=1,B155*(1+AC156)+AA156,B155*(1+AC156))</f>
        <v>101</v>
      </c>
      <c r="C156" s="67">
        <f t="shared" ca="1" si="24"/>
        <v>-1.5107707374006907E-7</v>
      </c>
      <c r="D156" s="64">
        <f t="shared" ca="1" si="20"/>
        <v>101.00000005960464</v>
      </c>
      <c r="E156" s="64">
        <f ca="1">AN155+IF(controls!$B$33=1,G156,F156)</f>
        <v>101.00000005960464</v>
      </c>
      <c r="F156" s="78">
        <f ca="1">IF(controls!$B$44=0,H156-'main page'!$K$27*T155,H156-'main page'!$K$27*T155+'main page'!$K$31*AI155)</f>
        <v>101.00000005960464</v>
      </c>
      <c r="G156" s="62">
        <f ca="1">IF(controls!$B$44=0,I156-'main page'!$K$27*T155,I156-'main page'!$K$27*T155+'main page'!$K$31*'normal case'!AI155)</f>
        <v>101.00000005960464</v>
      </c>
      <c r="H156" s="62">
        <f t="shared" ca="1" si="26"/>
        <v>108</v>
      </c>
      <c r="I156" s="62">
        <f t="shared" ca="1" si="27"/>
        <v>108</v>
      </c>
      <c r="L156" s="62">
        <f ca="1">IF(ABS('main page'!$K$29*L155+(1-'main page'!$K$29)*(controls!$B$9/100)*100+'main page'!$K$25*(D156-B156)-L155)&lt;0.0000001,L155,'main page'!$K$29*L155+(1-'main page'!$K$29)*(controls!$B$9/100)*100+'main page'!$K$25*(D156-B156))</f>
        <v>1.9999998807907104</v>
      </c>
      <c r="Q156" s="409">
        <f ca="1">(1-'main page'!$K$29)*($AS$11/100)*100+'main page'!$K$25*(D156-B156)</f>
        <v>5.9604644775390625E-8</v>
      </c>
      <c r="R156" s="409">
        <f>'main page'!G160+'main page'!$K$29*M155</f>
        <v>0</v>
      </c>
      <c r="S156" s="409">
        <f t="shared" ca="1" si="25"/>
        <v>5.9604644775390625E-8</v>
      </c>
      <c r="T156" s="79">
        <f ca="1">IF(controls!$B$10=1,T155,IF(SUM(controls!$B$44:$B$46)=2,U156-'main page'!$K$29*'normal case'!L156-(1-'main page'!$K$29)*'main page'!$K$32,U156-'main page'!$K$29*'normal case'!L156-(1-'main page'!$K$29)*controls!$B$9))</f>
        <v>3.4999999701976776</v>
      </c>
      <c r="U156" s="164">
        <f ca="1">IF(controls!$B$45=1,IF(controls!$B$46=1,'main page'!$K$24+'main page'!$K$11+'main page'!$U$8,'main page'!$K$24+'main page'!$K$11+'main page'!$K$32),IF(controls!$B$44=1,IF(V156&lt;0,0,V156),IF(V156+'main page'!$K$11&lt;0,0,V156+'main page'!$K$11)))</f>
        <v>5.4999998509883881</v>
      </c>
      <c r="V156" s="63">
        <f ca="1">IF(controls!$B$10=1,'normal case'!T156+'normal case'!L156,'normal case'!W156)</f>
        <v>5.4999998509883881</v>
      </c>
      <c r="W156" s="61">
        <f t="shared" ca="1" si="21"/>
        <v>5.4999998509883881</v>
      </c>
      <c r="X156" s="166">
        <f ca="1">IF(controls!$B$44=0,Y156+'main page'!$K$29*L156+(1-'main page'!$K$29)*controls!$B$9+(('main page'!$K$25*'main page'!$U$13*'main page'!$K$29)/('main page'!$K$27*(1+('main page'!$K$25^2)*'main page'!$U$13)))*(L156-controls!$B$9),Y156+'main page'!$K$29*L156+(1-'main page'!$K$29)*controls!$B$9+(('main page'!$K$25*'main page'!$U$13*'normal case'!$AV$3)/'normal case'!$AV$4)*('normal case'!L156-controls!$B$9))</f>
        <v>5.4999998509883881</v>
      </c>
      <c r="Y156" s="81">
        <f ca="1">IF(controls!$B$44=1,'main page'!$K$24+'main page'!$K$11,IF(controls!$B$33=1,((I157-D156*AD157-B157+B156*AC157)/'main page'!$K$27)-'main page'!$K$11,((H157-D156*AD157-B157+B156*AC157)/'main page'!$K$27)-'main page'!$K$11))</f>
        <v>3.5</v>
      </c>
      <c r="AA156" s="58">
        <f>IF(controls!$B$6=1,$AS$3*(1+('main page'!$K$35/100))^AB156-$AS$3*(1+('main page'!$K$35/100))^AB155,$AS$3*(1+('main page'!$G$8/100))*(1+('main page'!$K$35/100))^AB156-$AS$3*(1+('main page'!$G$8/100))*(1+('main page'!$K$35/100))^AB155)</f>
        <v>0</v>
      </c>
      <c r="AB156" s="60">
        <v>149</v>
      </c>
      <c r="AC156" s="125">
        <v>0</v>
      </c>
      <c r="AD156" s="36">
        <v>0</v>
      </c>
      <c r="AE156" s="44">
        <f ca="1">IF(controls!$B$33=1,D156-($I$3-'main page'!$K$27*2)*(1+('main page'!$K$35/100))^A155,D156-$AS$4)</f>
        <v>1.0000000596046448</v>
      </c>
      <c r="AF156" s="44">
        <f ca="1">ABS(L156-(controls!$B$9/100)*100)</f>
        <v>1.1920928955078125E-7</v>
      </c>
      <c r="AH156" s="44">
        <f ca="1">IF(controls!$B$33=1,(B157-B156*AC157-I157+D156*AD157+'main page'!$K$27*('main page'!$K$24+'main page'!$K$11))/'main page'!$K$31,(B157-B156*AC157+D156*AD157-H157+'main page'!$K$27*('main page'!$K$24+'main page'!$K$11))/'main page'!$K$31)</f>
        <v>1</v>
      </c>
      <c r="AI156" s="44">
        <f ca="1">IF(controls!$B$45=1,LOG(AM156,1.01)+LOG(AL156,1.01)-LOG(AK156,1.01),-((T156-('main page'!$K$24+'main page'!$K$11))/(1-'normal case'!$AV$3))+'normal case'!AH156)</f>
        <v>2.0000000596046448</v>
      </c>
      <c r="AJ156" s="80">
        <f t="shared" ca="1" si="22"/>
        <v>1.0506250015463039</v>
      </c>
      <c r="AK156" s="44">
        <f t="shared" ca="1" si="23"/>
        <v>20.290028281633543</v>
      </c>
      <c r="AL156" s="44">
        <f>AL155*(1+'main page'!$K$32/100)</f>
        <v>1</v>
      </c>
      <c r="AM156" s="44">
        <f ca="1">IF(ABS(IF(controls!$B$45=1,$AS$13,AK156*AJ156/AL156)-AM155)&lt;0.00001,AM155,IF(controls!$B$45=1,$AS$13,AK156*AJ156/AL156))</f>
        <v>21.317210994765791</v>
      </c>
      <c r="AN156" s="44">
        <f>IF(controls!$B$46=0,0,IF(controls!$B$33=2,B157-B156*AC157-('normal case'!H157-D156*AD157-'main page'!$K$27*'normal case'!T156+'main page'!$K$31*'normal case'!AI156)-(('main page'!$K$25*'main page'!$U$13*'main page'!$K$29)/(1+('main page'!$K$25^2)*'main page'!$U$13))*('normal case'!L156-'main page'!$U$8),B157-B156*AC157-('normal case'!I157-D156*AD157-'main page'!$K$27*'normal case'!T156+'main page'!$K$31*'normal case'!AI156)-(('main page'!$K$25*'main page'!$U$13*'main page'!$K$29)/(1+('main page'!$K$25^2)*'main page'!$U$13))*('normal case'!L156-'main page'!$U$8)))</f>
        <v>0</v>
      </c>
      <c r="AU156" s="36"/>
      <c r="AV156" s="36"/>
    </row>
    <row r="157" spans="1:48">
      <c r="A157" s="43">
        <v>155</v>
      </c>
      <c r="B157" s="62">
        <f ca="1">IF(controls!$B$33=1,B156*(1+AC157)+AA157,B156*(1+AC157))</f>
        <v>101</v>
      </c>
      <c r="C157" s="67">
        <f t="shared" ca="1" si="24"/>
        <v>-1.5107707374006907E-7</v>
      </c>
      <c r="D157" s="64">
        <f t="shared" ca="1" si="20"/>
        <v>101.00000005960464</v>
      </c>
      <c r="E157" s="64">
        <f ca="1">AN156+IF(controls!$B$33=1,G157,F157)</f>
        <v>101.00000005960464</v>
      </c>
      <c r="F157" s="78">
        <f ca="1">IF(controls!$B$44=0,H157-'main page'!$K$27*T156,H157-'main page'!$K$27*T156+'main page'!$K$31*AI156)</f>
        <v>101.00000005960464</v>
      </c>
      <c r="G157" s="62">
        <f ca="1">IF(controls!$B$44=0,I157-'main page'!$K$27*T156,I157-'main page'!$K$27*T156+'main page'!$K$31*'normal case'!AI156)</f>
        <v>101.00000005960464</v>
      </c>
      <c r="H157" s="62">
        <f t="shared" ca="1" si="26"/>
        <v>108</v>
      </c>
      <c r="I157" s="62">
        <f t="shared" ca="1" si="27"/>
        <v>108</v>
      </c>
      <c r="L157" s="62">
        <f ca="1">IF(ABS('main page'!$K$29*L156+(1-'main page'!$K$29)*(controls!$B$9/100)*100+'main page'!$K$25*(D157-B157)-L156)&lt;0.0000001,L156,'main page'!$K$29*L156+(1-'main page'!$K$29)*(controls!$B$9/100)*100+'main page'!$K$25*(D157-B157))</f>
        <v>1.9999998807907104</v>
      </c>
      <c r="Q157" s="409">
        <f ca="1">(1-'main page'!$K$29)*($AS$11/100)*100+'main page'!$K$25*(D157-B157)</f>
        <v>5.9604644775390625E-8</v>
      </c>
      <c r="R157" s="409">
        <f>'main page'!G161+'main page'!$K$29*M156</f>
        <v>0</v>
      </c>
      <c r="S157" s="409">
        <f t="shared" ca="1" si="25"/>
        <v>5.9604644775390625E-8</v>
      </c>
      <c r="T157" s="79">
        <f ca="1">IF(controls!$B$10=1,T156,IF(SUM(controls!$B$44:$B$46)=2,U157-'main page'!$K$29*'normal case'!L157-(1-'main page'!$K$29)*'main page'!$K$32,U157-'main page'!$K$29*'normal case'!L157-(1-'main page'!$K$29)*controls!$B$9))</f>
        <v>3.4999999701976776</v>
      </c>
      <c r="U157" s="164">
        <f ca="1">IF(controls!$B$45=1,IF(controls!$B$46=1,'main page'!$K$24+'main page'!$K$11+'main page'!$U$8,'main page'!$K$24+'main page'!$K$11+'main page'!$K$32),IF(controls!$B$44=1,IF(V157&lt;0,0,V157),IF(V157+'main page'!$K$11&lt;0,0,V157+'main page'!$K$11)))</f>
        <v>5.4999998509883881</v>
      </c>
      <c r="V157" s="63">
        <f ca="1">IF(controls!$B$10=1,'normal case'!T157+'normal case'!L157,'normal case'!W157)</f>
        <v>5.4999998509883881</v>
      </c>
      <c r="W157" s="61">
        <f t="shared" ca="1" si="21"/>
        <v>5.4999998509883881</v>
      </c>
      <c r="X157" s="166">
        <f ca="1">IF(controls!$B$44=0,Y157+'main page'!$K$29*L157+(1-'main page'!$K$29)*controls!$B$9+(('main page'!$K$25*'main page'!$U$13*'main page'!$K$29)/('main page'!$K$27*(1+('main page'!$K$25^2)*'main page'!$U$13)))*(L157-controls!$B$9),Y157+'main page'!$K$29*L157+(1-'main page'!$K$29)*controls!$B$9+(('main page'!$K$25*'main page'!$U$13*'normal case'!$AV$3)/'normal case'!$AV$4)*('normal case'!L157-controls!$B$9))</f>
        <v>5.4999998509883881</v>
      </c>
      <c r="Y157" s="81">
        <f ca="1">IF(controls!$B$44=1,'main page'!$K$24+'main page'!$K$11,IF(controls!$B$33=1,((I158-D157*AD158-B158+B157*AC158)/'main page'!$K$27)-'main page'!$K$11,((H158-D157*AD158-B158+B157*AC158)/'main page'!$K$27)-'main page'!$K$11))</f>
        <v>3.5</v>
      </c>
      <c r="AA157" s="58">
        <f>IF(controls!$B$6=1,$AS$3*(1+('main page'!$K$35/100))^AB157-$AS$3*(1+('main page'!$K$35/100))^AB156,$AS$3*(1+('main page'!$G$8/100))*(1+('main page'!$K$35/100))^AB157-$AS$3*(1+('main page'!$G$8/100))*(1+('main page'!$K$35/100))^AB156)</f>
        <v>0</v>
      </c>
      <c r="AB157" s="60">
        <v>150</v>
      </c>
      <c r="AC157" s="125">
        <v>0</v>
      </c>
      <c r="AD157" s="36">
        <v>0</v>
      </c>
      <c r="AE157" s="44">
        <f ca="1">IF(controls!$B$33=1,D157-($I$3-'main page'!$K$27*2)*(1+('main page'!$K$35/100))^A156,D157-$AS$4)</f>
        <v>1.0000000596046448</v>
      </c>
      <c r="AF157" s="44">
        <f ca="1">ABS(L157-(controls!$B$9/100)*100)</f>
        <v>1.1920928955078125E-7</v>
      </c>
      <c r="AH157" s="44">
        <f ca="1">IF(controls!$B$33=1,(B158-B157*AC158-I158+D157*AD158+'main page'!$K$27*('main page'!$K$24+'main page'!$K$11))/'main page'!$K$31,(B158-B157*AC158+D157*AD158-H158+'main page'!$K$27*('main page'!$K$24+'main page'!$K$11))/'main page'!$K$31)</f>
        <v>1</v>
      </c>
      <c r="AI157" s="44">
        <f ca="1">IF(controls!$B$45=1,LOG(AM157,1.01)+LOG(AL157,1.01)-LOG(AK157,1.01),-((T157-('main page'!$K$24+'main page'!$K$11))/(1-'normal case'!$AV$3))+'normal case'!AH157)</f>
        <v>2.0000000596046448</v>
      </c>
      <c r="AJ157" s="80">
        <f t="shared" ca="1" si="22"/>
        <v>1.0506250015463039</v>
      </c>
      <c r="AK157" s="44">
        <f t="shared" ca="1" si="23"/>
        <v>20.695828823078617</v>
      </c>
      <c r="AL157" s="44">
        <f>AL156*(1+'main page'!$K$32/100)</f>
        <v>1</v>
      </c>
      <c r="AM157" s="44">
        <f ca="1">IF(ABS(IF(controls!$B$45=1,$AS$13,AK157*AJ157/AL157)-AM156)&lt;0.00001,AM156,IF(controls!$B$45=1,$AS$13,AK157*AJ157/AL157))</f>
        <v>21.743555189249012</v>
      </c>
      <c r="AN157" s="44">
        <f>IF(controls!$B$46=0,0,IF(controls!$B$33=2,B158-B157*AC158-('normal case'!H158-D157*AD158-'main page'!$K$27*'normal case'!T157+'main page'!$K$31*'normal case'!AI157)-(('main page'!$K$25*'main page'!$U$13*'main page'!$K$29)/(1+('main page'!$K$25^2)*'main page'!$U$13))*('normal case'!L157-'main page'!$U$8),B158-B157*AC158-('normal case'!I158-D157*AD158-'main page'!$K$27*'normal case'!T157+'main page'!$K$31*'normal case'!AI157)-(('main page'!$K$25*'main page'!$U$13*'main page'!$K$29)/(1+('main page'!$K$25^2)*'main page'!$U$13))*('normal case'!L157-'main page'!$U$8)))</f>
        <v>0</v>
      </c>
      <c r="AU157" s="36"/>
      <c r="AV157" s="36"/>
    </row>
    <row r="158" spans="1:48">
      <c r="A158" s="43">
        <v>156</v>
      </c>
      <c r="B158" s="62">
        <f ca="1">IF(controls!$B$33=1,B157*(1+AC158)+AA158,B157*(1+AC158))</f>
        <v>101</v>
      </c>
      <c r="C158" s="67">
        <f t="shared" ca="1" si="24"/>
        <v>-1.5107707374006907E-7</v>
      </c>
      <c r="D158" s="64">
        <f t="shared" ca="1" si="20"/>
        <v>101.00000005960464</v>
      </c>
      <c r="E158" s="64">
        <f ca="1">AN157+IF(controls!$B$33=1,G158,F158)</f>
        <v>101.00000005960464</v>
      </c>
      <c r="F158" s="78">
        <f ca="1">IF(controls!$B$44=0,H158-'main page'!$K$27*T157,H158-'main page'!$K$27*T157+'main page'!$K$31*AI157)</f>
        <v>101.00000005960464</v>
      </c>
      <c r="G158" s="62">
        <f ca="1">IF(controls!$B$44=0,I158-'main page'!$K$27*T157,I158-'main page'!$K$27*T157+'main page'!$K$31*'normal case'!AI157)</f>
        <v>101.00000005960464</v>
      </c>
      <c r="H158" s="62">
        <f t="shared" ca="1" si="26"/>
        <v>108</v>
      </c>
      <c r="I158" s="62">
        <f t="shared" ca="1" si="27"/>
        <v>108</v>
      </c>
      <c r="L158" s="62">
        <f ca="1">IF(ABS('main page'!$K$29*L157+(1-'main page'!$K$29)*(controls!$B$9/100)*100+'main page'!$K$25*(D158-B158)-L157)&lt;0.0000001,L157,'main page'!$K$29*L157+(1-'main page'!$K$29)*(controls!$B$9/100)*100+'main page'!$K$25*(D158-B158))</f>
        <v>1.9999998807907104</v>
      </c>
      <c r="Q158" s="409">
        <f ca="1">(1-'main page'!$K$29)*($AS$11/100)*100+'main page'!$K$25*(D158-B158)</f>
        <v>5.9604644775390625E-8</v>
      </c>
      <c r="R158" s="409">
        <f>'main page'!G162+'main page'!$K$29*M157</f>
        <v>0</v>
      </c>
      <c r="S158" s="409">
        <f t="shared" ca="1" si="25"/>
        <v>5.9604644775390625E-8</v>
      </c>
      <c r="T158" s="79">
        <f ca="1">IF(controls!$B$10=1,T157,IF(SUM(controls!$B$44:$B$46)=2,U158-'main page'!$K$29*'normal case'!L158-(1-'main page'!$K$29)*'main page'!$K$32,U158-'main page'!$K$29*'normal case'!L158-(1-'main page'!$K$29)*controls!$B$9))</f>
        <v>3.4999999701976776</v>
      </c>
      <c r="U158" s="164">
        <f ca="1">IF(controls!$B$45=1,IF(controls!$B$46=1,'main page'!$K$24+'main page'!$K$11+'main page'!$U$8,'main page'!$K$24+'main page'!$K$11+'main page'!$K$32),IF(controls!$B$44=1,IF(V158&lt;0,0,V158),IF(V158+'main page'!$K$11&lt;0,0,V158+'main page'!$K$11)))</f>
        <v>5.4999998509883881</v>
      </c>
      <c r="V158" s="63">
        <f ca="1">IF(controls!$B$10=1,'normal case'!T158+'normal case'!L158,'normal case'!W158)</f>
        <v>5.4999998509883881</v>
      </c>
      <c r="W158" s="61">
        <f t="shared" ca="1" si="21"/>
        <v>5.4999998509883881</v>
      </c>
      <c r="X158" s="166">
        <f ca="1">IF(controls!$B$44=0,Y158+'main page'!$K$29*L158+(1-'main page'!$K$29)*controls!$B$9+(('main page'!$K$25*'main page'!$U$13*'main page'!$K$29)/('main page'!$K$27*(1+('main page'!$K$25^2)*'main page'!$U$13)))*(L158-controls!$B$9),Y158+'main page'!$K$29*L158+(1-'main page'!$K$29)*controls!$B$9+(('main page'!$K$25*'main page'!$U$13*'normal case'!$AV$3)/'normal case'!$AV$4)*('normal case'!L158-controls!$B$9))</f>
        <v>5.4999998509883881</v>
      </c>
      <c r="Y158" s="81">
        <f ca="1">IF(controls!$B$44=1,'main page'!$K$24+'main page'!$K$11,IF(controls!$B$33=1,((I159-D158*AD159-B159+B158*AC159)/'main page'!$K$27)-'main page'!$K$11,((H159-D158*AD159-B159+B158*AC159)/'main page'!$K$27)-'main page'!$K$11))</f>
        <v>3.5</v>
      </c>
      <c r="AA158" s="58">
        <f>IF(controls!$B$6=1,$AS$3*(1+('main page'!$K$35/100))^AB158-$AS$3*(1+('main page'!$K$35/100))^AB157,$AS$3*(1+('main page'!$G$8/100))*(1+('main page'!$K$35/100))^AB158-$AS$3*(1+('main page'!$G$8/100))*(1+('main page'!$K$35/100))^AB157)</f>
        <v>0</v>
      </c>
      <c r="AB158" s="60">
        <v>151</v>
      </c>
      <c r="AC158" s="125">
        <f ca="1">IF(controls!$B$4=1,IF(controls!$H157=1,controls!$B$34*AC157+RAND()*('main page'!$K$16/100)-RAND()*('main page'!$K$16/100),0),0)</f>
        <v>0</v>
      </c>
      <c r="AD158" s="36">
        <f ca="1">IF(controls!$B$4=1,IF(controls!$I157=1,controls!$B$34*AD157+RAND()*('main page'!$K$16/100)-RAND()*('main page'!$K$16/100),0),0)</f>
        <v>0</v>
      </c>
      <c r="AE158" s="44">
        <f ca="1">IF(controls!$B$33=1,D158-($I$3-'main page'!$K$27*2)*(1+('main page'!$K$35/100))^A157,D158-$AS$4)</f>
        <v>1.0000000596046448</v>
      </c>
      <c r="AF158" s="44">
        <f ca="1">ABS(L158-(controls!$B$9/100)*100)</f>
        <v>1.1920928955078125E-7</v>
      </c>
      <c r="AH158" s="44">
        <f ca="1">IF(controls!$B$33=1,(B159-B158*AC159-I159+D158*AD159+'main page'!$K$27*('main page'!$K$24+'main page'!$K$11))/'main page'!$K$31,(B159-B158*AC159+D158*AD159-H159+'main page'!$K$27*('main page'!$K$24+'main page'!$K$11))/'main page'!$K$31)</f>
        <v>1</v>
      </c>
      <c r="AI158" s="44">
        <f ca="1">IF(controls!$B$45=1,LOG(AM158,1.01)+LOG(AL158,1.01)-LOG(AK158,1.01),-((T158-('main page'!$K$24+'main page'!$K$11))/(1-'normal case'!$AV$3))+'normal case'!AH158)</f>
        <v>2.0000000596046448</v>
      </c>
      <c r="AJ158" s="80">
        <f t="shared" ca="1" si="22"/>
        <v>1.0506250015463039</v>
      </c>
      <c r="AK158" s="44">
        <f t="shared" ca="1" si="23"/>
        <v>21.10974537486884</v>
      </c>
      <c r="AL158" s="44">
        <f>AL157*(1+'main page'!$K$32/100)</f>
        <v>1</v>
      </c>
      <c r="AM158" s="44">
        <f ca="1">IF(ABS(IF(controls!$B$45=1,$AS$13,AK158*AJ158/AL158)-AM157)&lt;0.00001,AM157,IF(controls!$B$45=1,$AS$13,AK158*AJ158/AL158))</f>
        <v>22.178426267113657</v>
      </c>
      <c r="AN158" s="44">
        <f>IF(controls!$B$46=0,0,IF(controls!$B$33=2,B159-B158*AC159-('normal case'!H159-D158*AD159-'main page'!$K$27*'normal case'!T158+'main page'!$K$31*'normal case'!AI158)-(('main page'!$K$25*'main page'!$U$13*'main page'!$K$29)/(1+('main page'!$K$25^2)*'main page'!$U$13))*('normal case'!L158-'main page'!$U$8),B159-B158*AC159-('normal case'!I159-D158*AD159-'main page'!$K$27*'normal case'!T158+'main page'!$K$31*'normal case'!AI158)-(('main page'!$K$25*'main page'!$U$13*'main page'!$K$29)/(1+('main page'!$K$25^2)*'main page'!$U$13))*('normal case'!L158-'main page'!$U$8)))</f>
        <v>0</v>
      </c>
      <c r="AU158" s="36"/>
      <c r="AV158" s="36"/>
    </row>
    <row r="159" spans="1:48">
      <c r="A159" s="43">
        <v>157</v>
      </c>
      <c r="B159" s="62">
        <f ca="1">IF(controls!$B$33=1,B158*(1+AC159)+AA159,B158*(1+AC159))</f>
        <v>101</v>
      </c>
      <c r="C159" s="67">
        <f t="shared" ca="1" si="24"/>
        <v>-1.5107707374006907E-7</v>
      </c>
      <c r="D159" s="64">
        <f t="shared" ca="1" si="20"/>
        <v>101.00000005960464</v>
      </c>
      <c r="E159" s="64">
        <f ca="1">AN158+IF(controls!$B$33=1,G159,F159)</f>
        <v>101.00000005960464</v>
      </c>
      <c r="F159" s="78">
        <f ca="1">IF(controls!$B$44=0,H159-'main page'!$K$27*T158,H159-'main page'!$K$27*T158+'main page'!$K$31*AI158)</f>
        <v>101.00000005960464</v>
      </c>
      <c r="G159" s="62">
        <f ca="1">IF(controls!$B$44=0,I159-'main page'!$K$27*T158,I159-'main page'!$K$27*T158+'main page'!$K$31*'normal case'!AI158)</f>
        <v>101.00000005960464</v>
      </c>
      <c r="H159" s="62">
        <f t="shared" ca="1" si="26"/>
        <v>108</v>
      </c>
      <c r="I159" s="62">
        <f t="shared" ca="1" si="27"/>
        <v>108</v>
      </c>
      <c r="L159" s="62">
        <f ca="1">IF(ABS('main page'!$K$29*L158+(1-'main page'!$K$29)*(controls!$B$9/100)*100+'main page'!$K$25*(D159-B159)-L158)&lt;0.0000001,L158,'main page'!$K$29*L158+(1-'main page'!$K$29)*(controls!$B$9/100)*100+'main page'!$K$25*(D159-B159))</f>
        <v>1.9999998807907104</v>
      </c>
      <c r="Q159" s="409">
        <f ca="1">(1-'main page'!$K$29)*($AS$11/100)*100+'main page'!$K$25*(D159-B159)</f>
        <v>5.9604644775390625E-8</v>
      </c>
      <c r="R159" s="409">
        <f>'main page'!G163+'main page'!$K$29*M158</f>
        <v>0</v>
      </c>
      <c r="S159" s="409">
        <f t="shared" ca="1" si="25"/>
        <v>5.9604644775390625E-8</v>
      </c>
      <c r="T159" s="79">
        <f ca="1">IF(controls!$B$10=1,T158,IF(SUM(controls!$B$44:$B$46)=2,U159-'main page'!$K$29*'normal case'!L159-(1-'main page'!$K$29)*'main page'!$K$32,U159-'main page'!$K$29*'normal case'!L159-(1-'main page'!$K$29)*controls!$B$9))</f>
        <v>3.4999999701976776</v>
      </c>
      <c r="U159" s="164">
        <f ca="1">IF(controls!$B$45=1,IF(controls!$B$46=1,'main page'!$K$24+'main page'!$K$11+'main page'!$U$8,'main page'!$K$24+'main page'!$K$11+'main page'!$K$32),IF(controls!$B$44=1,IF(V159&lt;0,0,V159),IF(V159+'main page'!$K$11&lt;0,0,V159+'main page'!$K$11)))</f>
        <v>5.4999998509883881</v>
      </c>
      <c r="V159" s="63">
        <f ca="1">IF(controls!$B$10=1,'normal case'!T159+'normal case'!L159,'normal case'!W159)</f>
        <v>5.4999998509883881</v>
      </c>
      <c r="W159" s="61">
        <f t="shared" ca="1" si="21"/>
        <v>5.4999998509883881</v>
      </c>
      <c r="X159" s="166">
        <f ca="1">IF(controls!$B$44=0,Y159+'main page'!$K$29*L159+(1-'main page'!$K$29)*controls!$B$9+(('main page'!$K$25*'main page'!$U$13*'main page'!$K$29)/('main page'!$K$27*(1+('main page'!$K$25^2)*'main page'!$U$13)))*(L159-controls!$B$9),Y159+'main page'!$K$29*L159+(1-'main page'!$K$29)*controls!$B$9+(('main page'!$K$25*'main page'!$U$13*'normal case'!$AV$3)/'normal case'!$AV$4)*('normal case'!L159-controls!$B$9))</f>
        <v>5.4999998509883881</v>
      </c>
      <c r="Y159" s="81">
        <f ca="1">IF(controls!$B$44=1,'main page'!$K$24+'main page'!$K$11,IF(controls!$B$33=1,((I160-D159*AD160-B160+B159*AC160)/'main page'!$K$27)-'main page'!$K$11,((H160-D159*AD160-B160+B159*AC160)/'main page'!$K$27)-'main page'!$K$11))</f>
        <v>3.5</v>
      </c>
      <c r="AA159" s="58">
        <f>IF(controls!$B$6=1,$AS$3*(1+('main page'!$K$35/100))^AB159-$AS$3*(1+('main page'!$K$35/100))^AB158,$AS$3*(1+('main page'!$G$8/100))*(1+('main page'!$K$35/100))^AB159-$AS$3*(1+('main page'!$G$8/100))*(1+('main page'!$K$35/100))^AB158)</f>
        <v>0</v>
      </c>
      <c r="AB159" s="60">
        <v>152</v>
      </c>
      <c r="AC159" s="125">
        <v>0</v>
      </c>
      <c r="AD159" s="36">
        <v>0</v>
      </c>
      <c r="AE159" s="44">
        <f ca="1">IF(controls!$B$33=1,D159-($I$3-'main page'!$K$27*2)*(1+('main page'!$K$35/100))^A158,D159-$AS$4)</f>
        <v>1.0000000596046448</v>
      </c>
      <c r="AF159" s="44">
        <f ca="1">ABS(L159-(controls!$B$9/100)*100)</f>
        <v>1.1920928955078125E-7</v>
      </c>
      <c r="AH159" s="44">
        <f ca="1">IF(controls!$B$33=1,(B160-B159*AC160-I160+D159*AD160+'main page'!$K$27*('main page'!$K$24+'main page'!$K$11))/'main page'!$K$31,(B160-B159*AC160+D159*AD160-H160+'main page'!$K$27*('main page'!$K$24+'main page'!$K$11))/'main page'!$K$31)</f>
        <v>1</v>
      </c>
      <c r="AI159" s="44">
        <f ca="1">IF(controls!$B$45=1,LOG(AM159,1.01)+LOG(AL159,1.01)-LOG(AK159,1.01),-((T159-('main page'!$K$24+'main page'!$K$11))/(1-'normal case'!$AV$3))+'normal case'!AH159)</f>
        <v>2.0000000596046448</v>
      </c>
      <c r="AJ159" s="80">
        <f t="shared" ca="1" si="22"/>
        <v>1.0506250015463039</v>
      </c>
      <c r="AK159" s="44">
        <f t="shared" ca="1" si="23"/>
        <v>21.531940257201441</v>
      </c>
      <c r="AL159" s="44">
        <f>AL158*(1+'main page'!$K$32/100)</f>
        <v>1</v>
      </c>
      <c r="AM159" s="44">
        <f ca="1">IF(ABS(IF(controls!$B$45=1,$AS$13,AK159*AJ159/AL159)-AM158)&lt;0.00001,AM158,IF(controls!$B$45=1,$AS$13,AK159*AJ159/AL159))</f>
        <v>22.621994766017188</v>
      </c>
      <c r="AN159" s="44">
        <f>IF(controls!$B$46=0,0,IF(controls!$B$33=2,B160-B159*AC160-('normal case'!H160-D159*AD160-'main page'!$K$27*'normal case'!T159+'main page'!$K$31*'normal case'!AI159)-(('main page'!$K$25*'main page'!$U$13*'main page'!$K$29)/(1+('main page'!$K$25^2)*'main page'!$U$13))*('normal case'!L159-'main page'!$U$8),B160-B159*AC160-('normal case'!I160-D159*AD160-'main page'!$K$27*'normal case'!T159+'main page'!$K$31*'normal case'!AI159)-(('main page'!$K$25*'main page'!$U$13*'main page'!$K$29)/(1+('main page'!$K$25^2)*'main page'!$U$13))*('normal case'!L159-'main page'!$U$8)))</f>
        <v>0</v>
      </c>
      <c r="AU159" s="36"/>
      <c r="AV159" s="36"/>
    </row>
    <row r="160" spans="1:48">
      <c r="A160" s="43">
        <v>158</v>
      </c>
      <c r="B160" s="62">
        <f ca="1">IF(controls!$B$33=1,B159*(1+AC160)+AA160,B159*(1+AC160))</f>
        <v>101</v>
      </c>
      <c r="C160" s="67">
        <f t="shared" ca="1" si="24"/>
        <v>-1.5107707374006907E-7</v>
      </c>
      <c r="D160" s="64">
        <f t="shared" ca="1" si="20"/>
        <v>101.00000005960464</v>
      </c>
      <c r="E160" s="64">
        <f ca="1">AN159+IF(controls!$B$33=1,G160,F160)</f>
        <v>101.00000005960464</v>
      </c>
      <c r="F160" s="78">
        <f ca="1">IF(controls!$B$44=0,H160-'main page'!$K$27*T159,H160-'main page'!$K$27*T159+'main page'!$K$31*AI159)</f>
        <v>101.00000005960464</v>
      </c>
      <c r="G160" s="62">
        <f ca="1">IF(controls!$B$44=0,I160-'main page'!$K$27*T159,I160-'main page'!$K$27*T159+'main page'!$K$31*'normal case'!AI159)</f>
        <v>101.00000005960464</v>
      </c>
      <c r="H160" s="62">
        <f t="shared" ca="1" si="26"/>
        <v>108</v>
      </c>
      <c r="I160" s="62">
        <f t="shared" ca="1" si="27"/>
        <v>108</v>
      </c>
      <c r="L160" s="62">
        <f ca="1">IF(ABS('main page'!$K$29*L159+(1-'main page'!$K$29)*(controls!$B$9/100)*100+'main page'!$K$25*(D160-B160)-L159)&lt;0.0000001,L159,'main page'!$K$29*L159+(1-'main page'!$K$29)*(controls!$B$9/100)*100+'main page'!$K$25*(D160-B160))</f>
        <v>1.9999998807907104</v>
      </c>
      <c r="Q160" s="409">
        <f ca="1">(1-'main page'!$K$29)*($AS$11/100)*100+'main page'!$K$25*(D160-B160)</f>
        <v>5.9604644775390625E-8</v>
      </c>
      <c r="R160" s="409">
        <f>'main page'!G164+'main page'!$K$29*M159</f>
        <v>0</v>
      </c>
      <c r="S160" s="409">
        <f t="shared" ca="1" si="25"/>
        <v>5.9604644775390625E-8</v>
      </c>
      <c r="T160" s="79">
        <f ca="1">IF(controls!$B$10=1,T159,IF(SUM(controls!$B$44:$B$46)=2,U160-'main page'!$K$29*'normal case'!L160-(1-'main page'!$K$29)*'main page'!$K$32,U160-'main page'!$K$29*'normal case'!L160-(1-'main page'!$K$29)*controls!$B$9))</f>
        <v>3.4999999701976776</v>
      </c>
      <c r="U160" s="164">
        <f ca="1">IF(controls!$B$45=1,IF(controls!$B$46=1,'main page'!$K$24+'main page'!$K$11+'main page'!$U$8,'main page'!$K$24+'main page'!$K$11+'main page'!$K$32),IF(controls!$B$44=1,IF(V160&lt;0,0,V160),IF(V160+'main page'!$K$11&lt;0,0,V160+'main page'!$K$11)))</f>
        <v>5.4999998509883881</v>
      </c>
      <c r="V160" s="63">
        <f ca="1">IF(controls!$B$10=1,'normal case'!T160+'normal case'!L160,'normal case'!W160)</f>
        <v>5.4999998509883881</v>
      </c>
      <c r="W160" s="61">
        <f t="shared" ca="1" si="21"/>
        <v>5.4999998509883881</v>
      </c>
      <c r="X160" s="166">
        <f ca="1">IF(controls!$B$44=0,Y160+'main page'!$K$29*L160+(1-'main page'!$K$29)*controls!$B$9+(('main page'!$K$25*'main page'!$U$13*'main page'!$K$29)/('main page'!$K$27*(1+('main page'!$K$25^2)*'main page'!$U$13)))*(L160-controls!$B$9),Y160+'main page'!$K$29*L160+(1-'main page'!$K$29)*controls!$B$9+(('main page'!$K$25*'main page'!$U$13*'normal case'!$AV$3)/'normal case'!$AV$4)*('normal case'!L160-controls!$B$9))</f>
        <v>5.4999998509883881</v>
      </c>
      <c r="Y160" s="81">
        <f ca="1">IF(controls!$B$44=1,'main page'!$K$24+'main page'!$K$11,IF(controls!$B$33=1,((I161-D160*AD161-B161+B160*AC161)/'main page'!$K$27)-'main page'!$K$11,((H161-D160*AD161-B161+B160*AC161)/'main page'!$K$27)-'main page'!$K$11))</f>
        <v>3.5</v>
      </c>
      <c r="AA160" s="58">
        <f>IF(controls!$B$6=1,$AS$3*(1+('main page'!$K$35/100))^AB160-$AS$3*(1+('main page'!$K$35/100))^AB159,$AS$3*(1+('main page'!$G$8/100))*(1+('main page'!$K$35/100))^AB160-$AS$3*(1+('main page'!$G$8/100))*(1+('main page'!$K$35/100))^AB159)</f>
        <v>0</v>
      </c>
      <c r="AB160" s="60">
        <v>153</v>
      </c>
      <c r="AC160" s="125">
        <v>0</v>
      </c>
      <c r="AD160" s="36">
        <v>0</v>
      </c>
      <c r="AE160" s="44">
        <f ca="1">IF(controls!$B$33=1,D160-($I$3-'main page'!$K$27*2)*(1+('main page'!$K$35/100))^A159,D160-$AS$4)</f>
        <v>1.0000000596046448</v>
      </c>
      <c r="AF160" s="44">
        <f ca="1">ABS(L160-(controls!$B$9/100)*100)</f>
        <v>1.1920928955078125E-7</v>
      </c>
      <c r="AH160" s="44">
        <f ca="1">IF(controls!$B$33=1,(B161-B160*AC161-I161+D160*AD161+'main page'!$K$27*('main page'!$K$24+'main page'!$K$11))/'main page'!$K$31,(B161-B160*AC161+D160*AD161-H161+'main page'!$K$27*('main page'!$K$24+'main page'!$K$11))/'main page'!$K$31)</f>
        <v>1</v>
      </c>
      <c r="AI160" s="44">
        <f ca="1">IF(controls!$B$45=1,LOG(AM160,1.01)+LOG(AL160,1.01)-LOG(AK160,1.01),-((T160-('main page'!$K$24+'main page'!$K$11))/(1-'normal case'!$AV$3))+'normal case'!AH160)</f>
        <v>2.0000000596046448</v>
      </c>
      <c r="AJ160" s="80">
        <f t="shared" ca="1" si="22"/>
        <v>1.0506250015463039</v>
      </c>
      <c r="AK160" s="44">
        <f t="shared" ca="1" si="23"/>
        <v>21.962579036677397</v>
      </c>
      <c r="AL160" s="44">
        <f>AL159*(1+'main page'!$K$32/100)</f>
        <v>1</v>
      </c>
      <c r="AM160" s="44">
        <f ca="1">IF(ABS(IF(controls!$B$45=1,$AS$13,AK160*AJ160/AL160)-AM159)&lt;0.00001,AM159,IF(controls!$B$45=1,$AS$13,AK160*AJ160/AL160))</f>
        <v>23.074434634370011</v>
      </c>
      <c r="AN160" s="44">
        <f>IF(controls!$B$46=0,0,IF(controls!$B$33=2,B161-B160*AC161-('normal case'!H161-D160*AD161-'main page'!$K$27*'normal case'!T160+'main page'!$K$31*'normal case'!AI160)-(('main page'!$K$25*'main page'!$U$13*'main page'!$K$29)/(1+('main page'!$K$25^2)*'main page'!$U$13))*('normal case'!L160-'main page'!$U$8),B161-B160*AC161-('normal case'!I161-D160*AD161-'main page'!$K$27*'normal case'!T160+'main page'!$K$31*'normal case'!AI160)-(('main page'!$K$25*'main page'!$U$13*'main page'!$K$29)/(1+('main page'!$K$25^2)*'main page'!$U$13))*('normal case'!L160-'main page'!$U$8)))</f>
        <v>0</v>
      </c>
      <c r="AU160" s="36"/>
      <c r="AV160" s="36"/>
    </row>
    <row r="161" spans="1:48">
      <c r="A161" s="43">
        <v>159</v>
      </c>
      <c r="B161" s="62">
        <f ca="1">IF(controls!$B$33=1,B160*(1+AC161)+AA161,B160*(1+AC161))</f>
        <v>101</v>
      </c>
      <c r="C161" s="67">
        <f t="shared" ca="1" si="24"/>
        <v>-1.5107707374006907E-7</v>
      </c>
      <c r="D161" s="64">
        <f t="shared" ca="1" si="20"/>
        <v>101.00000005960464</v>
      </c>
      <c r="E161" s="64">
        <f ca="1">AN160+IF(controls!$B$33=1,G161,F161)</f>
        <v>101.00000005960464</v>
      </c>
      <c r="F161" s="78">
        <f ca="1">IF(controls!$B$44=0,H161-'main page'!$K$27*T160,H161-'main page'!$K$27*T160+'main page'!$K$31*AI160)</f>
        <v>101.00000005960464</v>
      </c>
      <c r="G161" s="62">
        <f ca="1">IF(controls!$B$44=0,I161-'main page'!$K$27*T160,I161-'main page'!$K$27*T160+'main page'!$K$31*'normal case'!AI160)</f>
        <v>101.00000005960464</v>
      </c>
      <c r="H161" s="62">
        <f t="shared" ca="1" si="26"/>
        <v>108</v>
      </c>
      <c r="I161" s="62">
        <f t="shared" ca="1" si="27"/>
        <v>108</v>
      </c>
      <c r="L161" s="62">
        <f ca="1">IF(ABS('main page'!$K$29*L160+(1-'main page'!$K$29)*(controls!$B$9/100)*100+'main page'!$K$25*(D161-B161)-L160)&lt;0.0000001,L160,'main page'!$K$29*L160+(1-'main page'!$K$29)*(controls!$B$9/100)*100+'main page'!$K$25*(D161-B161))</f>
        <v>1.9999998807907104</v>
      </c>
      <c r="Q161" s="409">
        <f ca="1">(1-'main page'!$K$29)*($AS$11/100)*100+'main page'!$K$25*(D161-B161)</f>
        <v>5.9604644775390625E-8</v>
      </c>
      <c r="R161" s="409">
        <f>'main page'!G165+'main page'!$K$29*M160</f>
        <v>0</v>
      </c>
      <c r="S161" s="409">
        <f t="shared" ca="1" si="25"/>
        <v>5.9604644775390625E-8</v>
      </c>
      <c r="T161" s="79">
        <f ca="1">IF(controls!$B$10=1,T160,IF(SUM(controls!$B$44:$B$46)=2,U161-'main page'!$K$29*'normal case'!L161-(1-'main page'!$K$29)*'main page'!$K$32,U161-'main page'!$K$29*'normal case'!L161-(1-'main page'!$K$29)*controls!$B$9))</f>
        <v>3.4999999701976776</v>
      </c>
      <c r="U161" s="164">
        <f ca="1">IF(controls!$B$45=1,IF(controls!$B$46=1,'main page'!$K$24+'main page'!$K$11+'main page'!$U$8,'main page'!$K$24+'main page'!$K$11+'main page'!$K$32),IF(controls!$B$44=1,IF(V161&lt;0,0,V161),IF(V161+'main page'!$K$11&lt;0,0,V161+'main page'!$K$11)))</f>
        <v>5.4999998509883881</v>
      </c>
      <c r="V161" s="63">
        <f ca="1">IF(controls!$B$10=1,'normal case'!T161+'normal case'!L161,'normal case'!W161)</f>
        <v>5.4999998509883881</v>
      </c>
      <c r="W161" s="61">
        <f t="shared" ca="1" si="21"/>
        <v>5.4999998509883881</v>
      </c>
      <c r="X161" s="166">
        <f ca="1">IF(controls!$B$44=0,Y161+'main page'!$K$29*L161+(1-'main page'!$K$29)*controls!$B$9+(('main page'!$K$25*'main page'!$U$13*'main page'!$K$29)/('main page'!$K$27*(1+('main page'!$K$25^2)*'main page'!$U$13)))*(L161-controls!$B$9),Y161+'main page'!$K$29*L161+(1-'main page'!$K$29)*controls!$B$9+(('main page'!$K$25*'main page'!$U$13*'normal case'!$AV$3)/'normal case'!$AV$4)*('normal case'!L161-controls!$B$9))</f>
        <v>5.4999998509883881</v>
      </c>
      <c r="Y161" s="81">
        <f ca="1">IF(controls!$B$44=1,'main page'!$K$24+'main page'!$K$11,IF(controls!$B$33=1,((I162-D161*AD162-B162+B161*AC162)/'main page'!$K$27)-'main page'!$K$11,((H162-D161*AD162-B162+B161*AC162)/'main page'!$K$27)-'main page'!$K$11))</f>
        <v>3.5</v>
      </c>
      <c r="AA161" s="58">
        <f>IF(controls!$B$6=1,$AS$3*(1+('main page'!$K$35/100))^AB161-$AS$3*(1+('main page'!$K$35/100))^AB160,$AS$3*(1+('main page'!$G$8/100))*(1+('main page'!$K$35/100))^AB161-$AS$3*(1+('main page'!$G$8/100))*(1+('main page'!$K$35/100))^AB160)</f>
        <v>0</v>
      </c>
      <c r="AB161" s="60">
        <v>154</v>
      </c>
      <c r="AC161" s="125">
        <f ca="1">IF(controls!$B$4=1,IF(controls!$H160=1,controls!$B$34*AC160+RAND()*('main page'!$K$16/100)-RAND()*('main page'!$K$16/100),0),0)</f>
        <v>0</v>
      </c>
      <c r="AD161" s="36">
        <f ca="1">IF(controls!$B$4=1,IF(controls!$I160=1,controls!$B$34*AD160+RAND()*('main page'!$K$16/100)-RAND()*('main page'!$K$16/100),0),0)</f>
        <v>0</v>
      </c>
      <c r="AE161" s="44">
        <f ca="1">IF(controls!$B$33=1,D161-($I$3-'main page'!$K$27*2)*(1+('main page'!$K$35/100))^A160,D161-$AS$4)</f>
        <v>1.0000000596046448</v>
      </c>
      <c r="AF161" s="44">
        <f ca="1">ABS(L161-(controls!$B$9/100)*100)</f>
        <v>1.1920928955078125E-7</v>
      </c>
      <c r="AH161" s="44">
        <f ca="1">IF(controls!$B$33=1,(B162-B161*AC162-I162+D161*AD162+'main page'!$K$27*('main page'!$K$24+'main page'!$K$11))/'main page'!$K$31,(B162-B161*AC162+D161*AD162-H162+'main page'!$K$27*('main page'!$K$24+'main page'!$K$11))/'main page'!$K$31)</f>
        <v>1</v>
      </c>
      <c r="AI161" s="44">
        <f ca="1">IF(controls!$B$45=1,LOG(AM161,1.01)+LOG(AL161,1.01)-LOG(AK161,1.01),-((T161-('main page'!$K$24+'main page'!$K$11))/(1-'normal case'!$AV$3))+'normal case'!AH161)</f>
        <v>2.0000000596046448</v>
      </c>
      <c r="AJ161" s="80">
        <f t="shared" ca="1" si="22"/>
        <v>1.0506250015463039</v>
      </c>
      <c r="AK161" s="44">
        <f t="shared" ca="1" si="23"/>
        <v>22.401830591229512</v>
      </c>
      <c r="AL161" s="44">
        <f>AL160*(1+'main page'!$K$32/100)</f>
        <v>1</v>
      </c>
      <c r="AM161" s="44">
        <f ca="1">IF(ABS(IF(controls!$B$45=1,$AS$13,AK161*AJ161/AL161)-AM160)&lt;0.00001,AM160,IF(controls!$B$45=1,$AS$13,AK161*AJ161/AL161))</f>
        <v>23.535923299550543</v>
      </c>
      <c r="AN161" s="44">
        <f>IF(controls!$B$46=0,0,IF(controls!$B$33=2,B162-B161*AC162-('normal case'!H162-D161*AD162-'main page'!$K$27*'normal case'!T161+'main page'!$K$31*'normal case'!AI161)-(('main page'!$K$25*'main page'!$U$13*'main page'!$K$29)/(1+('main page'!$K$25^2)*'main page'!$U$13))*('normal case'!L161-'main page'!$U$8),B162-B161*AC162-('normal case'!I162-D161*AD162-'main page'!$K$27*'normal case'!T161+'main page'!$K$31*'normal case'!AI161)-(('main page'!$K$25*'main page'!$U$13*'main page'!$K$29)/(1+('main page'!$K$25^2)*'main page'!$U$13))*('normal case'!L161-'main page'!$U$8)))</f>
        <v>0</v>
      </c>
      <c r="AU161" s="36"/>
      <c r="AV161" s="36"/>
    </row>
    <row r="162" spans="1:48">
      <c r="A162" s="43">
        <v>160</v>
      </c>
      <c r="B162" s="62">
        <f ca="1">IF(controls!$B$33=1,B161*(1+AC162)+AA162,B161*(1+AC162))</f>
        <v>101</v>
      </c>
      <c r="C162" s="67">
        <f t="shared" ca="1" si="24"/>
        <v>-1.5107707374006907E-7</v>
      </c>
      <c r="D162" s="64">
        <f t="shared" ca="1" si="20"/>
        <v>101.00000005960464</v>
      </c>
      <c r="E162" s="64">
        <f ca="1">AN161+IF(controls!$B$33=1,G162,F162)</f>
        <v>101.00000005960464</v>
      </c>
      <c r="F162" s="78">
        <f ca="1">IF(controls!$B$44=0,H162-'main page'!$K$27*T161,H162-'main page'!$K$27*T161+'main page'!$K$31*AI161)</f>
        <v>101.00000005960464</v>
      </c>
      <c r="G162" s="62">
        <f ca="1">IF(controls!$B$44=0,I162-'main page'!$K$27*T161,I162-'main page'!$K$27*T161+'main page'!$K$31*'normal case'!AI161)</f>
        <v>101.00000005960464</v>
      </c>
      <c r="H162" s="62">
        <f t="shared" ca="1" si="26"/>
        <v>108</v>
      </c>
      <c r="I162" s="62">
        <f t="shared" ca="1" si="27"/>
        <v>108</v>
      </c>
      <c r="L162" s="62">
        <f ca="1">IF(ABS('main page'!$K$29*L161+(1-'main page'!$K$29)*(controls!$B$9/100)*100+'main page'!$K$25*(D162-B162)-L161)&lt;0.0000001,L161,'main page'!$K$29*L161+(1-'main page'!$K$29)*(controls!$B$9/100)*100+'main page'!$K$25*(D162-B162))</f>
        <v>1.9999998807907104</v>
      </c>
      <c r="Q162" s="409">
        <f ca="1">(1-'main page'!$K$29)*($AS$11/100)*100+'main page'!$K$25*(D162-B162)</f>
        <v>5.9604644775390625E-8</v>
      </c>
      <c r="R162" s="409">
        <f>'main page'!G166+'main page'!$K$29*M161</f>
        <v>0</v>
      </c>
      <c r="S162" s="409">
        <f t="shared" ca="1" si="25"/>
        <v>5.9604644775390625E-8</v>
      </c>
      <c r="T162" s="79">
        <f ca="1">IF(controls!$B$10=1,T161,IF(SUM(controls!$B$44:$B$46)=2,U162-'main page'!$K$29*'normal case'!L162-(1-'main page'!$K$29)*'main page'!$K$32,U162-'main page'!$K$29*'normal case'!L162-(1-'main page'!$K$29)*controls!$B$9))</f>
        <v>3.4999999701976776</v>
      </c>
      <c r="U162" s="164">
        <f ca="1">IF(controls!$B$45=1,IF(controls!$B$46=1,'main page'!$K$24+'main page'!$K$11+'main page'!$U$8,'main page'!$K$24+'main page'!$K$11+'main page'!$K$32),IF(controls!$B$44=1,IF(V162&lt;0,0,V162),IF(V162+'main page'!$K$11&lt;0,0,V162+'main page'!$K$11)))</f>
        <v>5.4999998509883881</v>
      </c>
      <c r="V162" s="63">
        <f ca="1">IF(controls!$B$10=1,'normal case'!T162+'normal case'!L162,'normal case'!W162)</f>
        <v>5.4999998509883881</v>
      </c>
      <c r="W162" s="61">
        <f t="shared" ca="1" si="21"/>
        <v>5.4999998509883881</v>
      </c>
      <c r="X162" s="166">
        <f ca="1">IF(controls!$B$44=0,Y162+'main page'!$K$29*L162+(1-'main page'!$K$29)*controls!$B$9+(('main page'!$K$25*'main page'!$U$13*'main page'!$K$29)/('main page'!$K$27*(1+('main page'!$K$25^2)*'main page'!$U$13)))*(L162-controls!$B$9),Y162+'main page'!$K$29*L162+(1-'main page'!$K$29)*controls!$B$9+(('main page'!$K$25*'main page'!$U$13*'normal case'!$AV$3)/'normal case'!$AV$4)*('normal case'!L162-controls!$B$9))</f>
        <v>5.4999998509883881</v>
      </c>
      <c r="Y162" s="81">
        <f ca="1">IF(controls!$B$44=1,'main page'!$K$24+'main page'!$K$11,IF(controls!$B$33=1,((I163-D162*AD163-B163+B162*AC163)/'main page'!$K$27)-'main page'!$K$11,((H163-D162*AD163-B163+B162*AC163)/'main page'!$K$27)-'main page'!$K$11))</f>
        <v>3.5</v>
      </c>
      <c r="AA162" s="58">
        <f>IF(controls!$B$6=1,$AS$3*(1+('main page'!$K$35/100))^AB162-$AS$3*(1+('main page'!$K$35/100))^AB161,$AS$3*(1+('main page'!$G$8/100))*(1+('main page'!$K$35/100))^AB162-$AS$3*(1+('main page'!$G$8/100))*(1+('main page'!$K$35/100))^AB161)</f>
        <v>0</v>
      </c>
      <c r="AB162" s="60">
        <v>155</v>
      </c>
      <c r="AC162" s="125">
        <v>0</v>
      </c>
      <c r="AD162" s="36">
        <v>0</v>
      </c>
      <c r="AE162" s="44">
        <f ca="1">IF(controls!$B$33=1,D162-($I$3-'main page'!$K$27*2)*(1+('main page'!$K$35/100))^A161,D162-$AS$4)</f>
        <v>1.0000000596046448</v>
      </c>
      <c r="AF162" s="44">
        <f ca="1">ABS(L162-(controls!$B$9/100)*100)</f>
        <v>1.1920928955078125E-7</v>
      </c>
      <c r="AH162" s="44">
        <f ca="1">IF(controls!$B$33=1,(B163-B162*AC163-I163+D162*AD163+'main page'!$K$27*('main page'!$K$24+'main page'!$K$11))/'main page'!$K$31,(B163-B162*AC163+D162*AD163-H163+'main page'!$K$27*('main page'!$K$24+'main page'!$K$11))/'main page'!$K$31)</f>
        <v>1</v>
      </c>
      <c r="AI162" s="44">
        <f ca="1">IF(controls!$B$45=1,LOG(AM162,1.01)+LOG(AL162,1.01)-LOG(AK162,1.01),-((T162-('main page'!$K$24+'main page'!$K$11))/(1-'normal case'!$AV$3))+'normal case'!AH162)</f>
        <v>2.0000000596046448</v>
      </c>
      <c r="AJ162" s="80">
        <f t="shared" ca="1" si="22"/>
        <v>1.0506250015463039</v>
      </c>
      <c r="AK162" s="44">
        <f t="shared" ca="1" si="23"/>
        <v>22.84986717634904</v>
      </c>
      <c r="AL162" s="44">
        <f>AL161*(1+'main page'!$K$32/100)</f>
        <v>1</v>
      </c>
      <c r="AM162" s="44">
        <f ca="1">IF(ABS(IF(controls!$B$45=1,$AS$13,AK162*AJ162/AL162)-AM161)&lt;0.00001,AM161,IF(controls!$B$45=1,$AS$13,AK162*AJ162/AL162))</f>
        <v>24.00664173748455</v>
      </c>
      <c r="AN162" s="44">
        <f>IF(controls!$B$46=0,0,IF(controls!$B$33=2,B163-B162*AC163-('normal case'!H163-D162*AD163-'main page'!$K$27*'normal case'!T162+'main page'!$K$31*'normal case'!AI162)-(('main page'!$K$25*'main page'!$U$13*'main page'!$K$29)/(1+('main page'!$K$25^2)*'main page'!$U$13))*('normal case'!L162-'main page'!$U$8),B163-B162*AC163-('normal case'!I163-D162*AD163-'main page'!$K$27*'normal case'!T162+'main page'!$K$31*'normal case'!AI162)-(('main page'!$K$25*'main page'!$U$13*'main page'!$K$29)/(1+('main page'!$K$25^2)*'main page'!$U$13))*('normal case'!L162-'main page'!$U$8)))</f>
        <v>0</v>
      </c>
      <c r="AU162" s="36"/>
      <c r="AV162" s="36"/>
    </row>
    <row r="163" spans="1:48">
      <c r="A163" s="43">
        <v>161</v>
      </c>
      <c r="B163" s="62">
        <f ca="1">IF(controls!$B$33=1,B162*(1+AC163)+AA163,B162*(1+AC163))</f>
        <v>101</v>
      </c>
      <c r="C163" s="67">
        <f t="shared" ca="1" si="24"/>
        <v>-1.5107707374006907E-7</v>
      </c>
      <c r="D163" s="64">
        <f t="shared" ca="1" si="20"/>
        <v>101.00000005960464</v>
      </c>
      <c r="E163" s="64">
        <f ca="1">AN162+IF(controls!$B$33=1,G163,F163)</f>
        <v>101.00000005960464</v>
      </c>
      <c r="F163" s="78">
        <f ca="1">IF(controls!$B$44=0,H163-'main page'!$K$27*T162,H163-'main page'!$K$27*T162+'main page'!$K$31*AI162)</f>
        <v>101.00000005960464</v>
      </c>
      <c r="G163" s="62">
        <f ca="1">IF(controls!$B$44=0,I163-'main page'!$K$27*T162,I163-'main page'!$K$27*T162+'main page'!$K$31*'normal case'!AI162)</f>
        <v>101.00000005960464</v>
      </c>
      <c r="H163" s="62">
        <f t="shared" ca="1" si="26"/>
        <v>108</v>
      </c>
      <c r="I163" s="62">
        <f t="shared" ca="1" si="27"/>
        <v>108</v>
      </c>
      <c r="L163" s="62">
        <f ca="1">IF(ABS('main page'!$K$29*L162+(1-'main page'!$K$29)*(controls!$B$9/100)*100+'main page'!$K$25*(D163-B163)-L162)&lt;0.0000001,L162,'main page'!$K$29*L162+(1-'main page'!$K$29)*(controls!$B$9/100)*100+'main page'!$K$25*(D163-B163))</f>
        <v>1.9999998807907104</v>
      </c>
      <c r="Q163" s="409">
        <f ca="1">(1-'main page'!$K$29)*($AS$11/100)*100+'main page'!$K$25*(D163-B163)</f>
        <v>5.9604644775390625E-8</v>
      </c>
      <c r="R163" s="409">
        <f>'main page'!G167+'main page'!$K$29*M162</f>
        <v>0</v>
      </c>
      <c r="S163" s="409">
        <f t="shared" ca="1" si="25"/>
        <v>5.9604644775390625E-8</v>
      </c>
      <c r="T163" s="79">
        <f ca="1">IF(controls!$B$10=1,T162,IF(SUM(controls!$B$44:$B$46)=2,U163-'main page'!$K$29*'normal case'!L163-(1-'main page'!$K$29)*'main page'!$K$32,U163-'main page'!$K$29*'normal case'!L163-(1-'main page'!$K$29)*controls!$B$9))</f>
        <v>3.4999999701976776</v>
      </c>
      <c r="U163" s="164">
        <f ca="1">IF(controls!$B$45=1,IF(controls!$B$46=1,'main page'!$K$24+'main page'!$K$11+'main page'!$U$8,'main page'!$K$24+'main page'!$K$11+'main page'!$K$32),IF(controls!$B$44=1,IF(V163&lt;0,0,V163),IF(V163+'main page'!$K$11&lt;0,0,V163+'main page'!$K$11)))</f>
        <v>5.4999998509883881</v>
      </c>
      <c r="V163" s="63">
        <f ca="1">IF(controls!$B$10=1,'normal case'!T163+'normal case'!L163,'normal case'!W163)</f>
        <v>5.4999998509883881</v>
      </c>
      <c r="W163" s="61">
        <f t="shared" ca="1" si="21"/>
        <v>5.4999998509883881</v>
      </c>
      <c r="X163" s="166">
        <f ca="1">IF(controls!$B$44=0,Y163+'main page'!$K$29*L163+(1-'main page'!$K$29)*controls!$B$9+(('main page'!$K$25*'main page'!$U$13*'main page'!$K$29)/('main page'!$K$27*(1+('main page'!$K$25^2)*'main page'!$U$13)))*(L163-controls!$B$9),Y163+'main page'!$K$29*L163+(1-'main page'!$K$29)*controls!$B$9+(('main page'!$K$25*'main page'!$U$13*'normal case'!$AV$3)/'normal case'!$AV$4)*('normal case'!L163-controls!$B$9))</f>
        <v>5.4999998509883881</v>
      </c>
      <c r="Y163" s="81">
        <f ca="1">IF(controls!$B$44=1,'main page'!$K$24+'main page'!$K$11,IF(controls!$B$33=1,((I164-D163*AD164-B164+B163*AC164)/'main page'!$K$27)-'main page'!$K$11,((H164-D163*AD164-B164+B163*AC164)/'main page'!$K$27)-'main page'!$K$11))</f>
        <v>3.5</v>
      </c>
      <c r="AA163" s="58">
        <f>IF(controls!$B$6=1,$AS$3*(1+('main page'!$K$35/100))^AB163-$AS$3*(1+('main page'!$K$35/100))^AB162,$AS$3*(1+('main page'!$G$8/100))*(1+('main page'!$K$35/100))^AB163-$AS$3*(1+('main page'!$G$8/100))*(1+('main page'!$K$35/100))^AB162)</f>
        <v>0</v>
      </c>
      <c r="AB163" s="60">
        <v>156</v>
      </c>
      <c r="AC163" s="125">
        <v>0</v>
      </c>
      <c r="AD163" s="36">
        <v>0</v>
      </c>
      <c r="AE163" s="44">
        <f ca="1">IF(controls!$B$33=1,D163-($I$3-'main page'!$K$27*2)*(1+('main page'!$K$35/100))^A162,D163-$AS$4)</f>
        <v>1.0000000596046448</v>
      </c>
      <c r="AF163" s="44">
        <f ca="1">ABS(L163-(controls!$B$9/100)*100)</f>
        <v>1.1920928955078125E-7</v>
      </c>
      <c r="AH163" s="44">
        <f ca="1">IF(controls!$B$33=1,(B164-B163*AC164-I164+D163*AD164+'main page'!$K$27*('main page'!$K$24+'main page'!$K$11))/'main page'!$K$31,(B164-B163*AC164+D163*AD164-H164+'main page'!$K$27*('main page'!$K$24+'main page'!$K$11))/'main page'!$K$31)</f>
        <v>1</v>
      </c>
      <c r="AI163" s="44">
        <f ca="1">IF(controls!$B$45=1,LOG(AM163,1.01)+LOG(AL163,1.01)-LOG(AK163,1.01),-((T163-('main page'!$K$24+'main page'!$K$11))/(1-'normal case'!$AV$3))+'normal case'!AH163)</f>
        <v>2.0000000596046448</v>
      </c>
      <c r="AJ163" s="80">
        <f t="shared" ca="1" si="22"/>
        <v>1.0506250015463039</v>
      </c>
      <c r="AK163" s="44">
        <f t="shared" ca="1" si="23"/>
        <v>23.306864492636858</v>
      </c>
      <c r="AL163" s="44">
        <f>AL162*(1+'main page'!$K$32/100)</f>
        <v>1</v>
      </c>
      <c r="AM163" s="44">
        <f ca="1">IF(ABS(IF(controls!$B$45=1,$AS$13,AK163*AJ163/AL163)-AM162)&lt;0.00001,AM162,IF(controls!$B$45=1,$AS$13,AK163*AJ163/AL163))</f>
        <v>24.486774543616093</v>
      </c>
      <c r="AN163" s="44">
        <f>IF(controls!$B$46=0,0,IF(controls!$B$33=2,B164-B163*AC164-('normal case'!H164-D163*AD164-'main page'!$K$27*'normal case'!T163+'main page'!$K$31*'normal case'!AI163)-(('main page'!$K$25*'main page'!$U$13*'main page'!$K$29)/(1+('main page'!$K$25^2)*'main page'!$U$13))*('normal case'!L163-'main page'!$U$8),B164-B163*AC164-('normal case'!I164-D163*AD164-'main page'!$K$27*'normal case'!T163+'main page'!$K$31*'normal case'!AI163)-(('main page'!$K$25*'main page'!$U$13*'main page'!$K$29)/(1+('main page'!$K$25^2)*'main page'!$U$13))*('normal case'!L163-'main page'!$U$8)))</f>
        <v>0</v>
      </c>
      <c r="AU163" s="36"/>
      <c r="AV163" s="36"/>
    </row>
    <row r="164" spans="1:48">
      <c r="A164" s="43">
        <v>162</v>
      </c>
      <c r="B164" s="62">
        <f ca="1">IF(controls!$B$33=1,B163*(1+AC164)+AA164,B163*(1+AC164))</f>
        <v>101</v>
      </c>
      <c r="C164" s="67">
        <f t="shared" ca="1" si="24"/>
        <v>-1.5107707374006907E-7</v>
      </c>
      <c r="D164" s="64">
        <f t="shared" ca="1" si="20"/>
        <v>101.00000005960464</v>
      </c>
      <c r="E164" s="64">
        <f ca="1">AN163+IF(controls!$B$33=1,G164,F164)</f>
        <v>101.00000005960464</v>
      </c>
      <c r="F164" s="78">
        <f ca="1">IF(controls!$B$44=0,H164-'main page'!$K$27*T163,H164-'main page'!$K$27*T163+'main page'!$K$31*AI163)</f>
        <v>101.00000005960464</v>
      </c>
      <c r="G164" s="62">
        <f ca="1">IF(controls!$B$44=0,I164-'main page'!$K$27*T163,I164-'main page'!$K$27*T163+'main page'!$K$31*'normal case'!AI163)</f>
        <v>101.00000005960464</v>
      </c>
      <c r="H164" s="62">
        <f t="shared" ca="1" si="26"/>
        <v>108</v>
      </c>
      <c r="I164" s="62">
        <f t="shared" ca="1" si="27"/>
        <v>108</v>
      </c>
      <c r="L164" s="62">
        <f ca="1">IF(ABS('main page'!$K$29*L163+(1-'main page'!$K$29)*(controls!$B$9/100)*100+'main page'!$K$25*(D164-B164)-L163)&lt;0.0000001,L163,'main page'!$K$29*L163+(1-'main page'!$K$29)*(controls!$B$9/100)*100+'main page'!$K$25*(D164-B164))</f>
        <v>1.9999998807907104</v>
      </c>
      <c r="Q164" s="409">
        <f ca="1">(1-'main page'!$K$29)*($AS$11/100)*100+'main page'!$K$25*(D164-B164)</f>
        <v>5.9604644775390625E-8</v>
      </c>
      <c r="R164" s="409">
        <f>'main page'!G168+'main page'!$K$29*M163</f>
        <v>0</v>
      </c>
      <c r="S164" s="409">
        <f t="shared" ca="1" si="25"/>
        <v>5.9604644775390625E-8</v>
      </c>
      <c r="T164" s="79">
        <f ca="1">IF(controls!$B$10=1,T163,IF(SUM(controls!$B$44:$B$46)=2,U164-'main page'!$K$29*'normal case'!L164-(1-'main page'!$K$29)*'main page'!$K$32,U164-'main page'!$K$29*'normal case'!L164-(1-'main page'!$K$29)*controls!$B$9))</f>
        <v>3.4999999701976776</v>
      </c>
      <c r="U164" s="164">
        <f ca="1">IF(controls!$B$45=1,IF(controls!$B$46=1,'main page'!$K$24+'main page'!$K$11+'main page'!$U$8,'main page'!$K$24+'main page'!$K$11+'main page'!$K$32),IF(controls!$B$44=1,IF(V164&lt;0,0,V164),IF(V164+'main page'!$K$11&lt;0,0,V164+'main page'!$K$11)))</f>
        <v>5.4999998509883881</v>
      </c>
      <c r="V164" s="63">
        <f ca="1">IF(controls!$B$10=1,'normal case'!T164+'normal case'!L164,'normal case'!W164)</f>
        <v>5.4999998509883881</v>
      </c>
      <c r="W164" s="61">
        <f t="shared" ca="1" si="21"/>
        <v>5.4999998509883881</v>
      </c>
      <c r="X164" s="166">
        <f ca="1">IF(controls!$B$44=0,Y164+'main page'!$K$29*L164+(1-'main page'!$K$29)*controls!$B$9+(('main page'!$K$25*'main page'!$U$13*'main page'!$K$29)/('main page'!$K$27*(1+('main page'!$K$25^2)*'main page'!$U$13)))*(L164-controls!$B$9),Y164+'main page'!$K$29*L164+(1-'main page'!$K$29)*controls!$B$9+(('main page'!$K$25*'main page'!$U$13*'normal case'!$AV$3)/'normal case'!$AV$4)*('normal case'!L164-controls!$B$9))</f>
        <v>5.4999998509883881</v>
      </c>
      <c r="Y164" s="81">
        <f ca="1">IF(controls!$B$44=1,'main page'!$K$24+'main page'!$K$11,IF(controls!$B$33=1,((I165-D164*AD165-B165+B164*AC165)/'main page'!$K$27)-'main page'!$K$11,((H165-D164*AD165-B165+B164*AC165)/'main page'!$K$27)-'main page'!$K$11))</f>
        <v>3.5</v>
      </c>
      <c r="AA164" s="58">
        <f>IF(controls!$B$6=1,$AS$3*(1+('main page'!$K$35/100))^AB164-$AS$3*(1+('main page'!$K$35/100))^AB163,$AS$3*(1+('main page'!$G$8/100))*(1+('main page'!$K$35/100))^AB164-$AS$3*(1+('main page'!$G$8/100))*(1+('main page'!$K$35/100))^AB163)</f>
        <v>0</v>
      </c>
      <c r="AB164" s="60">
        <v>157</v>
      </c>
      <c r="AC164" s="125">
        <f ca="1">IF(controls!$B$4=1,IF(controls!$H163=1,controls!$B$34*AC163+RAND()*('main page'!$K$16/100)-RAND()*('main page'!$K$16/100),0),0)</f>
        <v>0</v>
      </c>
      <c r="AD164" s="36">
        <f ca="1">IF(controls!$B$4=1,IF(controls!$I163=1,controls!$B$34*AD163+RAND()*('main page'!$K$16/100)-RAND()*('main page'!$K$16/100),0),0)</f>
        <v>0</v>
      </c>
      <c r="AE164" s="44">
        <f ca="1">IF(controls!$B$33=1,D164-($I$3-'main page'!$K$27*2)*(1+('main page'!$K$35/100))^A163,D164-$AS$4)</f>
        <v>1.0000000596046448</v>
      </c>
      <c r="AF164" s="44">
        <f ca="1">ABS(L164-(controls!$B$9/100)*100)</f>
        <v>1.1920928955078125E-7</v>
      </c>
      <c r="AH164" s="44">
        <f ca="1">IF(controls!$B$33=1,(B165-B164*AC165-I165+D164*AD165+'main page'!$K$27*('main page'!$K$24+'main page'!$K$11))/'main page'!$K$31,(B165-B164*AC165+D164*AD165-H165+'main page'!$K$27*('main page'!$K$24+'main page'!$K$11))/'main page'!$K$31)</f>
        <v>1</v>
      </c>
      <c r="AI164" s="44">
        <f ca="1">IF(controls!$B$45=1,LOG(AM164,1.01)+LOG(AL164,1.01)-LOG(AK164,1.01),-((T164-('main page'!$K$24+'main page'!$K$11))/(1-'normal case'!$AV$3))+'normal case'!AH164)</f>
        <v>2.0000000596046448</v>
      </c>
      <c r="AJ164" s="80">
        <f t="shared" ca="1" si="22"/>
        <v>1.0506250015463039</v>
      </c>
      <c r="AK164" s="44">
        <f t="shared" ca="1" si="23"/>
        <v>23.77300175470565</v>
      </c>
      <c r="AL164" s="44">
        <f>AL163*(1+'main page'!$K$32/100)</f>
        <v>1</v>
      </c>
      <c r="AM164" s="44">
        <f ca="1">IF(ABS(IF(controls!$B$45=1,$AS$13,AK164*AJ164/AL164)-AM163)&lt;0.00001,AM163,IF(controls!$B$45=1,$AS$13,AK164*AJ164/AL164))</f>
        <v>24.976510005297907</v>
      </c>
      <c r="AN164" s="44">
        <f>IF(controls!$B$46=0,0,IF(controls!$B$33=2,B165-B164*AC165-('normal case'!H165-D164*AD165-'main page'!$K$27*'normal case'!T164+'main page'!$K$31*'normal case'!AI164)-(('main page'!$K$25*'main page'!$U$13*'main page'!$K$29)/(1+('main page'!$K$25^2)*'main page'!$U$13))*('normal case'!L164-'main page'!$U$8),B165-B164*AC165-('normal case'!I165-D164*AD165-'main page'!$K$27*'normal case'!T164+'main page'!$K$31*'normal case'!AI164)-(('main page'!$K$25*'main page'!$U$13*'main page'!$K$29)/(1+('main page'!$K$25^2)*'main page'!$U$13))*('normal case'!L164-'main page'!$U$8)))</f>
        <v>0</v>
      </c>
      <c r="AU164" s="36"/>
      <c r="AV164" s="36"/>
    </row>
    <row r="165" spans="1:48">
      <c r="A165" s="43">
        <v>163</v>
      </c>
      <c r="B165" s="62">
        <f ca="1">IF(controls!$B$33=1,B164*(1+AC165)+AA165,B164*(1+AC165))</f>
        <v>101</v>
      </c>
      <c r="C165" s="67">
        <f t="shared" ca="1" si="24"/>
        <v>-1.5107707374006907E-7</v>
      </c>
      <c r="D165" s="64">
        <f t="shared" ca="1" si="20"/>
        <v>101.00000005960464</v>
      </c>
      <c r="E165" s="64">
        <f ca="1">AN164+IF(controls!$B$33=1,G165,F165)</f>
        <v>101.00000005960464</v>
      </c>
      <c r="F165" s="78">
        <f ca="1">IF(controls!$B$44=0,H165-'main page'!$K$27*T164,H165-'main page'!$K$27*T164+'main page'!$K$31*AI164)</f>
        <v>101.00000005960464</v>
      </c>
      <c r="G165" s="62">
        <f ca="1">IF(controls!$B$44=0,I165-'main page'!$K$27*T164,I165-'main page'!$K$27*T164+'main page'!$K$31*'normal case'!AI164)</f>
        <v>101.00000005960464</v>
      </c>
      <c r="H165" s="62">
        <f t="shared" ca="1" si="26"/>
        <v>108</v>
      </c>
      <c r="I165" s="62">
        <f t="shared" ca="1" si="27"/>
        <v>108</v>
      </c>
      <c r="L165" s="62">
        <f ca="1">IF(ABS('main page'!$K$29*L164+(1-'main page'!$K$29)*(controls!$B$9/100)*100+'main page'!$K$25*(D165-B165)-L164)&lt;0.0000001,L164,'main page'!$K$29*L164+(1-'main page'!$K$29)*(controls!$B$9/100)*100+'main page'!$K$25*(D165-B165))</f>
        <v>1.9999998807907104</v>
      </c>
      <c r="Q165" s="409">
        <f ca="1">(1-'main page'!$K$29)*($AS$11/100)*100+'main page'!$K$25*(D165-B165)</f>
        <v>5.9604644775390625E-8</v>
      </c>
      <c r="R165" s="409">
        <f>'main page'!G169+'main page'!$K$29*M164</f>
        <v>0</v>
      </c>
      <c r="S165" s="409">
        <f t="shared" ca="1" si="25"/>
        <v>5.9604644775390625E-8</v>
      </c>
      <c r="T165" s="79">
        <f ca="1">IF(controls!$B$10=1,T164,IF(SUM(controls!$B$44:$B$46)=2,U165-'main page'!$K$29*'normal case'!L165-(1-'main page'!$K$29)*'main page'!$K$32,U165-'main page'!$K$29*'normal case'!L165-(1-'main page'!$K$29)*controls!$B$9))</f>
        <v>3.4999999701976776</v>
      </c>
      <c r="U165" s="164">
        <f ca="1">IF(controls!$B$45=1,IF(controls!$B$46=1,'main page'!$K$24+'main page'!$K$11+'main page'!$U$8,'main page'!$K$24+'main page'!$K$11+'main page'!$K$32),IF(controls!$B$44=1,IF(V165&lt;0,0,V165),IF(V165+'main page'!$K$11&lt;0,0,V165+'main page'!$K$11)))</f>
        <v>5.4999998509883881</v>
      </c>
      <c r="V165" s="63">
        <f ca="1">IF(controls!$B$10=1,'normal case'!T165+'normal case'!L165,'normal case'!W165)</f>
        <v>5.4999998509883881</v>
      </c>
      <c r="W165" s="61">
        <f t="shared" ca="1" si="21"/>
        <v>5.4999998509883881</v>
      </c>
      <c r="X165" s="166">
        <f ca="1">IF(controls!$B$44=0,Y165+'main page'!$K$29*L165+(1-'main page'!$K$29)*controls!$B$9+(('main page'!$K$25*'main page'!$U$13*'main page'!$K$29)/('main page'!$K$27*(1+('main page'!$K$25^2)*'main page'!$U$13)))*(L165-controls!$B$9),Y165+'main page'!$K$29*L165+(1-'main page'!$K$29)*controls!$B$9+(('main page'!$K$25*'main page'!$U$13*'normal case'!$AV$3)/'normal case'!$AV$4)*('normal case'!L165-controls!$B$9))</f>
        <v>5.4999998509883881</v>
      </c>
      <c r="Y165" s="81">
        <f ca="1">IF(controls!$B$44=1,'main page'!$K$24+'main page'!$K$11,IF(controls!$B$33=1,((I166-D165*AD166-B166+B165*AC166)/'main page'!$K$27)-'main page'!$K$11,((H166-D165*AD166-B166+B165*AC166)/'main page'!$K$27)-'main page'!$K$11))</f>
        <v>3.5</v>
      </c>
      <c r="AA165" s="58">
        <f>IF(controls!$B$6=1,$AS$3*(1+('main page'!$K$35/100))^AB165-$AS$3*(1+('main page'!$K$35/100))^AB164,$AS$3*(1+('main page'!$G$8/100))*(1+('main page'!$K$35/100))^AB165-$AS$3*(1+('main page'!$G$8/100))*(1+('main page'!$K$35/100))^AB164)</f>
        <v>0</v>
      </c>
      <c r="AB165" s="60">
        <v>158</v>
      </c>
      <c r="AC165" s="125">
        <v>0</v>
      </c>
      <c r="AD165" s="36">
        <v>0</v>
      </c>
      <c r="AE165" s="44">
        <f ca="1">IF(controls!$B$33=1,D165-($I$3-'main page'!$K$27*2)*(1+('main page'!$K$35/100))^A164,D165-$AS$4)</f>
        <v>1.0000000596046448</v>
      </c>
      <c r="AF165" s="44">
        <f ca="1">ABS(L165-(controls!$B$9/100)*100)</f>
        <v>1.1920928955078125E-7</v>
      </c>
      <c r="AH165" s="44">
        <f ca="1">IF(controls!$B$33=1,(B166-B165*AC166-I166+D165*AD166+'main page'!$K$27*('main page'!$K$24+'main page'!$K$11))/'main page'!$K$31,(B166-B165*AC166+D165*AD166-H166+'main page'!$K$27*('main page'!$K$24+'main page'!$K$11))/'main page'!$K$31)</f>
        <v>1</v>
      </c>
      <c r="AI165" s="44">
        <f ca="1">IF(controls!$B$45=1,LOG(AM165,1.01)+LOG(AL165,1.01)-LOG(AK165,1.01),-((T165-('main page'!$K$24+'main page'!$K$11))/(1-'normal case'!$AV$3))+'normal case'!AH165)</f>
        <v>2.0000000596046448</v>
      </c>
      <c r="AJ165" s="80">
        <f t="shared" ca="1" si="22"/>
        <v>1.0506250015463039</v>
      </c>
      <c r="AK165" s="44">
        <f t="shared" ca="1" si="23"/>
        <v>24.248461761460138</v>
      </c>
      <c r="AL165" s="44">
        <f>AL164*(1+'main page'!$K$32/100)</f>
        <v>1</v>
      </c>
      <c r="AM165" s="44">
        <f ca="1">IF(ABS(IF(controls!$B$45=1,$AS$13,AK165*AJ165/AL165)-AM164)&lt;0.00001,AM164,IF(controls!$B$45=1,$AS$13,AK165*AJ165/AL165))</f>
        <v>25.476040175629549</v>
      </c>
      <c r="AN165" s="44">
        <f>IF(controls!$B$46=0,0,IF(controls!$B$33=2,B166-B165*AC166-('normal case'!H166-D165*AD166-'main page'!$K$27*'normal case'!T165+'main page'!$K$31*'normal case'!AI165)-(('main page'!$K$25*'main page'!$U$13*'main page'!$K$29)/(1+('main page'!$K$25^2)*'main page'!$U$13))*('normal case'!L165-'main page'!$U$8),B166-B165*AC166-('normal case'!I166-D165*AD166-'main page'!$K$27*'normal case'!T165+'main page'!$K$31*'normal case'!AI165)-(('main page'!$K$25*'main page'!$U$13*'main page'!$K$29)/(1+('main page'!$K$25^2)*'main page'!$U$13))*('normal case'!L165-'main page'!$U$8)))</f>
        <v>0</v>
      </c>
      <c r="AU165" s="36"/>
      <c r="AV165" s="36"/>
    </row>
    <row r="166" spans="1:48">
      <c r="A166" s="43">
        <v>164</v>
      </c>
      <c r="B166" s="62">
        <f ca="1">IF(controls!$B$33=1,B165*(1+AC166)+AA166,B165*(1+AC166))</f>
        <v>101</v>
      </c>
      <c r="C166" s="67">
        <f t="shared" ca="1" si="24"/>
        <v>-1.5107707374006907E-7</v>
      </c>
      <c r="D166" s="64">
        <f t="shared" ca="1" si="20"/>
        <v>101.00000005960464</v>
      </c>
      <c r="E166" s="64">
        <f ca="1">AN165+IF(controls!$B$33=1,G166,F166)</f>
        <v>101.00000005960464</v>
      </c>
      <c r="F166" s="78">
        <f ca="1">IF(controls!$B$44=0,H166-'main page'!$K$27*T165,H166-'main page'!$K$27*T165+'main page'!$K$31*AI165)</f>
        <v>101.00000005960464</v>
      </c>
      <c r="G166" s="62">
        <f ca="1">IF(controls!$B$44=0,I166-'main page'!$K$27*T165,I166-'main page'!$K$27*T165+'main page'!$K$31*'normal case'!AI165)</f>
        <v>101.00000005960464</v>
      </c>
      <c r="H166" s="62">
        <f t="shared" ca="1" si="26"/>
        <v>108</v>
      </c>
      <c r="I166" s="62">
        <f t="shared" ca="1" si="27"/>
        <v>108</v>
      </c>
      <c r="L166" s="62">
        <f ca="1">IF(ABS('main page'!$K$29*L165+(1-'main page'!$K$29)*(controls!$B$9/100)*100+'main page'!$K$25*(D166-B166)-L165)&lt;0.0000001,L165,'main page'!$K$29*L165+(1-'main page'!$K$29)*(controls!$B$9/100)*100+'main page'!$K$25*(D166-B166))</f>
        <v>1.9999998807907104</v>
      </c>
      <c r="Q166" s="409">
        <f ca="1">(1-'main page'!$K$29)*($AS$11/100)*100+'main page'!$K$25*(D166-B166)</f>
        <v>5.9604644775390625E-8</v>
      </c>
      <c r="R166" s="409">
        <f>'main page'!G170+'main page'!$K$29*M165</f>
        <v>0</v>
      </c>
      <c r="S166" s="409">
        <f t="shared" ca="1" si="25"/>
        <v>5.9604644775390625E-8</v>
      </c>
      <c r="T166" s="79">
        <f ca="1">IF(controls!$B$10=1,T165,IF(SUM(controls!$B$44:$B$46)=2,U166-'main page'!$K$29*'normal case'!L166-(1-'main page'!$K$29)*'main page'!$K$32,U166-'main page'!$K$29*'normal case'!L166-(1-'main page'!$K$29)*controls!$B$9))</f>
        <v>3.4999999701976776</v>
      </c>
      <c r="U166" s="164">
        <f ca="1">IF(controls!$B$45=1,IF(controls!$B$46=1,'main page'!$K$24+'main page'!$K$11+'main page'!$U$8,'main page'!$K$24+'main page'!$K$11+'main page'!$K$32),IF(controls!$B$44=1,IF(V166&lt;0,0,V166),IF(V166+'main page'!$K$11&lt;0,0,V166+'main page'!$K$11)))</f>
        <v>5.4999998509883881</v>
      </c>
      <c r="V166" s="63">
        <f ca="1">IF(controls!$B$10=1,'normal case'!T166+'normal case'!L166,'normal case'!W166)</f>
        <v>5.4999998509883881</v>
      </c>
      <c r="W166" s="61">
        <f t="shared" ca="1" si="21"/>
        <v>5.4999998509883881</v>
      </c>
      <c r="X166" s="166">
        <f ca="1">IF(controls!$B$44=0,Y166+'main page'!$K$29*L166+(1-'main page'!$K$29)*controls!$B$9+(('main page'!$K$25*'main page'!$U$13*'main page'!$K$29)/('main page'!$K$27*(1+('main page'!$K$25^2)*'main page'!$U$13)))*(L166-controls!$B$9),Y166+'main page'!$K$29*L166+(1-'main page'!$K$29)*controls!$B$9+(('main page'!$K$25*'main page'!$U$13*'normal case'!$AV$3)/'normal case'!$AV$4)*('normal case'!L166-controls!$B$9))</f>
        <v>5.4999998509883881</v>
      </c>
      <c r="Y166" s="81">
        <f ca="1">IF(controls!$B$44=1,'main page'!$K$24+'main page'!$K$11,IF(controls!$B$33=1,((I167-D166*AD167-B167+B166*AC167)/'main page'!$K$27)-'main page'!$K$11,((H167-D166*AD167-B167+B166*AC167)/'main page'!$K$27)-'main page'!$K$11))</f>
        <v>3.5</v>
      </c>
      <c r="AA166" s="58">
        <f>IF(controls!$B$6=1,$AS$3*(1+('main page'!$K$35/100))^AB166-$AS$3*(1+('main page'!$K$35/100))^AB165,$AS$3*(1+('main page'!$G$8/100))*(1+('main page'!$K$35/100))^AB166-$AS$3*(1+('main page'!$G$8/100))*(1+('main page'!$K$35/100))^AB165)</f>
        <v>0</v>
      </c>
      <c r="AB166" s="60">
        <v>159</v>
      </c>
      <c r="AC166" s="125">
        <v>0</v>
      </c>
      <c r="AD166" s="36">
        <v>0</v>
      </c>
      <c r="AE166" s="44">
        <f ca="1">IF(controls!$B$33=1,D166-($I$3-'main page'!$K$27*2)*(1+('main page'!$K$35/100))^A165,D166-$AS$4)</f>
        <v>1.0000000596046448</v>
      </c>
      <c r="AF166" s="44">
        <f ca="1">ABS(L166-(controls!$B$9/100)*100)</f>
        <v>1.1920928955078125E-7</v>
      </c>
      <c r="AH166" s="44">
        <f ca="1">IF(controls!$B$33=1,(B167-B166*AC167-I167+D166*AD167+'main page'!$K$27*('main page'!$K$24+'main page'!$K$11))/'main page'!$K$31,(B167-B166*AC167+D166*AD167-H167+'main page'!$K$27*('main page'!$K$24+'main page'!$K$11))/'main page'!$K$31)</f>
        <v>1</v>
      </c>
      <c r="AI166" s="44">
        <f ca="1">IF(controls!$B$45=1,LOG(AM166,1.01)+LOG(AL166,1.01)-LOG(AK166,1.01),-((T166-('main page'!$K$24+'main page'!$K$11))/(1-'normal case'!$AV$3))+'normal case'!AH166)</f>
        <v>2.0000000596046448</v>
      </c>
      <c r="AJ166" s="80">
        <f t="shared" ca="1" si="22"/>
        <v>1.0506250015463039</v>
      </c>
      <c r="AK166" s="44">
        <f t="shared" ca="1" si="23"/>
        <v>24.733430967782922</v>
      </c>
      <c r="AL166" s="44">
        <f>AL165*(1+'main page'!$K$32/100)</f>
        <v>1</v>
      </c>
      <c r="AM166" s="44">
        <f ca="1">IF(ABS(IF(controls!$B$45=1,$AS$13,AK166*AJ166/AL166)-AM165)&lt;0.00001,AM165,IF(controls!$B$45=1,$AS$13,AK166*AJ166/AL166))</f>
        <v>25.985560948772335</v>
      </c>
      <c r="AN166" s="44">
        <f>IF(controls!$B$46=0,0,IF(controls!$B$33=2,B167-B166*AC167-('normal case'!H167-D166*AD167-'main page'!$K$27*'normal case'!T166+'main page'!$K$31*'normal case'!AI166)-(('main page'!$K$25*'main page'!$U$13*'main page'!$K$29)/(1+('main page'!$K$25^2)*'main page'!$U$13))*('normal case'!L166-'main page'!$U$8),B167-B166*AC167-('normal case'!I167-D166*AD167-'main page'!$K$27*'normal case'!T166+'main page'!$K$31*'normal case'!AI166)-(('main page'!$K$25*'main page'!$U$13*'main page'!$K$29)/(1+('main page'!$K$25^2)*'main page'!$U$13))*('normal case'!L166-'main page'!$U$8)))</f>
        <v>0</v>
      </c>
      <c r="AU166" s="36"/>
      <c r="AV166" s="36"/>
    </row>
    <row r="167" spans="1:48">
      <c r="A167" s="43">
        <v>165</v>
      </c>
      <c r="B167" s="62">
        <f ca="1">IF(controls!$B$33=1,B166*(1+AC167)+AA167,B166*(1+AC167))</f>
        <v>101</v>
      </c>
      <c r="C167" s="67">
        <f t="shared" ca="1" si="24"/>
        <v>-1.5107707374006907E-7</v>
      </c>
      <c r="D167" s="64">
        <f t="shared" ca="1" si="20"/>
        <v>101.00000005960464</v>
      </c>
      <c r="E167" s="64">
        <f ca="1">AN166+IF(controls!$B$33=1,G167,F167)</f>
        <v>101.00000005960464</v>
      </c>
      <c r="F167" s="78">
        <f ca="1">IF(controls!$B$44=0,H167-'main page'!$K$27*T166,H167-'main page'!$K$27*T166+'main page'!$K$31*AI166)</f>
        <v>101.00000005960464</v>
      </c>
      <c r="G167" s="62">
        <f ca="1">IF(controls!$B$44=0,I167-'main page'!$K$27*T166,I167-'main page'!$K$27*T166+'main page'!$K$31*'normal case'!AI166)</f>
        <v>101.00000005960464</v>
      </c>
      <c r="H167" s="62">
        <f t="shared" ca="1" si="26"/>
        <v>108</v>
      </c>
      <c r="I167" s="62">
        <f t="shared" ca="1" si="27"/>
        <v>108</v>
      </c>
      <c r="L167" s="62">
        <f ca="1">IF(ABS('main page'!$K$29*L166+(1-'main page'!$K$29)*(controls!$B$9/100)*100+'main page'!$K$25*(D167-B167)-L166)&lt;0.0000001,L166,'main page'!$K$29*L166+(1-'main page'!$K$29)*(controls!$B$9/100)*100+'main page'!$K$25*(D167-B167))</f>
        <v>1.9999998807907104</v>
      </c>
      <c r="Q167" s="409">
        <f ca="1">(1-'main page'!$K$29)*($AS$11/100)*100+'main page'!$K$25*(D167-B167)</f>
        <v>5.9604644775390625E-8</v>
      </c>
      <c r="R167" s="409">
        <f>'main page'!G171+'main page'!$K$29*M166</f>
        <v>0</v>
      </c>
      <c r="S167" s="409">
        <f t="shared" ca="1" si="25"/>
        <v>5.9604644775390625E-8</v>
      </c>
      <c r="T167" s="79">
        <f ca="1">IF(controls!$B$10=1,T166,IF(SUM(controls!$B$44:$B$46)=2,U167-'main page'!$K$29*'normal case'!L167-(1-'main page'!$K$29)*'main page'!$K$32,U167-'main page'!$K$29*'normal case'!L167-(1-'main page'!$K$29)*controls!$B$9))</f>
        <v>3.4999999701976776</v>
      </c>
      <c r="U167" s="164">
        <f ca="1">IF(controls!$B$45=1,IF(controls!$B$46=1,'main page'!$K$24+'main page'!$K$11+'main page'!$U$8,'main page'!$K$24+'main page'!$K$11+'main page'!$K$32),IF(controls!$B$44=1,IF(V167&lt;0,0,V167),IF(V167+'main page'!$K$11&lt;0,0,V167+'main page'!$K$11)))</f>
        <v>5.4999998509883881</v>
      </c>
      <c r="V167" s="63">
        <f ca="1">IF(controls!$B$10=1,'normal case'!T167+'normal case'!L167,'normal case'!W167)</f>
        <v>5.4999998509883881</v>
      </c>
      <c r="W167" s="61">
        <f t="shared" ca="1" si="21"/>
        <v>5.4999998509883881</v>
      </c>
      <c r="X167" s="166">
        <f ca="1">IF(controls!$B$44=0,Y167+'main page'!$K$29*L167+(1-'main page'!$K$29)*controls!$B$9+(('main page'!$K$25*'main page'!$U$13*'main page'!$K$29)/('main page'!$K$27*(1+('main page'!$K$25^2)*'main page'!$U$13)))*(L167-controls!$B$9),Y167+'main page'!$K$29*L167+(1-'main page'!$K$29)*controls!$B$9+(('main page'!$K$25*'main page'!$U$13*'normal case'!$AV$3)/'normal case'!$AV$4)*('normal case'!L167-controls!$B$9))</f>
        <v>5.4999998509883881</v>
      </c>
      <c r="Y167" s="81">
        <f ca="1">IF(controls!$B$44=1,'main page'!$K$24+'main page'!$K$11,IF(controls!$B$33=1,((I168-D167*AD168-B168+B167*AC168)/'main page'!$K$27)-'main page'!$K$11,((H168-D167*AD168-B168+B167*AC168)/'main page'!$K$27)-'main page'!$K$11))</f>
        <v>3.5</v>
      </c>
      <c r="AA167" s="58">
        <f>IF(controls!$B$6=1,$AS$3*(1+('main page'!$K$35/100))^AB167-$AS$3*(1+('main page'!$K$35/100))^AB166,$AS$3*(1+('main page'!$G$8/100))*(1+('main page'!$K$35/100))^AB167-$AS$3*(1+('main page'!$G$8/100))*(1+('main page'!$K$35/100))^AB166)</f>
        <v>0</v>
      </c>
      <c r="AB167" s="60">
        <v>160</v>
      </c>
      <c r="AC167" s="125">
        <f ca="1">IF(controls!$B$4=1,IF(controls!$H166=1,controls!$B$34*AC166+RAND()*('main page'!$K$16/100)-RAND()*('main page'!$K$16/100),0),0)</f>
        <v>0</v>
      </c>
      <c r="AD167" s="36">
        <f ca="1">IF(controls!$B$4=1,IF(controls!$I166=1,controls!$B$34*AD166+RAND()*('main page'!$K$16/100)-RAND()*('main page'!$K$16/100),0),0)</f>
        <v>0</v>
      </c>
      <c r="AE167" s="44">
        <f ca="1">IF(controls!$B$33=1,D167-($I$3-'main page'!$K$27*2)*(1+('main page'!$K$35/100))^A166,D167-$AS$4)</f>
        <v>1.0000000596046448</v>
      </c>
      <c r="AF167" s="44">
        <f ca="1">ABS(L167-(controls!$B$9/100)*100)</f>
        <v>1.1920928955078125E-7</v>
      </c>
      <c r="AH167" s="44">
        <f ca="1">IF(controls!$B$33=1,(B168-B167*AC168-I168+D167*AD168+'main page'!$K$27*('main page'!$K$24+'main page'!$K$11))/'main page'!$K$31,(B168-B167*AC168+D167*AD168-H168+'main page'!$K$27*('main page'!$K$24+'main page'!$K$11))/'main page'!$K$31)</f>
        <v>1</v>
      </c>
      <c r="AI167" s="44">
        <f ca="1">IF(controls!$B$45=1,LOG(AM167,1.01)+LOG(AL167,1.01)-LOG(AK167,1.01),-((T167-('main page'!$K$24+'main page'!$K$11))/(1-'normal case'!$AV$3))+'normal case'!AH167)</f>
        <v>2.0000000596046448</v>
      </c>
      <c r="AJ167" s="80">
        <f t="shared" ca="1" si="22"/>
        <v>1.0506250015463039</v>
      </c>
      <c r="AK167" s="44">
        <f t="shared" ca="1" si="23"/>
        <v>25.228099557654033</v>
      </c>
      <c r="AL167" s="44">
        <f>AL166*(1+'main page'!$K$32/100)</f>
        <v>1</v>
      </c>
      <c r="AM167" s="44">
        <f ca="1">IF(ABS(IF(controls!$B$45=1,$AS$13,AK167*AJ167/AL167)-AM166)&lt;0.00001,AM166,IF(controls!$B$45=1,$AS$13,AK167*AJ167/AL167))</f>
        <v>26.505272136770579</v>
      </c>
      <c r="AN167" s="44">
        <f>IF(controls!$B$46=0,0,IF(controls!$B$33=2,B168-B167*AC168-('normal case'!H168-D167*AD168-'main page'!$K$27*'normal case'!T167+'main page'!$K$31*'normal case'!AI167)-(('main page'!$K$25*'main page'!$U$13*'main page'!$K$29)/(1+('main page'!$K$25^2)*'main page'!$U$13))*('normal case'!L167-'main page'!$U$8),B168-B167*AC168-('normal case'!I168-D167*AD168-'main page'!$K$27*'normal case'!T167+'main page'!$K$31*'normal case'!AI167)-(('main page'!$K$25*'main page'!$U$13*'main page'!$K$29)/(1+('main page'!$K$25^2)*'main page'!$U$13))*('normal case'!L167-'main page'!$U$8)))</f>
        <v>0</v>
      </c>
      <c r="AU167" s="36"/>
      <c r="AV167" s="36"/>
    </row>
    <row r="168" spans="1:48">
      <c r="A168" s="43">
        <v>166</v>
      </c>
      <c r="B168" s="62">
        <f ca="1">IF(controls!$B$33=1,B167*(1+AC168)+AA168,B167*(1+AC168))</f>
        <v>101</v>
      </c>
      <c r="C168" s="67">
        <f t="shared" ca="1" si="24"/>
        <v>-1.5107707374006907E-7</v>
      </c>
      <c r="D168" s="64">
        <f t="shared" ca="1" si="20"/>
        <v>101.00000005960464</v>
      </c>
      <c r="E168" s="64">
        <f ca="1">AN167+IF(controls!$B$33=1,G168,F168)</f>
        <v>101.00000005960464</v>
      </c>
      <c r="F168" s="78">
        <f ca="1">IF(controls!$B$44=0,H168-'main page'!$K$27*T167,H168-'main page'!$K$27*T167+'main page'!$K$31*AI167)</f>
        <v>101.00000005960464</v>
      </c>
      <c r="G168" s="62">
        <f ca="1">IF(controls!$B$44=0,I168-'main page'!$K$27*T167,I168-'main page'!$K$27*T167+'main page'!$K$31*'normal case'!AI167)</f>
        <v>101.00000005960464</v>
      </c>
      <c r="H168" s="62">
        <f t="shared" ca="1" si="26"/>
        <v>108</v>
      </c>
      <c r="I168" s="62">
        <f t="shared" ca="1" si="27"/>
        <v>108</v>
      </c>
      <c r="L168" s="62">
        <f ca="1">IF(ABS('main page'!$K$29*L167+(1-'main page'!$K$29)*(controls!$B$9/100)*100+'main page'!$K$25*(D168-B168)-L167)&lt;0.0000001,L167,'main page'!$K$29*L167+(1-'main page'!$K$29)*(controls!$B$9/100)*100+'main page'!$K$25*(D168-B168))</f>
        <v>1.9999998807907104</v>
      </c>
      <c r="Q168" s="409">
        <f ca="1">(1-'main page'!$K$29)*($AS$11/100)*100+'main page'!$K$25*(D168-B168)</f>
        <v>5.9604644775390625E-8</v>
      </c>
      <c r="R168" s="409">
        <f>'main page'!G172+'main page'!$K$29*M167</f>
        <v>0</v>
      </c>
      <c r="S168" s="409">
        <f t="shared" ca="1" si="25"/>
        <v>5.9604644775390625E-8</v>
      </c>
      <c r="T168" s="79">
        <f ca="1">IF(controls!$B$10=1,T167,IF(SUM(controls!$B$44:$B$46)=2,U168-'main page'!$K$29*'normal case'!L168-(1-'main page'!$K$29)*'main page'!$K$32,U168-'main page'!$K$29*'normal case'!L168-(1-'main page'!$K$29)*controls!$B$9))</f>
        <v>3.4999999701976776</v>
      </c>
      <c r="U168" s="164">
        <f ca="1">IF(controls!$B$45=1,IF(controls!$B$46=1,'main page'!$K$24+'main page'!$K$11+'main page'!$U$8,'main page'!$K$24+'main page'!$K$11+'main page'!$K$32),IF(controls!$B$44=1,IF(V168&lt;0,0,V168),IF(V168+'main page'!$K$11&lt;0,0,V168+'main page'!$K$11)))</f>
        <v>5.4999998509883881</v>
      </c>
      <c r="V168" s="63">
        <f ca="1">IF(controls!$B$10=1,'normal case'!T168+'normal case'!L168,'normal case'!W168)</f>
        <v>5.4999998509883881</v>
      </c>
      <c r="W168" s="61">
        <f t="shared" ca="1" si="21"/>
        <v>5.4999998509883881</v>
      </c>
      <c r="X168" s="166">
        <f ca="1">IF(controls!$B$44=0,Y168+'main page'!$K$29*L168+(1-'main page'!$K$29)*controls!$B$9+(('main page'!$K$25*'main page'!$U$13*'main page'!$K$29)/('main page'!$K$27*(1+('main page'!$K$25^2)*'main page'!$U$13)))*(L168-controls!$B$9),Y168+'main page'!$K$29*L168+(1-'main page'!$K$29)*controls!$B$9+(('main page'!$K$25*'main page'!$U$13*'normal case'!$AV$3)/'normal case'!$AV$4)*('normal case'!L168-controls!$B$9))</f>
        <v>5.4999998509883881</v>
      </c>
      <c r="Y168" s="81">
        <f ca="1">IF(controls!$B$44=1,'main page'!$K$24+'main page'!$K$11,IF(controls!$B$33=1,((I169-D168*AD169-B169+B168*AC169)/'main page'!$K$27)-'main page'!$K$11,((H169-D168*AD169-B169+B168*AC169)/'main page'!$K$27)-'main page'!$K$11))</f>
        <v>3.5</v>
      </c>
      <c r="AA168" s="58">
        <f>IF(controls!$B$6=1,$AS$3*(1+('main page'!$K$35/100))^AB168-$AS$3*(1+('main page'!$K$35/100))^AB167,$AS$3*(1+('main page'!$G$8/100))*(1+('main page'!$K$35/100))^AB168-$AS$3*(1+('main page'!$G$8/100))*(1+('main page'!$K$35/100))^AB167)</f>
        <v>0</v>
      </c>
      <c r="AB168" s="60">
        <v>161</v>
      </c>
      <c r="AC168" s="125">
        <v>0</v>
      </c>
      <c r="AD168" s="36">
        <v>0</v>
      </c>
      <c r="AE168" s="44">
        <f ca="1">IF(controls!$B$33=1,D168-($I$3-'main page'!$K$27*2)*(1+('main page'!$K$35/100))^A167,D168-$AS$4)</f>
        <v>1.0000000596046448</v>
      </c>
      <c r="AF168" s="44">
        <f ca="1">ABS(L168-(controls!$B$9/100)*100)</f>
        <v>1.1920928955078125E-7</v>
      </c>
      <c r="AH168" s="44">
        <f ca="1">IF(controls!$B$33=1,(B169-B168*AC169-I169+D168*AD169+'main page'!$K$27*('main page'!$K$24+'main page'!$K$11))/'main page'!$K$31,(B169-B168*AC169+D168*AD169-H169+'main page'!$K$27*('main page'!$K$24+'main page'!$K$11))/'main page'!$K$31)</f>
        <v>1</v>
      </c>
      <c r="AI168" s="44">
        <f ca="1">IF(controls!$B$45=1,LOG(AM168,1.01)+LOG(AL168,1.01)-LOG(AK168,1.01),-((T168-('main page'!$K$24+'main page'!$K$11))/(1-'normal case'!$AV$3))+'normal case'!AH168)</f>
        <v>2.0000000596046448</v>
      </c>
      <c r="AJ168" s="80">
        <f t="shared" ca="1" si="22"/>
        <v>1.0506250015463039</v>
      </c>
      <c r="AK168" s="44">
        <f t="shared" ca="1" si="23"/>
        <v>25.732661518732876</v>
      </c>
      <c r="AL168" s="44">
        <f>AL167*(1+'main page'!$K$32/100)</f>
        <v>1</v>
      </c>
      <c r="AM168" s="44">
        <f ca="1">IF(ABS(IF(controls!$B$45=1,$AS$13,AK168*AJ168/AL168)-AM167)&lt;0.00001,AM167,IF(controls!$B$45=1,$AS$13,AK168*AJ168/AL168))</f>
        <v>27.035377547909242</v>
      </c>
      <c r="AN168" s="44">
        <f>IF(controls!$B$46=0,0,IF(controls!$B$33=2,B169-B168*AC169-('normal case'!H169-D168*AD169-'main page'!$K$27*'normal case'!T168+'main page'!$K$31*'normal case'!AI168)-(('main page'!$K$25*'main page'!$U$13*'main page'!$K$29)/(1+('main page'!$K$25^2)*'main page'!$U$13))*('normal case'!L168-'main page'!$U$8),B169-B168*AC169-('normal case'!I169-D168*AD169-'main page'!$K$27*'normal case'!T168+'main page'!$K$31*'normal case'!AI168)-(('main page'!$K$25*'main page'!$U$13*'main page'!$K$29)/(1+('main page'!$K$25^2)*'main page'!$U$13))*('normal case'!L168-'main page'!$U$8)))</f>
        <v>0</v>
      </c>
      <c r="AU168" s="36"/>
      <c r="AV168" s="36"/>
    </row>
    <row r="169" spans="1:48">
      <c r="A169" s="43">
        <v>167</v>
      </c>
      <c r="B169" s="62">
        <f ca="1">IF(controls!$B$33=1,B168*(1+AC169)+AA169,B168*(1+AC169))</f>
        <v>101</v>
      </c>
      <c r="C169" s="67">
        <f t="shared" ca="1" si="24"/>
        <v>-1.5107707374006907E-7</v>
      </c>
      <c r="D169" s="64">
        <f t="shared" ca="1" si="20"/>
        <v>101.00000005960464</v>
      </c>
      <c r="E169" s="64">
        <f ca="1">AN168+IF(controls!$B$33=1,G169,F169)</f>
        <v>101.00000005960464</v>
      </c>
      <c r="F169" s="78">
        <f ca="1">IF(controls!$B$44=0,H169-'main page'!$K$27*T168,H169-'main page'!$K$27*T168+'main page'!$K$31*AI168)</f>
        <v>101.00000005960464</v>
      </c>
      <c r="G169" s="62">
        <f ca="1">IF(controls!$B$44=0,I169-'main page'!$K$27*T168,I169-'main page'!$K$27*T168+'main page'!$K$31*'normal case'!AI168)</f>
        <v>101.00000005960464</v>
      </c>
      <c r="H169" s="62">
        <f t="shared" ca="1" si="26"/>
        <v>108</v>
      </c>
      <c r="I169" s="62">
        <f t="shared" ca="1" si="27"/>
        <v>108</v>
      </c>
      <c r="L169" s="62">
        <f ca="1">IF(ABS('main page'!$K$29*L168+(1-'main page'!$K$29)*(controls!$B$9/100)*100+'main page'!$K$25*(D169-B169)-L168)&lt;0.0000001,L168,'main page'!$K$29*L168+(1-'main page'!$K$29)*(controls!$B$9/100)*100+'main page'!$K$25*(D169-B169))</f>
        <v>1.9999998807907104</v>
      </c>
      <c r="Q169" s="409">
        <f ca="1">(1-'main page'!$K$29)*($AS$11/100)*100+'main page'!$K$25*(D169-B169)</f>
        <v>5.9604644775390625E-8</v>
      </c>
      <c r="R169" s="409">
        <f>'main page'!G173+'main page'!$K$29*M168</f>
        <v>0</v>
      </c>
      <c r="S169" s="409">
        <f t="shared" ca="1" si="25"/>
        <v>5.9604644775390625E-8</v>
      </c>
      <c r="T169" s="79">
        <f ca="1">IF(controls!$B$10=1,T168,IF(SUM(controls!$B$44:$B$46)=2,U169-'main page'!$K$29*'normal case'!L169-(1-'main page'!$K$29)*'main page'!$K$32,U169-'main page'!$K$29*'normal case'!L169-(1-'main page'!$K$29)*controls!$B$9))</f>
        <v>3.4999999701976776</v>
      </c>
      <c r="U169" s="164">
        <f ca="1">IF(controls!$B$45=1,IF(controls!$B$46=1,'main page'!$K$24+'main page'!$K$11+'main page'!$U$8,'main page'!$K$24+'main page'!$K$11+'main page'!$K$32),IF(controls!$B$44=1,IF(V169&lt;0,0,V169),IF(V169+'main page'!$K$11&lt;0,0,V169+'main page'!$K$11)))</f>
        <v>5.4999998509883881</v>
      </c>
      <c r="V169" s="63">
        <f ca="1">IF(controls!$B$10=1,'normal case'!T169+'normal case'!L169,'normal case'!W169)</f>
        <v>5.4999998509883881</v>
      </c>
      <c r="W169" s="61">
        <f t="shared" ca="1" si="21"/>
        <v>5.4999998509883881</v>
      </c>
      <c r="X169" s="166">
        <f ca="1">IF(controls!$B$44=0,Y169+'main page'!$K$29*L169+(1-'main page'!$K$29)*controls!$B$9+(('main page'!$K$25*'main page'!$U$13*'main page'!$K$29)/('main page'!$K$27*(1+('main page'!$K$25^2)*'main page'!$U$13)))*(L169-controls!$B$9),Y169+'main page'!$K$29*L169+(1-'main page'!$K$29)*controls!$B$9+(('main page'!$K$25*'main page'!$U$13*'normal case'!$AV$3)/'normal case'!$AV$4)*('normal case'!L169-controls!$B$9))</f>
        <v>5.4999998509883881</v>
      </c>
      <c r="Y169" s="81">
        <f ca="1">IF(controls!$B$44=1,'main page'!$K$24+'main page'!$K$11,IF(controls!$B$33=1,((I170-D169*AD170-B170+B169*AC170)/'main page'!$K$27)-'main page'!$K$11,((H170-D169*AD170-B170+B169*AC170)/'main page'!$K$27)-'main page'!$K$11))</f>
        <v>3.5</v>
      </c>
      <c r="AA169" s="58">
        <f>IF(controls!$B$6=1,$AS$3*(1+('main page'!$K$35/100))^AB169-$AS$3*(1+('main page'!$K$35/100))^AB168,$AS$3*(1+('main page'!$G$8/100))*(1+('main page'!$K$35/100))^AB169-$AS$3*(1+('main page'!$G$8/100))*(1+('main page'!$K$35/100))^AB168)</f>
        <v>0</v>
      </c>
      <c r="AB169" s="60">
        <v>162</v>
      </c>
      <c r="AC169" s="125">
        <v>0</v>
      </c>
      <c r="AD169" s="36">
        <v>0</v>
      </c>
      <c r="AE169" s="44">
        <f ca="1">IF(controls!$B$33=1,D169-($I$3-'main page'!$K$27*2)*(1+('main page'!$K$35/100))^A168,D169-$AS$4)</f>
        <v>1.0000000596046448</v>
      </c>
      <c r="AF169" s="44">
        <f ca="1">ABS(L169-(controls!$B$9/100)*100)</f>
        <v>1.1920928955078125E-7</v>
      </c>
      <c r="AH169" s="44">
        <f ca="1">IF(controls!$B$33=1,(B170-B169*AC170-I170+D169*AD170+'main page'!$K$27*('main page'!$K$24+'main page'!$K$11))/'main page'!$K$31,(B170-B169*AC170+D169*AD170-H170+'main page'!$K$27*('main page'!$K$24+'main page'!$K$11))/'main page'!$K$31)</f>
        <v>1</v>
      </c>
      <c r="AI169" s="44">
        <f ca="1">IF(controls!$B$45=1,LOG(AM169,1.01)+LOG(AL169,1.01)-LOG(AK169,1.01),-((T169-('main page'!$K$24+'main page'!$K$11))/(1-'normal case'!$AV$3))+'normal case'!AH169)</f>
        <v>2.0000000596046448</v>
      </c>
      <c r="AJ169" s="80">
        <f t="shared" ca="1" si="22"/>
        <v>1.0506250015463039</v>
      </c>
      <c r="AK169" s="44">
        <f t="shared" ca="1" si="23"/>
        <v>26.247314718431813</v>
      </c>
      <c r="AL169" s="44">
        <f>AL168*(1+'main page'!$K$32/100)</f>
        <v>1</v>
      </c>
      <c r="AM169" s="44">
        <f ca="1">IF(ABS(IF(controls!$B$45=1,$AS$13,AK169*AJ169/AL169)-AM168)&lt;0.00001,AM168,IF(controls!$B$45=1,$AS$13,AK169*AJ169/AL169))</f>
        <v>27.576085066638747</v>
      </c>
      <c r="AN169" s="44">
        <f>IF(controls!$B$46=0,0,IF(controls!$B$33=2,B170-B169*AC170-('normal case'!H170-D169*AD170-'main page'!$K$27*'normal case'!T169+'main page'!$K$31*'normal case'!AI169)-(('main page'!$K$25*'main page'!$U$13*'main page'!$K$29)/(1+('main page'!$K$25^2)*'main page'!$U$13))*('normal case'!L169-'main page'!$U$8),B170-B169*AC170-('normal case'!I170-D169*AD170-'main page'!$K$27*'normal case'!T169+'main page'!$K$31*'normal case'!AI169)-(('main page'!$K$25*'main page'!$U$13*'main page'!$K$29)/(1+('main page'!$K$25^2)*'main page'!$U$13))*('normal case'!L169-'main page'!$U$8)))</f>
        <v>0</v>
      </c>
      <c r="AU169" s="36"/>
      <c r="AV169" s="36"/>
    </row>
    <row r="170" spans="1:48">
      <c r="A170" s="43">
        <v>168</v>
      </c>
      <c r="B170" s="62">
        <f ca="1">IF(controls!$B$33=1,B169*(1+AC170)+AA170,B169*(1+AC170))</f>
        <v>101</v>
      </c>
      <c r="C170" s="67">
        <f t="shared" ca="1" si="24"/>
        <v>-1.5107707374006907E-7</v>
      </c>
      <c r="D170" s="64">
        <f t="shared" ca="1" si="20"/>
        <v>101.00000005960464</v>
      </c>
      <c r="E170" s="64">
        <f ca="1">AN169+IF(controls!$B$33=1,G170,F170)</f>
        <v>101.00000005960464</v>
      </c>
      <c r="F170" s="78">
        <f ca="1">IF(controls!$B$44=0,H170-'main page'!$K$27*T169,H170-'main page'!$K$27*T169+'main page'!$K$31*AI169)</f>
        <v>101.00000005960464</v>
      </c>
      <c r="G170" s="62">
        <f ca="1">IF(controls!$B$44=0,I170-'main page'!$K$27*T169,I170-'main page'!$K$27*T169+'main page'!$K$31*'normal case'!AI169)</f>
        <v>101.00000005960464</v>
      </c>
      <c r="H170" s="62">
        <f t="shared" ca="1" si="26"/>
        <v>108</v>
      </c>
      <c r="I170" s="62">
        <f t="shared" ca="1" si="27"/>
        <v>108</v>
      </c>
      <c r="L170" s="62">
        <f ca="1">IF(ABS('main page'!$K$29*L169+(1-'main page'!$K$29)*(controls!$B$9/100)*100+'main page'!$K$25*(D170-B170)-L169)&lt;0.0000001,L169,'main page'!$K$29*L169+(1-'main page'!$K$29)*(controls!$B$9/100)*100+'main page'!$K$25*(D170-B170))</f>
        <v>1.9999998807907104</v>
      </c>
      <c r="Q170" s="409">
        <f ca="1">(1-'main page'!$K$29)*($AS$11/100)*100+'main page'!$K$25*(D170-B170)</f>
        <v>5.9604644775390625E-8</v>
      </c>
      <c r="R170" s="409">
        <f>'main page'!G174+'main page'!$K$29*M169</f>
        <v>0</v>
      </c>
      <c r="S170" s="409">
        <f t="shared" ca="1" si="25"/>
        <v>5.9604644775390625E-8</v>
      </c>
      <c r="T170" s="79">
        <f ca="1">IF(controls!$B$10=1,T169,IF(SUM(controls!$B$44:$B$46)=2,U170-'main page'!$K$29*'normal case'!L170-(1-'main page'!$K$29)*'main page'!$K$32,U170-'main page'!$K$29*'normal case'!L170-(1-'main page'!$K$29)*controls!$B$9))</f>
        <v>3.4999999701976776</v>
      </c>
      <c r="U170" s="164">
        <f ca="1">IF(controls!$B$45=1,IF(controls!$B$46=1,'main page'!$K$24+'main page'!$K$11+'main page'!$U$8,'main page'!$K$24+'main page'!$K$11+'main page'!$K$32),IF(controls!$B$44=1,IF(V170&lt;0,0,V170),IF(V170+'main page'!$K$11&lt;0,0,V170+'main page'!$K$11)))</f>
        <v>5.4999998509883881</v>
      </c>
      <c r="V170" s="63">
        <f ca="1">IF(controls!$B$10=1,'normal case'!T170+'normal case'!L170,'normal case'!W170)</f>
        <v>5.4999998509883881</v>
      </c>
      <c r="W170" s="61">
        <f t="shared" ca="1" si="21"/>
        <v>5.4999998509883881</v>
      </c>
      <c r="X170" s="166">
        <f ca="1">IF(controls!$B$44=0,Y170+'main page'!$K$29*L170+(1-'main page'!$K$29)*controls!$B$9+(('main page'!$K$25*'main page'!$U$13*'main page'!$K$29)/('main page'!$K$27*(1+('main page'!$K$25^2)*'main page'!$U$13)))*(L170-controls!$B$9),Y170+'main page'!$K$29*L170+(1-'main page'!$K$29)*controls!$B$9+(('main page'!$K$25*'main page'!$U$13*'normal case'!$AV$3)/'normal case'!$AV$4)*('normal case'!L170-controls!$B$9))</f>
        <v>5.4999998509883881</v>
      </c>
      <c r="Y170" s="81">
        <f ca="1">IF(controls!$B$44=1,'main page'!$K$24+'main page'!$K$11,IF(controls!$B$33=1,((I171-D170*AD171-B171+B170*AC171)/'main page'!$K$27)-'main page'!$K$11,((H171-D170*AD171-B171+B170*AC171)/'main page'!$K$27)-'main page'!$K$11))</f>
        <v>3.5</v>
      </c>
      <c r="AA170" s="58">
        <f>IF(controls!$B$6=1,$AS$3*(1+('main page'!$K$35/100))^AB170-$AS$3*(1+('main page'!$K$35/100))^AB169,$AS$3*(1+('main page'!$G$8/100))*(1+('main page'!$K$35/100))^AB170-$AS$3*(1+('main page'!$G$8/100))*(1+('main page'!$K$35/100))^AB169)</f>
        <v>0</v>
      </c>
      <c r="AB170" s="60">
        <v>163</v>
      </c>
      <c r="AC170" s="125">
        <f ca="1">IF(controls!$B$4=1,IF(controls!$H169=1,controls!$B$34*AC169+RAND()*('main page'!$K$16/100)-RAND()*('main page'!$K$16/100),0),0)</f>
        <v>0</v>
      </c>
      <c r="AD170" s="36">
        <f ca="1">IF(controls!$B$4=1,IF(controls!$I169=1,controls!$B$34*AD169+RAND()*('main page'!$K$16/100)-RAND()*('main page'!$K$16/100),0),0)</f>
        <v>0</v>
      </c>
      <c r="AE170" s="44">
        <f ca="1">IF(controls!$B$33=1,D170-($I$3-'main page'!$K$27*2)*(1+('main page'!$K$35/100))^A169,D170-$AS$4)</f>
        <v>1.0000000596046448</v>
      </c>
      <c r="AF170" s="44">
        <f ca="1">ABS(L170-(controls!$B$9/100)*100)</f>
        <v>1.1920928955078125E-7</v>
      </c>
      <c r="AH170" s="44">
        <f ca="1">IF(controls!$B$33=1,(B171-B170*AC171-I171+D170*AD171+'main page'!$K$27*('main page'!$K$24+'main page'!$K$11))/'main page'!$K$31,(B171-B170*AC171+D170*AD171-H171+'main page'!$K$27*('main page'!$K$24+'main page'!$K$11))/'main page'!$K$31)</f>
        <v>1</v>
      </c>
      <c r="AI170" s="44">
        <f ca="1">IF(controls!$B$45=1,LOG(AM170,1.01)+LOG(AL170,1.01)-LOG(AK170,1.01),-((T170-('main page'!$K$24+'main page'!$K$11))/(1-'normal case'!$AV$3))+'normal case'!AH170)</f>
        <v>2.0000000596046448</v>
      </c>
      <c r="AJ170" s="80">
        <f t="shared" ca="1" si="22"/>
        <v>1.0506250015463039</v>
      </c>
      <c r="AK170" s="44">
        <f t="shared" ca="1" si="23"/>
        <v>26.772260981511213</v>
      </c>
      <c r="AL170" s="44">
        <f>AL169*(1+'main page'!$K$32/100)</f>
        <v>1</v>
      </c>
      <c r="AM170" s="44">
        <f ca="1">IF(ABS(IF(controls!$B$45=1,$AS$13,AK170*AJ170/AL170)-AM169)&lt;0.00001,AM169,IF(controls!$B$45=1,$AS$13,AK170*AJ170/AL170))</f>
        <v>28.127606735098269</v>
      </c>
      <c r="AN170" s="44">
        <f>IF(controls!$B$46=0,0,IF(controls!$B$33=2,B171-B170*AC171-('normal case'!H171-D170*AD171-'main page'!$K$27*'normal case'!T170+'main page'!$K$31*'normal case'!AI170)-(('main page'!$K$25*'main page'!$U$13*'main page'!$K$29)/(1+('main page'!$K$25^2)*'main page'!$U$13))*('normal case'!L170-'main page'!$U$8),B171-B170*AC171-('normal case'!I171-D170*AD171-'main page'!$K$27*'normal case'!T170+'main page'!$K$31*'normal case'!AI170)-(('main page'!$K$25*'main page'!$U$13*'main page'!$K$29)/(1+('main page'!$K$25^2)*'main page'!$U$13))*('normal case'!L170-'main page'!$U$8)))</f>
        <v>0</v>
      </c>
      <c r="AU170" s="36"/>
      <c r="AV170" s="36"/>
    </row>
    <row r="171" spans="1:48">
      <c r="A171" s="43">
        <v>169</v>
      </c>
      <c r="B171" s="62">
        <f ca="1">IF(controls!$B$33=1,B170*(1+AC171)+AA171,B170*(1+AC171))</f>
        <v>101</v>
      </c>
      <c r="C171" s="67">
        <f t="shared" ca="1" si="24"/>
        <v>-1.5107707374006907E-7</v>
      </c>
      <c r="D171" s="64">
        <f t="shared" ca="1" si="20"/>
        <v>101.00000005960464</v>
      </c>
      <c r="E171" s="64">
        <f ca="1">AN170+IF(controls!$B$33=1,G171,F171)</f>
        <v>101.00000005960464</v>
      </c>
      <c r="F171" s="78">
        <f ca="1">IF(controls!$B$44=0,H171-'main page'!$K$27*T170,H171-'main page'!$K$27*T170+'main page'!$K$31*AI170)</f>
        <v>101.00000005960464</v>
      </c>
      <c r="G171" s="62">
        <f ca="1">IF(controls!$B$44=0,I171-'main page'!$K$27*T170,I171-'main page'!$K$27*T170+'main page'!$K$31*'normal case'!AI170)</f>
        <v>101.00000005960464</v>
      </c>
      <c r="H171" s="62">
        <f t="shared" ca="1" si="26"/>
        <v>108</v>
      </c>
      <c r="I171" s="62">
        <f t="shared" ca="1" si="27"/>
        <v>108</v>
      </c>
      <c r="L171" s="62">
        <f ca="1">IF(ABS('main page'!$K$29*L170+(1-'main page'!$K$29)*(controls!$B$9/100)*100+'main page'!$K$25*(D171-B171)-L170)&lt;0.0000001,L170,'main page'!$K$29*L170+(1-'main page'!$K$29)*(controls!$B$9/100)*100+'main page'!$K$25*(D171-B171))</f>
        <v>1.9999998807907104</v>
      </c>
      <c r="Q171" s="409">
        <f ca="1">(1-'main page'!$K$29)*($AS$11/100)*100+'main page'!$K$25*(D171-B171)</f>
        <v>5.9604644775390625E-8</v>
      </c>
      <c r="R171" s="409">
        <f>'main page'!G175+'main page'!$K$29*M170</f>
        <v>0</v>
      </c>
      <c r="S171" s="409">
        <f t="shared" ca="1" si="25"/>
        <v>5.9604644775390625E-8</v>
      </c>
      <c r="T171" s="79">
        <f ca="1">IF(controls!$B$10=1,T170,IF(SUM(controls!$B$44:$B$46)=2,U171-'main page'!$K$29*'normal case'!L171-(1-'main page'!$K$29)*'main page'!$K$32,U171-'main page'!$K$29*'normal case'!L171-(1-'main page'!$K$29)*controls!$B$9))</f>
        <v>3.4999999701976776</v>
      </c>
      <c r="U171" s="164">
        <f ca="1">IF(controls!$B$45=1,IF(controls!$B$46=1,'main page'!$K$24+'main page'!$K$11+'main page'!$U$8,'main page'!$K$24+'main page'!$K$11+'main page'!$K$32),IF(controls!$B$44=1,IF(V171&lt;0,0,V171),IF(V171+'main page'!$K$11&lt;0,0,V171+'main page'!$K$11)))</f>
        <v>5.4999998509883881</v>
      </c>
      <c r="V171" s="63">
        <f ca="1">IF(controls!$B$10=1,'normal case'!T171+'normal case'!L171,'normal case'!W171)</f>
        <v>5.4999998509883881</v>
      </c>
      <c r="W171" s="61">
        <f t="shared" ca="1" si="21"/>
        <v>5.4999998509883881</v>
      </c>
      <c r="X171" s="166">
        <f ca="1">IF(controls!$B$44=0,Y171+'main page'!$K$29*L171+(1-'main page'!$K$29)*controls!$B$9+(('main page'!$K$25*'main page'!$U$13*'main page'!$K$29)/('main page'!$K$27*(1+('main page'!$K$25^2)*'main page'!$U$13)))*(L171-controls!$B$9),Y171+'main page'!$K$29*L171+(1-'main page'!$K$29)*controls!$B$9+(('main page'!$K$25*'main page'!$U$13*'normal case'!$AV$3)/'normal case'!$AV$4)*('normal case'!L171-controls!$B$9))</f>
        <v>5.4999998509883881</v>
      </c>
      <c r="Y171" s="81">
        <f ca="1">IF(controls!$B$44=1,'main page'!$K$24+'main page'!$K$11,IF(controls!$B$33=1,((I172-D171*AD172-B172+B171*AC172)/'main page'!$K$27)-'main page'!$K$11,((H172-D171*AD172-B172+B171*AC172)/'main page'!$K$27)-'main page'!$K$11))</f>
        <v>3.5</v>
      </c>
      <c r="AA171" s="58">
        <f>IF(controls!$B$6=1,$AS$3*(1+('main page'!$K$35/100))^AB171-$AS$3*(1+('main page'!$K$35/100))^AB170,$AS$3*(1+('main page'!$G$8/100))*(1+('main page'!$K$35/100))^AB171-$AS$3*(1+('main page'!$G$8/100))*(1+('main page'!$K$35/100))^AB170)</f>
        <v>0</v>
      </c>
      <c r="AB171" s="60">
        <v>164</v>
      </c>
      <c r="AC171" s="125">
        <v>0</v>
      </c>
      <c r="AD171" s="36">
        <v>0</v>
      </c>
      <c r="AE171" s="44">
        <f ca="1">IF(controls!$B$33=1,D171-($I$3-'main page'!$K$27*2)*(1+('main page'!$K$35/100))^A170,D171-$AS$4)</f>
        <v>1.0000000596046448</v>
      </c>
      <c r="AF171" s="44">
        <f ca="1">ABS(L171-(controls!$B$9/100)*100)</f>
        <v>1.1920928955078125E-7</v>
      </c>
      <c r="AH171" s="44">
        <f ca="1">IF(controls!$B$33=1,(B172-B171*AC172-I172+D171*AD172+'main page'!$K$27*('main page'!$K$24+'main page'!$K$11))/'main page'!$K$31,(B172-B171*AC172+D171*AD172-H172+'main page'!$K$27*('main page'!$K$24+'main page'!$K$11))/'main page'!$K$31)</f>
        <v>1</v>
      </c>
      <c r="AI171" s="44">
        <f ca="1">IF(controls!$B$45=1,LOG(AM171,1.01)+LOG(AL171,1.01)-LOG(AK171,1.01),-((T171-('main page'!$K$24+'main page'!$K$11))/(1-'normal case'!$AV$3))+'normal case'!AH171)</f>
        <v>2.0000000596046448</v>
      </c>
      <c r="AJ171" s="80">
        <f t="shared" ca="1" si="22"/>
        <v>1.0506250015463039</v>
      </c>
      <c r="AK171" s="44">
        <f t="shared" ca="1" si="23"/>
        <v>27.307706169226417</v>
      </c>
      <c r="AL171" s="44">
        <f>AL170*(1+'main page'!$K$32/100)</f>
        <v>1</v>
      </c>
      <c r="AM171" s="44">
        <f ca="1">IF(ABS(IF(controls!$B$45=1,$AS$13,AK171*AJ171/AL171)-AM170)&lt;0.00001,AM170,IF(controls!$B$45=1,$AS$13,AK171*AJ171/AL171))</f>
        <v>28.690158836269518</v>
      </c>
      <c r="AN171" s="44">
        <f>IF(controls!$B$46=0,0,IF(controls!$B$33=2,B172-B171*AC172-('normal case'!H172-D171*AD172-'main page'!$K$27*'normal case'!T171+'main page'!$K$31*'normal case'!AI171)-(('main page'!$K$25*'main page'!$U$13*'main page'!$K$29)/(1+('main page'!$K$25^2)*'main page'!$U$13))*('normal case'!L171-'main page'!$U$8),B172-B171*AC172-('normal case'!I172-D171*AD172-'main page'!$K$27*'normal case'!T171+'main page'!$K$31*'normal case'!AI171)-(('main page'!$K$25*'main page'!$U$13*'main page'!$K$29)/(1+('main page'!$K$25^2)*'main page'!$U$13))*('normal case'!L171-'main page'!$U$8)))</f>
        <v>0</v>
      </c>
      <c r="AU171" s="36"/>
      <c r="AV171" s="36"/>
    </row>
    <row r="172" spans="1:48">
      <c r="A172" s="43">
        <v>170</v>
      </c>
      <c r="B172" s="62">
        <f ca="1">IF(controls!$B$33=1,B171*(1+AC172)+AA172,B171*(1+AC172))</f>
        <v>101</v>
      </c>
      <c r="C172" s="67">
        <f t="shared" ca="1" si="24"/>
        <v>-1.5107707374006907E-7</v>
      </c>
      <c r="D172" s="64">
        <f t="shared" ca="1" si="20"/>
        <v>101.00000005960464</v>
      </c>
      <c r="E172" s="64">
        <f ca="1">AN171+IF(controls!$B$33=1,G172,F172)</f>
        <v>101.00000005960464</v>
      </c>
      <c r="F172" s="78">
        <f ca="1">IF(controls!$B$44=0,H172-'main page'!$K$27*T171,H172-'main page'!$K$27*T171+'main page'!$K$31*AI171)</f>
        <v>101.00000005960464</v>
      </c>
      <c r="G172" s="62">
        <f ca="1">IF(controls!$B$44=0,I172-'main page'!$K$27*T171,I172-'main page'!$K$27*T171+'main page'!$K$31*'normal case'!AI171)</f>
        <v>101.00000005960464</v>
      </c>
      <c r="H172" s="62">
        <f t="shared" ca="1" si="26"/>
        <v>108</v>
      </c>
      <c r="I172" s="62">
        <f t="shared" ca="1" si="27"/>
        <v>108</v>
      </c>
      <c r="L172" s="62">
        <f ca="1">IF(ABS('main page'!$K$29*L171+(1-'main page'!$K$29)*(controls!$B$9/100)*100+'main page'!$K$25*(D172-B172)-L171)&lt;0.0000001,L171,'main page'!$K$29*L171+(1-'main page'!$K$29)*(controls!$B$9/100)*100+'main page'!$K$25*(D172-B172))</f>
        <v>1.9999998807907104</v>
      </c>
      <c r="Q172" s="409">
        <f ca="1">(1-'main page'!$K$29)*($AS$11/100)*100+'main page'!$K$25*(D172-B172)</f>
        <v>5.9604644775390625E-8</v>
      </c>
      <c r="R172" s="409">
        <f>'main page'!G176+'main page'!$K$29*M171</f>
        <v>0</v>
      </c>
      <c r="S172" s="409">
        <f t="shared" ca="1" si="25"/>
        <v>5.9604644775390625E-8</v>
      </c>
      <c r="T172" s="79">
        <f ca="1">IF(controls!$B$10=1,T171,IF(SUM(controls!$B$44:$B$46)=2,U172-'main page'!$K$29*'normal case'!L172-(1-'main page'!$K$29)*'main page'!$K$32,U172-'main page'!$K$29*'normal case'!L172-(1-'main page'!$K$29)*controls!$B$9))</f>
        <v>3.4999999701976776</v>
      </c>
      <c r="U172" s="164">
        <f ca="1">IF(controls!$B$45=1,IF(controls!$B$46=1,'main page'!$K$24+'main page'!$K$11+'main page'!$U$8,'main page'!$K$24+'main page'!$K$11+'main page'!$K$32),IF(controls!$B$44=1,IF(V172&lt;0,0,V172),IF(V172+'main page'!$K$11&lt;0,0,V172+'main page'!$K$11)))</f>
        <v>5.4999998509883881</v>
      </c>
      <c r="V172" s="63">
        <f ca="1">IF(controls!$B$10=1,'normal case'!T172+'normal case'!L172,'normal case'!W172)</f>
        <v>5.4999998509883881</v>
      </c>
      <c r="W172" s="61">
        <f t="shared" ca="1" si="21"/>
        <v>5.4999998509883881</v>
      </c>
      <c r="X172" s="166">
        <f ca="1">IF(controls!$B$44=0,Y172+'main page'!$K$29*L172+(1-'main page'!$K$29)*controls!$B$9+(('main page'!$K$25*'main page'!$U$13*'main page'!$K$29)/('main page'!$K$27*(1+('main page'!$K$25^2)*'main page'!$U$13)))*(L172-controls!$B$9),Y172+'main page'!$K$29*L172+(1-'main page'!$K$29)*controls!$B$9+(('main page'!$K$25*'main page'!$U$13*'normal case'!$AV$3)/'normal case'!$AV$4)*('normal case'!L172-controls!$B$9))</f>
        <v>5.4999998509883881</v>
      </c>
      <c r="Y172" s="81">
        <f ca="1">IF(controls!$B$44=1,'main page'!$K$24+'main page'!$K$11,IF(controls!$B$33=1,((I173-D172*AD173-B173+B172*AC173)/'main page'!$K$27)-'main page'!$K$11,((H173-D172*AD173-B173+B172*AC173)/'main page'!$K$27)-'main page'!$K$11))</f>
        <v>3.5</v>
      </c>
      <c r="AA172" s="58">
        <f>IF(controls!$B$6=1,$AS$3*(1+('main page'!$K$35/100))^AB172-$AS$3*(1+('main page'!$K$35/100))^AB171,$AS$3*(1+('main page'!$G$8/100))*(1+('main page'!$K$35/100))^AB172-$AS$3*(1+('main page'!$G$8/100))*(1+('main page'!$K$35/100))^AB171)</f>
        <v>0</v>
      </c>
      <c r="AB172" s="60">
        <v>165</v>
      </c>
      <c r="AC172" s="125">
        <v>0</v>
      </c>
      <c r="AD172" s="36">
        <v>0</v>
      </c>
      <c r="AE172" s="44">
        <f ca="1">IF(controls!$B$33=1,D172-($I$3-'main page'!$K$27*2)*(1+('main page'!$K$35/100))^A171,D172-$AS$4)</f>
        <v>1.0000000596046448</v>
      </c>
      <c r="AF172" s="44">
        <f ca="1">ABS(L172-(controls!$B$9/100)*100)</f>
        <v>1.1920928955078125E-7</v>
      </c>
      <c r="AH172" s="44">
        <f ca="1">IF(controls!$B$33=1,(B173-B172*AC173-I173+D172*AD173+'main page'!$K$27*('main page'!$K$24+'main page'!$K$11))/'main page'!$K$31,(B173-B172*AC173+D172*AD173-H173+'main page'!$K$27*('main page'!$K$24+'main page'!$K$11))/'main page'!$K$31)</f>
        <v>1</v>
      </c>
      <c r="AI172" s="44">
        <f ca="1">IF(controls!$B$45=1,LOG(AM172,1.01)+LOG(AL172,1.01)-LOG(AK172,1.01),-((T172-('main page'!$K$24+'main page'!$K$11))/(1-'normal case'!$AV$3))+'normal case'!AH172)</f>
        <v>2.0000000596046448</v>
      </c>
      <c r="AJ172" s="80">
        <f t="shared" ca="1" si="22"/>
        <v>1.0506250015463039</v>
      </c>
      <c r="AK172" s="44">
        <f t="shared" ca="1" si="23"/>
        <v>27.853860260057626</v>
      </c>
      <c r="AL172" s="44">
        <f>AL171*(1+'main page'!$K$32/100)</f>
        <v>1</v>
      </c>
      <c r="AM172" s="44">
        <f ca="1">IF(ABS(IF(controls!$B$45=1,$AS$13,AK172*AJ172/AL172)-AM171)&lt;0.00001,AM171,IF(controls!$B$45=1,$AS$13,AK172*AJ172/AL172))</f>
        <v>29.263961978793574</v>
      </c>
      <c r="AN172" s="44">
        <f>IF(controls!$B$46=0,0,IF(controls!$B$33=2,B173-B172*AC173-('normal case'!H173-D172*AD173-'main page'!$K$27*'normal case'!T172+'main page'!$K$31*'normal case'!AI172)-(('main page'!$K$25*'main page'!$U$13*'main page'!$K$29)/(1+('main page'!$K$25^2)*'main page'!$U$13))*('normal case'!L172-'main page'!$U$8),B173-B172*AC173-('normal case'!I173-D172*AD173-'main page'!$K$27*'normal case'!T172+'main page'!$K$31*'normal case'!AI172)-(('main page'!$K$25*'main page'!$U$13*'main page'!$K$29)/(1+('main page'!$K$25^2)*'main page'!$U$13))*('normal case'!L172-'main page'!$U$8)))</f>
        <v>0</v>
      </c>
      <c r="AU172" s="36"/>
      <c r="AV172" s="36"/>
    </row>
    <row r="173" spans="1:48">
      <c r="A173" s="43">
        <v>171</v>
      </c>
      <c r="B173" s="62">
        <f ca="1">IF(controls!$B$33=1,B172*(1+AC173)+AA173,B172*(1+AC173))</f>
        <v>101</v>
      </c>
      <c r="C173" s="67">
        <f t="shared" ca="1" si="24"/>
        <v>-1.5107707374006907E-7</v>
      </c>
      <c r="D173" s="64">
        <f t="shared" ca="1" si="20"/>
        <v>101.00000005960464</v>
      </c>
      <c r="E173" s="64">
        <f ca="1">AN172+IF(controls!$B$33=1,G173,F173)</f>
        <v>101.00000005960464</v>
      </c>
      <c r="F173" s="78">
        <f ca="1">IF(controls!$B$44=0,H173-'main page'!$K$27*T172,H173-'main page'!$K$27*T172+'main page'!$K$31*AI172)</f>
        <v>101.00000005960464</v>
      </c>
      <c r="G173" s="62">
        <f ca="1">IF(controls!$B$44=0,I173-'main page'!$K$27*T172,I173-'main page'!$K$27*T172+'main page'!$K$31*'normal case'!AI172)</f>
        <v>101.00000005960464</v>
      </c>
      <c r="H173" s="62">
        <f t="shared" ca="1" si="26"/>
        <v>108</v>
      </c>
      <c r="I173" s="62">
        <f t="shared" ca="1" si="27"/>
        <v>108</v>
      </c>
      <c r="L173" s="62">
        <f ca="1">IF(ABS('main page'!$K$29*L172+(1-'main page'!$K$29)*(controls!$B$9/100)*100+'main page'!$K$25*(D173-B173)-L172)&lt;0.0000001,L172,'main page'!$K$29*L172+(1-'main page'!$K$29)*(controls!$B$9/100)*100+'main page'!$K$25*(D173-B173))</f>
        <v>1.9999998807907104</v>
      </c>
      <c r="Q173" s="409">
        <f ca="1">(1-'main page'!$K$29)*($AS$11/100)*100+'main page'!$K$25*(D173-B173)</f>
        <v>5.9604644775390625E-8</v>
      </c>
      <c r="R173" s="409">
        <f>'main page'!G177+'main page'!$K$29*M172</f>
        <v>0</v>
      </c>
      <c r="S173" s="409">
        <f t="shared" ca="1" si="25"/>
        <v>5.9604644775390625E-8</v>
      </c>
      <c r="T173" s="79">
        <f ca="1">IF(controls!$B$10=1,T172,IF(SUM(controls!$B$44:$B$46)=2,U173-'main page'!$K$29*'normal case'!L173-(1-'main page'!$K$29)*'main page'!$K$32,U173-'main page'!$K$29*'normal case'!L173-(1-'main page'!$K$29)*controls!$B$9))</f>
        <v>3.4999999701976776</v>
      </c>
      <c r="U173" s="164">
        <f ca="1">IF(controls!$B$45=1,IF(controls!$B$46=1,'main page'!$K$24+'main page'!$K$11+'main page'!$U$8,'main page'!$K$24+'main page'!$K$11+'main page'!$K$32),IF(controls!$B$44=1,IF(V173&lt;0,0,V173),IF(V173+'main page'!$K$11&lt;0,0,V173+'main page'!$K$11)))</f>
        <v>5.4999998509883881</v>
      </c>
      <c r="V173" s="63">
        <f ca="1">IF(controls!$B$10=1,'normal case'!T173+'normal case'!L173,'normal case'!W173)</f>
        <v>5.4999998509883881</v>
      </c>
      <c r="W173" s="61">
        <f t="shared" ca="1" si="21"/>
        <v>5.4999998509883881</v>
      </c>
      <c r="X173" s="166">
        <f ca="1">IF(controls!$B$44=0,Y173+'main page'!$K$29*L173+(1-'main page'!$K$29)*controls!$B$9+(('main page'!$K$25*'main page'!$U$13*'main page'!$K$29)/('main page'!$K$27*(1+('main page'!$K$25^2)*'main page'!$U$13)))*(L173-controls!$B$9),Y173+'main page'!$K$29*L173+(1-'main page'!$K$29)*controls!$B$9+(('main page'!$K$25*'main page'!$U$13*'normal case'!$AV$3)/'normal case'!$AV$4)*('normal case'!L173-controls!$B$9))</f>
        <v>5.4999998509883881</v>
      </c>
      <c r="Y173" s="81">
        <f ca="1">IF(controls!$B$44=1,'main page'!$K$24+'main page'!$K$11,IF(controls!$B$33=1,((I174-D173*AD174-B174+B173*AC174)/'main page'!$K$27)-'main page'!$K$11,((H174-D173*AD174-B174+B173*AC174)/'main page'!$K$27)-'main page'!$K$11))</f>
        <v>3.5</v>
      </c>
      <c r="AA173" s="58">
        <f>IF(controls!$B$6=1,$AS$3*(1+('main page'!$K$35/100))^AB173-$AS$3*(1+('main page'!$K$35/100))^AB172,$AS$3*(1+('main page'!$G$8/100))*(1+('main page'!$K$35/100))^AB173-$AS$3*(1+('main page'!$G$8/100))*(1+('main page'!$K$35/100))^AB172)</f>
        <v>0</v>
      </c>
      <c r="AB173" s="60">
        <v>166</v>
      </c>
      <c r="AC173" s="125">
        <f ca="1">IF(controls!$B$4=1,IF(controls!$H172=1,controls!$B$34*AC172+RAND()*('main page'!$K$16/100)-RAND()*('main page'!$K$16/100),0),0)</f>
        <v>0</v>
      </c>
      <c r="AD173" s="36">
        <f ca="1">IF(controls!$B$4=1,IF(controls!$I172=1,controls!$B$34*AD172+RAND()*('main page'!$K$16/100)-RAND()*('main page'!$K$16/100),0),0)</f>
        <v>0</v>
      </c>
      <c r="AE173" s="44">
        <f ca="1">IF(controls!$B$33=1,D173-($I$3-'main page'!$K$27*2)*(1+('main page'!$K$35/100))^A172,D173-$AS$4)</f>
        <v>1.0000000596046448</v>
      </c>
      <c r="AF173" s="44">
        <f ca="1">ABS(L173-(controls!$B$9/100)*100)</f>
        <v>1.1920928955078125E-7</v>
      </c>
      <c r="AH173" s="44">
        <f ca="1">IF(controls!$B$33=1,(B174-B173*AC174-I174+D173*AD174+'main page'!$K$27*('main page'!$K$24+'main page'!$K$11))/'main page'!$K$31,(B174-B173*AC174+D173*AD174-H174+'main page'!$K$27*('main page'!$K$24+'main page'!$K$11))/'main page'!$K$31)</f>
        <v>1</v>
      </c>
      <c r="AI173" s="44">
        <f ca="1">IF(controls!$B$45=1,LOG(AM173,1.01)+LOG(AL173,1.01)-LOG(AK173,1.01),-((T173-('main page'!$K$24+'main page'!$K$11))/(1-'normal case'!$AV$3))+'normal case'!AH173)</f>
        <v>2.0000000596046448</v>
      </c>
      <c r="AJ173" s="80">
        <f t="shared" ca="1" si="22"/>
        <v>1.0506250015463039</v>
      </c>
      <c r="AK173" s="44">
        <f t="shared" ca="1" si="23"/>
        <v>28.410937432054389</v>
      </c>
      <c r="AL173" s="44">
        <f>AL172*(1+'main page'!$K$32/100)</f>
        <v>1</v>
      </c>
      <c r="AM173" s="44">
        <f ca="1">IF(ABS(IF(controls!$B$45=1,$AS$13,AK173*AJ173/AL173)-AM172)&lt;0.00001,AM172,IF(controls!$B$45=1,$AS$13,AK173*AJ173/AL173))</f>
        <v>29.849241183484086</v>
      </c>
      <c r="AN173" s="44">
        <f>IF(controls!$B$46=0,0,IF(controls!$B$33=2,B174-B173*AC174-('normal case'!H174-D173*AD174-'main page'!$K$27*'normal case'!T173+'main page'!$K$31*'normal case'!AI173)-(('main page'!$K$25*'main page'!$U$13*'main page'!$K$29)/(1+('main page'!$K$25^2)*'main page'!$U$13))*('normal case'!L173-'main page'!$U$8),B174-B173*AC174-('normal case'!I174-D173*AD174-'main page'!$K$27*'normal case'!T173+'main page'!$K$31*'normal case'!AI173)-(('main page'!$K$25*'main page'!$U$13*'main page'!$K$29)/(1+('main page'!$K$25^2)*'main page'!$U$13))*('normal case'!L173-'main page'!$U$8)))</f>
        <v>0</v>
      </c>
      <c r="AU173" s="36"/>
      <c r="AV173" s="36"/>
    </row>
    <row r="174" spans="1:48">
      <c r="A174" s="43">
        <v>172</v>
      </c>
      <c r="B174" s="62">
        <f ca="1">IF(controls!$B$33=1,B173*(1+AC174)+AA174,B173*(1+AC174))</f>
        <v>101</v>
      </c>
      <c r="C174" s="67">
        <f t="shared" ca="1" si="24"/>
        <v>-1.5107707374006907E-7</v>
      </c>
      <c r="D174" s="64">
        <f t="shared" ca="1" si="20"/>
        <v>101.00000005960464</v>
      </c>
      <c r="E174" s="64">
        <f ca="1">AN173+IF(controls!$B$33=1,G174,F174)</f>
        <v>101.00000005960464</v>
      </c>
      <c r="F174" s="78">
        <f ca="1">IF(controls!$B$44=0,H174-'main page'!$K$27*T173,H174-'main page'!$K$27*T173+'main page'!$K$31*AI173)</f>
        <v>101.00000005960464</v>
      </c>
      <c r="G174" s="62">
        <f ca="1">IF(controls!$B$44=0,I174-'main page'!$K$27*T173,I174-'main page'!$K$27*T173+'main page'!$K$31*'normal case'!AI173)</f>
        <v>101.00000005960464</v>
      </c>
      <c r="H174" s="62">
        <f t="shared" ca="1" si="26"/>
        <v>108</v>
      </c>
      <c r="I174" s="62">
        <f t="shared" ca="1" si="27"/>
        <v>108</v>
      </c>
      <c r="L174" s="62">
        <f ca="1">IF(ABS('main page'!$K$29*L173+(1-'main page'!$K$29)*(controls!$B$9/100)*100+'main page'!$K$25*(D174-B174)-L173)&lt;0.0000001,L173,'main page'!$K$29*L173+(1-'main page'!$K$29)*(controls!$B$9/100)*100+'main page'!$K$25*(D174-B174))</f>
        <v>1.9999998807907104</v>
      </c>
      <c r="Q174" s="409">
        <f ca="1">(1-'main page'!$K$29)*($AS$11/100)*100+'main page'!$K$25*(D174-B174)</f>
        <v>5.9604644775390625E-8</v>
      </c>
      <c r="R174" s="409">
        <f>'main page'!G178+'main page'!$K$29*M173</f>
        <v>0</v>
      </c>
      <c r="S174" s="409">
        <f t="shared" ca="1" si="25"/>
        <v>5.9604644775390625E-8</v>
      </c>
      <c r="T174" s="79">
        <f ca="1">IF(controls!$B$10=1,T173,IF(SUM(controls!$B$44:$B$46)=2,U174-'main page'!$K$29*'normal case'!L174-(1-'main page'!$K$29)*'main page'!$K$32,U174-'main page'!$K$29*'normal case'!L174-(1-'main page'!$K$29)*controls!$B$9))</f>
        <v>3.4999999701976776</v>
      </c>
      <c r="U174" s="164">
        <f ca="1">IF(controls!$B$45=1,IF(controls!$B$46=1,'main page'!$K$24+'main page'!$K$11+'main page'!$U$8,'main page'!$K$24+'main page'!$K$11+'main page'!$K$32),IF(controls!$B$44=1,IF(V174&lt;0,0,V174),IF(V174+'main page'!$K$11&lt;0,0,V174+'main page'!$K$11)))</f>
        <v>5.4999998509883881</v>
      </c>
      <c r="V174" s="63">
        <f ca="1">IF(controls!$B$10=1,'normal case'!T174+'normal case'!L174,'normal case'!W174)</f>
        <v>5.4999998509883881</v>
      </c>
      <c r="W174" s="61">
        <f t="shared" ca="1" si="21"/>
        <v>5.4999998509883881</v>
      </c>
      <c r="X174" s="166">
        <f ca="1">IF(controls!$B$44=0,Y174+'main page'!$K$29*L174+(1-'main page'!$K$29)*controls!$B$9+(('main page'!$K$25*'main page'!$U$13*'main page'!$K$29)/('main page'!$K$27*(1+('main page'!$K$25^2)*'main page'!$U$13)))*(L174-controls!$B$9),Y174+'main page'!$K$29*L174+(1-'main page'!$K$29)*controls!$B$9+(('main page'!$K$25*'main page'!$U$13*'normal case'!$AV$3)/'normal case'!$AV$4)*('normal case'!L174-controls!$B$9))</f>
        <v>5.4999998509883881</v>
      </c>
      <c r="Y174" s="81">
        <f ca="1">IF(controls!$B$44=1,'main page'!$K$24+'main page'!$K$11,IF(controls!$B$33=1,((I175-D174*AD175-B175+B174*AC175)/'main page'!$K$27)-'main page'!$K$11,((H175-D174*AD175-B175+B174*AC175)/'main page'!$K$27)-'main page'!$K$11))</f>
        <v>3.5</v>
      </c>
      <c r="AA174" s="58">
        <f>IF(controls!$B$6=1,$AS$3*(1+('main page'!$K$35/100))^AB174-$AS$3*(1+('main page'!$K$35/100))^AB173,$AS$3*(1+('main page'!$G$8/100))*(1+('main page'!$K$35/100))^AB174-$AS$3*(1+('main page'!$G$8/100))*(1+('main page'!$K$35/100))^AB173)</f>
        <v>0</v>
      </c>
      <c r="AB174" s="60">
        <v>167</v>
      </c>
      <c r="AC174" s="125">
        <v>0</v>
      </c>
      <c r="AD174" s="36">
        <v>0</v>
      </c>
      <c r="AE174" s="44">
        <f ca="1">IF(controls!$B$33=1,D174-($I$3-'main page'!$K$27*2)*(1+('main page'!$K$35/100))^A173,D174-$AS$4)</f>
        <v>1.0000000596046448</v>
      </c>
      <c r="AF174" s="44">
        <f ca="1">ABS(L174-(controls!$B$9/100)*100)</f>
        <v>1.1920928955078125E-7</v>
      </c>
      <c r="AH174" s="44">
        <f ca="1">IF(controls!$B$33=1,(B175-B174*AC175-I175+D174*AD175+'main page'!$K$27*('main page'!$K$24+'main page'!$K$11))/'main page'!$K$31,(B175-B174*AC175+D174*AD175-H175+'main page'!$K$27*('main page'!$K$24+'main page'!$K$11))/'main page'!$K$31)</f>
        <v>1</v>
      </c>
      <c r="AI174" s="44">
        <f ca="1">IF(controls!$B$45=1,LOG(AM174,1.01)+LOG(AL174,1.01)-LOG(AK174,1.01),-((T174-('main page'!$K$24+'main page'!$K$11))/(1-'normal case'!$AV$3))+'normal case'!AH174)</f>
        <v>2.0000000596046448</v>
      </c>
      <c r="AJ174" s="80">
        <f t="shared" ca="1" si="22"/>
        <v>1.0506250015463039</v>
      </c>
      <c r="AK174" s="44">
        <f t="shared" ca="1" si="23"/>
        <v>28.979156146827002</v>
      </c>
      <c r="AL174" s="44">
        <f>AL173*(1+'main page'!$K$32/100)</f>
        <v>1</v>
      </c>
      <c r="AM174" s="44">
        <f ca="1">IF(ABS(IF(controls!$B$45=1,$AS$13,AK174*AJ174/AL174)-AM173)&lt;0.00001,AM173,IF(controls!$B$45=1,$AS$13,AK174*AJ174/AL174))</f>
        <v>30.446225971570701</v>
      </c>
      <c r="AN174" s="44">
        <f>IF(controls!$B$46=0,0,IF(controls!$B$33=2,B175-B174*AC175-('normal case'!H175-D174*AD175-'main page'!$K$27*'normal case'!T174+'main page'!$K$31*'normal case'!AI174)-(('main page'!$K$25*'main page'!$U$13*'main page'!$K$29)/(1+('main page'!$K$25^2)*'main page'!$U$13))*('normal case'!L174-'main page'!$U$8),B175-B174*AC175-('normal case'!I175-D174*AD175-'main page'!$K$27*'normal case'!T174+'main page'!$K$31*'normal case'!AI174)-(('main page'!$K$25*'main page'!$U$13*'main page'!$K$29)/(1+('main page'!$K$25^2)*'main page'!$U$13))*('normal case'!L174-'main page'!$U$8)))</f>
        <v>0</v>
      </c>
      <c r="AU174" s="36"/>
      <c r="AV174" s="36"/>
    </row>
    <row r="175" spans="1:48">
      <c r="A175" s="43">
        <v>173</v>
      </c>
      <c r="B175" s="62">
        <f ca="1">IF(controls!$B$33=1,B174*(1+AC175)+AA175,B174*(1+AC175))</f>
        <v>101</v>
      </c>
      <c r="C175" s="67">
        <f t="shared" ca="1" si="24"/>
        <v>-1.5107707374006907E-7</v>
      </c>
      <c r="D175" s="64">
        <f t="shared" ca="1" si="20"/>
        <v>101.00000005960464</v>
      </c>
      <c r="E175" s="64">
        <f ca="1">AN174+IF(controls!$B$33=1,G175,F175)</f>
        <v>101.00000005960464</v>
      </c>
      <c r="F175" s="78">
        <f ca="1">IF(controls!$B$44=0,H175-'main page'!$K$27*T174,H175-'main page'!$K$27*T174+'main page'!$K$31*AI174)</f>
        <v>101.00000005960464</v>
      </c>
      <c r="G175" s="62">
        <f ca="1">IF(controls!$B$44=0,I175-'main page'!$K$27*T174,I175-'main page'!$K$27*T174+'main page'!$K$31*'normal case'!AI174)</f>
        <v>101.00000005960464</v>
      </c>
      <c r="H175" s="62">
        <f t="shared" ca="1" si="26"/>
        <v>108</v>
      </c>
      <c r="I175" s="62">
        <f t="shared" ca="1" si="27"/>
        <v>108</v>
      </c>
      <c r="L175" s="62">
        <f ca="1">IF(ABS('main page'!$K$29*L174+(1-'main page'!$K$29)*(controls!$B$9/100)*100+'main page'!$K$25*(D175-B175)-L174)&lt;0.0000001,L174,'main page'!$K$29*L174+(1-'main page'!$K$29)*(controls!$B$9/100)*100+'main page'!$K$25*(D175-B175))</f>
        <v>1.9999998807907104</v>
      </c>
      <c r="Q175" s="409">
        <f ca="1">(1-'main page'!$K$29)*($AS$11/100)*100+'main page'!$K$25*(D175-B175)</f>
        <v>5.9604644775390625E-8</v>
      </c>
      <c r="R175" s="409">
        <f>'main page'!G179+'main page'!$K$29*M174</f>
        <v>0</v>
      </c>
      <c r="S175" s="409">
        <f t="shared" ca="1" si="25"/>
        <v>5.9604644775390625E-8</v>
      </c>
      <c r="T175" s="79">
        <f ca="1">IF(controls!$B$10=1,T174,IF(SUM(controls!$B$44:$B$46)=2,U175-'main page'!$K$29*'normal case'!L175-(1-'main page'!$K$29)*'main page'!$K$32,U175-'main page'!$K$29*'normal case'!L175-(1-'main page'!$K$29)*controls!$B$9))</f>
        <v>3.4999999701976776</v>
      </c>
      <c r="U175" s="164">
        <f ca="1">IF(controls!$B$45=1,IF(controls!$B$46=1,'main page'!$K$24+'main page'!$K$11+'main page'!$U$8,'main page'!$K$24+'main page'!$K$11+'main page'!$K$32),IF(controls!$B$44=1,IF(V175&lt;0,0,V175),IF(V175+'main page'!$K$11&lt;0,0,V175+'main page'!$K$11)))</f>
        <v>5.4999998509883881</v>
      </c>
      <c r="V175" s="63">
        <f ca="1">IF(controls!$B$10=1,'normal case'!T175+'normal case'!L175,'normal case'!W175)</f>
        <v>5.4999998509883881</v>
      </c>
      <c r="W175" s="61">
        <f t="shared" ca="1" si="21"/>
        <v>5.4999998509883881</v>
      </c>
      <c r="X175" s="166">
        <f ca="1">IF(controls!$B$44=0,Y175+'main page'!$K$29*L175+(1-'main page'!$K$29)*controls!$B$9+(('main page'!$K$25*'main page'!$U$13*'main page'!$K$29)/('main page'!$K$27*(1+('main page'!$K$25^2)*'main page'!$U$13)))*(L175-controls!$B$9),Y175+'main page'!$K$29*L175+(1-'main page'!$K$29)*controls!$B$9+(('main page'!$K$25*'main page'!$U$13*'normal case'!$AV$3)/'normal case'!$AV$4)*('normal case'!L175-controls!$B$9))</f>
        <v>5.4999998509883881</v>
      </c>
      <c r="Y175" s="81">
        <f ca="1">IF(controls!$B$44=1,'main page'!$K$24+'main page'!$K$11,IF(controls!$B$33=1,((I176-D175*AD176-B176+B175*AC176)/'main page'!$K$27)-'main page'!$K$11,((H176-D175*AD176-B176+B175*AC176)/'main page'!$K$27)-'main page'!$K$11))</f>
        <v>3.5</v>
      </c>
      <c r="AA175" s="58">
        <f>IF(controls!$B$6=1,$AS$3*(1+('main page'!$K$35/100))^AB175-$AS$3*(1+('main page'!$K$35/100))^AB174,$AS$3*(1+('main page'!$G$8/100))*(1+('main page'!$K$35/100))^AB175-$AS$3*(1+('main page'!$G$8/100))*(1+('main page'!$K$35/100))^AB174)</f>
        <v>0</v>
      </c>
      <c r="AB175" s="60">
        <v>168</v>
      </c>
      <c r="AC175" s="125">
        <v>0</v>
      </c>
      <c r="AD175" s="36">
        <v>0</v>
      </c>
      <c r="AE175" s="44">
        <f ca="1">IF(controls!$B$33=1,D175-($I$3-'main page'!$K$27*2)*(1+('main page'!$K$35/100))^A174,D175-$AS$4)</f>
        <v>1.0000000596046448</v>
      </c>
      <c r="AF175" s="44">
        <f ca="1">ABS(L175-(controls!$B$9/100)*100)</f>
        <v>1.1920928955078125E-7</v>
      </c>
      <c r="AH175" s="44">
        <f ca="1">IF(controls!$B$33=1,(B176-B175*AC176-I176+D175*AD176+'main page'!$K$27*('main page'!$K$24+'main page'!$K$11))/'main page'!$K$31,(B176-B175*AC176+D175*AD176-H176+'main page'!$K$27*('main page'!$K$24+'main page'!$K$11))/'main page'!$K$31)</f>
        <v>1</v>
      </c>
      <c r="AI175" s="44">
        <f ca="1">IF(controls!$B$45=1,LOG(AM175,1.01)+LOG(AL175,1.01)-LOG(AK175,1.01),-((T175-('main page'!$K$24+'main page'!$K$11))/(1-'normal case'!$AV$3))+'normal case'!AH175)</f>
        <v>2.0000000596046448</v>
      </c>
      <c r="AJ175" s="80">
        <f t="shared" ca="1" si="22"/>
        <v>1.0506250015463039</v>
      </c>
      <c r="AK175" s="44">
        <f t="shared" ca="1" si="23"/>
        <v>29.558739235217697</v>
      </c>
      <c r="AL175" s="44">
        <f>AL174*(1+'main page'!$K$32/100)</f>
        <v>1</v>
      </c>
      <c r="AM175" s="44">
        <f ca="1">IF(ABS(IF(controls!$B$45=1,$AS$13,AK175*AJ175/AL175)-AM174)&lt;0.00001,AM174,IF(controls!$B$45=1,$AS$13,AK175*AJ175/AL175))</f>
        <v>31.055150454707388</v>
      </c>
      <c r="AN175" s="44">
        <f>IF(controls!$B$46=0,0,IF(controls!$B$33=2,B176-B175*AC176-('normal case'!H176-D175*AD176-'main page'!$K$27*'normal case'!T175+'main page'!$K$31*'normal case'!AI175)-(('main page'!$K$25*'main page'!$U$13*'main page'!$K$29)/(1+('main page'!$K$25^2)*'main page'!$U$13))*('normal case'!L175-'main page'!$U$8),B176-B175*AC176-('normal case'!I176-D175*AD176-'main page'!$K$27*'normal case'!T175+'main page'!$K$31*'normal case'!AI175)-(('main page'!$K$25*'main page'!$U$13*'main page'!$K$29)/(1+('main page'!$K$25^2)*'main page'!$U$13))*('normal case'!L175-'main page'!$U$8)))</f>
        <v>0</v>
      </c>
      <c r="AU175" s="36"/>
      <c r="AV175" s="36"/>
    </row>
    <row r="176" spans="1:48">
      <c r="A176" s="43">
        <v>174</v>
      </c>
      <c r="B176" s="62">
        <f ca="1">IF(controls!$B$33=1,B175*(1+AC176)+AA176,B175*(1+AC176))</f>
        <v>101</v>
      </c>
      <c r="C176" s="67">
        <f t="shared" ca="1" si="24"/>
        <v>-1.5107707374006907E-7</v>
      </c>
      <c r="D176" s="64">
        <f t="shared" ca="1" si="20"/>
        <v>101.00000005960464</v>
      </c>
      <c r="E176" s="64">
        <f ca="1">AN175+IF(controls!$B$33=1,G176,F176)</f>
        <v>101.00000005960464</v>
      </c>
      <c r="F176" s="78">
        <f ca="1">IF(controls!$B$44=0,H176-'main page'!$K$27*T175,H176-'main page'!$K$27*T175+'main page'!$K$31*AI175)</f>
        <v>101.00000005960464</v>
      </c>
      <c r="G176" s="62">
        <f ca="1">IF(controls!$B$44=0,I176-'main page'!$K$27*T175,I176-'main page'!$K$27*T175+'main page'!$K$31*'normal case'!AI175)</f>
        <v>101.00000005960464</v>
      </c>
      <c r="H176" s="62">
        <f t="shared" ca="1" si="26"/>
        <v>108</v>
      </c>
      <c r="I176" s="62">
        <f t="shared" ca="1" si="27"/>
        <v>108</v>
      </c>
      <c r="L176" s="62">
        <f ca="1">IF(ABS('main page'!$K$29*L175+(1-'main page'!$K$29)*(controls!$B$9/100)*100+'main page'!$K$25*(D176-B176)-L175)&lt;0.0000001,L175,'main page'!$K$29*L175+(1-'main page'!$K$29)*(controls!$B$9/100)*100+'main page'!$K$25*(D176-B176))</f>
        <v>1.9999998807907104</v>
      </c>
      <c r="Q176" s="409">
        <f ca="1">(1-'main page'!$K$29)*($AS$11/100)*100+'main page'!$K$25*(D176-B176)</f>
        <v>5.9604644775390625E-8</v>
      </c>
      <c r="R176" s="409">
        <f>'main page'!G180+'main page'!$K$29*M175</f>
        <v>0</v>
      </c>
      <c r="S176" s="409">
        <f t="shared" ca="1" si="25"/>
        <v>5.9604644775390625E-8</v>
      </c>
      <c r="T176" s="79">
        <f ca="1">IF(controls!$B$10=1,T175,IF(SUM(controls!$B$44:$B$46)=2,U176-'main page'!$K$29*'normal case'!L176-(1-'main page'!$K$29)*'main page'!$K$32,U176-'main page'!$K$29*'normal case'!L176-(1-'main page'!$K$29)*controls!$B$9))</f>
        <v>3.4999999701976776</v>
      </c>
      <c r="U176" s="164">
        <f ca="1">IF(controls!$B$45=1,IF(controls!$B$46=1,'main page'!$K$24+'main page'!$K$11+'main page'!$U$8,'main page'!$K$24+'main page'!$K$11+'main page'!$K$32),IF(controls!$B$44=1,IF(V176&lt;0,0,V176),IF(V176+'main page'!$K$11&lt;0,0,V176+'main page'!$K$11)))</f>
        <v>5.4999998509883881</v>
      </c>
      <c r="V176" s="63">
        <f ca="1">IF(controls!$B$10=1,'normal case'!T176+'normal case'!L176,'normal case'!W176)</f>
        <v>5.4999998509883881</v>
      </c>
      <c r="W176" s="61">
        <f t="shared" ca="1" si="21"/>
        <v>5.4999998509883881</v>
      </c>
      <c r="X176" s="166">
        <f ca="1">IF(controls!$B$44=0,Y176+'main page'!$K$29*L176+(1-'main page'!$K$29)*controls!$B$9+(('main page'!$K$25*'main page'!$U$13*'main page'!$K$29)/('main page'!$K$27*(1+('main page'!$K$25^2)*'main page'!$U$13)))*(L176-controls!$B$9),Y176+'main page'!$K$29*L176+(1-'main page'!$K$29)*controls!$B$9+(('main page'!$K$25*'main page'!$U$13*'normal case'!$AV$3)/'normal case'!$AV$4)*('normal case'!L176-controls!$B$9))</f>
        <v>5.4999998509883881</v>
      </c>
      <c r="Y176" s="81">
        <f ca="1">IF(controls!$B$44=1,'main page'!$K$24+'main page'!$K$11,IF(controls!$B$33=1,((I177-D176*AD177-B177+B176*AC177)/'main page'!$K$27)-'main page'!$K$11,((H177-D176*AD177-B177+B176*AC177)/'main page'!$K$27)-'main page'!$K$11))</f>
        <v>3.5</v>
      </c>
      <c r="AA176" s="58">
        <f>IF(controls!$B$6=1,$AS$3*(1+('main page'!$K$35/100))^AB176-$AS$3*(1+('main page'!$K$35/100))^AB175,$AS$3*(1+('main page'!$G$8/100))*(1+('main page'!$K$35/100))^AB176-$AS$3*(1+('main page'!$G$8/100))*(1+('main page'!$K$35/100))^AB175)</f>
        <v>0</v>
      </c>
      <c r="AB176" s="60">
        <v>169</v>
      </c>
      <c r="AC176" s="125">
        <f ca="1">IF(controls!$B$4=1,IF(controls!$H175=1,controls!$B$34*AC175+RAND()*('main page'!$K$16/100)-RAND()*('main page'!$K$16/100),0),0)</f>
        <v>0</v>
      </c>
      <c r="AD176" s="36">
        <f ca="1">IF(controls!$B$4=1,IF(controls!$I175=1,controls!$B$34*AD175+RAND()*('main page'!$K$16/100)-RAND()*('main page'!$K$16/100),0),0)</f>
        <v>0</v>
      </c>
      <c r="AE176" s="44">
        <f ca="1">IF(controls!$B$33=1,D176-($I$3-'main page'!$K$27*2)*(1+('main page'!$K$35/100))^A175,D176-$AS$4)</f>
        <v>1.0000000596046448</v>
      </c>
      <c r="AF176" s="44">
        <f ca="1">ABS(L176-(controls!$B$9/100)*100)</f>
        <v>1.1920928955078125E-7</v>
      </c>
      <c r="AH176" s="44">
        <f ca="1">IF(controls!$B$33=1,(B177-B176*AC177-I177+D176*AD177+'main page'!$K$27*('main page'!$K$24+'main page'!$K$11))/'main page'!$K$31,(B177-B176*AC177+D176*AD177-H177+'main page'!$K$27*('main page'!$K$24+'main page'!$K$11))/'main page'!$K$31)</f>
        <v>1</v>
      </c>
      <c r="AI176" s="44">
        <f ca="1">IF(controls!$B$45=1,LOG(AM176,1.01)+LOG(AL176,1.01)-LOG(AK176,1.01),-((T176-('main page'!$K$24+'main page'!$K$11))/(1-'normal case'!$AV$3))+'normal case'!AH176)</f>
        <v>2.0000000596046448</v>
      </c>
      <c r="AJ176" s="80">
        <f t="shared" ca="1" si="22"/>
        <v>1.0506250015463039</v>
      </c>
      <c r="AK176" s="44">
        <f t="shared" ca="1" si="23"/>
        <v>30.149913984685288</v>
      </c>
      <c r="AL176" s="44">
        <f>AL175*(1+'main page'!$K$32/100)</f>
        <v>1</v>
      </c>
      <c r="AM176" s="44">
        <f ca="1">IF(ABS(IF(controls!$B$45=1,$AS$13,AK176*AJ176/AL176)-AM175)&lt;0.00001,AM175,IF(controls!$B$45=1,$AS$13,AK176*AJ176/AL176))</f>
        <v>31.67625342678091</v>
      </c>
      <c r="AN176" s="44">
        <f>IF(controls!$B$46=0,0,IF(controls!$B$33=2,B177-B176*AC177-('normal case'!H177-D176*AD177-'main page'!$K$27*'normal case'!T176+'main page'!$K$31*'normal case'!AI176)-(('main page'!$K$25*'main page'!$U$13*'main page'!$K$29)/(1+('main page'!$K$25^2)*'main page'!$U$13))*('normal case'!L176-'main page'!$U$8),B177-B176*AC177-('normal case'!I177-D176*AD177-'main page'!$K$27*'normal case'!T176+'main page'!$K$31*'normal case'!AI176)-(('main page'!$K$25*'main page'!$U$13*'main page'!$K$29)/(1+('main page'!$K$25^2)*'main page'!$U$13))*('normal case'!L176-'main page'!$U$8)))</f>
        <v>0</v>
      </c>
      <c r="AU176" s="36"/>
      <c r="AV176" s="36"/>
    </row>
    <row r="177" spans="1:48">
      <c r="A177" s="43">
        <v>175</v>
      </c>
      <c r="B177" s="62">
        <f ca="1">IF(controls!$B$33=1,B176*(1+AC177)+AA177,B176*(1+AC177))</f>
        <v>101</v>
      </c>
      <c r="C177" s="67">
        <f t="shared" ca="1" si="24"/>
        <v>-1.5107707374006907E-7</v>
      </c>
      <c r="D177" s="64">
        <f t="shared" ca="1" si="20"/>
        <v>101.00000005960464</v>
      </c>
      <c r="E177" s="64">
        <f ca="1">AN176+IF(controls!$B$33=1,G177,F177)</f>
        <v>101.00000005960464</v>
      </c>
      <c r="F177" s="78">
        <f ca="1">IF(controls!$B$44=0,H177-'main page'!$K$27*T176,H177-'main page'!$K$27*T176+'main page'!$K$31*AI176)</f>
        <v>101.00000005960464</v>
      </c>
      <c r="G177" s="62">
        <f ca="1">IF(controls!$B$44=0,I177-'main page'!$K$27*T176,I177-'main page'!$K$27*T176+'main page'!$K$31*'normal case'!AI176)</f>
        <v>101.00000005960464</v>
      </c>
      <c r="H177" s="62">
        <f t="shared" ca="1" si="26"/>
        <v>108</v>
      </c>
      <c r="I177" s="62">
        <f t="shared" ca="1" si="27"/>
        <v>108</v>
      </c>
      <c r="L177" s="62">
        <f ca="1">IF(ABS('main page'!$K$29*L176+(1-'main page'!$K$29)*(controls!$B$9/100)*100+'main page'!$K$25*(D177-B177)-L176)&lt;0.0000001,L176,'main page'!$K$29*L176+(1-'main page'!$K$29)*(controls!$B$9/100)*100+'main page'!$K$25*(D177-B177))</f>
        <v>1.9999998807907104</v>
      </c>
      <c r="Q177" s="409">
        <f ca="1">(1-'main page'!$K$29)*($AS$11/100)*100+'main page'!$K$25*(D177-B177)</f>
        <v>5.9604644775390625E-8</v>
      </c>
      <c r="R177" s="409">
        <f>'main page'!G181+'main page'!$K$29*M176</f>
        <v>0</v>
      </c>
      <c r="S177" s="409">
        <f t="shared" ca="1" si="25"/>
        <v>5.9604644775390625E-8</v>
      </c>
      <c r="T177" s="79">
        <f ca="1">IF(controls!$B$10=1,T176,IF(SUM(controls!$B$44:$B$46)=2,U177-'main page'!$K$29*'normal case'!L177-(1-'main page'!$K$29)*'main page'!$K$32,U177-'main page'!$K$29*'normal case'!L177-(1-'main page'!$K$29)*controls!$B$9))</f>
        <v>3.4999999701976776</v>
      </c>
      <c r="U177" s="164">
        <f ca="1">IF(controls!$B$45=1,IF(controls!$B$46=1,'main page'!$K$24+'main page'!$K$11+'main page'!$U$8,'main page'!$K$24+'main page'!$K$11+'main page'!$K$32),IF(controls!$B$44=1,IF(V177&lt;0,0,V177),IF(V177+'main page'!$K$11&lt;0,0,V177+'main page'!$K$11)))</f>
        <v>5.4999998509883881</v>
      </c>
      <c r="V177" s="63">
        <f ca="1">IF(controls!$B$10=1,'normal case'!T177+'normal case'!L177,'normal case'!W177)</f>
        <v>5.4999998509883881</v>
      </c>
      <c r="W177" s="61">
        <f t="shared" ca="1" si="21"/>
        <v>5.4999998509883881</v>
      </c>
      <c r="X177" s="166">
        <f ca="1">IF(controls!$B$44=0,Y177+'main page'!$K$29*L177+(1-'main page'!$K$29)*controls!$B$9+(('main page'!$K$25*'main page'!$U$13*'main page'!$K$29)/('main page'!$K$27*(1+('main page'!$K$25^2)*'main page'!$U$13)))*(L177-controls!$B$9),Y177+'main page'!$K$29*L177+(1-'main page'!$K$29)*controls!$B$9+(('main page'!$K$25*'main page'!$U$13*'normal case'!$AV$3)/'normal case'!$AV$4)*('normal case'!L177-controls!$B$9))</f>
        <v>5.4999998509883881</v>
      </c>
      <c r="Y177" s="81">
        <f ca="1">IF(controls!$B$44=1,'main page'!$K$24+'main page'!$K$11,IF(controls!$B$33=1,((I178-D177*AD178-B178+B177*AC178)/'main page'!$K$27)-'main page'!$K$11,((H178-D177*AD178-B178+B177*AC178)/'main page'!$K$27)-'main page'!$K$11))</f>
        <v>3.5</v>
      </c>
      <c r="AA177" s="58">
        <f>IF(controls!$B$6=1,$AS$3*(1+('main page'!$K$35/100))^AB177-$AS$3*(1+('main page'!$K$35/100))^AB176,$AS$3*(1+('main page'!$G$8/100))*(1+('main page'!$K$35/100))^AB177-$AS$3*(1+('main page'!$G$8/100))*(1+('main page'!$K$35/100))^AB176)</f>
        <v>0</v>
      </c>
      <c r="AB177" s="60">
        <v>170</v>
      </c>
      <c r="AC177" s="125">
        <v>0</v>
      </c>
      <c r="AD177" s="36">
        <v>0</v>
      </c>
      <c r="AE177" s="44">
        <f ca="1">IF(controls!$B$33=1,D177-($I$3-'main page'!$K$27*2)*(1+('main page'!$K$35/100))^A176,D177-$AS$4)</f>
        <v>1.0000000596046448</v>
      </c>
      <c r="AF177" s="44">
        <f ca="1">ABS(L177-(controls!$B$9/100)*100)</f>
        <v>1.1920928955078125E-7</v>
      </c>
      <c r="AH177" s="44">
        <f ca="1">IF(controls!$B$33=1,(B178-B177*AC178-I178+D177*AD178+'main page'!$K$27*('main page'!$K$24+'main page'!$K$11))/'main page'!$K$31,(B178-B177*AC178+D177*AD178-H178+'main page'!$K$27*('main page'!$K$24+'main page'!$K$11))/'main page'!$K$31)</f>
        <v>1</v>
      </c>
      <c r="AI177" s="44">
        <f ca="1">IF(controls!$B$45=1,LOG(AM177,1.01)+LOG(AL177,1.01)-LOG(AK177,1.01),-((T177-('main page'!$K$24+'main page'!$K$11))/(1-'normal case'!$AV$3))+'normal case'!AH177)</f>
        <v>2.0000000596046448</v>
      </c>
      <c r="AJ177" s="80">
        <f t="shared" ca="1" si="22"/>
        <v>1.0506250015463039</v>
      </c>
      <c r="AK177" s="44">
        <f t="shared" ca="1" si="23"/>
        <v>30.752912228437495</v>
      </c>
      <c r="AL177" s="44">
        <f>AL176*(1+'main page'!$K$32/100)</f>
        <v>1</v>
      </c>
      <c r="AM177" s="44">
        <f ca="1">IF(ABS(IF(controls!$B$45=1,$AS$13,AK177*AJ177/AL177)-AM176)&lt;0.00001,AM176,IF(controls!$B$45=1,$AS$13,AK177*AJ177/AL177))</f>
        <v>32.309778457555488</v>
      </c>
      <c r="AN177" s="44">
        <f>IF(controls!$B$46=0,0,IF(controls!$B$33=2,B178-B177*AC178-('normal case'!H178-D177*AD178-'main page'!$K$27*'normal case'!T177+'main page'!$K$31*'normal case'!AI177)-(('main page'!$K$25*'main page'!$U$13*'main page'!$K$29)/(1+('main page'!$K$25^2)*'main page'!$U$13))*('normal case'!L177-'main page'!$U$8),B178-B177*AC178-('normal case'!I178-D177*AD178-'main page'!$K$27*'normal case'!T177+'main page'!$K$31*'normal case'!AI177)-(('main page'!$K$25*'main page'!$U$13*'main page'!$K$29)/(1+('main page'!$K$25^2)*'main page'!$U$13))*('normal case'!L177-'main page'!$U$8)))</f>
        <v>0</v>
      </c>
      <c r="AU177" s="36"/>
      <c r="AV177" s="36"/>
    </row>
    <row r="178" spans="1:48">
      <c r="A178" s="43">
        <v>176</v>
      </c>
      <c r="B178" s="62">
        <f ca="1">IF(controls!$B$33=1,B177*(1+AC178)+AA178,B177*(1+AC178))</f>
        <v>101</v>
      </c>
      <c r="C178" s="67">
        <f t="shared" ca="1" si="24"/>
        <v>-1.5107707374006907E-7</v>
      </c>
      <c r="D178" s="64">
        <f t="shared" ca="1" si="20"/>
        <v>101.00000005960464</v>
      </c>
      <c r="E178" s="64">
        <f ca="1">AN177+IF(controls!$B$33=1,G178,F178)</f>
        <v>101.00000005960464</v>
      </c>
      <c r="F178" s="78">
        <f ca="1">IF(controls!$B$44=0,H178-'main page'!$K$27*T177,H178-'main page'!$K$27*T177+'main page'!$K$31*AI177)</f>
        <v>101.00000005960464</v>
      </c>
      <c r="G178" s="62">
        <f ca="1">IF(controls!$B$44=0,I178-'main page'!$K$27*T177,I178-'main page'!$K$27*T177+'main page'!$K$31*'normal case'!AI177)</f>
        <v>101.00000005960464</v>
      </c>
      <c r="H178" s="62">
        <f t="shared" ca="1" si="26"/>
        <v>108</v>
      </c>
      <c r="I178" s="62">
        <f t="shared" ca="1" si="27"/>
        <v>108</v>
      </c>
      <c r="L178" s="62">
        <f ca="1">IF(ABS('main page'!$K$29*L177+(1-'main page'!$K$29)*(controls!$B$9/100)*100+'main page'!$K$25*(D178-B178)-L177)&lt;0.0000001,L177,'main page'!$K$29*L177+(1-'main page'!$K$29)*(controls!$B$9/100)*100+'main page'!$K$25*(D178-B178))</f>
        <v>1.9999998807907104</v>
      </c>
      <c r="Q178" s="409">
        <f ca="1">(1-'main page'!$K$29)*($AS$11/100)*100+'main page'!$K$25*(D178-B178)</f>
        <v>5.9604644775390625E-8</v>
      </c>
      <c r="R178" s="409">
        <f>'main page'!G182+'main page'!$K$29*M177</f>
        <v>0</v>
      </c>
      <c r="S178" s="409">
        <f t="shared" ca="1" si="25"/>
        <v>5.9604644775390625E-8</v>
      </c>
      <c r="T178" s="79">
        <f ca="1">IF(controls!$B$10=1,T177,IF(SUM(controls!$B$44:$B$46)=2,U178-'main page'!$K$29*'normal case'!L178-(1-'main page'!$K$29)*'main page'!$K$32,U178-'main page'!$K$29*'normal case'!L178-(1-'main page'!$K$29)*controls!$B$9))</f>
        <v>3.4999999701976776</v>
      </c>
      <c r="U178" s="164">
        <f ca="1">IF(controls!$B$45=1,IF(controls!$B$46=1,'main page'!$K$24+'main page'!$K$11+'main page'!$U$8,'main page'!$K$24+'main page'!$K$11+'main page'!$K$32),IF(controls!$B$44=1,IF(V178&lt;0,0,V178),IF(V178+'main page'!$K$11&lt;0,0,V178+'main page'!$K$11)))</f>
        <v>5.4999998509883881</v>
      </c>
      <c r="V178" s="63">
        <f ca="1">IF(controls!$B$10=1,'normal case'!T178+'normal case'!L178,'normal case'!W178)</f>
        <v>5.4999998509883881</v>
      </c>
      <c r="W178" s="61">
        <f t="shared" ca="1" si="21"/>
        <v>5.4999998509883881</v>
      </c>
      <c r="X178" s="166">
        <f ca="1">IF(controls!$B$44=0,Y178+'main page'!$K$29*L178+(1-'main page'!$K$29)*controls!$B$9+(('main page'!$K$25*'main page'!$U$13*'main page'!$K$29)/('main page'!$K$27*(1+('main page'!$K$25^2)*'main page'!$U$13)))*(L178-controls!$B$9),Y178+'main page'!$K$29*L178+(1-'main page'!$K$29)*controls!$B$9+(('main page'!$K$25*'main page'!$U$13*'normal case'!$AV$3)/'normal case'!$AV$4)*('normal case'!L178-controls!$B$9))</f>
        <v>5.4999998509883881</v>
      </c>
      <c r="Y178" s="81">
        <f ca="1">IF(controls!$B$44=1,'main page'!$K$24+'main page'!$K$11,IF(controls!$B$33=1,((I179-D178*AD179-B179+B178*AC179)/'main page'!$K$27)-'main page'!$K$11,((H179-D178*AD179-B179+B178*AC179)/'main page'!$K$27)-'main page'!$K$11))</f>
        <v>3.5</v>
      </c>
      <c r="AA178" s="58">
        <f>IF(controls!$B$6=1,$AS$3*(1+('main page'!$K$35/100))^AB178-$AS$3*(1+('main page'!$K$35/100))^AB177,$AS$3*(1+('main page'!$G$8/100))*(1+('main page'!$K$35/100))^AB178-$AS$3*(1+('main page'!$G$8/100))*(1+('main page'!$K$35/100))^AB177)</f>
        <v>0</v>
      </c>
      <c r="AB178" s="60">
        <v>171</v>
      </c>
      <c r="AC178" s="125">
        <v>0</v>
      </c>
      <c r="AD178" s="36">
        <v>0</v>
      </c>
      <c r="AE178" s="44">
        <f ca="1">IF(controls!$B$33=1,D178-($I$3-'main page'!$K$27*2)*(1+('main page'!$K$35/100))^A177,D178-$AS$4)</f>
        <v>1.0000000596046448</v>
      </c>
      <c r="AF178" s="44">
        <f ca="1">ABS(L178-(controls!$B$9/100)*100)</f>
        <v>1.1920928955078125E-7</v>
      </c>
      <c r="AH178" s="44">
        <f ca="1">IF(controls!$B$33=1,(B179-B178*AC179-I179+D178*AD179+'main page'!$K$27*('main page'!$K$24+'main page'!$K$11))/'main page'!$K$31,(B179-B178*AC179+D178*AD179-H179+'main page'!$K$27*('main page'!$K$24+'main page'!$K$11))/'main page'!$K$31)</f>
        <v>1</v>
      </c>
      <c r="AI178" s="44">
        <f ca="1">IF(controls!$B$45=1,LOG(AM178,1.01)+LOG(AL178,1.01)-LOG(AK178,1.01),-((T178-('main page'!$K$24+'main page'!$K$11))/(1-'normal case'!$AV$3))+'normal case'!AH178)</f>
        <v>2.0000000596046448</v>
      </c>
      <c r="AJ178" s="80">
        <f t="shared" ca="1" si="22"/>
        <v>1.0506250015463039</v>
      </c>
      <c r="AK178" s="44">
        <f t="shared" ca="1" si="23"/>
        <v>31.367970436345917</v>
      </c>
      <c r="AL178" s="44">
        <f>AL177*(1+'main page'!$K$32/100)</f>
        <v>1</v>
      </c>
      <c r="AM178" s="44">
        <f ca="1">IF(ABS(IF(controls!$B$45=1,$AS$13,AK178*AJ178/AL178)-AM177)&lt;0.00001,AM177,IF(controls!$B$45=1,$AS$13,AK178*AJ178/AL178))</f>
        <v>32.955973988190344</v>
      </c>
      <c r="AN178" s="44">
        <f>IF(controls!$B$46=0,0,IF(controls!$B$33=2,B179-B178*AC179-('normal case'!H179-D178*AD179-'main page'!$K$27*'normal case'!T178+'main page'!$K$31*'normal case'!AI178)-(('main page'!$K$25*'main page'!$U$13*'main page'!$K$29)/(1+('main page'!$K$25^2)*'main page'!$U$13))*('normal case'!L178-'main page'!$U$8),B179-B178*AC179-('normal case'!I179-D178*AD179-'main page'!$K$27*'normal case'!T178+'main page'!$K$31*'normal case'!AI178)-(('main page'!$K$25*'main page'!$U$13*'main page'!$K$29)/(1+('main page'!$K$25^2)*'main page'!$U$13))*('normal case'!L178-'main page'!$U$8)))</f>
        <v>0</v>
      </c>
      <c r="AU178" s="36"/>
      <c r="AV178" s="36"/>
    </row>
    <row r="179" spans="1:48">
      <c r="A179" s="43">
        <v>177</v>
      </c>
      <c r="B179" s="62">
        <f ca="1">IF(controls!$B$33=1,B178*(1+AC179)+AA179,B178*(1+AC179))</f>
        <v>101</v>
      </c>
      <c r="C179" s="67">
        <f t="shared" ca="1" si="24"/>
        <v>-1.5107707374006907E-7</v>
      </c>
      <c r="D179" s="64">
        <f t="shared" ca="1" si="20"/>
        <v>101.00000005960464</v>
      </c>
      <c r="E179" s="64">
        <f ca="1">AN178+IF(controls!$B$33=1,G179,F179)</f>
        <v>101.00000005960464</v>
      </c>
      <c r="F179" s="78">
        <f ca="1">IF(controls!$B$44=0,H179-'main page'!$K$27*T178,H179-'main page'!$K$27*T178+'main page'!$K$31*AI178)</f>
        <v>101.00000005960464</v>
      </c>
      <c r="G179" s="62">
        <f ca="1">IF(controls!$B$44=0,I179-'main page'!$K$27*T178,I179-'main page'!$K$27*T178+'main page'!$K$31*'normal case'!AI178)</f>
        <v>101.00000005960464</v>
      </c>
      <c r="H179" s="62">
        <f t="shared" ca="1" si="26"/>
        <v>108</v>
      </c>
      <c r="I179" s="62">
        <f t="shared" ca="1" si="27"/>
        <v>108</v>
      </c>
      <c r="L179" s="62">
        <f ca="1">IF(ABS('main page'!$K$29*L178+(1-'main page'!$K$29)*(controls!$B$9/100)*100+'main page'!$K$25*(D179-B179)-L178)&lt;0.0000001,L178,'main page'!$K$29*L178+(1-'main page'!$K$29)*(controls!$B$9/100)*100+'main page'!$K$25*(D179-B179))</f>
        <v>1.9999998807907104</v>
      </c>
      <c r="Q179" s="409">
        <f ca="1">(1-'main page'!$K$29)*($AS$11/100)*100+'main page'!$K$25*(D179-B179)</f>
        <v>5.9604644775390625E-8</v>
      </c>
      <c r="R179" s="409">
        <f>'main page'!G183+'main page'!$K$29*M178</f>
        <v>0</v>
      </c>
      <c r="S179" s="409">
        <f t="shared" ca="1" si="25"/>
        <v>5.9604644775390625E-8</v>
      </c>
      <c r="T179" s="79">
        <f ca="1">IF(controls!$B$10=1,T178,IF(SUM(controls!$B$44:$B$46)=2,U179-'main page'!$K$29*'normal case'!L179-(1-'main page'!$K$29)*'main page'!$K$32,U179-'main page'!$K$29*'normal case'!L179-(1-'main page'!$K$29)*controls!$B$9))</f>
        <v>3.4999999701976776</v>
      </c>
      <c r="U179" s="164">
        <f ca="1">IF(controls!$B$45=1,IF(controls!$B$46=1,'main page'!$K$24+'main page'!$K$11+'main page'!$U$8,'main page'!$K$24+'main page'!$K$11+'main page'!$K$32),IF(controls!$B$44=1,IF(V179&lt;0,0,V179),IF(V179+'main page'!$K$11&lt;0,0,V179+'main page'!$K$11)))</f>
        <v>5.4999998509883881</v>
      </c>
      <c r="V179" s="63">
        <f ca="1">IF(controls!$B$10=1,'normal case'!T179+'normal case'!L179,'normal case'!W179)</f>
        <v>5.4999998509883881</v>
      </c>
      <c r="W179" s="61">
        <f t="shared" ca="1" si="21"/>
        <v>5.4999998509883881</v>
      </c>
      <c r="X179" s="166">
        <f ca="1">IF(controls!$B$44=0,Y179+'main page'!$K$29*L179+(1-'main page'!$K$29)*controls!$B$9+(('main page'!$K$25*'main page'!$U$13*'main page'!$K$29)/('main page'!$K$27*(1+('main page'!$K$25^2)*'main page'!$U$13)))*(L179-controls!$B$9),Y179+'main page'!$K$29*L179+(1-'main page'!$K$29)*controls!$B$9+(('main page'!$K$25*'main page'!$U$13*'normal case'!$AV$3)/'normal case'!$AV$4)*('normal case'!L179-controls!$B$9))</f>
        <v>5.4999998509883881</v>
      </c>
      <c r="Y179" s="81">
        <f ca="1">IF(controls!$B$44=1,'main page'!$K$24+'main page'!$K$11,IF(controls!$B$33=1,((I180-D179*AD180-B180+B179*AC180)/'main page'!$K$27)-'main page'!$K$11,((H180-D179*AD180-B180+B179*AC180)/'main page'!$K$27)-'main page'!$K$11))</f>
        <v>3.5</v>
      </c>
      <c r="AA179" s="58">
        <f>IF(controls!$B$6=1,$AS$3*(1+('main page'!$K$35/100))^AB179-$AS$3*(1+('main page'!$K$35/100))^AB178,$AS$3*(1+('main page'!$G$8/100))*(1+('main page'!$K$35/100))^AB179-$AS$3*(1+('main page'!$G$8/100))*(1+('main page'!$K$35/100))^AB178)</f>
        <v>0</v>
      </c>
      <c r="AB179" s="60">
        <v>172</v>
      </c>
      <c r="AC179" s="125">
        <f ca="1">IF(controls!$B$4=1,IF(controls!$H178=1,controls!$B$34*AC178+RAND()*('main page'!$K$16/100)-RAND()*('main page'!$K$16/100),0),0)</f>
        <v>0</v>
      </c>
      <c r="AD179" s="36">
        <f ca="1">IF(controls!$B$4=1,IF(controls!$I178=1,controls!$B$34*AD178+RAND()*('main page'!$K$16/100)-RAND()*('main page'!$K$16/100),0),0)</f>
        <v>0</v>
      </c>
      <c r="AE179" s="44">
        <f ca="1">IF(controls!$B$33=1,D179-($I$3-'main page'!$K$27*2)*(1+('main page'!$K$35/100))^A178,D179-$AS$4)</f>
        <v>1.0000000596046448</v>
      </c>
      <c r="AF179" s="44">
        <f ca="1">ABS(L179-(controls!$B$9/100)*100)</f>
        <v>1.1920928955078125E-7</v>
      </c>
      <c r="AH179" s="44">
        <f ca="1">IF(controls!$B$33=1,(B180-B179*AC180-I180+D179*AD180+'main page'!$K$27*('main page'!$K$24+'main page'!$K$11))/'main page'!$K$31,(B180-B179*AC180+D179*AD180-H180+'main page'!$K$27*('main page'!$K$24+'main page'!$K$11))/'main page'!$K$31)</f>
        <v>1</v>
      </c>
      <c r="AI179" s="44">
        <f ca="1">IF(controls!$B$45=1,LOG(AM179,1.01)+LOG(AL179,1.01)-LOG(AK179,1.01),-((T179-('main page'!$K$24+'main page'!$K$11))/(1-'normal case'!$AV$3))+'normal case'!AH179)</f>
        <v>2.0000000596046448</v>
      </c>
      <c r="AJ179" s="80">
        <f t="shared" ca="1" si="22"/>
        <v>1.0506250015463039</v>
      </c>
      <c r="AK179" s="44">
        <f t="shared" ca="1" si="23"/>
        <v>31.995329807679301</v>
      </c>
      <c r="AL179" s="44">
        <f>AL178*(1+'main page'!$K$32/100)</f>
        <v>1</v>
      </c>
      <c r="AM179" s="44">
        <f ca="1">IF(ABS(IF(controls!$B$45=1,$AS$13,AK179*AJ179/AL179)-AM178)&lt;0.00001,AM178,IF(controls!$B$45=1,$AS$13,AK179*AJ179/AL179))</f>
        <v>33.615093428667571</v>
      </c>
      <c r="AN179" s="44">
        <f>IF(controls!$B$46=0,0,IF(controls!$B$33=2,B180-B179*AC180-('normal case'!H180-D179*AD180-'main page'!$K$27*'normal case'!T179+'main page'!$K$31*'normal case'!AI179)-(('main page'!$K$25*'main page'!$U$13*'main page'!$K$29)/(1+('main page'!$K$25^2)*'main page'!$U$13))*('normal case'!L179-'main page'!$U$8),B180-B179*AC180-('normal case'!I180-D179*AD180-'main page'!$K$27*'normal case'!T179+'main page'!$K$31*'normal case'!AI179)-(('main page'!$K$25*'main page'!$U$13*'main page'!$K$29)/(1+('main page'!$K$25^2)*'main page'!$U$13))*('normal case'!L179-'main page'!$U$8)))</f>
        <v>0</v>
      </c>
      <c r="AU179" s="36"/>
      <c r="AV179" s="36"/>
    </row>
    <row r="180" spans="1:48">
      <c r="A180" s="43">
        <v>178</v>
      </c>
      <c r="B180" s="62">
        <f ca="1">IF(controls!$B$33=1,B179*(1+AC180)+AA180,B179*(1+AC180))</f>
        <v>101</v>
      </c>
      <c r="C180" s="67">
        <f t="shared" ca="1" si="24"/>
        <v>-1.5107707374006907E-7</v>
      </c>
      <c r="D180" s="64">
        <f t="shared" ca="1" si="20"/>
        <v>101.00000005960464</v>
      </c>
      <c r="E180" s="64">
        <f ca="1">AN179+IF(controls!$B$33=1,G180,F180)</f>
        <v>101.00000005960464</v>
      </c>
      <c r="F180" s="78">
        <f ca="1">IF(controls!$B$44=0,H180-'main page'!$K$27*T179,H180-'main page'!$K$27*T179+'main page'!$K$31*AI179)</f>
        <v>101.00000005960464</v>
      </c>
      <c r="G180" s="62">
        <f ca="1">IF(controls!$B$44=0,I180-'main page'!$K$27*T179,I180-'main page'!$K$27*T179+'main page'!$K$31*'normal case'!AI179)</f>
        <v>101.00000005960464</v>
      </c>
      <c r="H180" s="62">
        <f t="shared" ca="1" si="26"/>
        <v>108</v>
      </c>
      <c r="I180" s="62">
        <f t="shared" ca="1" si="27"/>
        <v>108</v>
      </c>
      <c r="L180" s="62">
        <f ca="1">IF(ABS('main page'!$K$29*L179+(1-'main page'!$K$29)*(controls!$B$9/100)*100+'main page'!$K$25*(D180-B180)-L179)&lt;0.0000001,L179,'main page'!$K$29*L179+(1-'main page'!$K$29)*(controls!$B$9/100)*100+'main page'!$K$25*(D180-B180))</f>
        <v>1.9999998807907104</v>
      </c>
      <c r="Q180" s="409">
        <f ca="1">(1-'main page'!$K$29)*($AS$11/100)*100+'main page'!$K$25*(D180-B180)</f>
        <v>5.9604644775390625E-8</v>
      </c>
      <c r="R180" s="409">
        <f>'main page'!G184+'main page'!$K$29*M179</f>
        <v>0</v>
      </c>
      <c r="S180" s="409">
        <f t="shared" ca="1" si="25"/>
        <v>5.9604644775390625E-8</v>
      </c>
      <c r="T180" s="79">
        <f ca="1">IF(controls!$B$10=1,T179,IF(SUM(controls!$B$44:$B$46)=2,U180-'main page'!$K$29*'normal case'!L180-(1-'main page'!$K$29)*'main page'!$K$32,U180-'main page'!$K$29*'normal case'!L180-(1-'main page'!$K$29)*controls!$B$9))</f>
        <v>3.4999999701976776</v>
      </c>
      <c r="U180" s="164">
        <f ca="1">IF(controls!$B$45=1,IF(controls!$B$46=1,'main page'!$K$24+'main page'!$K$11+'main page'!$U$8,'main page'!$K$24+'main page'!$K$11+'main page'!$K$32),IF(controls!$B$44=1,IF(V180&lt;0,0,V180),IF(V180+'main page'!$K$11&lt;0,0,V180+'main page'!$K$11)))</f>
        <v>5.4999998509883881</v>
      </c>
      <c r="V180" s="63">
        <f ca="1">IF(controls!$B$10=1,'normal case'!T180+'normal case'!L180,'normal case'!W180)</f>
        <v>5.4999998509883881</v>
      </c>
      <c r="W180" s="61">
        <f t="shared" ca="1" si="21"/>
        <v>5.4999998509883881</v>
      </c>
      <c r="X180" s="166">
        <f ca="1">IF(controls!$B$44=0,Y180+'main page'!$K$29*L180+(1-'main page'!$K$29)*controls!$B$9+(('main page'!$K$25*'main page'!$U$13*'main page'!$K$29)/('main page'!$K$27*(1+('main page'!$K$25^2)*'main page'!$U$13)))*(L180-controls!$B$9),Y180+'main page'!$K$29*L180+(1-'main page'!$K$29)*controls!$B$9+(('main page'!$K$25*'main page'!$U$13*'normal case'!$AV$3)/'normal case'!$AV$4)*('normal case'!L180-controls!$B$9))</f>
        <v>5.4999998509883881</v>
      </c>
      <c r="Y180" s="81">
        <f ca="1">IF(controls!$B$44=1,'main page'!$K$24+'main page'!$K$11,IF(controls!$B$33=1,((I181-D180*AD181-B181+B180*AC181)/'main page'!$K$27)-'main page'!$K$11,((H181-D180*AD181-B181+B180*AC181)/'main page'!$K$27)-'main page'!$K$11))</f>
        <v>3.5</v>
      </c>
      <c r="AA180" s="58">
        <f>IF(controls!$B$6=1,$AS$3*(1+('main page'!$K$35/100))^AB180-$AS$3*(1+('main page'!$K$35/100))^AB179,$AS$3*(1+('main page'!$G$8/100))*(1+('main page'!$K$35/100))^AB180-$AS$3*(1+('main page'!$G$8/100))*(1+('main page'!$K$35/100))^AB179)</f>
        <v>0</v>
      </c>
      <c r="AB180" s="60">
        <v>173</v>
      </c>
      <c r="AC180" s="125">
        <v>0</v>
      </c>
      <c r="AD180" s="36">
        <v>0</v>
      </c>
      <c r="AE180" s="44">
        <f ca="1">IF(controls!$B$33=1,D180-($I$3-'main page'!$K$27*2)*(1+('main page'!$K$35/100))^A179,D180-$AS$4)</f>
        <v>1.0000000596046448</v>
      </c>
      <c r="AF180" s="44">
        <f ca="1">ABS(L180-(controls!$B$9/100)*100)</f>
        <v>1.1920928955078125E-7</v>
      </c>
      <c r="AH180" s="44">
        <f ca="1">IF(controls!$B$33=1,(B181-B180*AC181-I181+D180*AD181+'main page'!$K$27*('main page'!$K$24+'main page'!$K$11))/'main page'!$K$31,(B181-B180*AC181+D180*AD181-H181+'main page'!$K$27*('main page'!$K$24+'main page'!$K$11))/'main page'!$K$31)</f>
        <v>1</v>
      </c>
      <c r="AI180" s="44">
        <f ca="1">IF(controls!$B$45=1,LOG(AM180,1.01)+LOG(AL180,1.01)-LOG(AK180,1.01),-((T180-('main page'!$K$24+'main page'!$K$11))/(1-'normal case'!$AV$3))+'normal case'!AH180)</f>
        <v>2.0000000596046448</v>
      </c>
      <c r="AJ180" s="80">
        <f t="shared" ca="1" si="22"/>
        <v>1.0506250015463039</v>
      </c>
      <c r="AK180" s="44">
        <f t="shared" ca="1" si="23"/>
        <v>32.635236365691483</v>
      </c>
      <c r="AL180" s="44">
        <f>AL179*(1+'main page'!$K$32/100)</f>
        <v>1</v>
      </c>
      <c r="AM180" s="44">
        <f ca="1">IF(ABS(IF(controls!$B$45=1,$AS$13,AK180*AJ180/AL180)-AM179)&lt;0.00001,AM179,IF(controls!$B$45=1,$AS$13,AK180*AJ180/AL180))</f>
        <v>34.287395257168605</v>
      </c>
      <c r="AN180" s="44">
        <f>IF(controls!$B$46=0,0,IF(controls!$B$33=2,B181-B180*AC181-('normal case'!H181-D180*AD181-'main page'!$K$27*'normal case'!T180+'main page'!$K$31*'normal case'!AI180)-(('main page'!$K$25*'main page'!$U$13*'main page'!$K$29)/(1+('main page'!$K$25^2)*'main page'!$U$13))*('normal case'!L180-'main page'!$U$8),B181-B180*AC181-('normal case'!I181-D180*AD181-'main page'!$K$27*'normal case'!T180+'main page'!$K$31*'normal case'!AI180)-(('main page'!$K$25*'main page'!$U$13*'main page'!$K$29)/(1+('main page'!$K$25^2)*'main page'!$U$13))*('normal case'!L180-'main page'!$U$8)))</f>
        <v>0</v>
      </c>
      <c r="AU180" s="36"/>
      <c r="AV180" s="36"/>
    </row>
    <row r="181" spans="1:48">
      <c r="A181" s="43">
        <v>179</v>
      </c>
      <c r="B181" s="62">
        <f ca="1">IF(controls!$B$33=1,B180*(1+AC181)+AA181,B180*(1+AC181))</f>
        <v>101</v>
      </c>
      <c r="C181" s="67">
        <f t="shared" ca="1" si="24"/>
        <v>-1.5107707374006907E-7</v>
      </c>
      <c r="D181" s="64">
        <f t="shared" ca="1" si="20"/>
        <v>101.00000005960464</v>
      </c>
      <c r="E181" s="64">
        <f ca="1">AN180+IF(controls!$B$33=1,G181,F181)</f>
        <v>101.00000005960464</v>
      </c>
      <c r="F181" s="78">
        <f ca="1">IF(controls!$B$44=0,H181-'main page'!$K$27*T180,H181-'main page'!$K$27*T180+'main page'!$K$31*AI180)</f>
        <v>101.00000005960464</v>
      </c>
      <c r="G181" s="62">
        <f ca="1">IF(controls!$B$44=0,I181-'main page'!$K$27*T180,I181-'main page'!$K$27*T180+'main page'!$K$31*'normal case'!AI180)</f>
        <v>101.00000005960464</v>
      </c>
      <c r="H181" s="62">
        <f t="shared" ca="1" si="26"/>
        <v>108</v>
      </c>
      <c r="I181" s="62">
        <f t="shared" ca="1" si="27"/>
        <v>108</v>
      </c>
      <c r="L181" s="62">
        <f ca="1">IF(ABS('main page'!$K$29*L180+(1-'main page'!$K$29)*(controls!$B$9/100)*100+'main page'!$K$25*(D181-B181)-L180)&lt;0.0000001,L180,'main page'!$K$29*L180+(1-'main page'!$K$29)*(controls!$B$9/100)*100+'main page'!$K$25*(D181-B181))</f>
        <v>1.9999998807907104</v>
      </c>
      <c r="Q181" s="409">
        <f ca="1">(1-'main page'!$K$29)*($AS$11/100)*100+'main page'!$K$25*(D181-B181)</f>
        <v>5.9604644775390625E-8</v>
      </c>
      <c r="R181" s="409">
        <f>'main page'!G185+'main page'!$K$29*M180</f>
        <v>0</v>
      </c>
      <c r="S181" s="409">
        <f t="shared" ca="1" si="25"/>
        <v>5.9604644775390625E-8</v>
      </c>
      <c r="T181" s="79">
        <f ca="1">IF(controls!$B$10=1,T180,IF(SUM(controls!$B$44:$B$46)=2,U181-'main page'!$K$29*'normal case'!L181-(1-'main page'!$K$29)*'main page'!$K$32,U181-'main page'!$K$29*'normal case'!L181-(1-'main page'!$K$29)*controls!$B$9))</f>
        <v>3.4999999701976776</v>
      </c>
      <c r="U181" s="164">
        <f ca="1">IF(controls!$B$45=1,IF(controls!$B$46=1,'main page'!$K$24+'main page'!$K$11+'main page'!$U$8,'main page'!$K$24+'main page'!$K$11+'main page'!$K$32),IF(controls!$B$44=1,IF(V181&lt;0,0,V181),IF(V181+'main page'!$K$11&lt;0,0,V181+'main page'!$K$11)))</f>
        <v>5.4999998509883881</v>
      </c>
      <c r="V181" s="63">
        <f ca="1">IF(controls!$B$10=1,'normal case'!T181+'normal case'!L181,'normal case'!W181)</f>
        <v>5.4999998509883881</v>
      </c>
      <c r="W181" s="61">
        <f t="shared" ca="1" si="21"/>
        <v>5.4999998509883881</v>
      </c>
      <c r="X181" s="166">
        <f ca="1">IF(controls!$B$44=0,Y181+'main page'!$K$29*L181+(1-'main page'!$K$29)*controls!$B$9+(('main page'!$K$25*'main page'!$U$13*'main page'!$K$29)/('main page'!$K$27*(1+('main page'!$K$25^2)*'main page'!$U$13)))*(L181-controls!$B$9),Y181+'main page'!$K$29*L181+(1-'main page'!$K$29)*controls!$B$9+(('main page'!$K$25*'main page'!$U$13*'normal case'!$AV$3)/'normal case'!$AV$4)*('normal case'!L181-controls!$B$9))</f>
        <v>5.4999998509883881</v>
      </c>
      <c r="Y181" s="81">
        <f ca="1">IF(controls!$B$44=1,'main page'!$K$24+'main page'!$K$11,IF(controls!$B$33=1,((I182-D181*AD182-B182+B181*AC182)/'main page'!$K$27)-'main page'!$K$11,((H182-D181*AD182-B182+B181*AC182)/'main page'!$K$27)-'main page'!$K$11))</f>
        <v>3.5</v>
      </c>
      <c r="AA181" s="58">
        <f>IF(controls!$B$6=1,$AS$3*(1+('main page'!$K$35/100))^AB181-$AS$3*(1+('main page'!$K$35/100))^AB180,$AS$3*(1+('main page'!$G$8/100))*(1+('main page'!$K$35/100))^AB181-$AS$3*(1+('main page'!$G$8/100))*(1+('main page'!$K$35/100))^AB180)</f>
        <v>0</v>
      </c>
      <c r="AB181" s="60">
        <v>174</v>
      </c>
      <c r="AC181" s="125">
        <v>0</v>
      </c>
      <c r="AD181" s="36">
        <v>0</v>
      </c>
      <c r="AE181" s="44">
        <f ca="1">IF(controls!$B$33=1,D181-($I$3-'main page'!$K$27*2)*(1+('main page'!$K$35/100))^A180,D181-$AS$4)</f>
        <v>1.0000000596046448</v>
      </c>
      <c r="AF181" s="44">
        <f ca="1">ABS(L181-(controls!$B$9/100)*100)</f>
        <v>1.1920928955078125E-7</v>
      </c>
      <c r="AH181" s="44">
        <f ca="1">IF(controls!$B$33=1,(B182-B181*AC182-I182+D181*AD182+'main page'!$K$27*('main page'!$K$24+'main page'!$K$11))/'main page'!$K$31,(B182-B181*AC182+D181*AD182-H182+'main page'!$K$27*('main page'!$K$24+'main page'!$K$11))/'main page'!$K$31)</f>
        <v>1</v>
      </c>
      <c r="AI181" s="44">
        <f ca="1">IF(controls!$B$45=1,LOG(AM181,1.01)+LOG(AL181,1.01)-LOG(AK181,1.01),-((T181-('main page'!$K$24+'main page'!$K$11))/(1-'normal case'!$AV$3))+'normal case'!AH181)</f>
        <v>2.0000000596046448</v>
      </c>
      <c r="AJ181" s="80">
        <f t="shared" ca="1" si="22"/>
        <v>1.0506250015463039</v>
      </c>
      <c r="AK181" s="44">
        <f t="shared" ca="1" si="23"/>
        <v>33.287941054101083</v>
      </c>
      <c r="AL181" s="44">
        <f>AL180*(1+'main page'!$K$32/100)</f>
        <v>1</v>
      </c>
      <c r="AM181" s="44">
        <f ca="1">IF(ABS(IF(controls!$B$45=1,$AS$13,AK181*AJ181/AL181)-AM180)&lt;0.00001,AM180,IF(controls!$B$45=1,$AS$13,AK181*AJ181/AL181))</f>
        <v>34.97314312143822</v>
      </c>
      <c r="AN181" s="44">
        <f>IF(controls!$B$46=0,0,IF(controls!$B$33=2,B182-B181*AC182-('normal case'!H182-D181*AD182-'main page'!$K$27*'normal case'!T181+'main page'!$K$31*'normal case'!AI181)-(('main page'!$K$25*'main page'!$U$13*'main page'!$K$29)/(1+('main page'!$K$25^2)*'main page'!$U$13))*('normal case'!L181-'main page'!$U$8),B182-B181*AC182-('normal case'!I182-D181*AD182-'main page'!$K$27*'normal case'!T181+'main page'!$K$31*'normal case'!AI181)-(('main page'!$K$25*'main page'!$U$13*'main page'!$K$29)/(1+('main page'!$K$25^2)*'main page'!$U$13))*('normal case'!L181-'main page'!$U$8)))</f>
        <v>0</v>
      </c>
      <c r="AU181" s="36"/>
      <c r="AV181" s="36"/>
    </row>
    <row r="182" spans="1:48">
      <c r="A182" s="43">
        <v>180</v>
      </c>
      <c r="B182" s="62">
        <f ca="1">IF(controls!$B$33=1,B181*(1+AC182)+AA182,B181*(1+AC182))</f>
        <v>101</v>
      </c>
      <c r="C182" s="67">
        <f t="shared" ca="1" si="24"/>
        <v>-1.5107707374006907E-7</v>
      </c>
      <c r="D182" s="64">
        <f t="shared" ca="1" si="20"/>
        <v>101.00000005960464</v>
      </c>
      <c r="E182" s="64">
        <f ca="1">AN181+IF(controls!$B$33=1,G182,F182)</f>
        <v>101.00000005960464</v>
      </c>
      <c r="F182" s="78">
        <f ca="1">IF(controls!$B$44=0,H182-'main page'!$K$27*T181,H182-'main page'!$K$27*T181+'main page'!$K$31*AI181)</f>
        <v>101.00000005960464</v>
      </c>
      <c r="G182" s="62">
        <f ca="1">IF(controls!$B$44=0,I182-'main page'!$K$27*T181,I182-'main page'!$K$27*T181+'main page'!$K$31*'normal case'!AI181)</f>
        <v>101.00000005960464</v>
      </c>
      <c r="H182" s="62">
        <f t="shared" ca="1" si="26"/>
        <v>108</v>
      </c>
      <c r="I182" s="62">
        <f t="shared" ca="1" si="27"/>
        <v>108</v>
      </c>
      <c r="L182" s="62">
        <f ca="1">IF(ABS('main page'!$K$29*L181+(1-'main page'!$K$29)*(controls!$B$9/100)*100+'main page'!$K$25*(D182-B182)-L181)&lt;0.0000001,L181,'main page'!$K$29*L181+(1-'main page'!$K$29)*(controls!$B$9/100)*100+'main page'!$K$25*(D182-B182))</f>
        <v>1.9999998807907104</v>
      </c>
      <c r="Q182" s="409">
        <f ca="1">(1-'main page'!$K$29)*($AS$11/100)*100+'main page'!$K$25*(D182-B182)</f>
        <v>5.9604644775390625E-8</v>
      </c>
      <c r="R182" s="409">
        <f>'main page'!G186+'main page'!$K$29*M181</f>
        <v>0</v>
      </c>
      <c r="S182" s="409">
        <f t="shared" ca="1" si="25"/>
        <v>5.9604644775390625E-8</v>
      </c>
      <c r="T182" s="79">
        <f ca="1">IF(controls!$B$10=1,T181,IF(SUM(controls!$B$44:$B$46)=2,U182-'main page'!$K$29*'normal case'!L182-(1-'main page'!$K$29)*'main page'!$K$32,U182-'main page'!$K$29*'normal case'!L182-(1-'main page'!$K$29)*controls!$B$9))</f>
        <v>3.4999999701976776</v>
      </c>
      <c r="U182" s="164">
        <f ca="1">IF(controls!$B$45=1,IF(controls!$B$46=1,'main page'!$K$24+'main page'!$K$11+'main page'!$U$8,'main page'!$K$24+'main page'!$K$11+'main page'!$K$32),IF(controls!$B$44=1,IF(V182&lt;0,0,V182),IF(V182+'main page'!$K$11&lt;0,0,V182+'main page'!$K$11)))</f>
        <v>5.4999998509883881</v>
      </c>
      <c r="V182" s="63">
        <f ca="1">IF(controls!$B$10=1,'normal case'!T182+'normal case'!L182,'normal case'!W182)</f>
        <v>5.4999998509883881</v>
      </c>
      <c r="W182" s="61">
        <f t="shared" ca="1" si="21"/>
        <v>5.4999998509883881</v>
      </c>
      <c r="X182" s="166">
        <f ca="1">IF(controls!$B$44=0,Y182+'main page'!$K$29*L182+(1-'main page'!$K$29)*controls!$B$9+(('main page'!$K$25*'main page'!$U$13*'main page'!$K$29)/('main page'!$K$27*(1+('main page'!$K$25^2)*'main page'!$U$13)))*(L182-controls!$B$9),Y182+'main page'!$K$29*L182+(1-'main page'!$K$29)*controls!$B$9+(('main page'!$K$25*'main page'!$U$13*'normal case'!$AV$3)/'normal case'!$AV$4)*('normal case'!L182-controls!$B$9))</f>
        <v>5.4999998509883881</v>
      </c>
      <c r="Y182" s="81">
        <f ca="1">IF(controls!$B$44=1,'main page'!$K$24+'main page'!$K$11,IF(controls!$B$33=1,((I183-D182*AD183-B183+B182*AC183)/'main page'!$K$27)-'main page'!$K$11,((H183-D182*AD183-B183+B182*AC183)/'main page'!$K$27)-'main page'!$K$11))</f>
        <v>3.5</v>
      </c>
      <c r="AA182" s="58">
        <f>IF(controls!$B$6=1,$AS$3*(1+('main page'!$K$35/100))^AB182-$AS$3*(1+('main page'!$K$35/100))^AB181,$AS$3*(1+('main page'!$G$8/100))*(1+('main page'!$K$35/100))^AB182-$AS$3*(1+('main page'!$G$8/100))*(1+('main page'!$K$35/100))^AB181)</f>
        <v>0</v>
      </c>
      <c r="AB182" s="60">
        <v>175</v>
      </c>
      <c r="AC182" s="125">
        <f ca="1">IF(controls!$B$4=1,IF(controls!$H181=1,controls!$B$34*AC181+RAND()*('main page'!$K$16/100)-RAND()*('main page'!$K$16/100),0),0)</f>
        <v>0</v>
      </c>
      <c r="AD182" s="36">
        <f ca="1">IF(controls!$B$4=1,IF(controls!$I181=1,controls!$B$34*AD181+RAND()*('main page'!$K$16/100)-RAND()*('main page'!$K$16/100),0),0)</f>
        <v>0</v>
      </c>
      <c r="AE182" s="44">
        <f ca="1">IF(controls!$B$33=1,D182-($I$3-'main page'!$K$27*2)*(1+('main page'!$K$35/100))^A181,D182-$AS$4)</f>
        <v>1.0000000596046448</v>
      </c>
      <c r="AF182" s="44">
        <f ca="1">ABS(L182-(controls!$B$9/100)*100)</f>
        <v>1.1920928955078125E-7</v>
      </c>
      <c r="AH182" s="44">
        <f ca="1">IF(controls!$B$33=1,(B183-B182*AC183-I183+D182*AD183+'main page'!$K$27*('main page'!$K$24+'main page'!$K$11))/'main page'!$K$31,(B183-B182*AC183+D182*AD183-H183+'main page'!$K$27*('main page'!$K$24+'main page'!$K$11))/'main page'!$K$31)</f>
        <v>1</v>
      </c>
      <c r="AI182" s="44">
        <f ca="1">IF(controls!$B$45=1,LOG(AM182,1.01)+LOG(AL182,1.01)-LOG(AK182,1.01),-((T182-('main page'!$K$24+'main page'!$K$11))/(1-'normal case'!$AV$3))+'normal case'!AH182)</f>
        <v>2.0000000596046448</v>
      </c>
      <c r="AJ182" s="80">
        <f t="shared" ca="1" si="22"/>
        <v>1.0506250015463039</v>
      </c>
      <c r="AK182" s="44">
        <f t="shared" ca="1" si="23"/>
        <v>33.953699835500785</v>
      </c>
      <c r="AL182" s="44">
        <f>AL181*(1+'main page'!$K$32/100)</f>
        <v>1</v>
      </c>
      <c r="AM182" s="44">
        <f ca="1">IF(ABS(IF(controls!$B$45=1,$AS$13,AK182*AJ182/AL182)-AM181)&lt;0.00001,AM181,IF(controls!$B$45=1,$AS$13,AK182*AJ182/AL182))</f>
        <v>35.67260594217575</v>
      </c>
      <c r="AN182" s="44">
        <f>IF(controls!$B$46=0,0,IF(controls!$B$33=2,B183-B182*AC183-('normal case'!H183-D182*AD183-'main page'!$K$27*'normal case'!T182+'main page'!$K$31*'normal case'!AI182)-(('main page'!$K$25*'main page'!$U$13*'main page'!$K$29)/(1+('main page'!$K$25^2)*'main page'!$U$13))*('normal case'!L182-'main page'!$U$8),B183-B182*AC183-('normal case'!I183-D182*AD183-'main page'!$K$27*'normal case'!T182+'main page'!$K$31*'normal case'!AI182)-(('main page'!$K$25*'main page'!$U$13*'main page'!$K$29)/(1+('main page'!$K$25^2)*'main page'!$U$13))*('normal case'!L182-'main page'!$U$8)))</f>
        <v>0</v>
      </c>
      <c r="AU182" s="36"/>
      <c r="AV182" s="36"/>
    </row>
    <row r="183" spans="1:48">
      <c r="A183" s="43">
        <v>181</v>
      </c>
      <c r="B183" s="62">
        <f ca="1">IF(controls!$B$33=1,B182*(1+AC183)+AA183,B182*(1+AC183))</f>
        <v>101</v>
      </c>
      <c r="C183" s="67">
        <f t="shared" ca="1" si="24"/>
        <v>-1.5107707374006907E-7</v>
      </c>
      <c r="D183" s="64">
        <f t="shared" ca="1" si="20"/>
        <v>101.00000005960464</v>
      </c>
      <c r="E183" s="64">
        <f ca="1">AN182+IF(controls!$B$33=1,G183,F183)</f>
        <v>101.00000005960464</v>
      </c>
      <c r="F183" s="78">
        <f ca="1">IF(controls!$B$44=0,H183-'main page'!$K$27*T182,H183-'main page'!$K$27*T182+'main page'!$K$31*AI182)</f>
        <v>101.00000005960464</v>
      </c>
      <c r="G183" s="62">
        <f ca="1">IF(controls!$B$44=0,I183-'main page'!$K$27*T182,I183-'main page'!$K$27*T182+'main page'!$K$31*'normal case'!AI182)</f>
        <v>101.00000005960464</v>
      </c>
      <c r="H183" s="62">
        <f t="shared" ca="1" si="26"/>
        <v>108</v>
      </c>
      <c r="I183" s="62">
        <f t="shared" ca="1" si="27"/>
        <v>108</v>
      </c>
      <c r="L183" s="62">
        <f ca="1">IF(ABS('main page'!$K$29*L182+(1-'main page'!$K$29)*(controls!$B$9/100)*100+'main page'!$K$25*(D183-B183)-L182)&lt;0.0000001,L182,'main page'!$K$29*L182+(1-'main page'!$K$29)*(controls!$B$9/100)*100+'main page'!$K$25*(D183-B183))</f>
        <v>1.9999998807907104</v>
      </c>
      <c r="Q183" s="409">
        <f ca="1">(1-'main page'!$K$29)*($AS$11/100)*100+'main page'!$K$25*(D183-B183)</f>
        <v>5.9604644775390625E-8</v>
      </c>
      <c r="R183" s="409">
        <f>'main page'!G187+'main page'!$K$29*M182</f>
        <v>0</v>
      </c>
      <c r="S183" s="409">
        <f t="shared" ca="1" si="25"/>
        <v>5.9604644775390625E-8</v>
      </c>
      <c r="T183" s="79">
        <f ca="1">IF(controls!$B$10=1,T182,IF(SUM(controls!$B$44:$B$46)=2,U183-'main page'!$K$29*'normal case'!L183-(1-'main page'!$K$29)*'main page'!$K$32,U183-'main page'!$K$29*'normal case'!L183-(1-'main page'!$K$29)*controls!$B$9))</f>
        <v>3.4999999701976776</v>
      </c>
      <c r="U183" s="164">
        <f ca="1">IF(controls!$B$45=1,IF(controls!$B$46=1,'main page'!$K$24+'main page'!$K$11+'main page'!$U$8,'main page'!$K$24+'main page'!$K$11+'main page'!$K$32),IF(controls!$B$44=1,IF(V183&lt;0,0,V183),IF(V183+'main page'!$K$11&lt;0,0,V183+'main page'!$K$11)))</f>
        <v>5.4999998509883881</v>
      </c>
      <c r="V183" s="63">
        <f ca="1">IF(controls!$B$10=1,'normal case'!T183+'normal case'!L183,'normal case'!W183)</f>
        <v>5.4999998509883881</v>
      </c>
      <c r="W183" s="61">
        <f t="shared" ca="1" si="21"/>
        <v>5.4999998509883881</v>
      </c>
      <c r="X183" s="166">
        <f ca="1">IF(controls!$B$44=0,Y183+'main page'!$K$29*L183+(1-'main page'!$K$29)*controls!$B$9+(('main page'!$K$25*'main page'!$U$13*'main page'!$K$29)/('main page'!$K$27*(1+('main page'!$K$25^2)*'main page'!$U$13)))*(L183-controls!$B$9),Y183+'main page'!$K$29*L183+(1-'main page'!$K$29)*controls!$B$9+(('main page'!$K$25*'main page'!$U$13*'normal case'!$AV$3)/'normal case'!$AV$4)*('normal case'!L183-controls!$B$9))</f>
        <v>5.4999998509883881</v>
      </c>
      <c r="Y183" s="81">
        <f ca="1">IF(controls!$B$44=1,'main page'!$K$24+'main page'!$K$11,IF(controls!$B$33=1,((I184-D183*AD184-B184+B183*AC184)/'main page'!$K$27)-'main page'!$K$11,((H184-D183*AD184-B184+B183*AC184)/'main page'!$K$27)-'main page'!$K$11))</f>
        <v>3.5</v>
      </c>
      <c r="AA183" s="58">
        <f>IF(controls!$B$6=1,$AS$3*(1+('main page'!$K$35/100))^AB183-$AS$3*(1+('main page'!$K$35/100))^AB182,$AS$3*(1+('main page'!$G$8/100))*(1+('main page'!$K$35/100))^AB183-$AS$3*(1+('main page'!$G$8/100))*(1+('main page'!$K$35/100))^AB182)</f>
        <v>0</v>
      </c>
      <c r="AB183" s="60">
        <v>176</v>
      </c>
      <c r="AC183" s="125">
        <v>0</v>
      </c>
      <c r="AD183" s="36">
        <v>0</v>
      </c>
      <c r="AE183" s="44">
        <f ca="1">IF(controls!$B$33=1,D183-($I$3-'main page'!$K$27*2)*(1+('main page'!$K$35/100))^A182,D183-$AS$4)</f>
        <v>1.0000000596046448</v>
      </c>
      <c r="AF183" s="44">
        <f ca="1">ABS(L183-(controls!$B$9/100)*100)</f>
        <v>1.1920928955078125E-7</v>
      </c>
      <c r="AH183" s="44">
        <f ca="1">IF(controls!$B$33=1,(B184-B183*AC184-I184+D183*AD184+'main page'!$K$27*('main page'!$K$24+'main page'!$K$11))/'main page'!$K$31,(B184-B183*AC184+D183*AD184-H184+'main page'!$K$27*('main page'!$K$24+'main page'!$K$11))/'main page'!$K$31)</f>
        <v>1</v>
      </c>
      <c r="AI183" s="44">
        <f ca="1">IF(controls!$B$45=1,LOG(AM183,1.01)+LOG(AL183,1.01)-LOG(AK183,1.01),-((T183-('main page'!$K$24+'main page'!$K$11))/(1-'normal case'!$AV$3))+'normal case'!AH183)</f>
        <v>2.0000000596046448</v>
      </c>
      <c r="AJ183" s="80">
        <f t="shared" ca="1" si="22"/>
        <v>1.0506250015463039</v>
      </c>
      <c r="AK183" s="44">
        <f t="shared" ca="1" si="23"/>
        <v>34.632773791734841</v>
      </c>
      <c r="AL183" s="44">
        <f>AL182*(1+'main page'!$K$32/100)</f>
        <v>1</v>
      </c>
      <c r="AM183" s="44">
        <f ca="1">IF(ABS(IF(controls!$B$45=1,$AS$13,AK183*AJ183/AL183)-AM182)&lt;0.00001,AM182,IF(controls!$B$45=1,$AS$13,AK183*AJ183/AL183))</f>
        <v>36.386058018494211</v>
      </c>
      <c r="AN183" s="44">
        <f>IF(controls!$B$46=0,0,IF(controls!$B$33=2,B184-B183*AC184-('normal case'!H184-D183*AD184-'main page'!$K$27*'normal case'!T183+'main page'!$K$31*'normal case'!AI183)-(('main page'!$K$25*'main page'!$U$13*'main page'!$K$29)/(1+('main page'!$K$25^2)*'main page'!$U$13))*('normal case'!L183-'main page'!$U$8),B184-B183*AC184-('normal case'!I184-D183*AD184-'main page'!$K$27*'normal case'!T183+'main page'!$K$31*'normal case'!AI183)-(('main page'!$K$25*'main page'!$U$13*'main page'!$K$29)/(1+('main page'!$K$25^2)*'main page'!$U$13))*('normal case'!L183-'main page'!$U$8)))</f>
        <v>0</v>
      </c>
      <c r="AU183" s="36"/>
      <c r="AV183" s="36"/>
    </row>
    <row r="184" spans="1:48">
      <c r="A184" s="43">
        <v>182</v>
      </c>
      <c r="B184" s="62">
        <f ca="1">IF(controls!$B$33=1,B183*(1+AC184)+AA184,B183*(1+AC184))</f>
        <v>101</v>
      </c>
      <c r="C184" s="67">
        <f t="shared" ca="1" si="24"/>
        <v>-1.5107707374006907E-7</v>
      </c>
      <c r="D184" s="64">
        <f t="shared" ca="1" si="20"/>
        <v>101.00000005960464</v>
      </c>
      <c r="E184" s="64">
        <f ca="1">AN183+IF(controls!$B$33=1,G184,F184)</f>
        <v>101.00000005960464</v>
      </c>
      <c r="F184" s="78">
        <f ca="1">IF(controls!$B$44=0,H184-'main page'!$K$27*T183,H184-'main page'!$K$27*T183+'main page'!$K$31*AI183)</f>
        <v>101.00000005960464</v>
      </c>
      <c r="G184" s="62">
        <f ca="1">IF(controls!$B$44=0,I184-'main page'!$K$27*T183,I184-'main page'!$K$27*T183+'main page'!$K$31*'normal case'!AI183)</f>
        <v>101.00000005960464</v>
      </c>
      <c r="H184" s="62">
        <f t="shared" ca="1" si="26"/>
        <v>108</v>
      </c>
      <c r="I184" s="62">
        <f t="shared" ca="1" si="27"/>
        <v>108</v>
      </c>
      <c r="L184" s="62">
        <f ca="1">IF(ABS('main page'!$K$29*L183+(1-'main page'!$K$29)*(controls!$B$9/100)*100+'main page'!$K$25*(D184-B184)-L183)&lt;0.0000001,L183,'main page'!$K$29*L183+(1-'main page'!$K$29)*(controls!$B$9/100)*100+'main page'!$K$25*(D184-B184))</f>
        <v>1.9999998807907104</v>
      </c>
      <c r="Q184" s="409">
        <f ca="1">(1-'main page'!$K$29)*($AS$11/100)*100+'main page'!$K$25*(D184-B184)</f>
        <v>5.9604644775390625E-8</v>
      </c>
      <c r="R184" s="409">
        <f>'main page'!G188+'main page'!$K$29*M183</f>
        <v>0</v>
      </c>
      <c r="S184" s="409">
        <f t="shared" ca="1" si="25"/>
        <v>5.9604644775390625E-8</v>
      </c>
      <c r="T184" s="79">
        <f ca="1">IF(controls!$B$10=1,T183,IF(SUM(controls!$B$44:$B$46)=2,U184-'main page'!$K$29*'normal case'!L184-(1-'main page'!$K$29)*'main page'!$K$32,U184-'main page'!$K$29*'normal case'!L184-(1-'main page'!$K$29)*controls!$B$9))</f>
        <v>3.4999999701976776</v>
      </c>
      <c r="U184" s="164">
        <f ca="1">IF(controls!$B$45=1,IF(controls!$B$46=1,'main page'!$K$24+'main page'!$K$11+'main page'!$U$8,'main page'!$K$24+'main page'!$K$11+'main page'!$K$32),IF(controls!$B$44=1,IF(V184&lt;0,0,V184),IF(V184+'main page'!$K$11&lt;0,0,V184+'main page'!$K$11)))</f>
        <v>5.4999998509883881</v>
      </c>
      <c r="V184" s="63">
        <f ca="1">IF(controls!$B$10=1,'normal case'!T184+'normal case'!L184,'normal case'!W184)</f>
        <v>5.4999998509883881</v>
      </c>
      <c r="W184" s="61">
        <f t="shared" ca="1" si="21"/>
        <v>5.4999998509883881</v>
      </c>
      <c r="X184" s="166">
        <f ca="1">IF(controls!$B$44=0,Y184+'main page'!$K$29*L184+(1-'main page'!$K$29)*controls!$B$9+(('main page'!$K$25*'main page'!$U$13*'main page'!$K$29)/('main page'!$K$27*(1+('main page'!$K$25^2)*'main page'!$U$13)))*(L184-controls!$B$9),Y184+'main page'!$K$29*L184+(1-'main page'!$K$29)*controls!$B$9+(('main page'!$K$25*'main page'!$U$13*'normal case'!$AV$3)/'normal case'!$AV$4)*('normal case'!L184-controls!$B$9))</f>
        <v>5.4999998509883881</v>
      </c>
      <c r="Y184" s="81">
        <f ca="1">IF(controls!$B$44=1,'main page'!$K$24+'main page'!$K$11,IF(controls!$B$33=1,((I185-D184*AD185-B185+B184*AC185)/'main page'!$K$27)-'main page'!$K$11,((H185-D184*AD185-B185+B184*AC185)/'main page'!$K$27)-'main page'!$K$11))</f>
        <v>3.5</v>
      </c>
      <c r="AA184" s="58">
        <f>IF(controls!$B$6=1,$AS$3*(1+('main page'!$K$35/100))^AB184-$AS$3*(1+('main page'!$K$35/100))^AB183,$AS$3*(1+('main page'!$G$8/100))*(1+('main page'!$K$35/100))^AB184-$AS$3*(1+('main page'!$G$8/100))*(1+('main page'!$K$35/100))^AB183)</f>
        <v>0</v>
      </c>
      <c r="AB184" s="60">
        <v>177</v>
      </c>
      <c r="AC184" s="125">
        <v>0</v>
      </c>
      <c r="AD184" s="36">
        <v>0</v>
      </c>
      <c r="AE184" s="44">
        <f ca="1">IF(controls!$B$33=1,D184-($I$3-'main page'!$K$27*2)*(1+('main page'!$K$35/100))^A183,D184-$AS$4)</f>
        <v>1.0000000596046448</v>
      </c>
      <c r="AF184" s="44">
        <f ca="1">ABS(L184-(controls!$B$9/100)*100)</f>
        <v>1.1920928955078125E-7</v>
      </c>
      <c r="AH184" s="44">
        <f ca="1">IF(controls!$B$33=1,(B185-B184*AC185-I185+D184*AD185+'main page'!$K$27*('main page'!$K$24+'main page'!$K$11))/'main page'!$K$31,(B185-B184*AC185+D184*AD185-H185+'main page'!$K$27*('main page'!$K$24+'main page'!$K$11))/'main page'!$K$31)</f>
        <v>1</v>
      </c>
      <c r="AI184" s="44">
        <f ca="1">IF(controls!$B$45=1,LOG(AM184,1.01)+LOG(AL184,1.01)-LOG(AK184,1.01),-((T184-('main page'!$K$24+'main page'!$K$11))/(1-'normal case'!$AV$3))+'normal case'!AH184)</f>
        <v>2.0000000596046448</v>
      </c>
      <c r="AJ184" s="80">
        <f t="shared" ca="1" si="22"/>
        <v>1.0506250015463039</v>
      </c>
      <c r="AK184" s="44">
        <f t="shared" ca="1" si="23"/>
        <v>35.325429226284058</v>
      </c>
      <c r="AL184" s="44">
        <f>AL183*(1+'main page'!$K$32/100)</f>
        <v>1</v>
      </c>
      <c r="AM184" s="44">
        <f ca="1">IF(ABS(IF(controls!$B$45=1,$AS$13,AK184*AJ184/AL184)-AM183)&lt;0.00001,AM183,IF(controls!$B$45=1,$AS$13,AK184*AJ184/AL184))</f>
        <v>37.113779135488535</v>
      </c>
      <c r="AN184" s="44">
        <f>IF(controls!$B$46=0,0,IF(controls!$B$33=2,B185-B184*AC185-('normal case'!H185-D184*AD185-'main page'!$K$27*'normal case'!T184+'main page'!$K$31*'normal case'!AI184)-(('main page'!$K$25*'main page'!$U$13*'main page'!$K$29)/(1+('main page'!$K$25^2)*'main page'!$U$13))*('normal case'!L184-'main page'!$U$8),B185-B184*AC185-('normal case'!I185-D184*AD185-'main page'!$K$27*'normal case'!T184+'main page'!$K$31*'normal case'!AI184)-(('main page'!$K$25*'main page'!$U$13*'main page'!$K$29)/(1+('main page'!$K$25^2)*'main page'!$U$13))*('normal case'!L184-'main page'!$U$8)))</f>
        <v>0</v>
      </c>
      <c r="AU184" s="36"/>
      <c r="AV184" s="36"/>
    </row>
    <row r="185" spans="1:48">
      <c r="A185" s="43">
        <v>183</v>
      </c>
      <c r="B185" s="62">
        <f ca="1">IF(controls!$B$33=1,B184*(1+AC185)+AA185,B184*(1+AC185))</f>
        <v>101</v>
      </c>
      <c r="C185" s="67">
        <f t="shared" ca="1" si="24"/>
        <v>-1.5107707374006907E-7</v>
      </c>
      <c r="D185" s="64">
        <f t="shared" ca="1" si="20"/>
        <v>101.00000005960464</v>
      </c>
      <c r="E185" s="64">
        <f ca="1">AN184+IF(controls!$B$33=1,G185,F185)</f>
        <v>101.00000005960464</v>
      </c>
      <c r="F185" s="78">
        <f ca="1">IF(controls!$B$44=0,H185-'main page'!$K$27*T184,H185-'main page'!$K$27*T184+'main page'!$K$31*AI184)</f>
        <v>101.00000005960464</v>
      </c>
      <c r="G185" s="62">
        <f ca="1">IF(controls!$B$44=0,I185-'main page'!$K$27*T184,I185-'main page'!$K$27*T184+'main page'!$K$31*'normal case'!AI184)</f>
        <v>101.00000005960464</v>
      </c>
      <c r="H185" s="62">
        <f t="shared" ca="1" si="26"/>
        <v>108</v>
      </c>
      <c r="I185" s="62">
        <f t="shared" ca="1" si="27"/>
        <v>108</v>
      </c>
      <c r="L185" s="62">
        <f ca="1">IF(ABS('main page'!$K$29*L184+(1-'main page'!$K$29)*(controls!$B$9/100)*100+'main page'!$K$25*(D185-B185)-L184)&lt;0.0000001,L184,'main page'!$K$29*L184+(1-'main page'!$K$29)*(controls!$B$9/100)*100+'main page'!$K$25*(D185-B185))</f>
        <v>1.9999998807907104</v>
      </c>
      <c r="Q185" s="409">
        <f ca="1">(1-'main page'!$K$29)*($AS$11/100)*100+'main page'!$K$25*(D185-B185)</f>
        <v>5.9604644775390625E-8</v>
      </c>
      <c r="R185" s="409">
        <f>'main page'!G189+'main page'!$K$29*M184</f>
        <v>0</v>
      </c>
      <c r="S185" s="409">
        <f t="shared" ca="1" si="25"/>
        <v>5.9604644775390625E-8</v>
      </c>
      <c r="T185" s="79">
        <f ca="1">IF(controls!$B$10=1,T184,IF(SUM(controls!$B$44:$B$46)=2,U185-'main page'!$K$29*'normal case'!L185-(1-'main page'!$K$29)*'main page'!$K$32,U185-'main page'!$K$29*'normal case'!L185-(1-'main page'!$K$29)*controls!$B$9))</f>
        <v>3.4999999701976776</v>
      </c>
      <c r="U185" s="164">
        <f ca="1">IF(controls!$B$45=1,IF(controls!$B$46=1,'main page'!$K$24+'main page'!$K$11+'main page'!$U$8,'main page'!$K$24+'main page'!$K$11+'main page'!$K$32),IF(controls!$B$44=1,IF(V185&lt;0,0,V185),IF(V185+'main page'!$K$11&lt;0,0,V185+'main page'!$K$11)))</f>
        <v>5.4999998509883881</v>
      </c>
      <c r="V185" s="63">
        <f ca="1">IF(controls!$B$10=1,'normal case'!T185+'normal case'!L185,'normal case'!W185)</f>
        <v>5.4999998509883881</v>
      </c>
      <c r="W185" s="61">
        <f t="shared" ca="1" si="21"/>
        <v>5.4999998509883881</v>
      </c>
      <c r="X185" s="166">
        <f ca="1">IF(controls!$B$44=0,Y185+'main page'!$K$29*L185+(1-'main page'!$K$29)*controls!$B$9+(('main page'!$K$25*'main page'!$U$13*'main page'!$K$29)/('main page'!$K$27*(1+('main page'!$K$25^2)*'main page'!$U$13)))*(L185-controls!$B$9),Y185+'main page'!$K$29*L185+(1-'main page'!$K$29)*controls!$B$9+(('main page'!$K$25*'main page'!$U$13*'normal case'!$AV$3)/'normal case'!$AV$4)*('normal case'!L185-controls!$B$9))</f>
        <v>5.4999998509883881</v>
      </c>
      <c r="Y185" s="81">
        <f ca="1">IF(controls!$B$44=1,'main page'!$K$24+'main page'!$K$11,IF(controls!$B$33=1,((I186-D185*AD186-B186+B185*AC186)/'main page'!$K$27)-'main page'!$K$11,((H186-D185*AD186-B186+B185*AC186)/'main page'!$K$27)-'main page'!$K$11))</f>
        <v>3.5</v>
      </c>
      <c r="AA185" s="58">
        <f>IF(controls!$B$6=1,$AS$3*(1+('main page'!$K$35/100))^AB185-$AS$3*(1+('main page'!$K$35/100))^AB184,$AS$3*(1+('main page'!$G$8/100))*(1+('main page'!$K$35/100))^AB185-$AS$3*(1+('main page'!$G$8/100))*(1+('main page'!$K$35/100))^AB184)</f>
        <v>0</v>
      </c>
      <c r="AB185" s="60">
        <v>178</v>
      </c>
      <c r="AC185" s="125">
        <f ca="1">IF(controls!$B$4=1,IF(controls!$H184=1,controls!$B$34*AC184+RAND()*('main page'!$K$16/100)-RAND()*('main page'!$K$16/100),0),0)</f>
        <v>0</v>
      </c>
      <c r="AD185" s="36">
        <f ca="1">IF(controls!$B$4=1,IF(controls!$I184=1,controls!$B$34*AD184+RAND()*('main page'!$K$16/100)-RAND()*('main page'!$K$16/100),0),0)</f>
        <v>0</v>
      </c>
      <c r="AE185" s="44">
        <f ca="1">IF(controls!$B$33=1,D185-($I$3-'main page'!$K$27*2)*(1+('main page'!$K$35/100))^A184,D185-$AS$4)</f>
        <v>1.0000000596046448</v>
      </c>
      <c r="AF185" s="44">
        <f ca="1">ABS(L185-(controls!$B$9/100)*100)</f>
        <v>1.1920928955078125E-7</v>
      </c>
      <c r="AH185" s="44">
        <f ca="1">IF(controls!$B$33=1,(B186-B185*AC186-I186+D185*AD186+'main page'!$K$27*('main page'!$K$24+'main page'!$K$11))/'main page'!$K$31,(B186-B185*AC186+D185*AD186-H186+'main page'!$K$27*('main page'!$K$24+'main page'!$K$11))/'main page'!$K$31)</f>
        <v>1</v>
      </c>
      <c r="AI185" s="44">
        <f ca="1">IF(controls!$B$45=1,LOG(AM185,1.01)+LOG(AL185,1.01)-LOG(AK185,1.01),-((T185-('main page'!$K$24+'main page'!$K$11))/(1-'normal case'!$AV$3))+'normal case'!AH185)</f>
        <v>2.0000000596046448</v>
      </c>
      <c r="AJ185" s="80">
        <f t="shared" ca="1" si="22"/>
        <v>1.0506250015463039</v>
      </c>
      <c r="AK185" s="44">
        <f t="shared" ca="1" si="23"/>
        <v>36.031937768698548</v>
      </c>
      <c r="AL185" s="44">
        <f>AL184*(1+'main page'!$K$32/100)</f>
        <v>1</v>
      </c>
      <c r="AM185" s="44">
        <f ca="1">IF(ABS(IF(controls!$B$45=1,$AS$13,AK185*AJ185/AL185)-AM184)&lt;0.00001,AM184,IF(controls!$B$45=1,$AS$13,AK185*AJ185/AL185))</f>
        <v>37.856054673955235</v>
      </c>
      <c r="AN185" s="44">
        <f>IF(controls!$B$46=0,0,IF(controls!$B$33=2,B186-B185*AC186-('normal case'!H186-D185*AD186-'main page'!$K$27*'normal case'!T185+'main page'!$K$31*'normal case'!AI185)-(('main page'!$K$25*'main page'!$U$13*'main page'!$K$29)/(1+('main page'!$K$25^2)*'main page'!$U$13))*('normal case'!L185-'main page'!$U$8),B186-B185*AC186-('normal case'!I186-D185*AD186-'main page'!$K$27*'normal case'!T185+'main page'!$K$31*'normal case'!AI185)-(('main page'!$K$25*'main page'!$U$13*'main page'!$K$29)/(1+('main page'!$K$25^2)*'main page'!$U$13))*('normal case'!L185-'main page'!$U$8)))</f>
        <v>0</v>
      </c>
      <c r="AU185" s="36"/>
      <c r="AV185" s="36"/>
    </row>
    <row r="186" spans="1:48">
      <c r="A186" s="43">
        <v>184</v>
      </c>
      <c r="B186" s="62">
        <f ca="1">IF(controls!$B$33=1,B185*(1+AC186)+AA186,B185*(1+AC186))</f>
        <v>101</v>
      </c>
      <c r="C186" s="67">
        <f t="shared" ca="1" si="24"/>
        <v>-1.5107707374006907E-7</v>
      </c>
      <c r="D186" s="64">
        <f t="shared" ca="1" si="20"/>
        <v>101.00000005960464</v>
      </c>
      <c r="E186" s="64">
        <f ca="1">AN185+IF(controls!$B$33=1,G186,F186)</f>
        <v>101.00000005960464</v>
      </c>
      <c r="F186" s="78">
        <f ca="1">IF(controls!$B$44=0,H186-'main page'!$K$27*T185,H186-'main page'!$K$27*T185+'main page'!$K$31*AI185)</f>
        <v>101.00000005960464</v>
      </c>
      <c r="G186" s="62">
        <f ca="1">IF(controls!$B$44=0,I186-'main page'!$K$27*T185,I186-'main page'!$K$27*T185+'main page'!$K$31*'normal case'!AI185)</f>
        <v>101.00000005960464</v>
      </c>
      <c r="H186" s="62">
        <f t="shared" ca="1" si="26"/>
        <v>108</v>
      </c>
      <c r="I186" s="62">
        <f t="shared" ca="1" si="27"/>
        <v>108</v>
      </c>
      <c r="L186" s="62">
        <f ca="1">IF(ABS('main page'!$K$29*L185+(1-'main page'!$K$29)*(controls!$B$9/100)*100+'main page'!$K$25*(D186-B186)-L185)&lt;0.0000001,L185,'main page'!$K$29*L185+(1-'main page'!$K$29)*(controls!$B$9/100)*100+'main page'!$K$25*(D186-B186))</f>
        <v>1.9999998807907104</v>
      </c>
      <c r="Q186" s="409">
        <f ca="1">(1-'main page'!$K$29)*($AS$11/100)*100+'main page'!$K$25*(D186-B186)</f>
        <v>5.9604644775390625E-8</v>
      </c>
      <c r="R186" s="409">
        <f>'main page'!G190+'main page'!$K$29*M185</f>
        <v>0</v>
      </c>
      <c r="S186" s="409">
        <f t="shared" ca="1" si="25"/>
        <v>5.9604644775390625E-8</v>
      </c>
      <c r="T186" s="79">
        <f ca="1">IF(controls!$B$10=1,T185,IF(SUM(controls!$B$44:$B$46)=2,U186-'main page'!$K$29*'normal case'!L186-(1-'main page'!$K$29)*'main page'!$K$32,U186-'main page'!$K$29*'normal case'!L186-(1-'main page'!$K$29)*controls!$B$9))</f>
        <v>3.4999999701976776</v>
      </c>
      <c r="U186" s="164">
        <f ca="1">IF(controls!$B$45=1,IF(controls!$B$46=1,'main page'!$K$24+'main page'!$K$11+'main page'!$U$8,'main page'!$K$24+'main page'!$K$11+'main page'!$K$32),IF(controls!$B$44=1,IF(V186&lt;0,0,V186),IF(V186+'main page'!$K$11&lt;0,0,V186+'main page'!$K$11)))</f>
        <v>5.4999998509883881</v>
      </c>
      <c r="V186" s="63">
        <f ca="1">IF(controls!$B$10=1,'normal case'!T186+'normal case'!L186,'normal case'!W186)</f>
        <v>5.4999998509883881</v>
      </c>
      <c r="W186" s="61">
        <f t="shared" ca="1" si="21"/>
        <v>5.4999998509883881</v>
      </c>
      <c r="X186" s="166">
        <f ca="1">IF(controls!$B$44=0,Y186+'main page'!$K$29*L186+(1-'main page'!$K$29)*controls!$B$9+(('main page'!$K$25*'main page'!$U$13*'main page'!$K$29)/('main page'!$K$27*(1+('main page'!$K$25^2)*'main page'!$U$13)))*(L186-controls!$B$9),Y186+'main page'!$K$29*L186+(1-'main page'!$K$29)*controls!$B$9+(('main page'!$K$25*'main page'!$U$13*'normal case'!$AV$3)/'normal case'!$AV$4)*('normal case'!L186-controls!$B$9))</f>
        <v>5.4999998509883881</v>
      </c>
      <c r="Y186" s="81">
        <f ca="1">IF(controls!$B$44=1,'main page'!$K$24+'main page'!$K$11,IF(controls!$B$33=1,((I187-D186*AD187-B187+B186*AC187)/'main page'!$K$27)-'main page'!$K$11,((H187-D186*AD187-B187+B186*AC187)/'main page'!$K$27)-'main page'!$K$11))</f>
        <v>3.5</v>
      </c>
      <c r="AA186" s="58">
        <f>IF(controls!$B$6=1,$AS$3*(1+('main page'!$K$35/100))^AB186-$AS$3*(1+('main page'!$K$35/100))^AB185,$AS$3*(1+('main page'!$G$8/100))*(1+('main page'!$K$35/100))^AB186-$AS$3*(1+('main page'!$G$8/100))*(1+('main page'!$K$35/100))^AB185)</f>
        <v>0</v>
      </c>
      <c r="AB186" s="60">
        <v>179</v>
      </c>
      <c r="AC186" s="125">
        <v>0</v>
      </c>
      <c r="AD186" s="36">
        <v>0</v>
      </c>
      <c r="AE186" s="44">
        <f ca="1">IF(controls!$B$33=1,D186-($I$3-'main page'!$K$27*2)*(1+('main page'!$K$35/100))^A185,D186-$AS$4)</f>
        <v>1.0000000596046448</v>
      </c>
      <c r="AF186" s="44">
        <f ca="1">ABS(L186-(controls!$B$9/100)*100)</f>
        <v>1.1920928955078125E-7</v>
      </c>
      <c r="AH186" s="44">
        <f ca="1">IF(controls!$B$33=1,(B187-B186*AC187-I187+D186*AD187+'main page'!$K$27*('main page'!$K$24+'main page'!$K$11))/'main page'!$K$31,(B187-B186*AC187+D186*AD187-H187+'main page'!$K$27*('main page'!$K$24+'main page'!$K$11))/'main page'!$K$31)</f>
        <v>1</v>
      </c>
      <c r="AI186" s="44">
        <f ca="1">IF(controls!$B$45=1,LOG(AM186,1.01)+LOG(AL186,1.01)-LOG(AK186,1.01),-((T186-('main page'!$K$24+'main page'!$K$11))/(1-'normal case'!$AV$3))+'normal case'!AH186)</f>
        <v>2.0000000596046448</v>
      </c>
      <c r="AJ186" s="80">
        <f t="shared" ca="1" si="22"/>
        <v>1.0506250015463039</v>
      </c>
      <c r="AK186" s="44">
        <f t="shared" ca="1" si="23"/>
        <v>36.7525764811191</v>
      </c>
      <c r="AL186" s="44">
        <f>AL185*(1+'main page'!$K$32/100)</f>
        <v>1</v>
      </c>
      <c r="AM186" s="44">
        <f ca="1">IF(ABS(IF(controls!$B$45=1,$AS$13,AK186*AJ186/AL186)-AM185)&lt;0.00001,AM185,IF(controls!$B$45=1,$AS$13,AK186*AJ186/AL186))</f>
        <v>38.613175722306408</v>
      </c>
      <c r="AN186" s="44">
        <f>IF(controls!$B$46=0,0,IF(controls!$B$33=2,B187-B186*AC187-('normal case'!H187-D186*AD187-'main page'!$K$27*'normal case'!T186+'main page'!$K$31*'normal case'!AI186)-(('main page'!$K$25*'main page'!$U$13*'main page'!$K$29)/(1+('main page'!$K$25^2)*'main page'!$U$13))*('normal case'!L186-'main page'!$U$8),B187-B186*AC187-('normal case'!I187-D186*AD187-'main page'!$K$27*'normal case'!T186+'main page'!$K$31*'normal case'!AI186)-(('main page'!$K$25*'main page'!$U$13*'main page'!$K$29)/(1+('main page'!$K$25^2)*'main page'!$U$13))*('normal case'!L186-'main page'!$U$8)))</f>
        <v>0</v>
      </c>
      <c r="AU186" s="36"/>
      <c r="AV186" s="36"/>
    </row>
    <row r="187" spans="1:48">
      <c r="A187" s="43">
        <v>185</v>
      </c>
      <c r="B187" s="62">
        <f ca="1">IF(controls!$B$33=1,B186*(1+AC187)+AA187,B186*(1+AC187))</f>
        <v>101</v>
      </c>
      <c r="C187" s="67">
        <f t="shared" ca="1" si="24"/>
        <v>-1.5107707374006907E-7</v>
      </c>
      <c r="D187" s="64">
        <f t="shared" ca="1" si="20"/>
        <v>101.00000005960464</v>
      </c>
      <c r="E187" s="64">
        <f ca="1">AN186+IF(controls!$B$33=1,G187,F187)</f>
        <v>101.00000005960464</v>
      </c>
      <c r="F187" s="78">
        <f ca="1">IF(controls!$B$44=0,H187-'main page'!$K$27*T186,H187-'main page'!$K$27*T186+'main page'!$K$31*AI186)</f>
        <v>101.00000005960464</v>
      </c>
      <c r="G187" s="62">
        <f ca="1">IF(controls!$B$44=0,I187-'main page'!$K$27*T186,I187-'main page'!$K$27*T186+'main page'!$K$31*'normal case'!AI186)</f>
        <v>101.00000005960464</v>
      </c>
      <c r="H187" s="62">
        <f t="shared" ca="1" si="26"/>
        <v>108</v>
      </c>
      <c r="I187" s="62">
        <f t="shared" ca="1" si="27"/>
        <v>108</v>
      </c>
      <c r="L187" s="62">
        <f ca="1">IF(ABS('main page'!$K$29*L186+(1-'main page'!$K$29)*(controls!$B$9/100)*100+'main page'!$K$25*(D187-B187)-L186)&lt;0.0000001,L186,'main page'!$K$29*L186+(1-'main page'!$K$29)*(controls!$B$9/100)*100+'main page'!$K$25*(D187-B187))</f>
        <v>1.9999998807907104</v>
      </c>
      <c r="Q187" s="409">
        <f ca="1">(1-'main page'!$K$29)*($AS$11/100)*100+'main page'!$K$25*(D187-B187)</f>
        <v>5.9604644775390625E-8</v>
      </c>
      <c r="R187" s="409">
        <f>'main page'!G191+'main page'!$K$29*M186</f>
        <v>0</v>
      </c>
      <c r="S187" s="409">
        <f t="shared" ca="1" si="25"/>
        <v>5.9604644775390625E-8</v>
      </c>
      <c r="T187" s="79">
        <f ca="1">IF(controls!$B$10=1,T186,IF(SUM(controls!$B$44:$B$46)=2,U187-'main page'!$K$29*'normal case'!L187-(1-'main page'!$K$29)*'main page'!$K$32,U187-'main page'!$K$29*'normal case'!L187-(1-'main page'!$K$29)*controls!$B$9))</f>
        <v>3.4999999701976776</v>
      </c>
      <c r="U187" s="164">
        <f ca="1">IF(controls!$B$45=1,IF(controls!$B$46=1,'main page'!$K$24+'main page'!$K$11+'main page'!$U$8,'main page'!$K$24+'main page'!$K$11+'main page'!$K$32),IF(controls!$B$44=1,IF(V187&lt;0,0,V187),IF(V187+'main page'!$K$11&lt;0,0,V187+'main page'!$K$11)))</f>
        <v>5.4999998509883881</v>
      </c>
      <c r="V187" s="63">
        <f ca="1">IF(controls!$B$10=1,'normal case'!T187+'normal case'!L187,'normal case'!W187)</f>
        <v>5.4999998509883881</v>
      </c>
      <c r="W187" s="61">
        <f t="shared" ca="1" si="21"/>
        <v>5.4999998509883881</v>
      </c>
      <c r="X187" s="166">
        <f ca="1">IF(controls!$B$44=0,Y187+'main page'!$K$29*L187+(1-'main page'!$K$29)*controls!$B$9+(('main page'!$K$25*'main page'!$U$13*'main page'!$K$29)/('main page'!$K$27*(1+('main page'!$K$25^2)*'main page'!$U$13)))*(L187-controls!$B$9),Y187+'main page'!$K$29*L187+(1-'main page'!$K$29)*controls!$B$9+(('main page'!$K$25*'main page'!$U$13*'normal case'!$AV$3)/'normal case'!$AV$4)*('normal case'!L187-controls!$B$9))</f>
        <v>5.4999998509883881</v>
      </c>
      <c r="Y187" s="81">
        <f ca="1">IF(controls!$B$44=1,'main page'!$K$24+'main page'!$K$11,IF(controls!$B$33=1,((I188-D187*AD188-B188+B187*AC188)/'main page'!$K$27)-'main page'!$K$11,((H188-D187*AD188-B188+B187*AC188)/'main page'!$K$27)-'main page'!$K$11))</f>
        <v>3.5</v>
      </c>
      <c r="AA187" s="58">
        <f>IF(controls!$B$6=1,$AS$3*(1+('main page'!$K$35/100))^AB187-$AS$3*(1+('main page'!$K$35/100))^AB186,$AS$3*(1+('main page'!$G$8/100))*(1+('main page'!$K$35/100))^AB187-$AS$3*(1+('main page'!$G$8/100))*(1+('main page'!$K$35/100))^AB186)</f>
        <v>0</v>
      </c>
      <c r="AB187" s="60">
        <v>180</v>
      </c>
      <c r="AC187" s="125">
        <v>0</v>
      </c>
      <c r="AD187" s="36">
        <v>0</v>
      </c>
      <c r="AE187" s="44">
        <f ca="1">IF(controls!$B$33=1,D187-($I$3-'main page'!$K$27*2)*(1+('main page'!$K$35/100))^A186,D187-$AS$4)</f>
        <v>1.0000000596046448</v>
      </c>
      <c r="AF187" s="44">
        <f ca="1">ABS(L187-(controls!$B$9/100)*100)</f>
        <v>1.1920928955078125E-7</v>
      </c>
      <c r="AH187" s="44">
        <f ca="1">IF(controls!$B$33=1,(B188-B187*AC188-I188+D187*AD188+'main page'!$K$27*('main page'!$K$24+'main page'!$K$11))/'main page'!$K$31,(B188-B187*AC188+D187*AD188-H188+'main page'!$K$27*('main page'!$K$24+'main page'!$K$11))/'main page'!$K$31)</f>
        <v>1</v>
      </c>
      <c r="AI187" s="44">
        <f ca="1">IF(controls!$B$45=1,LOG(AM187,1.01)+LOG(AL187,1.01)-LOG(AK187,1.01),-((T187-('main page'!$K$24+'main page'!$K$11))/(1-'normal case'!$AV$3))+'normal case'!AH187)</f>
        <v>2.0000000596046448</v>
      </c>
      <c r="AJ187" s="80">
        <f t="shared" ca="1" si="22"/>
        <v>1.0506250015463039</v>
      </c>
      <c r="AK187" s="44">
        <f t="shared" ca="1" si="23"/>
        <v>37.487627966928997</v>
      </c>
      <c r="AL187" s="44">
        <f>AL186*(1+'main page'!$K$32/100)</f>
        <v>1</v>
      </c>
      <c r="AM187" s="44">
        <f ca="1">IF(ABS(IF(controls!$B$45=1,$AS$13,AK187*AJ187/AL187)-AM186)&lt;0.00001,AM186,IF(controls!$B$45=1,$AS$13,AK187*AJ187/AL187))</f>
        <v>39.385439190722046</v>
      </c>
      <c r="AN187" s="44">
        <f>IF(controls!$B$46=0,0,IF(controls!$B$33=2,B188-B187*AC188-('normal case'!H188-D187*AD188-'main page'!$K$27*'normal case'!T187+'main page'!$K$31*'normal case'!AI187)-(('main page'!$K$25*'main page'!$U$13*'main page'!$K$29)/(1+('main page'!$K$25^2)*'main page'!$U$13))*('normal case'!L187-'main page'!$U$8),B188-B187*AC188-('normal case'!I188-D187*AD188-'main page'!$K$27*'normal case'!T187+'main page'!$K$31*'normal case'!AI187)-(('main page'!$K$25*'main page'!$U$13*'main page'!$K$29)/(1+('main page'!$K$25^2)*'main page'!$U$13))*('normal case'!L187-'main page'!$U$8)))</f>
        <v>0</v>
      </c>
      <c r="AU187" s="36"/>
      <c r="AV187" s="36"/>
    </row>
    <row r="188" spans="1:48">
      <c r="A188" s="43">
        <v>186</v>
      </c>
      <c r="B188" s="62">
        <f ca="1">IF(controls!$B$33=1,B187*(1+AC188)+AA188,B187*(1+AC188))</f>
        <v>101</v>
      </c>
      <c r="C188" s="67">
        <f t="shared" ca="1" si="24"/>
        <v>-1.5107707374006907E-7</v>
      </c>
      <c r="D188" s="64">
        <f t="shared" ca="1" si="20"/>
        <v>101.00000005960464</v>
      </c>
      <c r="E188" s="64">
        <f ca="1">AN187+IF(controls!$B$33=1,G188,F188)</f>
        <v>101.00000005960464</v>
      </c>
      <c r="F188" s="78">
        <f ca="1">IF(controls!$B$44=0,H188-'main page'!$K$27*T187,H188-'main page'!$K$27*T187+'main page'!$K$31*AI187)</f>
        <v>101.00000005960464</v>
      </c>
      <c r="G188" s="62">
        <f ca="1">IF(controls!$B$44=0,I188-'main page'!$K$27*T187,I188-'main page'!$K$27*T187+'main page'!$K$31*'normal case'!AI187)</f>
        <v>101.00000005960464</v>
      </c>
      <c r="H188" s="62">
        <f t="shared" ca="1" si="26"/>
        <v>108</v>
      </c>
      <c r="I188" s="62">
        <f t="shared" ca="1" si="27"/>
        <v>108</v>
      </c>
      <c r="L188" s="62">
        <f ca="1">IF(ABS('main page'!$K$29*L187+(1-'main page'!$K$29)*(controls!$B$9/100)*100+'main page'!$K$25*(D188-B188)-L187)&lt;0.0000001,L187,'main page'!$K$29*L187+(1-'main page'!$K$29)*(controls!$B$9/100)*100+'main page'!$K$25*(D188-B188))</f>
        <v>1.9999998807907104</v>
      </c>
      <c r="Q188" s="409">
        <f ca="1">(1-'main page'!$K$29)*($AS$11/100)*100+'main page'!$K$25*(D188-B188)</f>
        <v>5.9604644775390625E-8</v>
      </c>
      <c r="R188" s="409">
        <f>'main page'!G192+'main page'!$K$29*M187</f>
        <v>0</v>
      </c>
      <c r="S188" s="409">
        <f t="shared" ca="1" si="25"/>
        <v>5.9604644775390625E-8</v>
      </c>
      <c r="T188" s="79">
        <f ca="1">IF(controls!$B$10=1,T187,IF(SUM(controls!$B$44:$B$46)=2,U188-'main page'!$K$29*'normal case'!L188-(1-'main page'!$K$29)*'main page'!$K$32,U188-'main page'!$K$29*'normal case'!L188-(1-'main page'!$K$29)*controls!$B$9))</f>
        <v>3.4999999701976776</v>
      </c>
      <c r="U188" s="164">
        <f ca="1">IF(controls!$B$45=1,IF(controls!$B$46=1,'main page'!$K$24+'main page'!$K$11+'main page'!$U$8,'main page'!$K$24+'main page'!$K$11+'main page'!$K$32),IF(controls!$B$44=1,IF(V188&lt;0,0,V188),IF(V188+'main page'!$K$11&lt;0,0,V188+'main page'!$K$11)))</f>
        <v>5.4999998509883881</v>
      </c>
      <c r="V188" s="63">
        <f ca="1">IF(controls!$B$10=1,'normal case'!T188+'normal case'!L188,'normal case'!W188)</f>
        <v>5.4999998509883881</v>
      </c>
      <c r="W188" s="61">
        <f t="shared" ca="1" si="21"/>
        <v>5.4999998509883881</v>
      </c>
      <c r="X188" s="166">
        <f ca="1">IF(controls!$B$44=0,Y188+'main page'!$K$29*L188+(1-'main page'!$K$29)*controls!$B$9+(('main page'!$K$25*'main page'!$U$13*'main page'!$K$29)/('main page'!$K$27*(1+('main page'!$K$25^2)*'main page'!$U$13)))*(L188-controls!$B$9),Y188+'main page'!$K$29*L188+(1-'main page'!$K$29)*controls!$B$9+(('main page'!$K$25*'main page'!$U$13*'normal case'!$AV$3)/'normal case'!$AV$4)*('normal case'!L188-controls!$B$9))</f>
        <v>5.4999998509883881</v>
      </c>
      <c r="Y188" s="81">
        <f ca="1">IF(controls!$B$44=1,'main page'!$K$24+'main page'!$K$11,IF(controls!$B$33=1,((I189-D188*AD189-B189+B188*AC189)/'main page'!$K$27)-'main page'!$K$11,((H189-D188*AD189-B189+B188*AC189)/'main page'!$K$27)-'main page'!$K$11))</f>
        <v>3.5</v>
      </c>
      <c r="AA188" s="58">
        <f>IF(controls!$B$6=1,$AS$3*(1+('main page'!$K$35/100))^AB188-$AS$3*(1+('main page'!$K$35/100))^AB187,$AS$3*(1+('main page'!$G$8/100))*(1+('main page'!$K$35/100))^AB188-$AS$3*(1+('main page'!$G$8/100))*(1+('main page'!$K$35/100))^AB187)</f>
        <v>0</v>
      </c>
      <c r="AB188" s="60">
        <v>181</v>
      </c>
      <c r="AC188" s="125">
        <f ca="1">IF(controls!$B$4=1,IF(controls!$H187=1,controls!$B$34*AC187+RAND()*('main page'!$K$16/100)-RAND()*('main page'!$K$16/100),0),0)</f>
        <v>0</v>
      </c>
      <c r="AD188" s="36">
        <f ca="1">IF(controls!$B$4=1,IF(controls!$I187=1,controls!$B$34*AD187+RAND()*('main page'!$K$16/100)-RAND()*('main page'!$K$16/100),0),0)</f>
        <v>0</v>
      </c>
      <c r="AE188" s="44">
        <f ca="1">IF(controls!$B$33=1,D188-($I$3-'main page'!$K$27*2)*(1+('main page'!$K$35/100))^A187,D188-$AS$4)</f>
        <v>1.0000000596046448</v>
      </c>
      <c r="AF188" s="44">
        <f ca="1">ABS(L188-(controls!$B$9/100)*100)</f>
        <v>1.1920928955078125E-7</v>
      </c>
      <c r="AH188" s="44">
        <f ca="1">IF(controls!$B$33=1,(B189-B188*AC189-I189+D188*AD189+'main page'!$K$27*('main page'!$K$24+'main page'!$K$11))/'main page'!$K$31,(B189-B188*AC189+D188*AD189-H189+'main page'!$K$27*('main page'!$K$24+'main page'!$K$11))/'main page'!$K$31)</f>
        <v>1</v>
      </c>
      <c r="AI188" s="44">
        <f ca="1">IF(controls!$B$45=1,LOG(AM188,1.01)+LOG(AL188,1.01)-LOG(AK188,1.01),-((T188-('main page'!$K$24+'main page'!$K$11))/(1-'normal case'!$AV$3))+'normal case'!AH188)</f>
        <v>2.0000000596046448</v>
      </c>
      <c r="AJ188" s="80">
        <f t="shared" ca="1" si="22"/>
        <v>1.0506250015463039</v>
      </c>
      <c r="AK188" s="44">
        <f t="shared" ca="1" si="23"/>
        <v>38.237380481578846</v>
      </c>
      <c r="AL188" s="44">
        <f>AL187*(1+'main page'!$K$32/100)</f>
        <v>1</v>
      </c>
      <c r="AM188" s="44">
        <f ca="1">IF(ABS(IF(controls!$B$45=1,$AS$13,AK188*AJ188/AL188)-AM187)&lt;0.00001,AM187,IF(controls!$B$45=1,$AS$13,AK188*AJ188/AL188))</f>
        <v>40.173147927585383</v>
      </c>
      <c r="AN188" s="44">
        <f>IF(controls!$B$46=0,0,IF(controls!$B$33=2,B189-B188*AC189-('normal case'!H189-D188*AD189-'main page'!$K$27*'normal case'!T188+'main page'!$K$31*'normal case'!AI188)-(('main page'!$K$25*'main page'!$U$13*'main page'!$K$29)/(1+('main page'!$K$25^2)*'main page'!$U$13))*('normal case'!L188-'main page'!$U$8),B189-B188*AC189-('normal case'!I189-D188*AD189-'main page'!$K$27*'normal case'!T188+'main page'!$K$31*'normal case'!AI188)-(('main page'!$K$25*'main page'!$U$13*'main page'!$K$29)/(1+('main page'!$K$25^2)*'main page'!$U$13))*('normal case'!L188-'main page'!$U$8)))</f>
        <v>0</v>
      </c>
      <c r="AU188" s="36"/>
      <c r="AV188" s="36"/>
    </row>
    <row r="189" spans="1:48">
      <c r="A189" s="43">
        <v>187</v>
      </c>
      <c r="B189" s="62">
        <f ca="1">IF(controls!$B$33=1,B188*(1+AC189)+AA189,B188*(1+AC189))</f>
        <v>101</v>
      </c>
      <c r="C189" s="67">
        <f t="shared" ca="1" si="24"/>
        <v>-1.5107707374006907E-7</v>
      </c>
      <c r="D189" s="64">
        <f t="shared" ca="1" si="20"/>
        <v>101.00000005960464</v>
      </c>
      <c r="E189" s="64">
        <f ca="1">AN188+IF(controls!$B$33=1,G189,F189)</f>
        <v>101.00000005960464</v>
      </c>
      <c r="F189" s="78">
        <f ca="1">IF(controls!$B$44=0,H189-'main page'!$K$27*T188,H189-'main page'!$K$27*T188+'main page'!$K$31*AI188)</f>
        <v>101.00000005960464</v>
      </c>
      <c r="G189" s="62">
        <f ca="1">IF(controls!$B$44=0,I189-'main page'!$K$27*T188,I189-'main page'!$K$27*T188+'main page'!$K$31*'normal case'!AI188)</f>
        <v>101.00000005960464</v>
      </c>
      <c r="H189" s="62">
        <f t="shared" ca="1" si="26"/>
        <v>108</v>
      </c>
      <c r="I189" s="62">
        <f t="shared" ca="1" si="27"/>
        <v>108</v>
      </c>
      <c r="L189" s="62">
        <f ca="1">IF(ABS('main page'!$K$29*L188+(1-'main page'!$K$29)*(controls!$B$9/100)*100+'main page'!$K$25*(D189-B189)-L188)&lt;0.0000001,L188,'main page'!$K$29*L188+(1-'main page'!$K$29)*(controls!$B$9/100)*100+'main page'!$K$25*(D189-B189))</f>
        <v>1.9999998807907104</v>
      </c>
      <c r="Q189" s="409">
        <f ca="1">(1-'main page'!$K$29)*($AS$11/100)*100+'main page'!$K$25*(D189-B189)</f>
        <v>5.9604644775390625E-8</v>
      </c>
      <c r="R189" s="409">
        <f>'main page'!G193+'main page'!$K$29*M188</f>
        <v>0</v>
      </c>
      <c r="S189" s="409">
        <f t="shared" ca="1" si="25"/>
        <v>5.9604644775390625E-8</v>
      </c>
      <c r="T189" s="79">
        <f ca="1">IF(controls!$B$10=1,T188,IF(SUM(controls!$B$44:$B$46)=2,U189-'main page'!$K$29*'normal case'!L189-(1-'main page'!$K$29)*'main page'!$K$32,U189-'main page'!$K$29*'normal case'!L189-(1-'main page'!$K$29)*controls!$B$9))</f>
        <v>3.4999999701976776</v>
      </c>
      <c r="U189" s="164">
        <f ca="1">IF(controls!$B$45=1,IF(controls!$B$46=1,'main page'!$K$24+'main page'!$K$11+'main page'!$U$8,'main page'!$K$24+'main page'!$K$11+'main page'!$K$32),IF(controls!$B$44=1,IF(V189&lt;0,0,V189),IF(V189+'main page'!$K$11&lt;0,0,V189+'main page'!$K$11)))</f>
        <v>5.4999998509883881</v>
      </c>
      <c r="V189" s="63">
        <f ca="1">IF(controls!$B$10=1,'normal case'!T189+'normal case'!L189,'normal case'!W189)</f>
        <v>5.4999998509883881</v>
      </c>
      <c r="W189" s="61">
        <f t="shared" ca="1" si="21"/>
        <v>5.4999998509883881</v>
      </c>
      <c r="X189" s="166">
        <f ca="1">IF(controls!$B$44=0,Y189+'main page'!$K$29*L189+(1-'main page'!$K$29)*controls!$B$9+(('main page'!$K$25*'main page'!$U$13*'main page'!$K$29)/('main page'!$K$27*(1+('main page'!$K$25^2)*'main page'!$U$13)))*(L189-controls!$B$9),Y189+'main page'!$K$29*L189+(1-'main page'!$K$29)*controls!$B$9+(('main page'!$K$25*'main page'!$U$13*'normal case'!$AV$3)/'normal case'!$AV$4)*('normal case'!L189-controls!$B$9))</f>
        <v>5.4999998509883881</v>
      </c>
      <c r="Y189" s="81">
        <f ca="1">IF(controls!$B$44=1,'main page'!$K$24+'main page'!$K$11,IF(controls!$B$33=1,((I190-D189*AD190-B190+B189*AC190)/'main page'!$K$27)-'main page'!$K$11,((H190-D189*AD190-B190+B189*AC190)/'main page'!$K$27)-'main page'!$K$11))</f>
        <v>3.5</v>
      </c>
      <c r="AA189" s="58">
        <f>IF(controls!$B$6=1,$AS$3*(1+('main page'!$K$35/100))^AB189-$AS$3*(1+('main page'!$K$35/100))^AB188,$AS$3*(1+('main page'!$G$8/100))*(1+('main page'!$K$35/100))^AB189-$AS$3*(1+('main page'!$G$8/100))*(1+('main page'!$K$35/100))^AB188)</f>
        <v>0</v>
      </c>
      <c r="AB189" s="60">
        <v>182</v>
      </c>
      <c r="AC189" s="125">
        <v>0</v>
      </c>
      <c r="AD189" s="36">
        <v>0</v>
      </c>
      <c r="AE189" s="44">
        <f ca="1">IF(controls!$B$33=1,D189-($I$3-'main page'!$K$27*2)*(1+('main page'!$K$35/100))^A188,D189-$AS$4)</f>
        <v>1.0000000596046448</v>
      </c>
      <c r="AF189" s="44">
        <f ca="1">ABS(L189-(controls!$B$9/100)*100)</f>
        <v>1.1920928955078125E-7</v>
      </c>
      <c r="AH189" s="44">
        <f ca="1">IF(controls!$B$33=1,(B190-B189*AC190-I190+D189*AD190+'main page'!$K$27*('main page'!$K$24+'main page'!$K$11))/'main page'!$K$31,(B190-B189*AC190+D189*AD190-H190+'main page'!$K$27*('main page'!$K$24+'main page'!$K$11))/'main page'!$K$31)</f>
        <v>1</v>
      </c>
      <c r="AI189" s="44">
        <f ca="1">IF(controls!$B$45=1,LOG(AM189,1.01)+LOG(AL189,1.01)-LOG(AK189,1.01),-((T189-('main page'!$K$24+'main page'!$K$11))/(1-'normal case'!$AV$3))+'normal case'!AH189)</f>
        <v>2.0000000596046448</v>
      </c>
      <c r="AJ189" s="80">
        <f t="shared" ca="1" si="22"/>
        <v>1.0506250015463039</v>
      </c>
      <c r="AK189" s="44">
        <f t="shared" ca="1" si="23"/>
        <v>39.002128045627913</v>
      </c>
      <c r="AL189" s="44">
        <f>AL188*(1+'main page'!$K$32/100)</f>
        <v>1</v>
      </c>
      <c r="AM189" s="44">
        <f ca="1">IF(ABS(IF(controls!$B$45=1,$AS$13,AK189*AJ189/AL189)-AM188)&lt;0.00001,AM188,IF(controls!$B$45=1,$AS$13,AK189*AJ189/AL189))</f>
        <v>40.97661083824697</v>
      </c>
      <c r="AN189" s="44">
        <f>IF(controls!$B$46=0,0,IF(controls!$B$33=2,B190-B189*AC190-('normal case'!H190-D189*AD190-'main page'!$K$27*'normal case'!T189+'main page'!$K$31*'normal case'!AI189)-(('main page'!$K$25*'main page'!$U$13*'main page'!$K$29)/(1+('main page'!$K$25^2)*'main page'!$U$13))*('normal case'!L189-'main page'!$U$8),B190-B189*AC190-('normal case'!I190-D189*AD190-'main page'!$K$27*'normal case'!T189+'main page'!$K$31*'normal case'!AI189)-(('main page'!$K$25*'main page'!$U$13*'main page'!$K$29)/(1+('main page'!$K$25^2)*'main page'!$U$13))*('normal case'!L189-'main page'!$U$8)))</f>
        <v>0</v>
      </c>
      <c r="AU189" s="36"/>
      <c r="AV189" s="36"/>
    </row>
    <row r="190" spans="1:48">
      <c r="A190" s="43">
        <v>188</v>
      </c>
      <c r="B190" s="62">
        <f ca="1">IF(controls!$B$33=1,B189*(1+AC190)+AA190,B189*(1+AC190))</f>
        <v>101</v>
      </c>
      <c r="C190" s="67">
        <f t="shared" ca="1" si="24"/>
        <v>-1.5107707374006907E-7</v>
      </c>
      <c r="D190" s="64">
        <f t="shared" ca="1" si="20"/>
        <v>101.00000005960464</v>
      </c>
      <c r="E190" s="64">
        <f ca="1">AN189+IF(controls!$B$33=1,G190,F190)</f>
        <v>101.00000005960464</v>
      </c>
      <c r="F190" s="78">
        <f ca="1">IF(controls!$B$44=0,H190-'main page'!$K$27*T189,H190-'main page'!$K$27*T189+'main page'!$K$31*AI189)</f>
        <v>101.00000005960464</v>
      </c>
      <c r="G190" s="62">
        <f ca="1">IF(controls!$B$44=0,I190-'main page'!$K$27*T189,I190-'main page'!$K$27*T189+'main page'!$K$31*'normal case'!AI189)</f>
        <v>101.00000005960464</v>
      </c>
      <c r="H190" s="62">
        <f t="shared" ca="1" si="26"/>
        <v>108</v>
      </c>
      <c r="I190" s="62">
        <f t="shared" ca="1" si="27"/>
        <v>108</v>
      </c>
      <c r="L190" s="62">
        <f ca="1">IF(ABS('main page'!$K$29*L189+(1-'main page'!$K$29)*(controls!$B$9/100)*100+'main page'!$K$25*(D190-B190)-L189)&lt;0.0000001,L189,'main page'!$K$29*L189+(1-'main page'!$K$29)*(controls!$B$9/100)*100+'main page'!$K$25*(D190-B190))</f>
        <v>1.9999998807907104</v>
      </c>
      <c r="Q190" s="409">
        <f ca="1">(1-'main page'!$K$29)*($AS$11/100)*100+'main page'!$K$25*(D190-B190)</f>
        <v>5.9604644775390625E-8</v>
      </c>
      <c r="R190" s="409">
        <f>'main page'!G194+'main page'!$K$29*M189</f>
        <v>0</v>
      </c>
      <c r="S190" s="409">
        <f t="shared" ca="1" si="25"/>
        <v>5.9604644775390625E-8</v>
      </c>
      <c r="T190" s="79">
        <f ca="1">IF(controls!$B$10=1,T189,IF(SUM(controls!$B$44:$B$46)=2,U190-'main page'!$K$29*'normal case'!L190-(1-'main page'!$K$29)*'main page'!$K$32,U190-'main page'!$K$29*'normal case'!L190-(1-'main page'!$K$29)*controls!$B$9))</f>
        <v>3.4999999701976776</v>
      </c>
      <c r="U190" s="164">
        <f ca="1">IF(controls!$B$45=1,IF(controls!$B$46=1,'main page'!$K$24+'main page'!$K$11+'main page'!$U$8,'main page'!$K$24+'main page'!$K$11+'main page'!$K$32),IF(controls!$B$44=1,IF(V190&lt;0,0,V190),IF(V190+'main page'!$K$11&lt;0,0,V190+'main page'!$K$11)))</f>
        <v>5.4999998509883881</v>
      </c>
      <c r="V190" s="63">
        <f ca="1">IF(controls!$B$10=1,'normal case'!T190+'normal case'!L190,'normal case'!W190)</f>
        <v>5.4999998509883881</v>
      </c>
      <c r="W190" s="61">
        <f t="shared" ca="1" si="21"/>
        <v>5.4999998509883881</v>
      </c>
      <c r="X190" s="166">
        <f ca="1">IF(controls!$B$44=0,Y190+'main page'!$K$29*L190+(1-'main page'!$K$29)*controls!$B$9+(('main page'!$K$25*'main page'!$U$13*'main page'!$K$29)/('main page'!$K$27*(1+('main page'!$K$25^2)*'main page'!$U$13)))*(L190-controls!$B$9),Y190+'main page'!$K$29*L190+(1-'main page'!$K$29)*controls!$B$9+(('main page'!$K$25*'main page'!$U$13*'normal case'!$AV$3)/'normal case'!$AV$4)*('normal case'!L190-controls!$B$9))</f>
        <v>5.4999998509883881</v>
      </c>
      <c r="Y190" s="81">
        <f ca="1">IF(controls!$B$44=1,'main page'!$K$24+'main page'!$K$11,IF(controls!$B$33=1,((I191-D190*AD191-B191+B190*AC191)/'main page'!$K$27)-'main page'!$K$11,((H191-D190*AD191-B191+B190*AC191)/'main page'!$K$27)-'main page'!$K$11))</f>
        <v>3.5</v>
      </c>
      <c r="AA190" s="58">
        <f>IF(controls!$B$6=1,$AS$3*(1+('main page'!$K$35/100))^AB190-$AS$3*(1+('main page'!$K$35/100))^AB189,$AS$3*(1+('main page'!$G$8/100))*(1+('main page'!$K$35/100))^AB190-$AS$3*(1+('main page'!$G$8/100))*(1+('main page'!$K$35/100))^AB189)</f>
        <v>0</v>
      </c>
      <c r="AB190" s="60">
        <v>183</v>
      </c>
      <c r="AC190" s="125">
        <v>0</v>
      </c>
      <c r="AD190" s="36">
        <v>0</v>
      </c>
      <c r="AE190" s="44">
        <f ca="1">IF(controls!$B$33=1,D190-($I$3-'main page'!$K$27*2)*(1+('main page'!$K$35/100))^A189,D190-$AS$4)</f>
        <v>1.0000000596046448</v>
      </c>
      <c r="AF190" s="44">
        <f ca="1">ABS(L190-(controls!$B$9/100)*100)</f>
        <v>1.1920928955078125E-7</v>
      </c>
      <c r="AH190" s="44">
        <f ca="1">IF(controls!$B$33=1,(B191-B190*AC191-I191+D190*AD191+'main page'!$K$27*('main page'!$K$24+'main page'!$K$11))/'main page'!$K$31,(B191-B190*AC191+D190*AD191-H191+'main page'!$K$27*('main page'!$K$24+'main page'!$K$11))/'main page'!$K$31)</f>
        <v>1</v>
      </c>
      <c r="AI190" s="44">
        <f ca="1">IF(controls!$B$45=1,LOG(AM190,1.01)+LOG(AL190,1.01)-LOG(AK190,1.01),-((T190-('main page'!$K$24+'main page'!$K$11))/(1-'normal case'!$AV$3))+'normal case'!AH190)</f>
        <v>2.0000000596046448</v>
      </c>
      <c r="AJ190" s="80">
        <f t="shared" ca="1" si="22"/>
        <v>1.0506250015463039</v>
      </c>
      <c r="AK190" s="44">
        <f t="shared" ca="1" si="23"/>
        <v>39.78217056004631</v>
      </c>
      <c r="AL190" s="44">
        <f>AL189*(1+'main page'!$K$32/100)</f>
        <v>1</v>
      </c>
      <c r="AM190" s="44">
        <f ca="1">IF(ABS(IF(controls!$B$45=1,$AS$13,AK190*AJ190/AL190)-AM189)&lt;0.00001,AM189,IF(controls!$B$45=1,$AS$13,AK190*AJ190/AL190))</f>
        <v>41.79614300616398</v>
      </c>
      <c r="AN190" s="44">
        <f>IF(controls!$B$46=0,0,IF(controls!$B$33=2,B191-B190*AC191-('normal case'!H191-D190*AD191-'main page'!$K$27*'normal case'!T190+'main page'!$K$31*'normal case'!AI190)-(('main page'!$K$25*'main page'!$U$13*'main page'!$K$29)/(1+('main page'!$K$25^2)*'main page'!$U$13))*('normal case'!L190-'main page'!$U$8),B191-B190*AC191-('normal case'!I191-D190*AD191-'main page'!$K$27*'normal case'!T190+'main page'!$K$31*'normal case'!AI190)-(('main page'!$K$25*'main page'!$U$13*'main page'!$K$29)/(1+('main page'!$K$25^2)*'main page'!$U$13))*('normal case'!L190-'main page'!$U$8)))</f>
        <v>0</v>
      </c>
      <c r="AU190" s="36"/>
      <c r="AV190" s="36"/>
    </row>
    <row r="191" spans="1:48">
      <c r="A191" s="43">
        <v>189</v>
      </c>
      <c r="B191" s="62">
        <f ca="1">IF(controls!$B$33=1,B190*(1+AC191)+AA191,B190*(1+AC191))</f>
        <v>101</v>
      </c>
      <c r="C191" s="67">
        <f t="shared" ca="1" si="24"/>
        <v>-1.5107707374006907E-7</v>
      </c>
      <c r="D191" s="64">
        <f t="shared" ca="1" si="20"/>
        <v>101.00000005960464</v>
      </c>
      <c r="E191" s="64">
        <f ca="1">AN190+IF(controls!$B$33=1,G191,F191)</f>
        <v>101.00000005960464</v>
      </c>
      <c r="F191" s="78">
        <f ca="1">IF(controls!$B$44=0,H191-'main page'!$K$27*T190,H191-'main page'!$K$27*T190+'main page'!$K$31*AI190)</f>
        <v>101.00000005960464</v>
      </c>
      <c r="G191" s="62">
        <f ca="1">IF(controls!$B$44=0,I191-'main page'!$K$27*T190,I191-'main page'!$K$27*T190+'main page'!$K$31*'normal case'!AI190)</f>
        <v>101.00000005960464</v>
      </c>
      <c r="H191" s="62">
        <f t="shared" ca="1" si="26"/>
        <v>108</v>
      </c>
      <c r="I191" s="62">
        <f t="shared" ca="1" si="27"/>
        <v>108</v>
      </c>
      <c r="L191" s="62">
        <f ca="1">IF(ABS('main page'!$K$29*L190+(1-'main page'!$K$29)*(controls!$B$9/100)*100+'main page'!$K$25*(D191-B191)-L190)&lt;0.0000001,L190,'main page'!$K$29*L190+(1-'main page'!$K$29)*(controls!$B$9/100)*100+'main page'!$K$25*(D191-B191))</f>
        <v>1.9999998807907104</v>
      </c>
      <c r="Q191" s="409">
        <f ca="1">(1-'main page'!$K$29)*($AS$11/100)*100+'main page'!$K$25*(D191-B191)</f>
        <v>5.9604644775390625E-8</v>
      </c>
      <c r="R191" s="409">
        <f>'main page'!G195+'main page'!$K$29*M190</f>
        <v>0</v>
      </c>
      <c r="S191" s="409">
        <f t="shared" ca="1" si="25"/>
        <v>5.9604644775390625E-8</v>
      </c>
      <c r="T191" s="79">
        <f ca="1">IF(controls!$B$10=1,T190,IF(SUM(controls!$B$44:$B$46)=2,U191-'main page'!$K$29*'normal case'!L191-(1-'main page'!$K$29)*'main page'!$K$32,U191-'main page'!$K$29*'normal case'!L191-(1-'main page'!$K$29)*controls!$B$9))</f>
        <v>3.4999999701976776</v>
      </c>
      <c r="U191" s="164">
        <f ca="1">IF(controls!$B$45=1,IF(controls!$B$46=1,'main page'!$K$24+'main page'!$K$11+'main page'!$U$8,'main page'!$K$24+'main page'!$K$11+'main page'!$K$32),IF(controls!$B$44=1,IF(V191&lt;0,0,V191),IF(V191+'main page'!$K$11&lt;0,0,V191+'main page'!$K$11)))</f>
        <v>5.4999998509883881</v>
      </c>
      <c r="V191" s="63">
        <f ca="1">IF(controls!$B$10=1,'normal case'!T191+'normal case'!L191,'normal case'!W191)</f>
        <v>5.4999998509883881</v>
      </c>
      <c r="W191" s="61">
        <f t="shared" ca="1" si="21"/>
        <v>5.4999998509883881</v>
      </c>
      <c r="X191" s="166">
        <f ca="1">IF(controls!$B$44=0,Y191+'main page'!$K$29*L191+(1-'main page'!$K$29)*controls!$B$9+(('main page'!$K$25*'main page'!$U$13*'main page'!$K$29)/('main page'!$K$27*(1+('main page'!$K$25^2)*'main page'!$U$13)))*(L191-controls!$B$9),Y191+'main page'!$K$29*L191+(1-'main page'!$K$29)*controls!$B$9+(('main page'!$K$25*'main page'!$U$13*'normal case'!$AV$3)/'normal case'!$AV$4)*('normal case'!L191-controls!$B$9))</f>
        <v>5.4999998509883881</v>
      </c>
      <c r="Y191" s="81">
        <f ca="1">IF(controls!$B$44=1,'main page'!$K$24+'main page'!$K$11,IF(controls!$B$33=1,((I192-D191*AD192-B192+B191*AC192)/'main page'!$K$27)-'main page'!$K$11,((H192-D191*AD192-B192+B191*AC192)/'main page'!$K$27)-'main page'!$K$11))</f>
        <v>3.5</v>
      </c>
      <c r="AA191" s="58">
        <f>IF(controls!$B$6=1,$AS$3*(1+('main page'!$K$35/100))^AB191-$AS$3*(1+('main page'!$K$35/100))^AB190,$AS$3*(1+('main page'!$G$8/100))*(1+('main page'!$K$35/100))^AB191-$AS$3*(1+('main page'!$G$8/100))*(1+('main page'!$K$35/100))^AB190)</f>
        <v>0</v>
      </c>
      <c r="AB191" s="60">
        <v>184</v>
      </c>
      <c r="AC191" s="125">
        <f ca="1">IF(controls!$B$4=1,IF(controls!$H190=1,controls!$B$34*AC190+RAND()*('main page'!$K$16/100)-RAND()*('main page'!$K$16/100),0),0)</f>
        <v>0</v>
      </c>
      <c r="AD191" s="36">
        <f ca="1">IF(controls!$B$4=1,IF(controls!$I190=1,controls!$B$34*AD190+RAND()*('main page'!$K$16/100)-RAND()*('main page'!$K$16/100),0),0)</f>
        <v>0</v>
      </c>
      <c r="AE191" s="44">
        <f ca="1">IF(controls!$B$33=1,D191-($I$3-'main page'!$K$27*2)*(1+('main page'!$K$35/100))^A190,D191-$AS$4)</f>
        <v>1.0000000596046448</v>
      </c>
      <c r="AF191" s="44">
        <f ca="1">ABS(L191-(controls!$B$9/100)*100)</f>
        <v>1.1920928955078125E-7</v>
      </c>
      <c r="AH191" s="44">
        <f ca="1">IF(controls!$B$33=1,(B192-B191*AC192-I192+D191*AD192+'main page'!$K$27*('main page'!$K$24+'main page'!$K$11))/'main page'!$K$31,(B192-B191*AC192+D191*AD192-H192+'main page'!$K$27*('main page'!$K$24+'main page'!$K$11))/'main page'!$K$31)</f>
        <v>1</v>
      </c>
      <c r="AI191" s="44">
        <f ca="1">IF(controls!$B$45=1,LOG(AM191,1.01)+LOG(AL191,1.01)-LOG(AK191,1.01),-((T191-('main page'!$K$24+'main page'!$K$11))/(1-'normal case'!$AV$3))+'normal case'!AH191)</f>
        <v>2.0000000596046448</v>
      </c>
      <c r="AJ191" s="80">
        <f t="shared" ca="1" si="22"/>
        <v>1.0506250015463039</v>
      </c>
      <c r="AK191" s="44">
        <f t="shared" ca="1" si="23"/>
        <v>40.577813923823193</v>
      </c>
      <c r="AL191" s="44">
        <f>AL190*(1+'main page'!$K$32/100)</f>
        <v>1</v>
      </c>
      <c r="AM191" s="44">
        <f ca="1">IF(ABS(IF(controls!$B$45=1,$AS$13,AK191*AJ191/AL191)-AM190)&lt;0.00001,AM190,IF(controls!$B$45=1,$AS$13,AK191*AJ191/AL191))</f>
        <v>42.632065816462372</v>
      </c>
      <c r="AN191" s="44">
        <f>IF(controls!$B$46=0,0,IF(controls!$B$33=2,B192-B191*AC192-('normal case'!H192-D191*AD192-'main page'!$K$27*'normal case'!T191+'main page'!$K$31*'normal case'!AI191)-(('main page'!$K$25*'main page'!$U$13*'main page'!$K$29)/(1+('main page'!$K$25^2)*'main page'!$U$13))*('normal case'!L191-'main page'!$U$8),B192-B191*AC192-('normal case'!I192-D191*AD192-'main page'!$K$27*'normal case'!T191+'main page'!$K$31*'normal case'!AI191)-(('main page'!$K$25*'main page'!$U$13*'main page'!$K$29)/(1+('main page'!$K$25^2)*'main page'!$U$13))*('normal case'!L191-'main page'!$U$8)))</f>
        <v>0</v>
      </c>
      <c r="AU191" s="36"/>
      <c r="AV191" s="36"/>
    </row>
    <row r="192" spans="1:48">
      <c r="A192" s="43">
        <v>190</v>
      </c>
      <c r="B192" s="62">
        <f ca="1">IF(controls!$B$33=1,B191*(1+AC192)+AA192,B191*(1+AC192))</f>
        <v>101</v>
      </c>
      <c r="C192" s="67">
        <f t="shared" ca="1" si="24"/>
        <v>-1.5107707374006907E-7</v>
      </c>
      <c r="D192" s="64">
        <f t="shared" ca="1" si="20"/>
        <v>101.00000005960464</v>
      </c>
      <c r="E192" s="64">
        <f ca="1">AN191+IF(controls!$B$33=1,G192,F192)</f>
        <v>101.00000005960464</v>
      </c>
      <c r="F192" s="78">
        <f ca="1">IF(controls!$B$44=0,H192-'main page'!$K$27*T191,H192-'main page'!$K$27*T191+'main page'!$K$31*AI191)</f>
        <v>101.00000005960464</v>
      </c>
      <c r="G192" s="62">
        <f ca="1">IF(controls!$B$44=0,I192-'main page'!$K$27*T191,I192-'main page'!$K$27*T191+'main page'!$K$31*'normal case'!AI191)</f>
        <v>101.00000005960464</v>
      </c>
      <c r="H192" s="62">
        <f t="shared" ca="1" si="26"/>
        <v>108</v>
      </c>
      <c r="I192" s="62">
        <f t="shared" ca="1" si="27"/>
        <v>108</v>
      </c>
      <c r="L192" s="62">
        <f ca="1">IF(ABS('main page'!$K$29*L191+(1-'main page'!$K$29)*(controls!$B$9/100)*100+'main page'!$K$25*(D192-B192)-L191)&lt;0.0000001,L191,'main page'!$K$29*L191+(1-'main page'!$K$29)*(controls!$B$9/100)*100+'main page'!$K$25*(D192-B192))</f>
        <v>1.9999998807907104</v>
      </c>
      <c r="Q192" s="409">
        <f ca="1">(1-'main page'!$K$29)*($AS$11/100)*100+'main page'!$K$25*(D192-B192)</f>
        <v>5.9604644775390625E-8</v>
      </c>
      <c r="R192" s="409">
        <f>'main page'!G196+'main page'!$K$29*M191</f>
        <v>0</v>
      </c>
      <c r="S192" s="409">
        <f t="shared" ca="1" si="25"/>
        <v>5.9604644775390625E-8</v>
      </c>
      <c r="T192" s="79">
        <f ca="1">IF(controls!$B$10=1,T191,IF(SUM(controls!$B$44:$B$46)=2,U192-'main page'!$K$29*'normal case'!L192-(1-'main page'!$K$29)*'main page'!$K$32,U192-'main page'!$K$29*'normal case'!L192-(1-'main page'!$K$29)*controls!$B$9))</f>
        <v>3.4999999701976776</v>
      </c>
      <c r="U192" s="164">
        <f ca="1">IF(controls!$B$45=1,IF(controls!$B$46=1,'main page'!$K$24+'main page'!$K$11+'main page'!$U$8,'main page'!$K$24+'main page'!$K$11+'main page'!$K$32),IF(controls!$B$44=1,IF(V192&lt;0,0,V192),IF(V192+'main page'!$K$11&lt;0,0,V192+'main page'!$K$11)))</f>
        <v>5.4999998509883881</v>
      </c>
      <c r="V192" s="63">
        <f ca="1">IF(controls!$B$10=1,'normal case'!T192+'normal case'!L192,'normal case'!W192)</f>
        <v>5.4999998509883881</v>
      </c>
      <c r="W192" s="61">
        <f t="shared" ca="1" si="21"/>
        <v>5.4999998509883881</v>
      </c>
      <c r="X192" s="166">
        <f ca="1">IF(controls!$B$44=0,Y192+'main page'!$K$29*L192+(1-'main page'!$K$29)*controls!$B$9+(('main page'!$K$25*'main page'!$U$13*'main page'!$K$29)/('main page'!$K$27*(1+('main page'!$K$25^2)*'main page'!$U$13)))*(L192-controls!$B$9),Y192+'main page'!$K$29*L192+(1-'main page'!$K$29)*controls!$B$9+(('main page'!$K$25*'main page'!$U$13*'normal case'!$AV$3)/'normal case'!$AV$4)*('normal case'!L192-controls!$B$9))</f>
        <v>5.4999998509883881</v>
      </c>
      <c r="Y192" s="81">
        <f ca="1">IF(controls!$B$44=1,'main page'!$K$24+'main page'!$K$11,IF(controls!$B$33=1,((I193-D192*AD193-B193+B192*AC193)/'main page'!$K$27)-'main page'!$K$11,((H193-D192*AD193-B193+B192*AC193)/'main page'!$K$27)-'main page'!$K$11))</f>
        <v>3.5</v>
      </c>
      <c r="AA192" s="58">
        <f>IF(controls!$B$6=1,$AS$3*(1+('main page'!$K$35/100))^AB192-$AS$3*(1+('main page'!$K$35/100))^AB191,$AS$3*(1+('main page'!$G$8/100))*(1+('main page'!$K$35/100))^AB192-$AS$3*(1+('main page'!$G$8/100))*(1+('main page'!$K$35/100))^AB191)</f>
        <v>0</v>
      </c>
      <c r="AB192" s="60">
        <v>185</v>
      </c>
      <c r="AC192" s="125">
        <v>0</v>
      </c>
      <c r="AD192" s="36">
        <v>0</v>
      </c>
      <c r="AE192" s="44">
        <f ca="1">IF(controls!$B$33=1,D192-($I$3-'main page'!$K$27*2)*(1+('main page'!$K$35/100))^A191,D192-$AS$4)</f>
        <v>1.0000000596046448</v>
      </c>
      <c r="AF192" s="44">
        <f ca="1">ABS(L192-(controls!$B$9/100)*100)</f>
        <v>1.1920928955078125E-7</v>
      </c>
      <c r="AH192" s="44">
        <f ca="1">IF(controls!$B$33=1,(B193-B192*AC193-I193+D192*AD193+'main page'!$K$27*('main page'!$K$24+'main page'!$K$11))/'main page'!$K$31,(B193-B192*AC193+D192*AD193-H193+'main page'!$K$27*('main page'!$K$24+'main page'!$K$11))/'main page'!$K$31)</f>
        <v>1</v>
      </c>
      <c r="AI192" s="44">
        <f ca="1">IF(controls!$B$45=1,LOG(AM192,1.01)+LOG(AL192,1.01)-LOG(AK192,1.01),-((T192-('main page'!$K$24+'main page'!$K$11))/(1-'normal case'!$AV$3))+'normal case'!AH192)</f>
        <v>2.0000000596046448</v>
      </c>
      <c r="AJ192" s="80">
        <f t="shared" ca="1" si="22"/>
        <v>1.0506250015463039</v>
      </c>
      <c r="AK192" s="44">
        <f t="shared" ca="1" si="23"/>
        <v>41.389370153927132</v>
      </c>
      <c r="AL192" s="44">
        <f>AL191*(1+'main page'!$K$32/100)</f>
        <v>1</v>
      </c>
      <c r="AM192" s="44">
        <f ca="1">IF(ABS(IF(controls!$B$45=1,$AS$13,AK192*AJ192/AL192)-AM191)&lt;0.00001,AM191,IF(controls!$B$45=1,$AS$13,AK192*AJ192/AL192))</f>
        <v>43.484707081970235</v>
      </c>
      <c r="AN192" s="44">
        <f>IF(controls!$B$46=0,0,IF(controls!$B$33=2,B193-B192*AC193-('normal case'!H193-D192*AD193-'main page'!$K$27*'normal case'!T192+'main page'!$K$31*'normal case'!AI192)-(('main page'!$K$25*'main page'!$U$13*'main page'!$K$29)/(1+('main page'!$K$25^2)*'main page'!$U$13))*('normal case'!L192-'main page'!$U$8),B193-B192*AC193-('normal case'!I193-D192*AD193-'main page'!$K$27*'normal case'!T192+'main page'!$K$31*'normal case'!AI192)-(('main page'!$K$25*'main page'!$U$13*'main page'!$K$29)/(1+('main page'!$K$25^2)*'main page'!$U$13))*('normal case'!L192-'main page'!$U$8)))</f>
        <v>0</v>
      </c>
      <c r="AU192" s="36"/>
      <c r="AV192" s="36"/>
    </row>
    <row r="193" spans="1:48">
      <c r="A193" s="43">
        <v>191</v>
      </c>
      <c r="B193" s="62">
        <f ca="1">IF(controls!$B$33=1,B192*(1+AC193)+AA193,B192*(1+AC193))</f>
        <v>101</v>
      </c>
      <c r="C193" s="67">
        <f t="shared" ca="1" si="24"/>
        <v>-1.5107707374006907E-7</v>
      </c>
      <c r="D193" s="64">
        <f t="shared" ca="1" si="20"/>
        <v>101.00000005960464</v>
      </c>
      <c r="E193" s="64">
        <f ca="1">AN192+IF(controls!$B$33=1,G193,F193)</f>
        <v>101.00000005960464</v>
      </c>
      <c r="F193" s="78">
        <f ca="1">IF(controls!$B$44=0,H193-'main page'!$K$27*T192,H193-'main page'!$K$27*T192+'main page'!$K$31*AI192)</f>
        <v>101.00000005960464</v>
      </c>
      <c r="G193" s="62">
        <f ca="1">IF(controls!$B$44=0,I193-'main page'!$K$27*T192,I193-'main page'!$K$27*T192+'main page'!$K$31*'normal case'!AI192)</f>
        <v>101.00000005960464</v>
      </c>
      <c r="H193" s="62">
        <f t="shared" ca="1" si="26"/>
        <v>108</v>
      </c>
      <c r="I193" s="62">
        <f t="shared" ca="1" si="27"/>
        <v>108</v>
      </c>
      <c r="L193" s="62">
        <f ca="1">IF(ABS('main page'!$K$29*L192+(1-'main page'!$K$29)*(controls!$B$9/100)*100+'main page'!$K$25*(D193-B193)-L192)&lt;0.0000001,L192,'main page'!$K$29*L192+(1-'main page'!$K$29)*(controls!$B$9/100)*100+'main page'!$K$25*(D193-B193))</f>
        <v>1.9999998807907104</v>
      </c>
      <c r="Q193" s="409">
        <f ca="1">(1-'main page'!$K$29)*($AS$11/100)*100+'main page'!$K$25*(D193-B193)</f>
        <v>5.9604644775390625E-8</v>
      </c>
      <c r="R193" s="409">
        <f>'main page'!G197+'main page'!$K$29*M192</f>
        <v>0</v>
      </c>
      <c r="S193" s="409">
        <f t="shared" ca="1" si="25"/>
        <v>5.9604644775390625E-8</v>
      </c>
      <c r="T193" s="79">
        <f ca="1">IF(controls!$B$10=1,T192,IF(SUM(controls!$B$44:$B$46)=2,U193-'main page'!$K$29*'normal case'!L193-(1-'main page'!$K$29)*'main page'!$K$32,U193-'main page'!$K$29*'normal case'!L193-(1-'main page'!$K$29)*controls!$B$9))</f>
        <v>3.4999999701976776</v>
      </c>
      <c r="U193" s="164">
        <f ca="1">IF(controls!$B$45=1,IF(controls!$B$46=1,'main page'!$K$24+'main page'!$K$11+'main page'!$U$8,'main page'!$K$24+'main page'!$K$11+'main page'!$K$32),IF(controls!$B$44=1,IF(V193&lt;0,0,V193),IF(V193+'main page'!$K$11&lt;0,0,V193+'main page'!$K$11)))</f>
        <v>5.4999998509883881</v>
      </c>
      <c r="V193" s="63">
        <f ca="1">IF(controls!$B$10=1,'normal case'!T193+'normal case'!L193,'normal case'!W193)</f>
        <v>5.4999998509883881</v>
      </c>
      <c r="W193" s="61">
        <f t="shared" ca="1" si="21"/>
        <v>5.4999998509883881</v>
      </c>
      <c r="X193" s="166">
        <f ca="1">IF(controls!$B$44=0,Y193+'main page'!$K$29*L193+(1-'main page'!$K$29)*controls!$B$9+(('main page'!$K$25*'main page'!$U$13*'main page'!$K$29)/('main page'!$K$27*(1+('main page'!$K$25^2)*'main page'!$U$13)))*(L193-controls!$B$9),Y193+'main page'!$K$29*L193+(1-'main page'!$K$29)*controls!$B$9+(('main page'!$K$25*'main page'!$U$13*'normal case'!$AV$3)/'normal case'!$AV$4)*('normal case'!L193-controls!$B$9))</f>
        <v>5.4999998509883881</v>
      </c>
      <c r="Y193" s="81">
        <f ca="1">IF(controls!$B$44=1,'main page'!$K$24+'main page'!$K$11,IF(controls!$B$33=1,((I194-D193*AD194-B194+B193*AC194)/'main page'!$K$27)-'main page'!$K$11,((H194-D193*AD194-B194+B193*AC194)/'main page'!$K$27)-'main page'!$K$11))</f>
        <v>3.5</v>
      </c>
      <c r="AA193" s="58">
        <f>IF(controls!$B$6=1,$AS$3*(1+('main page'!$K$35/100))^AB193-$AS$3*(1+('main page'!$K$35/100))^AB192,$AS$3*(1+('main page'!$G$8/100))*(1+('main page'!$K$35/100))^AB193-$AS$3*(1+('main page'!$G$8/100))*(1+('main page'!$K$35/100))^AB192)</f>
        <v>0</v>
      </c>
      <c r="AB193" s="60">
        <v>186</v>
      </c>
      <c r="AC193" s="125">
        <v>0</v>
      </c>
      <c r="AD193" s="36">
        <v>0</v>
      </c>
      <c r="AE193" s="44">
        <f ca="1">IF(controls!$B$33=1,D193-($I$3-'main page'!$K$27*2)*(1+('main page'!$K$35/100))^A192,D193-$AS$4)</f>
        <v>1.0000000596046448</v>
      </c>
      <c r="AF193" s="44">
        <f ca="1">ABS(L193-(controls!$B$9/100)*100)</f>
        <v>1.1920928955078125E-7</v>
      </c>
      <c r="AH193" s="44">
        <f ca="1">IF(controls!$B$33=1,(B194-B193*AC194-I194+D193*AD194+'main page'!$K$27*('main page'!$K$24+'main page'!$K$11))/'main page'!$K$31,(B194-B193*AC194+D193*AD194-H194+'main page'!$K$27*('main page'!$K$24+'main page'!$K$11))/'main page'!$K$31)</f>
        <v>1</v>
      </c>
      <c r="AI193" s="44">
        <f ca="1">IF(controls!$B$45=1,LOG(AM193,1.01)+LOG(AL193,1.01)-LOG(AK193,1.01),-((T193-('main page'!$K$24+'main page'!$K$11))/(1-'normal case'!$AV$3))+'normal case'!AH193)</f>
        <v>2.0000000596046448</v>
      </c>
      <c r="AJ193" s="80">
        <f t="shared" ca="1" si="22"/>
        <v>1.0506250015463039</v>
      </c>
      <c r="AK193" s="44">
        <f t="shared" ca="1" si="23"/>
        <v>42.217157507665704</v>
      </c>
      <c r="AL193" s="44">
        <f>AL192*(1+'main page'!$K$32/100)</f>
        <v>1</v>
      </c>
      <c r="AM193" s="44">
        <f ca="1">IF(ABS(IF(controls!$B$45=1,$AS$13,AK193*AJ193/AL193)-AM192)&lt;0.00001,AM192,IF(controls!$B$45=1,$AS$13,AK193*AJ193/AL193))</f>
        <v>44.354401171771833</v>
      </c>
      <c r="AN193" s="44">
        <f>IF(controls!$B$46=0,0,IF(controls!$B$33=2,B194-B193*AC194-('normal case'!H194-D193*AD194-'main page'!$K$27*'normal case'!T193+'main page'!$K$31*'normal case'!AI193)-(('main page'!$K$25*'main page'!$U$13*'main page'!$K$29)/(1+('main page'!$K$25^2)*'main page'!$U$13))*('normal case'!L193-'main page'!$U$8),B194-B193*AC194-('normal case'!I194-D193*AD194-'main page'!$K$27*'normal case'!T193+'main page'!$K$31*'normal case'!AI193)-(('main page'!$K$25*'main page'!$U$13*'main page'!$K$29)/(1+('main page'!$K$25^2)*'main page'!$U$13))*('normal case'!L193-'main page'!$U$8)))</f>
        <v>0</v>
      </c>
      <c r="AU193" s="36"/>
      <c r="AV193" s="36"/>
    </row>
    <row r="194" spans="1:48">
      <c r="A194" s="43">
        <v>192</v>
      </c>
      <c r="B194" s="62">
        <f ca="1">IF(controls!$B$33=1,B193*(1+AC194)+AA194,B193*(1+AC194))</f>
        <v>101</v>
      </c>
      <c r="C194" s="67">
        <f t="shared" ca="1" si="24"/>
        <v>-1.5107707374006907E-7</v>
      </c>
      <c r="D194" s="64">
        <f t="shared" ca="1" si="20"/>
        <v>101.00000005960464</v>
      </c>
      <c r="E194" s="64">
        <f ca="1">AN193+IF(controls!$B$33=1,G194,F194)</f>
        <v>101.00000005960464</v>
      </c>
      <c r="F194" s="78">
        <f ca="1">IF(controls!$B$44=0,H194-'main page'!$K$27*T193,H194-'main page'!$K$27*T193+'main page'!$K$31*AI193)</f>
        <v>101.00000005960464</v>
      </c>
      <c r="G194" s="62">
        <f ca="1">IF(controls!$B$44=0,I194-'main page'!$K$27*T193,I194-'main page'!$K$27*T193+'main page'!$K$31*'normal case'!AI193)</f>
        <v>101.00000005960464</v>
      </c>
      <c r="H194" s="62">
        <f t="shared" ca="1" si="26"/>
        <v>108</v>
      </c>
      <c r="I194" s="62">
        <f t="shared" ca="1" si="27"/>
        <v>108</v>
      </c>
      <c r="L194" s="62">
        <f ca="1">IF(ABS('main page'!$K$29*L193+(1-'main page'!$K$29)*(controls!$B$9/100)*100+'main page'!$K$25*(D194-B194)-L193)&lt;0.0000001,L193,'main page'!$K$29*L193+(1-'main page'!$K$29)*(controls!$B$9/100)*100+'main page'!$K$25*(D194-B194))</f>
        <v>1.9999998807907104</v>
      </c>
      <c r="Q194" s="409">
        <f ca="1">(1-'main page'!$K$29)*($AS$11/100)*100+'main page'!$K$25*(D194-B194)</f>
        <v>5.9604644775390625E-8</v>
      </c>
      <c r="R194" s="409">
        <f>'main page'!G198+'main page'!$K$29*M193</f>
        <v>0</v>
      </c>
      <c r="S194" s="409">
        <f t="shared" ca="1" si="25"/>
        <v>5.9604644775390625E-8</v>
      </c>
      <c r="T194" s="79">
        <f ca="1">IF(controls!$B$10=1,T193,IF(SUM(controls!$B$44:$B$46)=2,U194-'main page'!$K$29*'normal case'!L194-(1-'main page'!$K$29)*'main page'!$K$32,U194-'main page'!$K$29*'normal case'!L194-(1-'main page'!$K$29)*controls!$B$9))</f>
        <v>3.4999999701976776</v>
      </c>
      <c r="U194" s="164">
        <f ca="1">IF(controls!$B$45=1,IF(controls!$B$46=1,'main page'!$K$24+'main page'!$K$11+'main page'!$U$8,'main page'!$K$24+'main page'!$K$11+'main page'!$K$32),IF(controls!$B$44=1,IF(V194&lt;0,0,V194),IF(V194+'main page'!$K$11&lt;0,0,V194+'main page'!$K$11)))</f>
        <v>5.4999998509883881</v>
      </c>
      <c r="V194" s="63">
        <f ca="1">IF(controls!$B$10=1,'normal case'!T194+'normal case'!L194,'normal case'!W194)</f>
        <v>5.4999998509883881</v>
      </c>
      <c r="W194" s="61">
        <f t="shared" ca="1" si="21"/>
        <v>5.4999998509883881</v>
      </c>
      <c r="X194" s="166">
        <f ca="1">IF(controls!$B$44=0,Y194+'main page'!$K$29*L194+(1-'main page'!$K$29)*controls!$B$9+(('main page'!$K$25*'main page'!$U$13*'main page'!$K$29)/('main page'!$K$27*(1+('main page'!$K$25^2)*'main page'!$U$13)))*(L194-controls!$B$9),Y194+'main page'!$K$29*L194+(1-'main page'!$K$29)*controls!$B$9+(('main page'!$K$25*'main page'!$U$13*'normal case'!$AV$3)/'normal case'!$AV$4)*('normal case'!L194-controls!$B$9))</f>
        <v>5.4999998509883881</v>
      </c>
      <c r="Y194" s="81">
        <f ca="1">IF(controls!$B$44=1,'main page'!$K$24+'main page'!$K$11,IF(controls!$B$33=1,((I195-D194*AD195-B195+B194*AC195)/'main page'!$K$27)-'main page'!$K$11,((H195-D194*AD195-B195+B194*AC195)/'main page'!$K$27)-'main page'!$K$11))</f>
        <v>3.5</v>
      </c>
      <c r="AA194" s="58">
        <f>IF(controls!$B$6=1,$AS$3*(1+('main page'!$K$35/100))^AB194-$AS$3*(1+('main page'!$K$35/100))^AB193,$AS$3*(1+('main page'!$G$8/100))*(1+('main page'!$K$35/100))^AB194-$AS$3*(1+('main page'!$G$8/100))*(1+('main page'!$K$35/100))^AB193)</f>
        <v>0</v>
      </c>
      <c r="AB194" s="60">
        <v>187</v>
      </c>
      <c r="AC194" s="125">
        <f ca="1">IF(controls!$B$4=1,IF(controls!$H193=1,controls!$B$34*AC193+RAND()*('main page'!$K$16/100)-RAND()*('main page'!$K$16/100),0),0)</f>
        <v>0</v>
      </c>
      <c r="AD194" s="36">
        <f ca="1">IF(controls!$B$4=1,IF(controls!$I193=1,controls!$B$34*AD193+RAND()*('main page'!$K$16/100)-RAND()*('main page'!$K$16/100),0),0)</f>
        <v>0</v>
      </c>
      <c r="AE194" s="44">
        <f ca="1">IF(controls!$B$33=1,D194-($I$3-'main page'!$K$27*2)*(1+('main page'!$K$35/100))^A193,D194-$AS$4)</f>
        <v>1.0000000596046448</v>
      </c>
      <c r="AF194" s="44">
        <f ca="1">ABS(L194-(controls!$B$9/100)*100)</f>
        <v>1.1920928955078125E-7</v>
      </c>
      <c r="AH194" s="44">
        <f ca="1">IF(controls!$B$33=1,(B195-B194*AC195-I195+D194*AD195+'main page'!$K$27*('main page'!$K$24+'main page'!$K$11))/'main page'!$K$31,(B195-B194*AC195+D194*AD195-H195+'main page'!$K$27*('main page'!$K$24+'main page'!$K$11))/'main page'!$K$31)</f>
        <v>1</v>
      </c>
      <c r="AI194" s="44">
        <f ca="1">IF(controls!$B$45=1,LOG(AM194,1.01)+LOG(AL194,1.01)-LOG(AK194,1.01),-((T194-('main page'!$K$24+'main page'!$K$11))/(1-'normal case'!$AV$3))+'normal case'!AH194)</f>
        <v>2.0000000596046448</v>
      </c>
      <c r="AJ194" s="80">
        <f t="shared" ca="1" si="22"/>
        <v>1.0506250015463039</v>
      </c>
      <c r="AK194" s="44">
        <f t="shared" ca="1" si="23"/>
        <v>43.061500607492249</v>
      </c>
      <c r="AL194" s="44">
        <f>AL193*(1+'main page'!$K$32/100)</f>
        <v>1</v>
      </c>
      <c r="AM194" s="44">
        <f ca="1">IF(ABS(IF(controls!$B$45=1,$AS$13,AK194*AJ194/AL194)-AM193)&lt;0.00001,AM193,IF(controls!$B$45=1,$AS$13,AK194*AJ194/AL194))</f>
        <v>45.241489142332711</v>
      </c>
      <c r="AN194" s="44">
        <f>IF(controls!$B$46=0,0,IF(controls!$B$33=2,B195-B194*AC195-('normal case'!H195-D194*AD195-'main page'!$K$27*'normal case'!T194+'main page'!$K$31*'normal case'!AI194)-(('main page'!$K$25*'main page'!$U$13*'main page'!$K$29)/(1+('main page'!$K$25^2)*'main page'!$U$13))*('normal case'!L194-'main page'!$U$8),B195-B194*AC195-('normal case'!I195-D194*AD195-'main page'!$K$27*'normal case'!T194+'main page'!$K$31*'normal case'!AI194)-(('main page'!$K$25*'main page'!$U$13*'main page'!$K$29)/(1+('main page'!$K$25^2)*'main page'!$U$13))*('normal case'!L194-'main page'!$U$8)))</f>
        <v>0</v>
      </c>
      <c r="AU194" s="36"/>
      <c r="AV194" s="36"/>
    </row>
    <row r="195" spans="1:48">
      <c r="A195" s="43">
        <v>193</v>
      </c>
      <c r="B195" s="62">
        <f ca="1">IF(controls!$B$33=1,B194*(1+AC195)+AA195,B194*(1+AC195))</f>
        <v>101</v>
      </c>
      <c r="C195" s="67">
        <f t="shared" ca="1" si="24"/>
        <v>-1.5107707374006907E-7</v>
      </c>
      <c r="D195" s="64">
        <f t="shared" ca="1" si="20"/>
        <v>101.00000005960464</v>
      </c>
      <c r="E195" s="64">
        <f ca="1">AN194+IF(controls!$B$33=1,G195,F195)</f>
        <v>101.00000005960464</v>
      </c>
      <c r="F195" s="78">
        <f ca="1">IF(controls!$B$44=0,H195-'main page'!$K$27*T194,H195-'main page'!$K$27*T194+'main page'!$K$31*AI194)</f>
        <v>101.00000005960464</v>
      </c>
      <c r="G195" s="62">
        <f ca="1">IF(controls!$B$44=0,I195-'main page'!$K$27*T194,I195-'main page'!$K$27*T194+'main page'!$K$31*'normal case'!AI194)</f>
        <v>101.00000005960464</v>
      </c>
      <c r="H195" s="62">
        <f t="shared" ca="1" si="26"/>
        <v>108</v>
      </c>
      <c r="I195" s="62">
        <f t="shared" ca="1" si="27"/>
        <v>108</v>
      </c>
      <c r="L195" s="62">
        <f ca="1">IF(ABS('main page'!$K$29*L194+(1-'main page'!$K$29)*(controls!$B$9/100)*100+'main page'!$K$25*(D195-B195)-L194)&lt;0.0000001,L194,'main page'!$K$29*L194+(1-'main page'!$K$29)*(controls!$B$9/100)*100+'main page'!$K$25*(D195-B195))</f>
        <v>1.9999998807907104</v>
      </c>
      <c r="Q195" s="409">
        <f ca="1">(1-'main page'!$K$29)*($AS$11/100)*100+'main page'!$K$25*(D195-B195)</f>
        <v>5.9604644775390625E-8</v>
      </c>
      <c r="R195" s="409">
        <f>'main page'!G199+'main page'!$K$29*M194</f>
        <v>0</v>
      </c>
      <c r="S195" s="409">
        <f t="shared" ca="1" si="25"/>
        <v>5.9604644775390625E-8</v>
      </c>
      <c r="T195" s="79">
        <f ca="1">IF(controls!$B$10=1,T194,IF(SUM(controls!$B$44:$B$46)=2,U195-'main page'!$K$29*'normal case'!L195-(1-'main page'!$K$29)*'main page'!$K$32,U195-'main page'!$K$29*'normal case'!L195-(1-'main page'!$K$29)*controls!$B$9))</f>
        <v>3.4999999701976776</v>
      </c>
      <c r="U195" s="164">
        <f ca="1">IF(controls!$B$45=1,IF(controls!$B$46=1,'main page'!$K$24+'main page'!$K$11+'main page'!$U$8,'main page'!$K$24+'main page'!$K$11+'main page'!$K$32),IF(controls!$B$44=1,IF(V195&lt;0,0,V195),IF(V195+'main page'!$K$11&lt;0,0,V195+'main page'!$K$11)))</f>
        <v>5.4999998509883881</v>
      </c>
      <c r="V195" s="63">
        <f ca="1">IF(controls!$B$10=1,'normal case'!T195+'normal case'!L195,'normal case'!W195)</f>
        <v>5.4999998509883881</v>
      </c>
      <c r="W195" s="61">
        <f t="shared" ca="1" si="21"/>
        <v>5.4999998509883881</v>
      </c>
      <c r="X195" s="166">
        <f ca="1">IF(controls!$B$44=0,Y195+'main page'!$K$29*L195+(1-'main page'!$K$29)*controls!$B$9+(('main page'!$K$25*'main page'!$U$13*'main page'!$K$29)/('main page'!$K$27*(1+('main page'!$K$25^2)*'main page'!$U$13)))*(L195-controls!$B$9),Y195+'main page'!$K$29*L195+(1-'main page'!$K$29)*controls!$B$9+(('main page'!$K$25*'main page'!$U$13*'normal case'!$AV$3)/'normal case'!$AV$4)*('normal case'!L195-controls!$B$9))</f>
        <v>5.4999998509883881</v>
      </c>
      <c r="Y195" s="81">
        <f ca="1">IF(controls!$B$44=1,'main page'!$K$24+'main page'!$K$11,IF(controls!$B$33=1,((I196-D195*AD196-B196+B195*AC196)/'main page'!$K$27)-'main page'!$K$11,((H196-D195*AD196-B196+B195*AC196)/'main page'!$K$27)-'main page'!$K$11))</f>
        <v>3.5</v>
      </c>
      <c r="AA195" s="58">
        <f>IF(controls!$B$6=1,$AS$3*(1+('main page'!$K$35/100))^AB195-$AS$3*(1+('main page'!$K$35/100))^AB194,$AS$3*(1+('main page'!$G$8/100))*(1+('main page'!$K$35/100))^AB195-$AS$3*(1+('main page'!$G$8/100))*(1+('main page'!$K$35/100))^AB194)</f>
        <v>0</v>
      </c>
      <c r="AB195" s="60">
        <v>188</v>
      </c>
      <c r="AC195" s="125">
        <v>0</v>
      </c>
      <c r="AD195" s="36">
        <v>0</v>
      </c>
      <c r="AE195" s="44">
        <f ca="1">IF(controls!$B$33=1,D195-($I$3-'main page'!$K$27*2)*(1+('main page'!$K$35/100))^A194,D195-$AS$4)</f>
        <v>1.0000000596046448</v>
      </c>
      <c r="AF195" s="44">
        <f ca="1">ABS(L195-(controls!$B$9/100)*100)</f>
        <v>1.1920928955078125E-7</v>
      </c>
      <c r="AH195" s="44">
        <f ca="1">IF(controls!$B$33=1,(B196-B195*AC196-I196+D195*AD196+'main page'!$K$27*('main page'!$K$24+'main page'!$K$11))/'main page'!$K$31,(B196-B195*AC196+D195*AD196-H196+'main page'!$K$27*('main page'!$K$24+'main page'!$K$11))/'main page'!$K$31)</f>
        <v>1</v>
      </c>
      <c r="AI195" s="44">
        <f ca="1">IF(controls!$B$45=1,LOG(AM195,1.01)+LOG(AL195,1.01)-LOG(AK195,1.01),-((T195-('main page'!$K$24+'main page'!$K$11))/(1-'normal case'!$AV$3))+'normal case'!AH195)</f>
        <v>2.0000000596046448</v>
      </c>
      <c r="AJ195" s="80">
        <f t="shared" ca="1" si="22"/>
        <v>1.0506250015463039</v>
      </c>
      <c r="AK195" s="44">
        <f t="shared" ca="1" si="23"/>
        <v>43.922730568308786</v>
      </c>
      <c r="AL195" s="44">
        <f>AL194*(1+'main page'!$K$32/100)</f>
        <v>1</v>
      </c>
      <c r="AM195" s="44">
        <f ca="1">IF(ABS(IF(controls!$B$45=1,$AS$13,AK195*AJ195/AL195)-AM194)&lt;0.00001,AM194,IF(controls!$B$45=1,$AS$13,AK195*AJ195/AL195))</f>
        <v>46.14631887124731</v>
      </c>
      <c r="AN195" s="44">
        <f>IF(controls!$B$46=0,0,IF(controls!$B$33=2,B196-B195*AC196-('normal case'!H196-D195*AD196-'main page'!$K$27*'normal case'!T195+'main page'!$K$31*'normal case'!AI195)-(('main page'!$K$25*'main page'!$U$13*'main page'!$K$29)/(1+('main page'!$K$25^2)*'main page'!$U$13))*('normal case'!L195-'main page'!$U$8),B196-B195*AC196-('normal case'!I196-D195*AD196-'main page'!$K$27*'normal case'!T195+'main page'!$K$31*'normal case'!AI195)-(('main page'!$K$25*'main page'!$U$13*'main page'!$K$29)/(1+('main page'!$K$25^2)*'main page'!$U$13))*('normal case'!L195-'main page'!$U$8)))</f>
        <v>0</v>
      </c>
      <c r="AU195" s="36"/>
      <c r="AV195" s="36"/>
    </row>
    <row r="196" spans="1:48">
      <c r="A196" s="43">
        <v>194</v>
      </c>
      <c r="B196" s="62">
        <f ca="1">IF(controls!$B$33=1,B195*(1+AC196)+AA196,B195*(1+AC196))</f>
        <v>101</v>
      </c>
      <c r="C196" s="67">
        <f t="shared" ca="1" si="24"/>
        <v>-1.5107707374006907E-7</v>
      </c>
      <c r="D196" s="64">
        <f t="shared" ref="D196:D259" ca="1" si="28">IF(E196&gt;0,E196,0.1)</f>
        <v>101.00000005960464</v>
      </c>
      <c r="E196" s="64">
        <f ca="1">AN195+IF(controls!$B$33=1,G196,F196)</f>
        <v>101.00000005960464</v>
      </c>
      <c r="F196" s="78">
        <f ca="1">IF(controls!$B$44=0,H196-'main page'!$K$27*T195,H196-'main page'!$K$27*T195+'main page'!$K$31*AI195)</f>
        <v>101.00000005960464</v>
      </c>
      <c r="G196" s="62">
        <f ca="1">IF(controls!$B$44=0,I196-'main page'!$K$27*T195,I196-'main page'!$K$27*T195+'main page'!$K$31*'normal case'!AI195)</f>
        <v>101.00000005960464</v>
      </c>
      <c r="H196" s="62">
        <f t="shared" ca="1" si="26"/>
        <v>108</v>
      </c>
      <c r="I196" s="62">
        <f t="shared" ca="1" si="27"/>
        <v>108</v>
      </c>
      <c r="L196" s="62">
        <f ca="1">IF(ABS('main page'!$K$29*L195+(1-'main page'!$K$29)*(controls!$B$9/100)*100+'main page'!$K$25*(D196-B196)-L195)&lt;0.0000001,L195,'main page'!$K$29*L195+(1-'main page'!$K$29)*(controls!$B$9/100)*100+'main page'!$K$25*(D196-B196))</f>
        <v>1.9999998807907104</v>
      </c>
      <c r="Q196" s="409">
        <f ca="1">(1-'main page'!$K$29)*($AS$11/100)*100+'main page'!$K$25*(D196-B196)</f>
        <v>5.9604644775390625E-8</v>
      </c>
      <c r="R196" s="409">
        <f>'main page'!G200+'main page'!$K$29*M195</f>
        <v>0</v>
      </c>
      <c r="S196" s="409">
        <f t="shared" ca="1" si="25"/>
        <v>5.9604644775390625E-8</v>
      </c>
      <c r="T196" s="79">
        <f ca="1">IF(controls!$B$10=1,T195,IF(SUM(controls!$B$44:$B$46)=2,U196-'main page'!$K$29*'normal case'!L196-(1-'main page'!$K$29)*'main page'!$K$32,U196-'main page'!$K$29*'normal case'!L196-(1-'main page'!$K$29)*controls!$B$9))</f>
        <v>3.4999999701976776</v>
      </c>
      <c r="U196" s="164">
        <f ca="1">IF(controls!$B$45=1,IF(controls!$B$46=1,'main page'!$K$24+'main page'!$K$11+'main page'!$U$8,'main page'!$K$24+'main page'!$K$11+'main page'!$K$32),IF(controls!$B$44=1,IF(V196&lt;0,0,V196),IF(V196+'main page'!$K$11&lt;0,0,V196+'main page'!$K$11)))</f>
        <v>5.4999998509883881</v>
      </c>
      <c r="V196" s="63">
        <f ca="1">IF(controls!$B$10=1,'normal case'!T196+'normal case'!L196,'normal case'!W196)</f>
        <v>5.4999998509883881</v>
      </c>
      <c r="W196" s="61">
        <f t="shared" ref="W196:W259" ca="1" si="29">IF(X196&lt;0,0,X196)</f>
        <v>5.4999998509883881</v>
      </c>
      <c r="X196" s="166">
        <f ca="1">IF(controls!$B$44=0,Y196+'main page'!$K$29*L196+(1-'main page'!$K$29)*controls!$B$9+(('main page'!$K$25*'main page'!$U$13*'main page'!$K$29)/('main page'!$K$27*(1+('main page'!$K$25^2)*'main page'!$U$13)))*(L196-controls!$B$9),Y196+'main page'!$K$29*L196+(1-'main page'!$K$29)*controls!$B$9+(('main page'!$K$25*'main page'!$U$13*'normal case'!$AV$3)/'normal case'!$AV$4)*('normal case'!L196-controls!$B$9))</f>
        <v>5.4999998509883881</v>
      </c>
      <c r="Y196" s="81">
        <f ca="1">IF(controls!$B$44=1,'main page'!$K$24+'main page'!$K$11,IF(controls!$B$33=1,((I197-D196*AD197-B197+B196*AC197)/'main page'!$K$27)-'main page'!$K$11,((H197-D196*AD197-B197+B196*AC197)/'main page'!$K$27)-'main page'!$K$11))</f>
        <v>3.5</v>
      </c>
      <c r="AA196" s="58">
        <f>IF(controls!$B$6=1,$AS$3*(1+('main page'!$K$35/100))^AB196-$AS$3*(1+('main page'!$K$35/100))^AB195,$AS$3*(1+('main page'!$G$8/100))*(1+('main page'!$K$35/100))^AB196-$AS$3*(1+('main page'!$G$8/100))*(1+('main page'!$K$35/100))^AB195)</f>
        <v>0</v>
      </c>
      <c r="AB196" s="60">
        <v>189</v>
      </c>
      <c r="AC196" s="125">
        <v>0</v>
      </c>
      <c r="AD196" s="36">
        <v>0</v>
      </c>
      <c r="AE196" s="44">
        <f ca="1">IF(controls!$B$33=1,D196-($I$3-'main page'!$K$27*2)*(1+('main page'!$K$35/100))^A195,D196-$AS$4)</f>
        <v>1.0000000596046448</v>
      </c>
      <c r="AF196" s="44">
        <f ca="1">ABS(L196-(controls!$B$9/100)*100)</f>
        <v>1.1920928955078125E-7</v>
      </c>
      <c r="AH196" s="44">
        <f ca="1">IF(controls!$B$33=1,(B197-B196*AC197-I197+D196*AD197+'main page'!$K$27*('main page'!$K$24+'main page'!$K$11))/'main page'!$K$31,(B197-B196*AC197+D196*AD197-H197+'main page'!$K$27*('main page'!$K$24+'main page'!$K$11))/'main page'!$K$31)</f>
        <v>1</v>
      </c>
      <c r="AI196" s="44">
        <f ca="1">IF(controls!$B$45=1,LOG(AM196,1.01)+LOG(AL196,1.01)-LOG(AK196,1.01),-((T196-('main page'!$K$24+'main page'!$K$11))/(1-'normal case'!$AV$3))+'normal case'!AH196)</f>
        <v>2.0000000596046448</v>
      </c>
      <c r="AJ196" s="80">
        <f t="shared" ref="AJ196:AJ259" ca="1" si="30">IF(ABS(1.025^AI196-1)&lt;0.000000000001,1,1.025^AI196)</f>
        <v>1.0506250015463039</v>
      </c>
      <c r="AK196" s="44">
        <f t="shared" ref="AK196:AK259" ca="1" si="31">AK195*(1+L196/100)</f>
        <v>44.801185127314987</v>
      </c>
      <c r="AL196" s="44">
        <f>AL195*(1+'main page'!$K$32/100)</f>
        <v>1</v>
      </c>
      <c r="AM196" s="44">
        <f ca="1">IF(ABS(IF(controls!$B$45=1,$AS$13,AK196*AJ196/AL196)-AM195)&lt;0.00001,AM195,IF(controls!$B$45=1,$AS$13,AK196*AJ196/AL196))</f>
        <v>47.069245193661558</v>
      </c>
      <c r="AN196" s="44">
        <f>IF(controls!$B$46=0,0,IF(controls!$B$33=2,B197-B196*AC197-('normal case'!H197-D196*AD197-'main page'!$K$27*'normal case'!T196+'main page'!$K$31*'normal case'!AI196)-(('main page'!$K$25*'main page'!$U$13*'main page'!$K$29)/(1+('main page'!$K$25^2)*'main page'!$U$13))*('normal case'!L196-'main page'!$U$8),B197-B196*AC197-('normal case'!I197-D196*AD197-'main page'!$K$27*'normal case'!T196+'main page'!$K$31*'normal case'!AI196)-(('main page'!$K$25*'main page'!$U$13*'main page'!$K$29)/(1+('main page'!$K$25^2)*'main page'!$U$13))*('normal case'!L196-'main page'!$U$8)))</f>
        <v>0</v>
      </c>
      <c r="AU196" s="36"/>
      <c r="AV196" s="36"/>
    </row>
    <row r="197" spans="1:48">
      <c r="A197" s="43">
        <v>195</v>
      </c>
      <c r="B197" s="62">
        <f ca="1">IF(controls!$B$33=1,B196*(1+AC197)+AA197,B196*(1+AC197))</f>
        <v>101</v>
      </c>
      <c r="C197" s="67">
        <f t="shared" ca="1" si="24"/>
        <v>-1.5107707374006907E-7</v>
      </c>
      <c r="D197" s="64">
        <f t="shared" ca="1" si="28"/>
        <v>101.00000005960464</v>
      </c>
      <c r="E197" s="64">
        <f ca="1">AN196+IF(controls!$B$33=1,G197,F197)</f>
        <v>101.00000005960464</v>
      </c>
      <c r="F197" s="78">
        <f ca="1">IF(controls!$B$44=0,H197-'main page'!$K$27*T196,H197-'main page'!$K$27*T196+'main page'!$K$31*AI196)</f>
        <v>101.00000005960464</v>
      </c>
      <c r="G197" s="62">
        <f ca="1">IF(controls!$B$44=0,I197-'main page'!$K$27*T196,I197-'main page'!$K$27*T196+'main page'!$K$31*'normal case'!AI196)</f>
        <v>101.00000005960464</v>
      </c>
      <c r="H197" s="62">
        <f t="shared" ca="1" si="26"/>
        <v>108</v>
      </c>
      <c r="I197" s="62">
        <f t="shared" ca="1" si="27"/>
        <v>108</v>
      </c>
      <c r="L197" s="62">
        <f ca="1">IF(ABS('main page'!$K$29*L196+(1-'main page'!$K$29)*(controls!$B$9/100)*100+'main page'!$K$25*(D197-B197)-L196)&lt;0.0000001,L196,'main page'!$K$29*L196+(1-'main page'!$K$29)*(controls!$B$9/100)*100+'main page'!$K$25*(D197-B197))</f>
        <v>1.9999998807907104</v>
      </c>
      <c r="Q197" s="409">
        <f ca="1">(1-'main page'!$K$29)*($AS$11/100)*100+'main page'!$K$25*(D197-B197)</f>
        <v>5.9604644775390625E-8</v>
      </c>
      <c r="R197" s="409">
        <f>'main page'!G201+'main page'!$K$29*M196</f>
        <v>0</v>
      </c>
      <c r="S197" s="409">
        <f t="shared" ca="1" si="25"/>
        <v>5.9604644775390625E-8</v>
      </c>
      <c r="T197" s="79">
        <f ca="1">IF(controls!$B$10=1,T196,IF(SUM(controls!$B$44:$B$46)=2,U197-'main page'!$K$29*'normal case'!L197-(1-'main page'!$K$29)*'main page'!$K$32,U197-'main page'!$K$29*'normal case'!L197-(1-'main page'!$K$29)*controls!$B$9))</f>
        <v>3.4999999701976776</v>
      </c>
      <c r="U197" s="164">
        <f ca="1">IF(controls!$B$45=1,IF(controls!$B$46=1,'main page'!$K$24+'main page'!$K$11+'main page'!$U$8,'main page'!$K$24+'main page'!$K$11+'main page'!$K$32),IF(controls!$B$44=1,IF(V197&lt;0,0,V197),IF(V197+'main page'!$K$11&lt;0,0,V197+'main page'!$K$11)))</f>
        <v>5.4999998509883881</v>
      </c>
      <c r="V197" s="63">
        <f ca="1">IF(controls!$B$10=1,'normal case'!T197+'normal case'!L197,'normal case'!W197)</f>
        <v>5.4999998509883881</v>
      </c>
      <c r="W197" s="61">
        <f t="shared" ca="1" si="29"/>
        <v>5.4999998509883881</v>
      </c>
      <c r="X197" s="166">
        <f ca="1">IF(controls!$B$44=0,Y197+'main page'!$K$29*L197+(1-'main page'!$K$29)*controls!$B$9+(('main page'!$K$25*'main page'!$U$13*'main page'!$K$29)/('main page'!$K$27*(1+('main page'!$K$25^2)*'main page'!$U$13)))*(L197-controls!$B$9),Y197+'main page'!$K$29*L197+(1-'main page'!$K$29)*controls!$B$9+(('main page'!$K$25*'main page'!$U$13*'normal case'!$AV$3)/'normal case'!$AV$4)*('normal case'!L197-controls!$B$9))</f>
        <v>5.4999998509883881</v>
      </c>
      <c r="Y197" s="81">
        <f ca="1">IF(controls!$B$44=1,'main page'!$K$24+'main page'!$K$11,IF(controls!$B$33=1,((I198-D197*AD198-B198+B197*AC198)/'main page'!$K$27)-'main page'!$K$11,((H198-D197*AD198-B198+B197*AC198)/'main page'!$K$27)-'main page'!$K$11))</f>
        <v>3.5</v>
      </c>
      <c r="AA197" s="58">
        <f>IF(controls!$B$6=1,$AS$3*(1+('main page'!$K$35/100))^AB197-$AS$3*(1+('main page'!$K$35/100))^AB196,$AS$3*(1+('main page'!$G$8/100))*(1+('main page'!$K$35/100))^AB197-$AS$3*(1+('main page'!$G$8/100))*(1+('main page'!$K$35/100))^AB196)</f>
        <v>0</v>
      </c>
      <c r="AB197" s="60">
        <v>190</v>
      </c>
      <c r="AC197" s="125">
        <f ca="1">IF(controls!$B$4=1,IF(controls!$H196=1,controls!$B$34*AC196+RAND()*('main page'!$K$16/100)-RAND()*('main page'!$K$16/100),0),0)</f>
        <v>0</v>
      </c>
      <c r="AD197" s="36">
        <f ca="1">IF(controls!$B$4=1,IF(controls!$I196=1,controls!$B$34*AD196+RAND()*('main page'!$K$16/100)-RAND()*('main page'!$K$16/100),0),0)</f>
        <v>0</v>
      </c>
      <c r="AE197" s="44">
        <f ca="1">IF(controls!$B$33=1,D197-($I$3-'main page'!$K$27*2)*(1+('main page'!$K$35/100))^A196,D197-$AS$4)</f>
        <v>1.0000000596046448</v>
      </c>
      <c r="AF197" s="44">
        <f ca="1">ABS(L197-(controls!$B$9/100)*100)</f>
        <v>1.1920928955078125E-7</v>
      </c>
      <c r="AH197" s="44">
        <f ca="1">IF(controls!$B$33=1,(B198-B197*AC198-I198+D197*AD198+'main page'!$K$27*('main page'!$K$24+'main page'!$K$11))/'main page'!$K$31,(B198-B197*AC198+D197*AD198-H198+'main page'!$K$27*('main page'!$K$24+'main page'!$K$11))/'main page'!$K$31)</f>
        <v>1</v>
      </c>
      <c r="AI197" s="44">
        <f ca="1">IF(controls!$B$45=1,LOG(AM197,1.01)+LOG(AL197,1.01)-LOG(AK197,1.01),-((T197-('main page'!$K$24+'main page'!$K$11))/(1-'normal case'!$AV$3))+'normal case'!AH197)</f>
        <v>2.0000000596046448</v>
      </c>
      <c r="AJ197" s="80">
        <f t="shared" ca="1" si="30"/>
        <v>1.0506250015463039</v>
      </c>
      <c r="AK197" s="44">
        <f t="shared" ca="1" si="31"/>
        <v>45.697208776454112</v>
      </c>
      <c r="AL197" s="44">
        <f>AL196*(1+'main page'!$K$32/100)</f>
        <v>1</v>
      </c>
      <c r="AM197" s="44">
        <f ca="1">IF(ABS(IF(controls!$B$45=1,$AS$13,AK197*AJ197/AL197)-AM196)&lt;0.00001,AM196,IF(controls!$B$45=1,$AS$13,AK197*AJ197/AL197))</f>
        <v>48.010630041423873</v>
      </c>
      <c r="AN197" s="44">
        <f>IF(controls!$B$46=0,0,IF(controls!$B$33=2,B198-B197*AC198-('normal case'!H198-D197*AD198-'main page'!$K$27*'normal case'!T197+'main page'!$K$31*'normal case'!AI197)-(('main page'!$K$25*'main page'!$U$13*'main page'!$K$29)/(1+('main page'!$K$25^2)*'main page'!$U$13))*('normal case'!L197-'main page'!$U$8),B198-B197*AC198-('normal case'!I198-D197*AD198-'main page'!$K$27*'normal case'!T197+'main page'!$K$31*'normal case'!AI197)-(('main page'!$K$25*'main page'!$U$13*'main page'!$K$29)/(1+('main page'!$K$25^2)*'main page'!$U$13))*('normal case'!L197-'main page'!$U$8)))</f>
        <v>0</v>
      </c>
      <c r="AU197" s="36"/>
      <c r="AV197" s="36"/>
    </row>
    <row r="198" spans="1:48">
      <c r="A198" s="43">
        <v>196</v>
      </c>
      <c r="B198" s="62">
        <f ca="1">IF(controls!$B$33=1,B197*(1+AC198)+AA198,B197*(1+AC198))</f>
        <v>101</v>
      </c>
      <c r="C198" s="67">
        <f t="shared" ref="C198:C261" ca="1" si="32">IF(ABS((D198/D197-1)-C197)&lt;0.000001,C197,D198/D197-1)</f>
        <v>-1.5107707374006907E-7</v>
      </c>
      <c r="D198" s="64">
        <f t="shared" ca="1" si="28"/>
        <v>101.00000005960464</v>
      </c>
      <c r="E198" s="64">
        <f ca="1">AN197+IF(controls!$B$33=1,G198,F198)</f>
        <v>101.00000005960464</v>
      </c>
      <c r="F198" s="78">
        <f ca="1">IF(controls!$B$44=0,H198-'main page'!$K$27*T197,H198-'main page'!$K$27*T197+'main page'!$K$31*AI197)</f>
        <v>101.00000005960464</v>
      </c>
      <c r="G198" s="62">
        <f ca="1">IF(controls!$B$44=0,I198-'main page'!$K$27*T197,I198-'main page'!$K$27*T197+'main page'!$K$31*'normal case'!AI197)</f>
        <v>101.00000005960464</v>
      </c>
      <c r="H198" s="62">
        <f t="shared" ca="1" si="26"/>
        <v>108</v>
      </c>
      <c r="I198" s="62">
        <f t="shared" ca="1" si="27"/>
        <v>108</v>
      </c>
      <c r="L198" s="62">
        <f ca="1">IF(ABS('main page'!$K$29*L197+(1-'main page'!$K$29)*(controls!$B$9/100)*100+'main page'!$K$25*(D198-B198)-L197)&lt;0.0000001,L197,'main page'!$K$29*L197+(1-'main page'!$K$29)*(controls!$B$9/100)*100+'main page'!$K$25*(D198-B198))</f>
        <v>1.9999998807907104</v>
      </c>
      <c r="Q198" s="409">
        <f ca="1">(1-'main page'!$K$29)*($AS$11/100)*100+'main page'!$K$25*(D198-B198)</f>
        <v>5.9604644775390625E-8</v>
      </c>
      <c r="R198" s="409">
        <f>'main page'!G202+'main page'!$K$29*M197</f>
        <v>0</v>
      </c>
      <c r="S198" s="409">
        <f t="shared" ca="1" si="25"/>
        <v>5.9604644775390625E-8</v>
      </c>
      <c r="T198" s="79">
        <f ca="1">IF(controls!$B$10=1,T197,IF(SUM(controls!$B$44:$B$46)=2,U198-'main page'!$K$29*'normal case'!L198-(1-'main page'!$K$29)*'main page'!$K$32,U198-'main page'!$K$29*'normal case'!L198-(1-'main page'!$K$29)*controls!$B$9))</f>
        <v>3.4999999701976776</v>
      </c>
      <c r="U198" s="164">
        <f ca="1">IF(controls!$B$45=1,IF(controls!$B$46=1,'main page'!$K$24+'main page'!$K$11+'main page'!$U$8,'main page'!$K$24+'main page'!$K$11+'main page'!$K$32),IF(controls!$B$44=1,IF(V198&lt;0,0,V198),IF(V198+'main page'!$K$11&lt;0,0,V198+'main page'!$K$11)))</f>
        <v>5.4999998509883881</v>
      </c>
      <c r="V198" s="63">
        <f ca="1">IF(controls!$B$10=1,'normal case'!T198+'normal case'!L198,'normal case'!W198)</f>
        <v>5.4999998509883881</v>
      </c>
      <c r="W198" s="61">
        <f t="shared" ca="1" si="29"/>
        <v>5.4999998509883881</v>
      </c>
      <c r="X198" s="166">
        <f ca="1">IF(controls!$B$44=0,Y198+'main page'!$K$29*L198+(1-'main page'!$K$29)*controls!$B$9+(('main page'!$K$25*'main page'!$U$13*'main page'!$K$29)/('main page'!$K$27*(1+('main page'!$K$25^2)*'main page'!$U$13)))*(L198-controls!$B$9),Y198+'main page'!$K$29*L198+(1-'main page'!$K$29)*controls!$B$9+(('main page'!$K$25*'main page'!$U$13*'normal case'!$AV$3)/'normal case'!$AV$4)*('normal case'!L198-controls!$B$9))</f>
        <v>5.4999998509883881</v>
      </c>
      <c r="Y198" s="81">
        <f ca="1">IF(controls!$B$44=1,'main page'!$K$24+'main page'!$K$11,IF(controls!$B$33=1,((I199-D198*AD199-B199+B198*AC199)/'main page'!$K$27)-'main page'!$K$11,((H199-D198*AD199-B199+B198*AC199)/'main page'!$K$27)-'main page'!$K$11))</f>
        <v>3.5</v>
      </c>
      <c r="AA198" s="58">
        <f>IF(controls!$B$6=1,$AS$3*(1+('main page'!$K$35/100))^AB198-$AS$3*(1+('main page'!$K$35/100))^AB197,$AS$3*(1+('main page'!$G$8/100))*(1+('main page'!$K$35/100))^AB198-$AS$3*(1+('main page'!$G$8/100))*(1+('main page'!$K$35/100))^AB197)</f>
        <v>0</v>
      </c>
      <c r="AB198" s="60">
        <v>191</v>
      </c>
      <c r="AC198" s="125">
        <v>0</v>
      </c>
      <c r="AD198" s="36">
        <v>0</v>
      </c>
      <c r="AE198" s="44">
        <f ca="1">IF(controls!$B$33=1,D198-($I$3-'main page'!$K$27*2)*(1+('main page'!$K$35/100))^A197,D198-$AS$4)</f>
        <v>1.0000000596046448</v>
      </c>
      <c r="AF198" s="44">
        <f ca="1">ABS(L198-(controls!$B$9/100)*100)</f>
        <v>1.1920928955078125E-7</v>
      </c>
      <c r="AH198" s="44">
        <f ca="1">IF(controls!$B$33=1,(B199-B198*AC199-I199+D198*AD199+'main page'!$K$27*('main page'!$K$24+'main page'!$K$11))/'main page'!$K$31,(B199-B198*AC199+D198*AD199-H199+'main page'!$K$27*('main page'!$K$24+'main page'!$K$11))/'main page'!$K$31)</f>
        <v>1</v>
      </c>
      <c r="AI198" s="44">
        <f ca="1">IF(controls!$B$45=1,LOG(AM198,1.01)+LOG(AL198,1.01)-LOG(AK198,1.01),-((T198-('main page'!$K$24+'main page'!$K$11))/(1-'normal case'!$AV$3))+'normal case'!AH198)</f>
        <v>2.0000000596046448</v>
      </c>
      <c r="AJ198" s="80">
        <f t="shared" ca="1" si="30"/>
        <v>1.0506250015463039</v>
      </c>
      <c r="AK198" s="44">
        <f t="shared" ca="1" si="31"/>
        <v>46.611152897507878</v>
      </c>
      <c r="AL198" s="44">
        <f>AL197*(1+'main page'!$K$32/100)</f>
        <v>1</v>
      </c>
      <c r="AM198" s="44">
        <f ca="1">IF(ABS(IF(controls!$B$45=1,$AS$13,AK198*AJ198/AL198)-AM197)&lt;0.00001,AM197,IF(controls!$B$45=1,$AS$13,AK198*AJ198/AL198))</f>
        <v>48.97084258501922</v>
      </c>
      <c r="AN198" s="44">
        <f>IF(controls!$B$46=0,0,IF(controls!$B$33=2,B199-B198*AC199-('normal case'!H199-D198*AD199-'main page'!$K$27*'normal case'!T198+'main page'!$K$31*'normal case'!AI198)-(('main page'!$K$25*'main page'!$U$13*'main page'!$K$29)/(1+('main page'!$K$25^2)*'main page'!$U$13))*('normal case'!L198-'main page'!$U$8),B199-B198*AC199-('normal case'!I199-D198*AD199-'main page'!$K$27*'normal case'!T198+'main page'!$K$31*'normal case'!AI198)-(('main page'!$K$25*'main page'!$U$13*'main page'!$K$29)/(1+('main page'!$K$25^2)*'main page'!$U$13))*('normal case'!L198-'main page'!$U$8)))</f>
        <v>0</v>
      </c>
      <c r="AU198" s="36"/>
      <c r="AV198" s="36"/>
    </row>
    <row r="199" spans="1:48">
      <c r="A199" s="43">
        <v>197</v>
      </c>
      <c r="B199" s="62">
        <f ca="1">IF(controls!$B$33=1,B198*(1+AC199)+AA199,B198*(1+AC199))</f>
        <v>101</v>
      </c>
      <c r="C199" s="67">
        <f t="shared" ca="1" si="32"/>
        <v>-1.5107707374006907E-7</v>
      </c>
      <c r="D199" s="64">
        <f t="shared" ca="1" si="28"/>
        <v>101.00000005960464</v>
      </c>
      <c r="E199" s="64">
        <f ca="1">AN198+IF(controls!$B$33=1,G199,F199)</f>
        <v>101.00000005960464</v>
      </c>
      <c r="F199" s="78">
        <f ca="1">IF(controls!$B$44=0,H199-'main page'!$K$27*T198,H199-'main page'!$K$27*T198+'main page'!$K$31*AI198)</f>
        <v>101.00000005960464</v>
      </c>
      <c r="G199" s="62">
        <f ca="1">IF(controls!$B$44=0,I199-'main page'!$K$27*T198,I199-'main page'!$K$27*T198+'main page'!$K$31*'normal case'!AI198)</f>
        <v>101.00000005960464</v>
      </c>
      <c r="H199" s="62">
        <f t="shared" ca="1" si="26"/>
        <v>108</v>
      </c>
      <c r="I199" s="62">
        <f t="shared" ca="1" si="27"/>
        <v>108</v>
      </c>
      <c r="L199" s="62">
        <f ca="1">IF(ABS('main page'!$K$29*L198+(1-'main page'!$K$29)*(controls!$B$9/100)*100+'main page'!$K$25*(D199-B199)-L198)&lt;0.0000001,L198,'main page'!$K$29*L198+(1-'main page'!$K$29)*(controls!$B$9/100)*100+'main page'!$K$25*(D199-B199))</f>
        <v>1.9999998807907104</v>
      </c>
      <c r="Q199" s="409">
        <f ca="1">(1-'main page'!$K$29)*($AS$11/100)*100+'main page'!$K$25*(D199-B199)</f>
        <v>5.9604644775390625E-8</v>
      </c>
      <c r="R199" s="409">
        <f>'main page'!G203+'main page'!$K$29*M198</f>
        <v>0</v>
      </c>
      <c r="S199" s="409">
        <f t="shared" ca="1" si="25"/>
        <v>5.9604644775390625E-8</v>
      </c>
      <c r="T199" s="79">
        <f ca="1">IF(controls!$B$10=1,T198,IF(SUM(controls!$B$44:$B$46)=2,U199-'main page'!$K$29*'normal case'!L199-(1-'main page'!$K$29)*'main page'!$K$32,U199-'main page'!$K$29*'normal case'!L199-(1-'main page'!$K$29)*controls!$B$9))</f>
        <v>3.4999999701976776</v>
      </c>
      <c r="U199" s="164">
        <f ca="1">IF(controls!$B$45=1,IF(controls!$B$46=1,'main page'!$K$24+'main page'!$K$11+'main page'!$U$8,'main page'!$K$24+'main page'!$K$11+'main page'!$K$32),IF(controls!$B$44=1,IF(V199&lt;0,0,V199),IF(V199+'main page'!$K$11&lt;0,0,V199+'main page'!$K$11)))</f>
        <v>5.4999998509883881</v>
      </c>
      <c r="V199" s="63">
        <f ca="1">IF(controls!$B$10=1,'normal case'!T199+'normal case'!L199,'normal case'!W199)</f>
        <v>5.4999998509883881</v>
      </c>
      <c r="W199" s="61">
        <f t="shared" ca="1" si="29"/>
        <v>5.4999998509883881</v>
      </c>
      <c r="X199" s="166">
        <f ca="1">IF(controls!$B$44=0,Y199+'main page'!$K$29*L199+(1-'main page'!$K$29)*controls!$B$9+(('main page'!$K$25*'main page'!$U$13*'main page'!$K$29)/('main page'!$K$27*(1+('main page'!$K$25^2)*'main page'!$U$13)))*(L199-controls!$B$9),Y199+'main page'!$K$29*L199+(1-'main page'!$K$29)*controls!$B$9+(('main page'!$K$25*'main page'!$U$13*'normal case'!$AV$3)/'normal case'!$AV$4)*('normal case'!L199-controls!$B$9))</f>
        <v>5.4999998509883881</v>
      </c>
      <c r="Y199" s="81">
        <f ca="1">IF(controls!$B$44=1,'main page'!$K$24+'main page'!$K$11,IF(controls!$B$33=1,((I200-D199*AD200-B200+B199*AC200)/'main page'!$K$27)-'main page'!$K$11,((H200-D199*AD200-B200+B199*AC200)/'main page'!$K$27)-'main page'!$K$11))</f>
        <v>3.5</v>
      </c>
      <c r="AA199" s="58">
        <f>IF(controls!$B$6=1,$AS$3*(1+('main page'!$K$35/100))^AB199-$AS$3*(1+('main page'!$K$35/100))^AB198,$AS$3*(1+('main page'!$G$8/100))*(1+('main page'!$K$35/100))^AB199-$AS$3*(1+('main page'!$G$8/100))*(1+('main page'!$K$35/100))^AB198)</f>
        <v>0</v>
      </c>
      <c r="AB199" s="60">
        <v>192</v>
      </c>
      <c r="AC199" s="125">
        <v>0</v>
      </c>
      <c r="AD199" s="36">
        <v>0</v>
      </c>
      <c r="AE199" s="44">
        <f ca="1">IF(controls!$B$33=1,D199-($I$3-'main page'!$K$27*2)*(1+('main page'!$K$35/100))^A198,D199-$AS$4)</f>
        <v>1.0000000596046448</v>
      </c>
      <c r="AF199" s="44">
        <f ca="1">ABS(L199-(controls!$B$9/100)*100)</f>
        <v>1.1920928955078125E-7</v>
      </c>
      <c r="AH199" s="44">
        <f ca="1">IF(controls!$B$33=1,(B200-B199*AC200-I200+D199*AD200+'main page'!$K$27*('main page'!$K$24+'main page'!$K$11))/'main page'!$K$31,(B200-B199*AC200+D199*AD200-H200+'main page'!$K$27*('main page'!$K$24+'main page'!$K$11))/'main page'!$K$31)</f>
        <v>1</v>
      </c>
      <c r="AI199" s="44">
        <f ca="1">IF(controls!$B$45=1,LOG(AM199,1.01)+LOG(AL199,1.01)-LOG(AK199,1.01),-((T199-('main page'!$K$24+'main page'!$K$11))/(1-'normal case'!$AV$3))+'normal case'!AH199)</f>
        <v>2.0000000596046448</v>
      </c>
      <c r="AJ199" s="80">
        <f t="shared" ca="1" si="30"/>
        <v>1.0506250015463039</v>
      </c>
      <c r="AK199" s="44">
        <f t="shared" ca="1" si="31"/>
        <v>47.543375899893213</v>
      </c>
      <c r="AL199" s="44">
        <f>AL198*(1+'main page'!$K$32/100)</f>
        <v>1</v>
      </c>
      <c r="AM199" s="44">
        <f ca="1">IF(ABS(IF(controls!$B$45=1,$AS$13,AK199*AJ199/AL199)-AM198)&lt;0.00001,AM198,IF(controls!$B$45=1,$AS$13,AK199*AJ199/AL199))</f>
        <v>49.950259378341812</v>
      </c>
      <c r="AN199" s="44">
        <f>IF(controls!$B$46=0,0,IF(controls!$B$33=2,B200-B199*AC200-('normal case'!H200-D199*AD200-'main page'!$K$27*'normal case'!T199+'main page'!$K$31*'normal case'!AI199)-(('main page'!$K$25*'main page'!$U$13*'main page'!$K$29)/(1+('main page'!$K$25^2)*'main page'!$U$13))*('normal case'!L199-'main page'!$U$8),B200-B199*AC200-('normal case'!I200-D199*AD200-'main page'!$K$27*'normal case'!T199+'main page'!$K$31*'normal case'!AI199)-(('main page'!$K$25*'main page'!$U$13*'main page'!$K$29)/(1+('main page'!$K$25^2)*'main page'!$U$13))*('normal case'!L199-'main page'!$U$8)))</f>
        <v>0</v>
      </c>
      <c r="AU199" s="36"/>
      <c r="AV199" s="36"/>
    </row>
    <row r="200" spans="1:48">
      <c r="A200" s="43">
        <v>198</v>
      </c>
      <c r="B200" s="62">
        <f ca="1">IF(controls!$B$33=1,B199*(1+AC200)+AA200,B199*(1+AC200))</f>
        <v>101</v>
      </c>
      <c r="C200" s="67">
        <f t="shared" ca="1" si="32"/>
        <v>-1.5107707374006907E-7</v>
      </c>
      <c r="D200" s="64">
        <f t="shared" ca="1" si="28"/>
        <v>101.00000005960464</v>
      </c>
      <c r="E200" s="64">
        <f ca="1">AN199+IF(controls!$B$33=1,G200,F200)</f>
        <v>101.00000005960464</v>
      </c>
      <c r="F200" s="78">
        <f ca="1">IF(controls!$B$44=0,H200-'main page'!$K$27*T199,H200-'main page'!$K$27*T199+'main page'!$K$31*AI199)</f>
        <v>101.00000005960464</v>
      </c>
      <c r="G200" s="62">
        <f ca="1">IF(controls!$B$44=0,I200-'main page'!$K$27*T199,I200-'main page'!$K$27*T199+'main page'!$K$31*'normal case'!AI199)</f>
        <v>101.00000005960464</v>
      </c>
      <c r="H200" s="62">
        <f t="shared" ca="1" si="26"/>
        <v>108</v>
      </c>
      <c r="I200" s="62">
        <f t="shared" ca="1" si="27"/>
        <v>108</v>
      </c>
      <c r="L200" s="62">
        <f ca="1">IF(ABS('main page'!$K$29*L199+(1-'main page'!$K$29)*(controls!$B$9/100)*100+'main page'!$K$25*(D200-B200)-L199)&lt;0.0000001,L199,'main page'!$K$29*L199+(1-'main page'!$K$29)*(controls!$B$9/100)*100+'main page'!$K$25*(D200-B200))</f>
        <v>1.9999998807907104</v>
      </c>
      <c r="Q200" s="409">
        <f ca="1">(1-'main page'!$K$29)*($AS$11/100)*100+'main page'!$K$25*(D200-B200)</f>
        <v>5.9604644775390625E-8</v>
      </c>
      <c r="R200" s="409">
        <f>'main page'!G204+'main page'!$K$29*M199</f>
        <v>0</v>
      </c>
      <c r="S200" s="409">
        <f t="shared" ref="S200:S263" ca="1" si="33">Q200+R200</f>
        <v>5.9604644775390625E-8</v>
      </c>
      <c r="T200" s="79">
        <f ca="1">IF(controls!$B$10=1,T199,IF(SUM(controls!$B$44:$B$46)=2,U200-'main page'!$K$29*'normal case'!L200-(1-'main page'!$K$29)*'main page'!$K$32,U200-'main page'!$K$29*'normal case'!L200-(1-'main page'!$K$29)*controls!$B$9))</f>
        <v>3.4999999701976776</v>
      </c>
      <c r="U200" s="164">
        <f ca="1">IF(controls!$B$45=1,IF(controls!$B$46=1,'main page'!$K$24+'main page'!$K$11+'main page'!$U$8,'main page'!$K$24+'main page'!$K$11+'main page'!$K$32),IF(controls!$B$44=1,IF(V200&lt;0,0,V200),IF(V200+'main page'!$K$11&lt;0,0,V200+'main page'!$K$11)))</f>
        <v>5.4999998509883881</v>
      </c>
      <c r="V200" s="63">
        <f ca="1">IF(controls!$B$10=1,'normal case'!T200+'normal case'!L200,'normal case'!W200)</f>
        <v>5.4999998509883881</v>
      </c>
      <c r="W200" s="61">
        <f t="shared" ca="1" si="29"/>
        <v>5.4999998509883881</v>
      </c>
      <c r="X200" s="166">
        <f ca="1">IF(controls!$B$44=0,Y200+'main page'!$K$29*L200+(1-'main page'!$K$29)*controls!$B$9+(('main page'!$K$25*'main page'!$U$13*'main page'!$K$29)/('main page'!$K$27*(1+('main page'!$K$25^2)*'main page'!$U$13)))*(L200-controls!$B$9),Y200+'main page'!$K$29*L200+(1-'main page'!$K$29)*controls!$B$9+(('main page'!$K$25*'main page'!$U$13*'normal case'!$AV$3)/'normal case'!$AV$4)*('normal case'!L200-controls!$B$9))</f>
        <v>5.4999998509883881</v>
      </c>
      <c r="Y200" s="81">
        <f ca="1">IF(controls!$B$44=1,'main page'!$K$24+'main page'!$K$11,IF(controls!$B$33=1,((I201-D200*AD201-B201+B200*AC201)/'main page'!$K$27)-'main page'!$K$11,((H201-D200*AD201-B201+B200*AC201)/'main page'!$K$27)-'main page'!$K$11))</f>
        <v>3.5</v>
      </c>
      <c r="AA200" s="58">
        <f>IF(controls!$B$6=1,$AS$3*(1+('main page'!$K$35/100))^AB200-$AS$3*(1+('main page'!$K$35/100))^AB199,$AS$3*(1+('main page'!$G$8/100))*(1+('main page'!$K$35/100))^AB200-$AS$3*(1+('main page'!$G$8/100))*(1+('main page'!$K$35/100))^AB199)</f>
        <v>0</v>
      </c>
      <c r="AB200" s="60">
        <v>193</v>
      </c>
      <c r="AC200" s="125">
        <f ca="1">IF(controls!$B$4=1,IF(controls!$H199=1,controls!$B$34*AC199+RAND()*('main page'!$K$16/100)-RAND()*('main page'!$K$16/100),0),0)</f>
        <v>0</v>
      </c>
      <c r="AD200" s="36">
        <f ca="1">IF(controls!$B$4=1,IF(controls!$I199=1,controls!$B$34*AD199+RAND()*('main page'!$K$16/100)-RAND()*('main page'!$K$16/100),0),0)</f>
        <v>0</v>
      </c>
      <c r="AE200" s="44">
        <f ca="1">IF(controls!$B$33=1,D200-($I$3-'main page'!$K$27*2)*(1+('main page'!$K$35/100))^A199,D200-$AS$4)</f>
        <v>1.0000000596046448</v>
      </c>
      <c r="AF200" s="44">
        <f ca="1">ABS(L200-(controls!$B$9/100)*100)</f>
        <v>1.1920928955078125E-7</v>
      </c>
      <c r="AH200" s="44">
        <f ca="1">IF(controls!$B$33=1,(B201-B200*AC201-I201+D200*AD201+'main page'!$K$27*('main page'!$K$24+'main page'!$K$11))/'main page'!$K$31,(B201-B200*AC201+D200*AD201-H201+'main page'!$K$27*('main page'!$K$24+'main page'!$K$11))/'main page'!$K$31)</f>
        <v>1</v>
      </c>
      <c r="AI200" s="44">
        <f ca="1">IF(controls!$B$45=1,LOG(AM200,1.01)+LOG(AL200,1.01)-LOG(AK200,1.01),-((T200-('main page'!$K$24+'main page'!$K$11))/(1-'normal case'!$AV$3))+'normal case'!AH200)</f>
        <v>2.0000000596046448</v>
      </c>
      <c r="AJ200" s="80">
        <f t="shared" ca="1" si="30"/>
        <v>1.0506250015463039</v>
      </c>
      <c r="AK200" s="44">
        <f t="shared" ca="1" si="31"/>
        <v>48.494243361214956</v>
      </c>
      <c r="AL200" s="44">
        <f>AL199*(1+'main page'!$K$32/100)</f>
        <v>1</v>
      </c>
      <c r="AM200" s="44">
        <f ca="1">IF(ABS(IF(controls!$B$45=1,$AS$13,AK200*AJ200/AL200)-AM199)&lt;0.00001,AM199,IF(controls!$B$45=1,$AS$13,AK200*AJ200/AL200))</f>
        <v>50.949264506363299</v>
      </c>
      <c r="AN200" s="44">
        <f>IF(controls!$B$46=0,0,IF(controls!$B$33=2,B201-B200*AC201-('normal case'!H201-D200*AD201-'main page'!$K$27*'normal case'!T200+'main page'!$K$31*'normal case'!AI200)-(('main page'!$K$25*'main page'!$U$13*'main page'!$K$29)/(1+('main page'!$K$25^2)*'main page'!$U$13))*('normal case'!L200-'main page'!$U$8),B201-B200*AC201-('normal case'!I201-D200*AD201-'main page'!$K$27*'normal case'!T200+'main page'!$K$31*'normal case'!AI200)-(('main page'!$K$25*'main page'!$U$13*'main page'!$K$29)/(1+('main page'!$K$25^2)*'main page'!$U$13))*('normal case'!L200-'main page'!$U$8)))</f>
        <v>0</v>
      </c>
      <c r="AU200" s="36"/>
      <c r="AV200" s="36"/>
    </row>
    <row r="201" spans="1:48">
      <c r="A201" s="43">
        <v>199</v>
      </c>
      <c r="B201" s="62">
        <f ca="1">IF(controls!$B$33=1,B200*(1+AC201)+AA201,B200*(1+AC201))</f>
        <v>101</v>
      </c>
      <c r="C201" s="67">
        <f t="shared" ca="1" si="32"/>
        <v>-1.5107707374006907E-7</v>
      </c>
      <c r="D201" s="64">
        <f t="shared" ca="1" si="28"/>
        <v>101.00000005960464</v>
      </c>
      <c r="E201" s="64">
        <f ca="1">AN200+IF(controls!$B$33=1,G201,F201)</f>
        <v>101.00000005960464</v>
      </c>
      <c r="F201" s="78">
        <f ca="1">IF(controls!$B$44=0,H201-'main page'!$K$27*T200,H201-'main page'!$K$27*T200+'main page'!$K$31*AI200)</f>
        <v>101.00000005960464</v>
      </c>
      <c r="G201" s="62">
        <f ca="1">IF(controls!$B$44=0,I201-'main page'!$K$27*T200,I201-'main page'!$K$27*T200+'main page'!$K$31*'normal case'!AI200)</f>
        <v>101.00000005960464</v>
      </c>
      <c r="H201" s="62">
        <f t="shared" ca="1" si="26"/>
        <v>108</v>
      </c>
      <c r="I201" s="62">
        <f t="shared" ca="1" si="27"/>
        <v>108</v>
      </c>
      <c r="L201" s="62">
        <f ca="1">IF(ABS('main page'!$K$29*L200+(1-'main page'!$K$29)*(controls!$B$9/100)*100+'main page'!$K$25*(D201-B201)-L200)&lt;0.0000001,L200,'main page'!$K$29*L200+(1-'main page'!$K$29)*(controls!$B$9/100)*100+'main page'!$K$25*(D201-B201))</f>
        <v>1.9999998807907104</v>
      </c>
      <c r="Q201" s="409">
        <f ca="1">(1-'main page'!$K$29)*($AS$11/100)*100+'main page'!$K$25*(D201-B201)</f>
        <v>5.9604644775390625E-8</v>
      </c>
      <c r="R201" s="409">
        <f>'main page'!G205+'main page'!$K$29*M200</f>
        <v>0</v>
      </c>
      <c r="S201" s="409">
        <f t="shared" ca="1" si="33"/>
        <v>5.9604644775390625E-8</v>
      </c>
      <c r="T201" s="79">
        <f ca="1">IF(controls!$B$10=1,T200,IF(SUM(controls!$B$44:$B$46)=2,U201-'main page'!$K$29*'normal case'!L201-(1-'main page'!$K$29)*'main page'!$K$32,U201-'main page'!$K$29*'normal case'!L201-(1-'main page'!$K$29)*controls!$B$9))</f>
        <v>3.4999999701976776</v>
      </c>
      <c r="U201" s="164">
        <f ca="1">IF(controls!$B$45=1,IF(controls!$B$46=1,'main page'!$K$24+'main page'!$K$11+'main page'!$U$8,'main page'!$K$24+'main page'!$K$11+'main page'!$K$32),IF(controls!$B$44=1,IF(V201&lt;0,0,V201),IF(V201+'main page'!$K$11&lt;0,0,V201+'main page'!$K$11)))</f>
        <v>5.4999998509883881</v>
      </c>
      <c r="V201" s="63">
        <f ca="1">IF(controls!$B$10=1,'normal case'!T201+'normal case'!L201,'normal case'!W201)</f>
        <v>5.4999998509883881</v>
      </c>
      <c r="W201" s="61">
        <f t="shared" ca="1" si="29"/>
        <v>5.4999998509883881</v>
      </c>
      <c r="X201" s="166">
        <f ca="1">IF(controls!$B$44=0,Y201+'main page'!$K$29*L201+(1-'main page'!$K$29)*controls!$B$9+(('main page'!$K$25*'main page'!$U$13*'main page'!$K$29)/('main page'!$K$27*(1+('main page'!$K$25^2)*'main page'!$U$13)))*(L201-controls!$B$9),Y201+'main page'!$K$29*L201+(1-'main page'!$K$29)*controls!$B$9+(('main page'!$K$25*'main page'!$U$13*'normal case'!$AV$3)/'normal case'!$AV$4)*('normal case'!L201-controls!$B$9))</f>
        <v>5.4999998509883881</v>
      </c>
      <c r="Y201" s="81">
        <f ca="1">IF(controls!$B$44=1,'main page'!$K$24+'main page'!$K$11,IF(controls!$B$33=1,((I202-D201*AD202-B202+B201*AC202)/'main page'!$K$27)-'main page'!$K$11,((H202-D201*AD202-B202+B201*AC202)/'main page'!$K$27)-'main page'!$K$11))</f>
        <v>3.5</v>
      </c>
      <c r="AA201" s="58">
        <f>IF(controls!$B$6=1,$AS$3*(1+('main page'!$K$35/100))^AB201-$AS$3*(1+('main page'!$K$35/100))^AB200,$AS$3*(1+('main page'!$G$8/100))*(1+('main page'!$K$35/100))^AB201-$AS$3*(1+('main page'!$G$8/100))*(1+('main page'!$K$35/100))^AB200)</f>
        <v>0</v>
      </c>
      <c r="AB201" s="60">
        <v>194</v>
      </c>
      <c r="AC201" s="125">
        <v>0</v>
      </c>
      <c r="AD201" s="36">
        <v>0</v>
      </c>
      <c r="AE201" s="44">
        <f ca="1">IF(controls!$B$33=1,D201-($I$3-'main page'!$K$27*2)*(1+('main page'!$K$35/100))^A200,D201-$AS$4)</f>
        <v>1.0000000596046448</v>
      </c>
      <c r="AF201" s="44">
        <f ca="1">ABS(L201-(controls!$B$9/100)*100)</f>
        <v>1.1920928955078125E-7</v>
      </c>
      <c r="AH201" s="44">
        <f ca="1">IF(controls!$B$33=1,(B202-B201*AC202-I202+D201*AD202+'main page'!$K$27*('main page'!$K$24+'main page'!$K$11))/'main page'!$K$31,(B202-B201*AC202+D201*AD202-H202+'main page'!$K$27*('main page'!$K$24+'main page'!$K$11))/'main page'!$K$31)</f>
        <v>1</v>
      </c>
      <c r="AI201" s="44">
        <f ca="1">IF(controls!$B$45=1,LOG(AM201,1.01)+LOG(AL201,1.01)-LOG(AK201,1.01),-((T201-('main page'!$K$24+'main page'!$K$11))/(1-'normal case'!$AV$3))+'normal case'!AH201)</f>
        <v>2.0000000596046448</v>
      </c>
      <c r="AJ201" s="80">
        <f t="shared" ca="1" si="30"/>
        <v>1.0506250015463039</v>
      </c>
      <c r="AK201" s="44">
        <f t="shared" ca="1" si="31"/>
        <v>49.464128170629614</v>
      </c>
      <c r="AL201" s="44">
        <f>AL200*(1+'main page'!$K$32/100)</f>
        <v>1</v>
      </c>
      <c r="AM201" s="44">
        <f ca="1">IF(ABS(IF(controls!$B$45=1,$AS$13,AK201*AJ201/AL201)-AM200)&lt;0.00001,AM200,IF(controls!$B$45=1,$AS$13,AK201*AJ201/AL201))</f>
        <v>51.968249735754313</v>
      </c>
      <c r="AN201" s="44">
        <f>IF(controls!$B$46=0,0,IF(controls!$B$33=2,B202-B201*AC202-('normal case'!H202-D201*AD202-'main page'!$K$27*'normal case'!T201+'main page'!$K$31*'normal case'!AI201)-(('main page'!$K$25*'main page'!$U$13*'main page'!$K$29)/(1+('main page'!$K$25^2)*'main page'!$U$13))*('normal case'!L201-'main page'!$U$8),B202-B201*AC202-('normal case'!I202-D201*AD202-'main page'!$K$27*'normal case'!T201+'main page'!$K$31*'normal case'!AI201)-(('main page'!$K$25*'main page'!$U$13*'main page'!$K$29)/(1+('main page'!$K$25^2)*'main page'!$U$13))*('normal case'!L201-'main page'!$U$8)))</f>
        <v>0</v>
      </c>
      <c r="AU201" s="36"/>
      <c r="AV201" s="36"/>
    </row>
    <row r="202" spans="1:48">
      <c r="A202" s="43">
        <v>200</v>
      </c>
      <c r="B202" s="62">
        <f ca="1">IF(controls!$B$33=1,B201*(1+AC202)+AA202,B201*(1+AC202))</f>
        <v>101</v>
      </c>
      <c r="C202" s="67">
        <f t="shared" ca="1" si="32"/>
        <v>-1.5107707374006907E-7</v>
      </c>
      <c r="D202" s="64">
        <f t="shared" ca="1" si="28"/>
        <v>101.00000005960464</v>
      </c>
      <c r="E202" s="64">
        <f ca="1">AN201+IF(controls!$B$33=1,G202,F202)</f>
        <v>101.00000005960464</v>
      </c>
      <c r="F202" s="78">
        <f ca="1">IF(controls!$B$44=0,H202-'main page'!$K$27*T201,H202-'main page'!$K$27*T201+'main page'!$K$31*AI201)</f>
        <v>101.00000005960464</v>
      </c>
      <c r="G202" s="62">
        <f ca="1">IF(controls!$B$44=0,I202-'main page'!$K$27*T201,I202-'main page'!$K$27*T201+'main page'!$K$31*'normal case'!AI201)</f>
        <v>101.00000005960464</v>
      </c>
      <c r="H202" s="62">
        <f t="shared" ca="1" si="26"/>
        <v>108</v>
      </c>
      <c r="I202" s="62">
        <f t="shared" ca="1" si="27"/>
        <v>108</v>
      </c>
      <c r="L202" s="62">
        <f ca="1">IF(ABS('main page'!$K$29*L201+(1-'main page'!$K$29)*(controls!$B$9/100)*100+'main page'!$K$25*(D202-B202)-L201)&lt;0.0000001,L201,'main page'!$K$29*L201+(1-'main page'!$K$29)*(controls!$B$9/100)*100+'main page'!$K$25*(D202-B202))</f>
        <v>1.9999998807907104</v>
      </c>
      <c r="Q202" s="409">
        <f ca="1">(1-'main page'!$K$29)*($AS$11/100)*100+'main page'!$K$25*(D202-B202)</f>
        <v>5.9604644775390625E-8</v>
      </c>
      <c r="R202" s="409">
        <f>'main page'!G206+'main page'!$K$29*M201</f>
        <v>0</v>
      </c>
      <c r="S202" s="409">
        <f t="shared" ca="1" si="33"/>
        <v>5.9604644775390625E-8</v>
      </c>
      <c r="T202" s="79">
        <f ca="1">IF(controls!$B$10=1,T201,IF(SUM(controls!$B$44:$B$46)=2,U202-'main page'!$K$29*'normal case'!L202-(1-'main page'!$K$29)*'main page'!$K$32,U202-'main page'!$K$29*'normal case'!L202-(1-'main page'!$K$29)*controls!$B$9))</f>
        <v>3.4999999701976776</v>
      </c>
      <c r="U202" s="164">
        <f ca="1">IF(controls!$B$45=1,IF(controls!$B$46=1,'main page'!$K$24+'main page'!$K$11+'main page'!$U$8,'main page'!$K$24+'main page'!$K$11+'main page'!$K$32),IF(controls!$B$44=1,IF(V202&lt;0,0,V202),IF(V202+'main page'!$K$11&lt;0,0,V202+'main page'!$K$11)))</f>
        <v>5.4999998509883881</v>
      </c>
      <c r="V202" s="63">
        <f ca="1">IF(controls!$B$10=1,'normal case'!T202+'normal case'!L202,'normal case'!W202)</f>
        <v>5.4999998509883881</v>
      </c>
      <c r="W202" s="61">
        <f t="shared" ca="1" si="29"/>
        <v>5.4999998509883881</v>
      </c>
      <c r="X202" s="166">
        <f ca="1">IF(controls!$B$44=0,Y202+'main page'!$K$29*L202+(1-'main page'!$K$29)*controls!$B$9+(('main page'!$K$25*'main page'!$U$13*'main page'!$K$29)/('main page'!$K$27*(1+('main page'!$K$25^2)*'main page'!$U$13)))*(L202-controls!$B$9),Y202+'main page'!$K$29*L202+(1-'main page'!$K$29)*controls!$B$9+(('main page'!$K$25*'main page'!$U$13*'normal case'!$AV$3)/'normal case'!$AV$4)*('normal case'!L202-controls!$B$9))</f>
        <v>5.4999998509883881</v>
      </c>
      <c r="Y202" s="81">
        <f ca="1">IF(controls!$B$44=1,'main page'!$K$24+'main page'!$K$11,IF(controls!$B$33=1,((I203-D202*AD203-B203+B202*AC203)/'main page'!$K$27)-'main page'!$K$11,((H203-D202*AD203-B203+B202*AC203)/'main page'!$K$27)-'main page'!$K$11))</f>
        <v>3.5</v>
      </c>
      <c r="AA202" s="58">
        <f>IF(controls!$B$6=1,$AS$3*(1+('main page'!$K$35/100))^AB202-$AS$3*(1+('main page'!$K$35/100))^AB201,$AS$3*(1+('main page'!$G$8/100))*(1+('main page'!$K$35/100))^AB202-$AS$3*(1+('main page'!$G$8/100))*(1+('main page'!$K$35/100))^AB201)</f>
        <v>0</v>
      </c>
      <c r="AB202" s="60">
        <v>195</v>
      </c>
      <c r="AC202" s="125">
        <v>0</v>
      </c>
      <c r="AD202" s="36">
        <v>0</v>
      </c>
      <c r="AE202" s="44">
        <f ca="1">IF(controls!$B$33=1,D202-($I$3-'main page'!$K$27*2)*(1+('main page'!$K$35/100))^A201,D202-$AS$4)</f>
        <v>1.0000000596046448</v>
      </c>
      <c r="AF202" s="44">
        <f ca="1">ABS(L202-(controls!$B$9/100)*100)</f>
        <v>1.1920928955078125E-7</v>
      </c>
      <c r="AH202" s="44">
        <f ca="1">IF(controls!$B$33=1,(B203-B202*AC203-I203+D202*AD203+'main page'!$K$27*('main page'!$K$24+'main page'!$K$11))/'main page'!$K$31,(B203-B202*AC203+D202*AD203-H203+'main page'!$K$27*('main page'!$K$24+'main page'!$K$11))/'main page'!$K$31)</f>
        <v>1</v>
      </c>
      <c r="AI202" s="44">
        <f ca="1">IF(controls!$B$45=1,LOG(AM202,1.01)+LOG(AL202,1.01)-LOG(AK202,1.01),-((T202-('main page'!$K$24+'main page'!$K$11))/(1-'normal case'!$AV$3))+'normal case'!AH202)</f>
        <v>2.0000000596046448</v>
      </c>
      <c r="AJ202" s="80">
        <f t="shared" ca="1" si="30"/>
        <v>1.0506250015463039</v>
      </c>
      <c r="AK202" s="44">
        <f t="shared" ca="1" si="31"/>
        <v>50.45341067507637</v>
      </c>
      <c r="AL202" s="44">
        <f>AL201*(1+'main page'!$K$32/100)</f>
        <v>1</v>
      </c>
      <c r="AM202" s="44">
        <f ca="1">IF(ABS(IF(controls!$B$45=1,$AS$13,AK202*AJ202/AL202)-AM201)&lt;0.00001,AM201,IF(controls!$B$45=1,$AS$13,AK202*AJ202/AL202))</f>
        <v>53.007614668518414</v>
      </c>
      <c r="AN202" s="44">
        <f>IF(controls!$B$46=0,0,IF(controls!$B$33=2,B203-B202*AC203-('normal case'!H203-D202*AD203-'main page'!$K$27*'normal case'!T202+'main page'!$K$31*'normal case'!AI202)-(('main page'!$K$25*'main page'!$U$13*'main page'!$K$29)/(1+('main page'!$K$25^2)*'main page'!$U$13))*('normal case'!L202-'main page'!$U$8),B203-B202*AC203-('normal case'!I203-D202*AD203-'main page'!$K$27*'normal case'!T202+'main page'!$K$31*'normal case'!AI202)-(('main page'!$K$25*'main page'!$U$13*'main page'!$K$29)/(1+('main page'!$K$25^2)*'main page'!$U$13))*('normal case'!L202-'main page'!$U$8)))</f>
        <v>0</v>
      </c>
      <c r="AU202" s="36"/>
      <c r="AV202" s="36"/>
    </row>
    <row r="203" spans="1:48">
      <c r="A203" s="43">
        <v>201</v>
      </c>
      <c r="B203" s="62">
        <f ca="1">IF(controls!$B$33=1,B202*(1+AC203)+AA203,B202*(1+AC203))</f>
        <v>101</v>
      </c>
      <c r="C203" s="67">
        <f t="shared" ca="1" si="32"/>
        <v>-1.5107707374006907E-7</v>
      </c>
      <c r="D203" s="64">
        <f t="shared" ca="1" si="28"/>
        <v>101.00000005960464</v>
      </c>
      <c r="E203" s="64">
        <f ca="1">AN202+IF(controls!$B$33=1,G203,F203)</f>
        <v>101.00000005960464</v>
      </c>
      <c r="F203" s="78">
        <f ca="1">IF(controls!$B$44=0,H203-'main page'!$K$27*T202,H203-'main page'!$K$27*T202+'main page'!$K$31*AI202)</f>
        <v>101.00000005960464</v>
      </c>
      <c r="G203" s="62">
        <f ca="1">IF(controls!$B$44=0,I203-'main page'!$K$27*T202,I203-'main page'!$K$27*T202+'main page'!$K$31*'normal case'!AI202)</f>
        <v>101.00000005960464</v>
      </c>
      <c r="H203" s="62">
        <f t="shared" ca="1" si="26"/>
        <v>108</v>
      </c>
      <c r="I203" s="62">
        <f t="shared" ca="1" si="27"/>
        <v>108</v>
      </c>
      <c r="L203" s="62">
        <f ca="1">IF(ABS('main page'!$K$29*L202+(1-'main page'!$K$29)*(controls!$B$9/100)*100+'main page'!$K$25*(D203-B203)-L202)&lt;0.0000001,L202,'main page'!$K$29*L202+(1-'main page'!$K$29)*(controls!$B$9/100)*100+'main page'!$K$25*(D203-B203))</f>
        <v>1.9999998807907104</v>
      </c>
      <c r="Q203" s="409">
        <f ca="1">(1-'main page'!$K$29)*($AS$11/100)*100+'main page'!$K$25*(D203-B203)</f>
        <v>5.9604644775390625E-8</v>
      </c>
      <c r="R203" s="409">
        <f>'main page'!G207+'main page'!$K$29*M202</f>
        <v>0</v>
      </c>
      <c r="S203" s="409">
        <f t="shared" ca="1" si="33"/>
        <v>5.9604644775390625E-8</v>
      </c>
      <c r="T203" s="79">
        <f ca="1">IF(controls!$B$10=1,T202,IF(SUM(controls!$B$44:$B$46)=2,U203-'main page'!$K$29*'normal case'!L203-(1-'main page'!$K$29)*'main page'!$K$32,U203-'main page'!$K$29*'normal case'!L203-(1-'main page'!$K$29)*controls!$B$9))</f>
        <v>3.4999999701976776</v>
      </c>
      <c r="U203" s="164">
        <f ca="1">IF(controls!$B$45=1,IF(controls!$B$46=1,'main page'!$K$24+'main page'!$K$11+'main page'!$U$8,'main page'!$K$24+'main page'!$K$11+'main page'!$K$32),IF(controls!$B$44=1,IF(V203&lt;0,0,V203),IF(V203+'main page'!$K$11&lt;0,0,V203+'main page'!$K$11)))</f>
        <v>5.4999998509883881</v>
      </c>
      <c r="V203" s="63">
        <f ca="1">IF(controls!$B$10=1,'normal case'!T203+'normal case'!L203,'normal case'!W203)</f>
        <v>5.4999998509883881</v>
      </c>
      <c r="W203" s="61">
        <f t="shared" ca="1" si="29"/>
        <v>5.4999998509883881</v>
      </c>
      <c r="X203" s="166">
        <f ca="1">IF(controls!$B$44=0,Y203+'main page'!$K$29*L203+(1-'main page'!$K$29)*controls!$B$9+(('main page'!$K$25*'main page'!$U$13*'main page'!$K$29)/('main page'!$K$27*(1+('main page'!$K$25^2)*'main page'!$U$13)))*(L203-controls!$B$9),Y203+'main page'!$K$29*L203+(1-'main page'!$K$29)*controls!$B$9+(('main page'!$K$25*'main page'!$U$13*'normal case'!$AV$3)/'normal case'!$AV$4)*('normal case'!L203-controls!$B$9))</f>
        <v>5.4999998509883881</v>
      </c>
      <c r="Y203" s="81">
        <f ca="1">IF(controls!$B$44=1,'main page'!$K$24+'main page'!$K$11,IF(controls!$B$33=1,((I204-D203*AD204-B204+B203*AC204)/'main page'!$K$27)-'main page'!$K$11,((H204-D203*AD204-B204+B203*AC204)/'main page'!$K$27)-'main page'!$K$11))</f>
        <v>3.5</v>
      </c>
      <c r="AA203" s="58">
        <f>IF(controls!$B$6=1,$AS$3*(1+('main page'!$K$35/100))^AB203-$AS$3*(1+('main page'!$K$35/100))^AB202,$AS$3*(1+('main page'!$G$8/100))*(1+('main page'!$K$35/100))^AB203-$AS$3*(1+('main page'!$G$8/100))*(1+('main page'!$K$35/100))^AB202)</f>
        <v>0</v>
      </c>
      <c r="AB203" s="60">
        <v>196</v>
      </c>
      <c r="AC203" s="125">
        <f ca="1">IF(controls!$B$4=1,IF(controls!$H202=1,controls!$B$34*AC202+RAND()*('main page'!$K$16/100)-RAND()*('main page'!$K$16/100),0),0)</f>
        <v>0</v>
      </c>
      <c r="AD203" s="36">
        <f ca="1">IF(controls!$B$4=1,IF(controls!$I202=1,controls!$B$34*AD202+RAND()*('main page'!$K$16/100)-RAND()*('main page'!$K$16/100),0),0)</f>
        <v>0</v>
      </c>
      <c r="AE203" s="44">
        <f ca="1">IF(controls!$B$33=1,D203-($I$3-'main page'!$K$27*2)*(1+('main page'!$K$35/100))^A202,D203-$AS$4)</f>
        <v>1.0000000596046448</v>
      </c>
      <c r="AF203" s="44">
        <f ca="1">ABS(L203-(controls!$B$9/100)*100)</f>
        <v>1.1920928955078125E-7</v>
      </c>
      <c r="AH203" s="44">
        <f ca="1">IF(controls!$B$33=1,(B204-B203*AC204-I204+D203*AD204+'main page'!$K$27*('main page'!$K$24+'main page'!$K$11))/'main page'!$K$31,(B204-B203*AC204+D203*AD204-H204+'main page'!$K$27*('main page'!$K$24+'main page'!$K$11))/'main page'!$K$31)</f>
        <v>1</v>
      </c>
      <c r="AI203" s="44">
        <f ca="1">IF(controls!$B$45=1,LOG(AM203,1.01)+LOG(AL203,1.01)-LOG(AK203,1.01),-((T203-('main page'!$K$24+'main page'!$K$11))/(1-'normal case'!$AV$3))+'normal case'!AH203)</f>
        <v>2.0000000596046448</v>
      </c>
      <c r="AJ203" s="80">
        <f t="shared" ca="1" si="30"/>
        <v>1.0506250015463039</v>
      </c>
      <c r="AK203" s="44">
        <f t="shared" ca="1" si="31"/>
        <v>51.462478828432744</v>
      </c>
      <c r="AL203" s="44">
        <f>AL202*(1+'main page'!$K$32/100)</f>
        <v>1</v>
      </c>
      <c r="AM203" s="44">
        <f ca="1">IF(ABS(IF(controls!$B$45=1,$AS$13,AK203*AJ203/AL203)-AM202)&lt;0.00001,AM202,IF(controls!$B$45=1,$AS$13,AK203*AJ203/AL203))</f>
        <v>54.067766898698785</v>
      </c>
      <c r="AN203" s="44">
        <f>IF(controls!$B$46=0,0,IF(controls!$B$33=2,B204-B203*AC204-('normal case'!H204-D203*AD204-'main page'!$K$27*'normal case'!T203+'main page'!$K$31*'normal case'!AI203)-(('main page'!$K$25*'main page'!$U$13*'main page'!$K$29)/(1+('main page'!$K$25^2)*'main page'!$U$13))*('normal case'!L203-'main page'!$U$8),B204-B203*AC204-('normal case'!I204-D203*AD204-'main page'!$K$27*'normal case'!T203+'main page'!$K$31*'normal case'!AI203)-(('main page'!$K$25*'main page'!$U$13*'main page'!$K$29)/(1+('main page'!$K$25^2)*'main page'!$U$13))*('normal case'!L203-'main page'!$U$8)))</f>
        <v>0</v>
      </c>
      <c r="AU203" s="36"/>
      <c r="AV203" s="36"/>
    </row>
    <row r="204" spans="1:48">
      <c r="A204" s="43">
        <v>202</v>
      </c>
      <c r="B204" s="62">
        <f ca="1">IF(controls!$B$33=1,B203*(1+AC204)+AA204,B203*(1+AC204))</f>
        <v>101</v>
      </c>
      <c r="C204" s="67">
        <f t="shared" ca="1" si="32"/>
        <v>-1.5107707374006907E-7</v>
      </c>
      <c r="D204" s="64">
        <f t="shared" ca="1" si="28"/>
        <v>101.00000005960464</v>
      </c>
      <c r="E204" s="64">
        <f ca="1">AN203+IF(controls!$B$33=1,G204,F204)</f>
        <v>101.00000005960464</v>
      </c>
      <c r="F204" s="78">
        <f ca="1">IF(controls!$B$44=0,H204-'main page'!$K$27*T203,H204-'main page'!$K$27*T203+'main page'!$K$31*AI203)</f>
        <v>101.00000005960464</v>
      </c>
      <c r="G204" s="62">
        <f ca="1">IF(controls!$B$44=0,I204-'main page'!$K$27*T203,I204-'main page'!$K$27*T203+'main page'!$K$31*'normal case'!AI203)</f>
        <v>101.00000005960464</v>
      </c>
      <c r="H204" s="62">
        <f t="shared" ca="1" si="26"/>
        <v>108</v>
      </c>
      <c r="I204" s="62">
        <f t="shared" ca="1" si="27"/>
        <v>108</v>
      </c>
      <c r="L204" s="62">
        <f ca="1">IF(ABS('main page'!$K$29*L203+(1-'main page'!$K$29)*(controls!$B$9/100)*100+'main page'!$K$25*(D204-B204)-L203)&lt;0.0000001,L203,'main page'!$K$29*L203+(1-'main page'!$K$29)*(controls!$B$9/100)*100+'main page'!$K$25*(D204-B204))</f>
        <v>1.9999998807907104</v>
      </c>
      <c r="Q204" s="409">
        <f ca="1">(1-'main page'!$K$29)*($AS$11/100)*100+'main page'!$K$25*(D204-B204)</f>
        <v>5.9604644775390625E-8</v>
      </c>
      <c r="R204" s="409">
        <f>'main page'!G208+'main page'!$K$29*M203</f>
        <v>0</v>
      </c>
      <c r="S204" s="409">
        <f t="shared" ca="1" si="33"/>
        <v>5.9604644775390625E-8</v>
      </c>
      <c r="T204" s="79">
        <f ca="1">IF(controls!$B$10=1,T203,IF(SUM(controls!$B$44:$B$46)=2,U204-'main page'!$K$29*'normal case'!L204-(1-'main page'!$K$29)*'main page'!$K$32,U204-'main page'!$K$29*'normal case'!L204-(1-'main page'!$K$29)*controls!$B$9))</f>
        <v>3.4999999701976776</v>
      </c>
      <c r="U204" s="164">
        <f ca="1">IF(controls!$B$45=1,IF(controls!$B$46=1,'main page'!$K$24+'main page'!$K$11+'main page'!$U$8,'main page'!$K$24+'main page'!$K$11+'main page'!$K$32),IF(controls!$B$44=1,IF(V204&lt;0,0,V204),IF(V204+'main page'!$K$11&lt;0,0,V204+'main page'!$K$11)))</f>
        <v>5.4999998509883881</v>
      </c>
      <c r="V204" s="63">
        <f ca="1">IF(controls!$B$10=1,'normal case'!T204+'normal case'!L204,'normal case'!W204)</f>
        <v>5.4999998509883881</v>
      </c>
      <c r="W204" s="61">
        <f t="shared" ca="1" si="29"/>
        <v>5.4999998509883881</v>
      </c>
      <c r="X204" s="166">
        <f ca="1">IF(controls!$B$44=0,Y204+'main page'!$K$29*L204+(1-'main page'!$K$29)*controls!$B$9+(('main page'!$K$25*'main page'!$U$13*'main page'!$K$29)/('main page'!$K$27*(1+('main page'!$K$25^2)*'main page'!$U$13)))*(L204-controls!$B$9),Y204+'main page'!$K$29*L204+(1-'main page'!$K$29)*controls!$B$9+(('main page'!$K$25*'main page'!$U$13*'normal case'!$AV$3)/'normal case'!$AV$4)*('normal case'!L204-controls!$B$9))</f>
        <v>5.4999998509883881</v>
      </c>
      <c r="Y204" s="81">
        <f ca="1">IF(controls!$B$44=1,'main page'!$K$24+'main page'!$K$11,IF(controls!$B$33=1,((I205-D204*AD205-B205+B204*AC205)/'main page'!$K$27)-'main page'!$K$11,((H205-D204*AD205-B205+B204*AC205)/'main page'!$K$27)-'main page'!$K$11))</f>
        <v>3.5</v>
      </c>
      <c r="AA204" s="58">
        <f>IF(controls!$B$6=1,$AS$3*(1+('main page'!$K$35/100))^AB204-$AS$3*(1+('main page'!$K$35/100))^AB203,$AS$3*(1+('main page'!$G$8/100))*(1+('main page'!$K$35/100))^AB204-$AS$3*(1+('main page'!$G$8/100))*(1+('main page'!$K$35/100))^AB203)</f>
        <v>0</v>
      </c>
      <c r="AB204" s="60">
        <v>197</v>
      </c>
      <c r="AC204" s="125">
        <v>0</v>
      </c>
      <c r="AD204" s="36">
        <v>0</v>
      </c>
      <c r="AE204" s="44">
        <f ca="1">IF(controls!$B$33=1,D204-($I$3-'main page'!$K$27*2)*(1+('main page'!$K$35/100))^A203,D204-$AS$4)</f>
        <v>1.0000000596046448</v>
      </c>
      <c r="AF204" s="44">
        <f ca="1">ABS(L204-(controls!$B$9/100)*100)</f>
        <v>1.1920928955078125E-7</v>
      </c>
      <c r="AH204" s="44">
        <f ca="1">IF(controls!$B$33=1,(B205-B204*AC205-I205+D204*AD205+'main page'!$K$27*('main page'!$K$24+'main page'!$K$11))/'main page'!$K$31,(B205-B204*AC205+D204*AD205-H205+'main page'!$K$27*('main page'!$K$24+'main page'!$K$11))/'main page'!$K$31)</f>
        <v>1</v>
      </c>
      <c r="AI204" s="44">
        <f ca="1">IF(controls!$B$45=1,LOG(AM204,1.01)+LOG(AL204,1.01)-LOG(AK204,1.01),-((T204-('main page'!$K$24+'main page'!$K$11))/(1-'normal case'!$AV$3))+'normal case'!AH204)</f>
        <v>2.0000000596046448</v>
      </c>
      <c r="AJ204" s="80">
        <f t="shared" ca="1" si="30"/>
        <v>1.0506250015463039</v>
      </c>
      <c r="AK204" s="44">
        <f t="shared" ca="1" si="31"/>
        <v>52.491728343653342</v>
      </c>
      <c r="AL204" s="44">
        <f>AL203*(1+'main page'!$K$32/100)</f>
        <v>1</v>
      </c>
      <c r="AM204" s="44">
        <f ca="1">IF(ABS(IF(controls!$B$45=1,$AS$13,AK204*AJ204/AL204)-AM203)&lt;0.00001,AM203,IF(controls!$B$45=1,$AS$13,AK204*AJ204/AL204))</f>
        <v>55.149122172218959</v>
      </c>
      <c r="AN204" s="44">
        <f>IF(controls!$B$46=0,0,IF(controls!$B$33=2,B205-B204*AC205-('normal case'!H205-D204*AD205-'main page'!$K$27*'normal case'!T204+'main page'!$K$31*'normal case'!AI204)-(('main page'!$K$25*'main page'!$U$13*'main page'!$K$29)/(1+('main page'!$K$25^2)*'main page'!$U$13))*('normal case'!L204-'main page'!$U$8),B205-B204*AC205-('normal case'!I205-D204*AD205-'main page'!$K$27*'normal case'!T204+'main page'!$K$31*'normal case'!AI204)-(('main page'!$K$25*'main page'!$U$13*'main page'!$K$29)/(1+('main page'!$K$25^2)*'main page'!$U$13))*('normal case'!L204-'main page'!$U$8)))</f>
        <v>0</v>
      </c>
      <c r="AU204" s="36"/>
      <c r="AV204" s="36"/>
    </row>
    <row r="205" spans="1:48">
      <c r="A205" s="43">
        <v>203</v>
      </c>
      <c r="B205" s="62">
        <f ca="1">IF(controls!$B$33=1,B204*(1+AC205)+AA205,B204*(1+AC205))</f>
        <v>101</v>
      </c>
      <c r="C205" s="67">
        <f t="shared" ca="1" si="32"/>
        <v>-1.5107707374006907E-7</v>
      </c>
      <c r="D205" s="64">
        <f t="shared" ca="1" si="28"/>
        <v>101.00000005960464</v>
      </c>
      <c r="E205" s="64">
        <f ca="1">AN204+IF(controls!$B$33=1,G205,F205)</f>
        <v>101.00000005960464</v>
      </c>
      <c r="F205" s="78">
        <f ca="1">IF(controls!$B$44=0,H205-'main page'!$K$27*T204,H205-'main page'!$K$27*T204+'main page'!$K$31*AI204)</f>
        <v>101.00000005960464</v>
      </c>
      <c r="G205" s="62">
        <f ca="1">IF(controls!$B$44=0,I205-'main page'!$K$27*T204,I205-'main page'!$K$27*T204+'main page'!$K$31*'normal case'!AI204)</f>
        <v>101.00000005960464</v>
      </c>
      <c r="H205" s="62">
        <f t="shared" ca="1" si="26"/>
        <v>108</v>
      </c>
      <c r="I205" s="62">
        <f t="shared" ca="1" si="27"/>
        <v>108</v>
      </c>
      <c r="L205" s="62">
        <f ca="1">IF(ABS('main page'!$K$29*L204+(1-'main page'!$K$29)*(controls!$B$9/100)*100+'main page'!$K$25*(D205-B205)-L204)&lt;0.0000001,L204,'main page'!$K$29*L204+(1-'main page'!$K$29)*(controls!$B$9/100)*100+'main page'!$K$25*(D205-B205))</f>
        <v>1.9999998807907104</v>
      </c>
      <c r="Q205" s="409">
        <f ca="1">(1-'main page'!$K$29)*($AS$11/100)*100+'main page'!$K$25*(D205-B205)</f>
        <v>5.9604644775390625E-8</v>
      </c>
      <c r="R205" s="409">
        <f>'main page'!G209+'main page'!$K$29*M204</f>
        <v>0</v>
      </c>
      <c r="S205" s="409">
        <f t="shared" ca="1" si="33"/>
        <v>5.9604644775390625E-8</v>
      </c>
      <c r="T205" s="79">
        <f ca="1">IF(controls!$B$10=1,T204,IF(SUM(controls!$B$44:$B$46)=2,U205-'main page'!$K$29*'normal case'!L205-(1-'main page'!$K$29)*'main page'!$K$32,U205-'main page'!$K$29*'normal case'!L205-(1-'main page'!$K$29)*controls!$B$9))</f>
        <v>3.4999999701976776</v>
      </c>
      <c r="U205" s="164">
        <f ca="1">IF(controls!$B$45=1,IF(controls!$B$46=1,'main page'!$K$24+'main page'!$K$11+'main page'!$U$8,'main page'!$K$24+'main page'!$K$11+'main page'!$K$32),IF(controls!$B$44=1,IF(V205&lt;0,0,V205),IF(V205+'main page'!$K$11&lt;0,0,V205+'main page'!$K$11)))</f>
        <v>5.4999998509883881</v>
      </c>
      <c r="V205" s="63">
        <f ca="1">IF(controls!$B$10=1,'normal case'!T205+'normal case'!L205,'normal case'!W205)</f>
        <v>5.4999998509883881</v>
      </c>
      <c r="W205" s="61">
        <f t="shared" ca="1" si="29"/>
        <v>5.4999998509883881</v>
      </c>
      <c r="X205" s="166">
        <f ca="1">IF(controls!$B$44=0,Y205+'main page'!$K$29*L205+(1-'main page'!$K$29)*controls!$B$9+(('main page'!$K$25*'main page'!$U$13*'main page'!$K$29)/('main page'!$K$27*(1+('main page'!$K$25^2)*'main page'!$U$13)))*(L205-controls!$B$9),Y205+'main page'!$K$29*L205+(1-'main page'!$K$29)*controls!$B$9+(('main page'!$K$25*'main page'!$U$13*'normal case'!$AV$3)/'normal case'!$AV$4)*('normal case'!L205-controls!$B$9))</f>
        <v>5.4999998509883881</v>
      </c>
      <c r="Y205" s="81">
        <f ca="1">IF(controls!$B$44=1,'main page'!$K$24+'main page'!$K$11,IF(controls!$B$33=1,((I206-D205*AD206-B206+B205*AC206)/'main page'!$K$27)-'main page'!$K$11,((H206-D205*AD206-B206+B205*AC206)/'main page'!$K$27)-'main page'!$K$11))</f>
        <v>3.5</v>
      </c>
      <c r="AA205" s="58">
        <f>IF(controls!$B$6=1,$AS$3*(1+('main page'!$K$35/100))^AB205-$AS$3*(1+('main page'!$K$35/100))^AB204,$AS$3*(1+('main page'!$G$8/100))*(1+('main page'!$K$35/100))^AB205-$AS$3*(1+('main page'!$G$8/100))*(1+('main page'!$K$35/100))^AB204)</f>
        <v>0</v>
      </c>
      <c r="AB205" s="60">
        <v>198</v>
      </c>
      <c r="AC205" s="125">
        <v>0</v>
      </c>
      <c r="AD205" s="36">
        <v>0</v>
      </c>
      <c r="AE205" s="44">
        <f ca="1">IF(controls!$B$33=1,D205-($I$3-'main page'!$K$27*2)*(1+('main page'!$K$35/100))^A204,D205-$AS$4)</f>
        <v>1.0000000596046448</v>
      </c>
      <c r="AF205" s="44">
        <f ca="1">ABS(L205-(controls!$B$9/100)*100)</f>
        <v>1.1920928955078125E-7</v>
      </c>
      <c r="AH205" s="44">
        <f ca="1">IF(controls!$B$33=1,(B206-B205*AC206-I206+D205*AD206+'main page'!$K$27*('main page'!$K$24+'main page'!$K$11))/'main page'!$K$31,(B206-B205*AC206+D205*AD206-H206+'main page'!$K$27*('main page'!$K$24+'main page'!$K$11))/'main page'!$K$31)</f>
        <v>1</v>
      </c>
      <c r="AI205" s="44">
        <f ca="1">IF(controls!$B$45=1,LOG(AM205,1.01)+LOG(AL205,1.01)-LOG(AK205,1.01),-((T205-('main page'!$K$24+'main page'!$K$11))/(1-'normal case'!$AV$3))+'normal case'!AH205)</f>
        <v>2.0000000596046448</v>
      </c>
      <c r="AJ205" s="80">
        <f t="shared" ca="1" si="30"/>
        <v>1.0506250015463039</v>
      </c>
      <c r="AK205" s="44">
        <f t="shared" ca="1" si="31"/>
        <v>53.541562847951397</v>
      </c>
      <c r="AL205" s="44">
        <f>AL204*(1+'main page'!$K$32/100)</f>
        <v>1</v>
      </c>
      <c r="AM205" s="44">
        <f ca="1">IF(ABS(IF(controls!$B$45=1,$AS$13,AK205*AJ205/AL205)-AM204)&lt;0.00001,AM204,IF(controls!$B$45=1,$AS$13,AK205*AJ205/AL205))</f>
        <v>56.25210454992046</v>
      </c>
      <c r="AN205" s="44">
        <f>IF(controls!$B$46=0,0,IF(controls!$B$33=2,B206-B205*AC206-('normal case'!H206-D205*AD206-'main page'!$K$27*'normal case'!T205+'main page'!$K$31*'normal case'!AI205)-(('main page'!$K$25*'main page'!$U$13*'main page'!$K$29)/(1+('main page'!$K$25^2)*'main page'!$U$13))*('normal case'!L205-'main page'!$U$8),B206-B205*AC206-('normal case'!I206-D205*AD206-'main page'!$K$27*'normal case'!T205+'main page'!$K$31*'normal case'!AI205)-(('main page'!$K$25*'main page'!$U$13*'main page'!$K$29)/(1+('main page'!$K$25^2)*'main page'!$U$13))*('normal case'!L205-'main page'!$U$8)))</f>
        <v>0</v>
      </c>
      <c r="AU205" s="36"/>
      <c r="AV205" s="36"/>
    </row>
    <row r="206" spans="1:48">
      <c r="A206" s="43">
        <v>204</v>
      </c>
      <c r="B206" s="62">
        <f ca="1">IF(controls!$B$33=1,B205*(1+AC206)+AA206,B205*(1+AC206))</f>
        <v>101</v>
      </c>
      <c r="C206" s="67">
        <f t="shared" ca="1" si="32"/>
        <v>-1.5107707374006907E-7</v>
      </c>
      <c r="D206" s="64">
        <f t="shared" ca="1" si="28"/>
        <v>101.00000005960464</v>
      </c>
      <c r="E206" s="64">
        <f ca="1">AN205+IF(controls!$B$33=1,G206,F206)</f>
        <v>101.00000005960464</v>
      </c>
      <c r="F206" s="78">
        <f ca="1">IF(controls!$B$44=0,H206-'main page'!$K$27*T205,H206-'main page'!$K$27*T205+'main page'!$K$31*AI205)</f>
        <v>101.00000005960464</v>
      </c>
      <c r="G206" s="62">
        <f ca="1">IF(controls!$B$44=0,I206-'main page'!$K$27*T205,I206-'main page'!$K$27*T205+'main page'!$K$31*'normal case'!AI205)</f>
        <v>101.00000005960464</v>
      </c>
      <c r="H206" s="62">
        <f t="shared" ca="1" si="26"/>
        <v>108</v>
      </c>
      <c r="I206" s="62">
        <f t="shared" ca="1" si="27"/>
        <v>108</v>
      </c>
      <c r="L206" s="62">
        <f ca="1">IF(ABS('main page'!$K$29*L205+(1-'main page'!$K$29)*(controls!$B$9/100)*100+'main page'!$K$25*(D206-B206)-L205)&lt;0.0000001,L205,'main page'!$K$29*L205+(1-'main page'!$K$29)*(controls!$B$9/100)*100+'main page'!$K$25*(D206-B206))</f>
        <v>1.9999998807907104</v>
      </c>
      <c r="Q206" s="409">
        <f ca="1">(1-'main page'!$K$29)*($AS$11/100)*100+'main page'!$K$25*(D206-B206)</f>
        <v>5.9604644775390625E-8</v>
      </c>
      <c r="R206" s="409">
        <f>'main page'!G210+'main page'!$K$29*M205</f>
        <v>0</v>
      </c>
      <c r="S206" s="409">
        <f t="shared" ca="1" si="33"/>
        <v>5.9604644775390625E-8</v>
      </c>
      <c r="T206" s="79">
        <f ca="1">IF(controls!$B$10=1,T205,IF(SUM(controls!$B$44:$B$46)=2,U206-'main page'!$K$29*'normal case'!L206-(1-'main page'!$K$29)*'main page'!$K$32,U206-'main page'!$K$29*'normal case'!L206-(1-'main page'!$K$29)*controls!$B$9))</f>
        <v>3.4999999701976776</v>
      </c>
      <c r="U206" s="164">
        <f ca="1">IF(controls!$B$45=1,IF(controls!$B$46=1,'main page'!$K$24+'main page'!$K$11+'main page'!$U$8,'main page'!$K$24+'main page'!$K$11+'main page'!$K$32),IF(controls!$B$44=1,IF(V206&lt;0,0,V206),IF(V206+'main page'!$K$11&lt;0,0,V206+'main page'!$K$11)))</f>
        <v>5.4999998509883881</v>
      </c>
      <c r="V206" s="63">
        <f ca="1">IF(controls!$B$10=1,'normal case'!T206+'normal case'!L206,'normal case'!W206)</f>
        <v>5.4999998509883881</v>
      </c>
      <c r="W206" s="61">
        <f t="shared" ca="1" si="29"/>
        <v>5.4999998509883881</v>
      </c>
      <c r="X206" s="166">
        <f ca="1">IF(controls!$B$44=0,Y206+'main page'!$K$29*L206+(1-'main page'!$K$29)*controls!$B$9+(('main page'!$K$25*'main page'!$U$13*'main page'!$K$29)/('main page'!$K$27*(1+('main page'!$K$25^2)*'main page'!$U$13)))*(L206-controls!$B$9),Y206+'main page'!$K$29*L206+(1-'main page'!$K$29)*controls!$B$9+(('main page'!$K$25*'main page'!$U$13*'normal case'!$AV$3)/'normal case'!$AV$4)*('normal case'!L206-controls!$B$9))</f>
        <v>5.4999998509883881</v>
      </c>
      <c r="Y206" s="81">
        <f ca="1">IF(controls!$B$44=1,'main page'!$K$24+'main page'!$K$11,IF(controls!$B$33=1,((I207-D206*AD207-B207+B206*AC207)/'main page'!$K$27)-'main page'!$K$11,((H207-D206*AD207-B207+B206*AC207)/'main page'!$K$27)-'main page'!$K$11))</f>
        <v>3.5</v>
      </c>
      <c r="AA206" s="58">
        <f>IF(controls!$B$6=1,$AS$3*(1+('main page'!$K$35/100))^AB206-$AS$3*(1+('main page'!$K$35/100))^AB205,$AS$3*(1+('main page'!$G$8/100))*(1+('main page'!$K$35/100))^AB206-$AS$3*(1+('main page'!$G$8/100))*(1+('main page'!$K$35/100))^AB205)</f>
        <v>0</v>
      </c>
      <c r="AB206" s="60">
        <v>199</v>
      </c>
      <c r="AC206" s="125">
        <f ca="1">IF(controls!$B$4=1,IF(controls!$H205=1,controls!$B$34*AC205+RAND()*('main page'!$K$16/100)-RAND()*('main page'!$K$16/100),0),0)</f>
        <v>0</v>
      </c>
      <c r="AD206" s="36">
        <f ca="1">IF(controls!$B$4=1,IF(controls!$I205=1,controls!$B$34*AD205+RAND()*('main page'!$K$16/100)-RAND()*('main page'!$K$16/100),0),0)</f>
        <v>0</v>
      </c>
      <c r="AE206" s="44">
        <f ca="1">IF(controls!$B$33=1,D206-($I$3-'main page'!$K$27*2)*(1+('main page'!$K$35/100))^A205,D206-$AS$4)</f>
        <v>1.0000000596046448</v>
      </c>
      <c r="AF206" s="44">
        <f ca="1">ABS(L206-(controls!$B$9/100)*100)</f>
        <v>1.1920928955078125E-7</v>
      </c>
      <c r="AH206" s="44">
        <f ca="1">IF(controls!$B$33=1,(B207-B206*AC207-I207+D206*AD207+'main page'!$K$27*('main page'!$K$24+'main page'!$K$11))/'main page'!$K$31,(B207-B206*AC207+D206*AD207-H207+'main page'!$K$27*('main page'!$K$24+'main page'!$K$11))/'main page'!$K$31)</f>
        <v>1</v>
      </c>
      <c r="AI206" s="44">
        <f ca="1">IF(controls!$B$45=1,LOG(AM206,1.01)+LOG(AL206,1.01)-LOG(AK206,1.01),-((T206-('main page'!$K$24+'main page'!$K$11))/(1-'normal case'!$AV$3))+'normal case'!AH206)</f>
        <v>2.0000000596046448</v>
      </c>
      <c r="AJ206" s="80">
        <f t="shared" ca="1" si="30"/>
        <v>1.0506250015463039</v>
      </c>
      <c r="AK206" s="44">
        <f t="shared" ca="1" si="31"/>
        <v>54.61239404108391</v>
      </c>
      <c r="AL206" s="44">
        <f>AL205*(1+'main page'!$K$32/100)</f>
        <v>1</v>
      </c>
      <c r="AM206" s="44">
        <f ca="1">IF(ABS(IF(controls!$B$45=1,$AS$13,AK206*AJ206/AL206)-AM205)&lt;0.00001,AM205,IF(controls!$B$45=1,$AS$13,AK206*AJ206/AL206))</f>
        <v>57.37714657386114</v>
      </c>
      <c r="AN206" s="44">
        <f>IF(controls!$B$46=0,0,IF(controls!$B$33=2,B207-B206*AC207-('normal case'!H207-D206*AD207-'main page'!$K$27*'normal case'!T206+'main page'!$K$31*'normal case'!AI206)-(('main page'!$K$25*'main page'!$U$13*'main page'!$K$29)/(1+('main page'!$K$25^2)*'main page'!$U$13))*('normal case'!L206-'main page'!$U$8),B207-B206*AC207-('normal case'!I207-D206*AD207-'main page'!$K$27*'normal case'!T206+'main page'!$K$31*'normal case'!AI206)-(('main page'!$K$25*'main page'!$U$13*'main page'!$K$29)/(1+('main page'!$K$25^2)*'main page'!$U$13))*('normal case'!L206-'main page'!$U$8)))</f>
        <v>0</v>
      </c>
      <c r="AU206" s="36"/>
      <c r="AV206" s="36"/>
    </row>
    <row r="207" spans="1:48">
      <c r="A207" s="43">
        <v>205</v>
      </c>
      <c r="B207" s="62">
        <f ca="1">IF(controls!$B$33=1,B206*(1+AC207)+AA207,B206*(1+AC207))</f>
        <v>101</v>
      </c>
      <c r="C207" s="67">
        <f t="shared" ca="1" si="32"/>
        <v>-1.5107707374006907E-7</v>
      </c>
      <c r="D207" s="64">
        <f t="shared" ca="1" si="28"/>
        <v>101.00000005960464</v>
      </c>
      <c r="E207" s="64">
        <f ca="1">AN206+IF(controls!$B$33=1,G207,F207)</f>
        <v>101.00000005960464</v>
      </c>
      <c r="F207" s="78">
        <f ca="1">IF(controls!$B$44=0,H207-'main page'!$K$27*T206,H207-'main page'!$K$27*T206+'main page'!$K$31*AI206)</f>
        <v>101.00000005960464</v>
      </c>
      <c r="G207" s="62">
        <f ca="1">IF(controls!$B$44=0,I207-'main page'!$K$27*T206,I207-'main page'!$K$27*T206+'main page'!$K$31*'normal case'!AI206)</f>
        <v>101.00000005960464</v>
      </c>
      <c r="H207" s="62">
        <f t="shared" ca="1" si="26"/>
        <v>108</v>
      </c>
      <c r="I207" s="62">
        <f t="shared" ca="1" si="27"/>
        <v>108</v>
      </c>
      <c r="L207" s="62">
        <f ca="1">IF(ABS('main page'!$K$29*L206+(1-'main page'!$K$29)*(controls!$B$9/100)*100+'main page'!$K$25*(D207-B207)-L206)&lt;0.0000001,L206,'main page'!$K$29*L206+(1-'main page'!$K$29)*(controls!$B$9/100)*100+'main page'!$K$25*(D207-B207))</f>
        <v>1.9999998807907104</v>
      </c>
      <c r="Q207" s="409">
        <f ca="1">(1-'main page'!$K$29)*($AS$11/100)*100+'main page'!$K$25*(D207-B207)</f>
        <v>5.9604644775390625E-8</v>
      </c>
      <c r="R207" s="409">
        <f>'main page'!G211+'main page'!$K$29*M206</f>
        <v>0</v>
      </c>
      <c r="S207" s="409">
        <f t="shared" ca="1" si="33"/>
        <v>5.9604644775390625E-8</v>
      </c>
      <c r="T207" s="79">
        <f ca="1">IF(controls!$B$10=1,T206,IF(SUM(controls!$B$44:$B$46)=2,U207-'main page'!$K$29*'normal case'!L207-(1-'main page'!$K$29)*'main page'!$K$32,U207-'main page'!$K$29*'normal case'!L207-(1-'main page'!$K$29)*controls!$B$9))</f>
        <v>3.4999999701976776</v>
      </c>
      <c r="U207" s="164">
        <f ca="1">IF(controls!$B$45=1,IF(controls!$B$46=1,'main page'!$K$24+'main page'!$K$11+'main page'!$U$8,'main page'!$K$24+'main page'!$K$11+'main page'!$K$32),IF(controls!$B$44=1,IF(V207&lt;0,0,V207),IF(V207+'main page'!$K$11&lt;0,0,V207+'main page'!$K$11)))</f>
        <v>5.4999998509883881</v>
      </c>
      <c r="V207" s="63">
        <f ca="1">IF(controls!$B$10=1,'normal case'!T207+'normal case'!L207,'normal case'!W207)</f>
        <v>5.4999998509883881</v>
      </c>
      <c r="W207" s="61">
        <f t="shared" ca="1" si="29"/>
        <v>5.4999998509883881</v>
      </c>
      <c r="X207" s="166">
        <f ca="1">IF(controls!$B$44=0,Y207+'main page'!$K$29*L207+(1-'main page'!$K$29)*controls!$B$9+(('main page'!$K$25*'main page'!$U$13*'main page'!$K$29)/('main page'!$K$27*(1+('main page'!$K$25^2)*'main page'!$U$13)))*(L207-controls!$B$9),Y207+'main page'!$K$29*L207+(1-'main page'!$K$29)*controls!$B$9+(('main page'!$K$25*'main page'!$U$13*'normal case'!$AV$3)/'normal case'!$AV$4)*('normal case'!L207-controls!$B$9))</f>
        <v>5.4999998509883881</v>
      </c>
      <c r="Y207" s="81">
        <f ca="1">IF(controls!$B$44=1,'main page'!$K$24+'main page'!$K$11,IF(controls!$B$33=1,((I208-D207*AD208-B208+B207*AC208)/'main page'!$K$27)-'main page'!$K$11,((H208-D207*AD208-B208+B207*AC208)/'main page'!$K$27)-'main page'!$K$11))</f>
        <v>3.5</v>
      </c>
      <c r="AA207" s="58">
        <f>IF(controls!$B$6=1,$AS$3*(1+('main page'!$K$35/100))^AB207-$AS$3*(1+('main page'!$K$35/100))^AB206,$AS$3*(1+('main page'!$G$8/100))*(1+('main page'!$K$35/100))^AB207-$AS$3*(1+('main page'!$G$8/100))*(1+('main page'!$K$35/100))^AB206)</f>
        <v>0</v>
      </c>
      <c r="AB207" s="60">
        <v>200</v>
      </c>
      <c r="AC207" s="125">
        <v>0</v>
      </c>
      <c r="AD207" s="36">
        <v>0</v>
      </c>
      <c r="AE207" s="44">
        <f ca="1">IF(controls!$B$33=1,D207-($I$3-'main page'!$K$27*2)*(1+('main page'!$K$35/100))^A206,D207-$AS$4)</f>
        <v>1.0000000596046448</v>
      </c>
      <c r="AF207" s="44">
        <f ca="1">ABS(L207-(controls!$B$9/100)*100)</f>
        <v>1.1920928955078125E-7</v>
      </c>
      <c r="AH207" s="44">
        <f ca="1">IF(controls!$B$33=1,(B208-B207*AC208-I208+D207*AD208+'main page'!$K$27*('main page'!$K$24+'main page'!$K$11))/'main page'!$K$31,(B208-B207*AC208+D207*AD208-H208+'main page'!$K$27*('main page'!$K$24+'main page'!$K$11))/'main page'!$K$31)</f>
        <v>1</v>
      </c>
      <c r="AI207" s="44">
        <f ca="1">IF(controls!$B$45=1,LOG(AM207,1.01)+LOG(AL207,1.01)-LOG(AK207,1.01),-((T207-('main page'!$K$24+'main page'!$K$11))/(1-'normal case'!$AV$3))+'normal case'!AH207)</f>
        <v>2.0000000596046448</v>
      </c>
      <c r="AJ207" s="80">
        <f t="shared" ca="1" si="30"/>
        <v>1.0506250015463039</v>
      </c>
      <c r="AK207" s="44">
        <f t="shared" ca="1" si="31"/>
        <v>55.704641856802546</v>
      </c>
      <c r="AL207" s="44">
        <f>AL206*(1+'main page'!$K$32/100)</f>
        <v>1</v>
      </c>
      <c r="AM207" s="44">
        <f ca="1">IF(ABS(IF(controls!$B$45=1,$AS$13,AK207*AJ207/AL207)-AM206)&lt;0.00001,AM206,IF(controls!$B$45=1,$AS$13,AK207*AJ207/AL207))</f>
        <v>58.524689436939482</v>
      </c>
      <c r="AN207" s="44">
        <f>IF(controls!$B$46=0,0,IF(controls!$B$33=2,B208-B207*AC208-('normal case'!H208-D207*AD208-'main page'!$K$27*'normal case'!T207+'main page'!$K$31*'normal case'!AI207)-(('main page'!$K$25*'main page'!$U$13*'main page'!$K$29)/(1+('main page'!$K$25^2)*'main page'!$U$13))*('normal case'!L207-'main page'!$U$8),B208-B207*AC208-('normal case'!I208-D207*AD208-'main page'!$K$27*'normal case'!T207+'main page'!$K$31*'normal case'!AI207)-(('main page'!$K$25*'main page'!$U$13*'main page'!$K$29)/(1+('main page'!$K$25^2)*'main page'!$U$13))*('normal case'!L207-'main page'!$U$8)))</f>
        <v>0</v>
      </c>
      <c r="AU207" s="36"/>
      <c r="AV207" s="36"/>
    </row>
    <row r="208" spans="1:48">
      <c r="A208" s="43">
        <v>206</v>
      </c>
      <c r="B208" s="62">
        <f ca="1">IF(controls!$B$33=1,B207*(1+AC208)+AA208,B207*(1+AC208))</f>
        <v>101</v>
      </c>
      <c r="C208" s="67">
        <f t="shared" ca="1" si="32"/>
        <v>-1.5107707374006907E-7</v>
      </c>
      <c r="D208" s="64">
        <f t="shared" ca="1" si="28"/>
        <v>101.00000005960464</v>
      </c>
      <c r="E208" s="64">
        <f ca="1">AN207+IF(controls!$B$33=1,G208,F208)</f>
        <v>101.00000005960464</v>
      </c>
      <c r="F208" s="78">
        <f ca="1">IF(controls!$B$44=0,H208-'main page'!$K$27*T207,H208-'main page'!$K$27*T207+'main page'!$K$31*AI207)</f>
        <v>101.00000005960464</v>
      </c>
      <c r="G208" s="62">
        <f ca="1">IF(controls!$B$44=0,I208-'main page'!$K$27*T207,I208-'main page'!$K$27*T207+'main page'!$K$31*'normal case'!AI207)</f>
        <v>101.00000005960464</v>
      </c>
      <c r="H208" s="62">
        <f t="shared" ca="1" si="26"/>
        <v>108</v>
      </c>
      <c r="I208" s="62">
        <f t="shared" ca="1" si="27"/>
        <v>108</v>
      </c>
      <c r="L208" s="62">
        <f ca="1">IF(ABS('main page'!$K$29*L207+(1-'main page'!$K$29)*(controls!$B$9/100)*100+'main page'!$K$25*(D208-B208)-L207)&lt;0.0000001,L207,'main page'!$K$29*L207+(1-'main page'!$K$29)*(controls!$B$9/100)*100+'main page'!$K$25*(D208-B208))</f>
        <v>1.9999998807907104</v>
      </c>
      <c r="Q208" s="409">
        <f ca="1">(1-'main page'!$K$29)*($AS$11/100)*100+'main page'!$K$25*(D208-B208)</f>
        <v>5.9604644775390625E-8</v>
      </c>
      <c r="R208" s="409">
        <f>'main page'!G212+'main page'!$K$29*M207</f>
        <v>0</v>
      </c>
      <c r="S208" s="409">
        <f t="shared" ca="1" si="33"/>
        <v>5.9604644775390625E-8</v>
      </c>
      <c r="T208" s="79">
        <f ca="1">IF(controls!$B$10=1,T207,IF(SUM(controls!$B$44:$B$46)=2,U208-'main page'!$K$29*'normal case'!L208-(1-'main page'!$K$29)*'main page'!$K$32,U208-'main page'!$K$29*'normal case'!L208-(1-'main page'!$K$29)*controls!$B$9))</f>
        <v>3.4999999701976776</v>
      </c>
      <c r="U208" s="164">
        <f ca="1">IF(controls!$B$45=1,IF(controls!$B$46=1,'main page'!$K$24+'main page'!$K$11+'main page'!$U$8,'main page'!$K$24+'main page'!$K$11+'main page'!$K$32),IF(controls!$B$44=1,IF(V208&lt;0,0,V208),IF(V208+'main page'!$K$11&lt;0,0,V208+'main page'!$K$11)))</f>
        <v>5.4999998509883881</v>
      </c>
      <c r="V208" s="63">
        <f ca="1">IF(controls!$B$10=1,'normal case'!T208+'normal case'!L208,'normal case'!W208)</f>
        <v>5.4999998509883881</v>
      </c>
      <c r="W208" s="61">
        <f t="shared" ca="1" si="29"/>
        <v>5.4999998509883881</v>
      </c>
      <c r="X208" s="166">
        <f ca="1">IF(controls!$B$44=0,Y208+'main page'!$K$29*L208+(1-'main page'!$K$29)*controls!$B$9+(('main page'!$K$25*'main page'!$U$13*'main page'!$K$29)/('main page'!$K$27*(1+('main page'!$K$25^2)*'main page'!$U$13)))*(L208-controls!$B$9),Y208+'main page'!$K$29*L208+(1-'main page'!$K$29)*controls!$B$9+(('main page'!$K$25*'main page'!$U$13*'normal case'!$AV$3)/'normal case'!$AV$4)*('normal case'!L208-controls!$B$9))</f>
        <v>5.4999998509883881</v>
      </c>
      <c r="Y208" s="81">
        <f ca="1">IF(controls!$B$44=1,'main page'!$K$24+'main page'!$K$11,IF(controls!$B$33=1,((I209-D208*AD209-B209+B208*AC209)/'main page'!$K$27)-'main page'!$K$11,((H209-D208*AD209-B209+B208*AC209)/'main page'!$K$27)-'main page'!$K$11))</f>
        <v>3.5</v>
      </c>
      <c r="AA208" s="58">
        <f>IF(controls!$B$6=1,$AS$3*(1+('main page'!$K$35/100))^AB208-$AS$3*(1+('main page'!$K$35/100))^AB207,$AS$3*(1+('main page'!$G$8/100))*(1+('main page'!$K$35/100))^AB208-$AS$3*(1+('main page'!$G$8/100))*(1+('main page'!$K$35/100))^AB207)</f>
        <v>0</v>
      </c>
      <c r="AB208" s="60">
        <v>201</v>
      </c>
      <c r="AC208" s="125">
        <v>0</v>
      </c>
      <c r="AD208" s="36">
        <v>0</v>
      </c>
      <c r="AE208" s="44">
        <f ca="1">IF(controls!$B$33=1,D208-($I$3-'main page'!$K$27*2)*(1+('main page'!$K$35/100))^A207,D208-$AS$4)</f>
        <v>1.0000000596046448</v>
      </c>
      <c r="AF208" s="44">
        <f ca="1">ABS(L208-(controls!$B$9/100)*100)</f>
        <v>1.1920928955078125E-7</v>
      </c>
      <c r="AH208" s="44">
        <f ca="1">IF(controls!$B$33=1,(B209-B208*AC209-I209+D208*AD209+'main page'!$K$27*('main page'!$K$24+'main page'!$K$11))/'main page'!$K$31,(B209-B208*AC209+D208*AD209-H209+'main page'!$K$27*('main page'!$K$24+'main page'!$K$11))/'main page'!$K$31)</f>
        <v>1</v>
      </c>
      <c r="AI208" s="44">
        <f ca="1">IF(controls!$B$45=1,LOG(AM208,1.01)+LOG(AL208,1.01)-LOG(AK208,1.01),-((T208-('main page'!$K$24+'main page'!$K$11))/(1-'normal case'!$AV$3))+'normal case'!AH208)</f>
        <v>2.0000000596046448</v>
      </c>
      <c r="AJ208" s="80">
        <f t="shared" ca="1" si="30"/>
        <v>1.0506250015463039</v>
      </c>
      <c r="AK208" s="44">
        <f t="shared" ca="1" si="31"/>
        <v>56.818734627533495</v>
      </c>
      <c r="AL208" s="44">
        <f>AL207*(1+'main page'!$K$32/100)</f>
        <v>1</v>
      </c>
      <c r="AM208" s="44">
        <f ca="1">IF(ABS(IF(controls!$B$45=1,$AS$13,AK208*AJ208/AL208)-AM207)&lt;0.00001,AM207,IF(controls!$B$45=1,$AS$13,AK208*AJ208/AL208))</f>
        <v>59.695183155911408</v>
      </c>
      <c r="AN208" s="44">
        <f>IF(controls!$B$46=0,0,IF(controls!$B$33=2,B209-B208*AC209-('normal case'!H209-D208*AD209-'main page'!$K$27*'normal case'!T208+'main page'!$K$31*'normal case'!AI208)-(('main page'!$K$25*'main page'!$U$13*'main page'!$K$29)/(1+('main page'!$K$25^2)*'main page'!$U$13))*('normal case'!L208-'main page'!$U$8),B209-B208*AC209-('normal case'!I209-D208*AD209-'main page'!$K$27*'normal case'!T208+'main page'!$K$31*'normal case'!AI208)-(('main page'!$K$25*'main page'!$U$13*'main page'!$K$29)/(1+('main page'!$K$25^2)*'main page'!$U$13))*('normal case'!L208-'main page'!$U$8)))</f>
        <v>0</v>
      </c>
      <c r="AU208" s="36"/>
      <c r="AV208" s="36"/>
    </row>
    <row r="209" spans="1:48">
      <c r="A209" s="43">
        <v>207</v>
      </c>
      <c r="B209" s="62">
        <f ca="1">IF(controls!$B$33=1,B208*(1+AC209)+AA209,B208*(1+AC209))</f>
        <v>101</v>
      </c>
      <c r="C209" s="67">
        <f t="shared" ca="1" si="32"/>
        <v>-1.5107707374006907E-7</v>
      </c>
      <c r="D209" s="64">
        <f t="shared" ca="1" si="28"/>
        <v>101.00000005960464</v>
      </c>
      <c r="E209" s="64">
        <f ca="1">AN208+IF(controls!$B$33=1,G209,F209)</f>
        <v>101.00000005960464</v>
      </c>
      <c r="F209" s="78">
        <f ca="1">IF(controls!$B$44=0,H209-'main page'!$K$27*T208,H209-'main page'!$K$27*T208+'main page'!$K$31*AI208)</f>
        <v>101.00000005960464</v>
      </c>
      <c r="G209" s="62">
        <f ca="1">IF(controls!$B$44=0,I209-'main page'!$K$27*T208,I209-'main page'!$K$27*T208+'main page'!$K$31*'normal case'!AI208)</f>
        <v>101.00000005960464</v>
      </c>
      <c r="H209" s="62">
        <f t="shared" ca="1" si="26"/>
        <v>108</v>
      </c>
      <c r="I209" s="62">
        <f t="shared" ca="1" si="27"/>
        <v>108</v>
      </c>
      <c r="L209" s="62">
        <f ca="1">IF(ABS('main page'!$K$29*L208+(1-'main page'!$K$29)*(controls!$B$9/100)*100+'main page'!$K$25*(D209-B209)-L208)&lt;0.0000001,L208,'main page'!$K$29*L208+(1-'main page'!$K$29)*(controls!$B$9/100)*100+'main page'!$K$25*(D209-B209))</f>
        <v>1.9999998807907104</v>
      </c>
      <c r="Q209" s="409">
        <f ca="1">(1-'main page'!$K$29)*($AS$11/100)*100+'main page'!$K$25*(D209-B209)</f>
        <v>5.9604644775390625E-8</v>
      </c>
      <c r="R209" s="409">
        <f>'main page'!G213+'main page'!$K$29*M208</f>
        <v>0</v>
      </c>
      <c r="S209" s="409">
        <f t="shared" ca="1" si="33"/>
        <v>5.9604644775390625E-8</v>
      </c>
      <c r="T209" s="79">
        <f ca="1">IF(controls!$B$10=1,T208,IF(SUM(controls!$B$44:$B$46)=2,U209-'main page'!$K$29*'normal case'!L209-(1-'main page'!$K$29)*'main page'!$K$32,U209-'main page'!$K$29*'normal case'!L209-(1-'main page'!$K$29)*controls!$B$9))</f>
        <v>3.4999999701976776</v>
      </c>
      <c r="U209" s="164">
        <f ca="1">IF(controls!$B$45=1,IF(controls!$B$46=1,'main page'!$K$24+'main page'!$K$11+'main page'!$U$8,'main page'!$K$24+'main page'!$K$11+'main page'!$K$32),IF(controls!$B$44=1,IF(V209&lt;0,0,V209),IF(V209+'main page'!$K$11&lt;0,0,V209+'main page'!$K$11)))</f>
        <v>5.4999998509883881</v>
      </c>
      <c r="V209" s="63">
        <f ca="1">IF(controls!$B$10=1,'normal case'!T209+'normal case'!L209,'normal case'!W209)</f>
        <v>5.4999998509883881</v>
      </c>
      <c r="W209" s="61">
        <f t="shared" ca="1" si="29"/>
        <v>5.4999998509883881</v>
      </c>
      <c r="X209" s="166">
        <f ca="1">IF(controls!$B$44=0,Y209+'main page'!$K$29*L209+(1-'main page'!$K$29)*controls!$B$9+(('main page'!$K$25*'main page'!$U$13*'main page'!$K$29)/('main page'!$K$27*(1+('main page'!$K$25^2)*'main page'!$U$13)))*(L209-controls!$B$9),Y209+'main page'!$K$29*L209+(1-'main page'!$K$29)*controls!$B$9+(('main page'!$K$25*'main page'!$U$13*'normal case'!$AV$3)/'normal case'!$AV$4)*('normal case'!L209-controls!$B$9))</f>
        <v>5.4999998509883881</v>
      </c>
      <c r="Y209" s="81">
        <f ca="1">IF(controls!$B$44=1,'main page'!$K$24+'main page'!$K$11,IF(controls!$B$33=1,((I210-D209*AD210-B210+B209*AC210)/'main page'!$K$27)-'main page'!$K$11,((H210-D209*AD210-B210+B209*AC210)/'main page'!$K$27)-'main page'!$K$11))</f>
        <v>3.5</v>
      </c>
      <c r="AA209" s="58">
        <f>IF(controls!$B$6=1,$AS$3*(1+('main page'!$K$35/100))^AB209-$AS$3*(1+('main page'!$K$35/100))^AB208,$AS$3*(1+('main page'!$G$8/100))*(1+('main page'!$K$35/100))^AB209-$AS$3*(1+('main page'!$G$8/100))*(1+('main page'!$K$35/100))^AB208)</f>
        <v>0</v>
      </c>
      <c r="AB209" s="60">
        <v>202</v>
      </c>
      <c r="AC209" s="125">
        <f ca="1">IF(controls!$B$4=1,IF(controls!$H208=1,controls!$B$34*AC208+RAND()*('main page'!$K$16/100)-RAND()*('main page'!$K$16/100),0),0)</f>
        <v>0</v>
      </c>
      <c r="AD209" s="36">
        <f ca="1">IF(controls!$B$4=1,IF(controls!$I208=1,controls!$B$34*AD208+RAND()*('main page'!$K$16/100)-RAND()*('main page'!$K$16/100),0),0)</f>
        <v>0</v>
      </c>
      <c r="AE209" s="44">
        <f ca="1">IF(controls!$B$33=1,D209-($I$3-'main page'!$K$27*2)*(1+('main page'!$K$35/100))^A208,D209-$AS$4)</f>
        <v>1.0000000596046448</v>
      </c>
      <c r="AF209" s="44">
        <f ca="1">ABS(L209-(controls!$B$9/100)*100)</f>
        <v>1.1920928955078125E-7</v>
      </c>
      <c r="AH209" s="44">
        <f ca="1">IF(controls!$B$33=1,(B210-B209*AC210-I210+D209*AD210+'main page'!$K$27*('main page'!$K$24+'main page'!$K$11))/'main page'!$K$31,(B210-B209*AC210+D209*AD210-H210+'main page'!$K$27*('main page'!$K$24+'main page'!$K$11))/'main page'!$K$31)</f>
        <v>1</v>
      </c>
      <c r="AI209" s="44">
        <f ca="1">IF(controls!$B$45=1,LOG(AM209,1.01)+LOG(AL209,1.01)-LOG(AK209,1.01),-((T209-('main page'!$K$24+'main page'!$K$11))/(1-'normal case'!$AV$3))+'normal case'!AH209)</f>
        <v>2.0000000596046448</v>
      </c>
      <c r="AJ209" s="80">
        <f t="shared" ca="1" si="30"/>
        <v>1.0506250015463039</v>
      </c>
      <c r="AK209" s="44">
        <f t="shared" ca="1" si="31"/>
        <v>57.955109252350958</v>
      </c>
      <c r="AL209" s="44">
        <f>AL208*(1+'main page'!$K$32/100)</f>
        <v>1</v>
      </c>
      <c r="AM209" s="44">
        <f ca="1">IF(ABS(IF(controls!$B$45=1,$AS$13,AK209*AJ209/AL209)-AM208)&lt;0.00001,AM208,IF(controls!$B$45=1,$AS$13,AK209*AJ209/AL209))</f>
        <v>60.889086747867438</v>
      </c>
      <c r="AN209" s="44">
        <f>IF(controls!$B$46=0,0,IF(controls!$B$33=2,B210-B209*AC210-('normal case'!H210-D209*AD210-'main page'!$K$27*'normal case'!T209+'main page'!$K$31*'normal case'!AI209)-(('main page'!$K$25*'main page'!$U$13*'main page'!$K$29)/(1+('main page'!$K$25^2)*'main page'!$U$13))*('normal case'!L209-'main page'!$U$8),B210-B209*AC210-('normal case'!I210-D209*AD210-'main page'!$K$27*'normal case'!T209+'main page'!$K$31*'normal case'!AI209)-(('main page'!$K$25*'main page'!$U$13*'main page'!$K$29)/(1+('main page'!$K$25^2)*'main page'!$U$13))*('normal case'!L209-'main page'!$U$8)))</f>
        <v>0</v>
      </c>
      <c r="AU209" s="36"/>
      <c r="AV209" s="36"/>
    </row>
    <row r="210" spans="1:48">
      <c r="A210" s="43">
        <v>208</v>
      </c>
      <c r="B210" s="62">
        <f ca="1">IF(controls!$B$33=1,B209*(1+AC210)+AA210,B209*(1+AC210))</f>
        <v>101</v>
      </c>
      <c r="C210" s="67">
        <f t="shared" ca="1" si="32"/>
        <v>-1.5107707374006907E-7</v>
      </c>
      <c r="D210" s="64">
        <f t="shared" ca="1" si="28"/>
        <v>101.00000005960464</v>
      </c>
      <c r="E210" s="64">
        <f ca="1">AN209+IF(controls!$B$33=1,G210,F210)</f>
        <v>101.00000005960464</v>
      </c>
      <c r="F210" s="78">
        <f ca="1">IF(controls!$B$44=0,H210-'main page'!$K$27*T209,H210-'main page'!$K$27*T209+'main page'!$K$31*AI209)</f>
        <v>101.00000005960464</v>
      </c>
      <c r="G210" s="62">
        <f ca="1">IF(controls!$B$44=0,I210-'main page'!$K$27*T209,I210-'main page'!$K$27*T209+'main page'!$K$31*'normal case'!AI209)</f>
        <v>101.00000005960464</v>
      </c>
      <c r="H210" s="62">
        <f t="shared" ca="1" si="26"/>
        <v>108</v>
      </c>
      <c r="I210" s="62">
        <f t="shared" ca="1" si="27"/>
        <v>108</v>
      </c>
      <c r="L210" s="62">
        <f ca="1">IF(ABS('main page'!$K$29*L209+(1-'main page'!$K$29)*(controls!$B$9/100)*100+'main page'!$K$25*(D210-B210)-L209)&lt;0.0000001,L209,'main page'!$K$29*L209+(1-'main page'!$K$29)*(controls!$B$9/100)*100+'main page'!$K$25*(D210-B210))</f>
        <v>1.9999998807907104</v>
      </c>
      <c r="Q210" s="409">
        <f ca="1">(1-'main page'!$K$29)*($AS$11/100)*100+'main page'!$K$25*(D210-B210)</f>
        <v>5.9604644775390625E-8</v>
      </c>
      <c r="R210" s="409">
        <f>'main page'!G214+'main page'!$K$29*M209</f>
        <v>0</v>
      </c>
      <c r="S210" s="409">
        <f t="shared" ca="1" si="33"/>
        <v>5.9604644775390625E-8</v>
      </c>
      <c r="T210" s="79">
        <f ca="1">IF(controls!$B$10=1,T209,IF(SUM(controls!$B$44:$B$46)=2,U210-'main page'!$K$29*'normal case'!L210-(1-'main page'!$K$29)*'main page'!$K$32,U210-'main page'!$K$29*'normal case'!L210-(1-'main page'!$K$29)*controls!$B$9))</f>
        <v>3.4999999701976776</v>
      </c>
      <c r="U210" s="164">
        <f ca="1">IF(controls!$B$45=1,IF(controls!$B$46=1,'main page'!$K$24+'main page'!$K$11+'main page'!$U$8,'main page'!$K$24+'main page'!$K$11+'main page'!$K$32),IF(controls!$B$44=1,IF(V210&lt;0,0,V210),IF(V210+'main page'!$K$11&lt;0,0,V210+'main page'!$K$11)))</f>
        <v>5.4999998509883881</v>
      </c>
      <c r="V210" s="63">
        <f ca="1">IF(controls!$B$10=1,'normal case'!T210+'normal case'!L210,'normal case'!W210)</f>
        <v>5.4999998509883881</v>
      </c>
      <c r="W210" s="61">
        <f t="shared" ca="1" si="29"/>
        <v>5.4999998509883881</v>
      </c>
      <c r="X210" s="166">
        <f ca="1">IF(controls!$B$44=0,Y210+'main page'!$K$29*L210+(1-'main page'!$K$29)*controls!$B$9+(('main page'!$K$25*'main page'!$U$13*'main page'!$K$29)/('main page'!$K$27*(1+('main page'!$K$25^2)*'main page'!$U$13)))*(L210-controls!$B$9),Y210+'main page'!$K$29*L210+(1-'main page'!$K$29)*controls!$B$9+(('main page'!$K$25*'main page'!$U$13*'normal case'!$AV$3)/'normal case'!$AV$4)*('normal case'!L210-controls!$B$9))</f>
        <v>5.4999998509883881</v>
      </c>
      <c r="Y210" s="81">
        <f ca="1">IF(controls!$B$44=1,'main page'!$K$24+'main page'!$K$11,IF(controls!$B$33=1,((I211-D210*AD211-B211+B210*AC211)/'main page'!$K$27)-'main page'!$K$11,((H211-D210*AD211-B211+B210*AC211)/'main page'!$K$27)-'main page'!$K$11))</f>
        <v>3.5</v>
      </c>
      <c r="AA210" s="58">
        <f>IF(controls!$B$6=1,$AS$3*(1+('main page'!$K$35/100))^AB210-$AS$3*(1+('main page'!$K$35/100))^AB209,$AS$3*(1+('main page'!$G$8/100))*(1+('main page'!$K$35/100))^AB210-$AS$3*(1+('main page'!$G$8/100))*(1+('main page'!$K$35/100))^AB209)</f>
        <v>0</v>
      </c>
      <c r="AB210" s="60">
        <v>203</v>
      </c>
      <c r="AC210" s="125">
        <v>0</v>
      </c>
      <c r="AD210" s="36">
        <v>0</v>
      </c>
      <c r="AE210" s="44">
        <f ca="1">IF(controls!$B$33=1,D210-($I$3-'main page'!$K$27*2)*(1+('main page'!$K$35/100))^A209,D210-$AS$4)</f>
        <v>1.0000000596046448</v>
      </c>
      <c r="AF210" s="44">
        <f ca="1">ABS(L210-(controls!$B$9/100)*100)</f>
        <v>1.1920928955078125E-7</v>
      </c>
      <c r="AH210" s="44">
        <f ca="1">IF(controls!$B$33=1,(B211-B210*AC211-I211+D210*AD211+'main page'!$K$27*('main page'!$K$24+'main page'!$K$11))/'main page'!$K$31,(B211-B210*AC211+D210*AD211-H211+'main page'!$K$27*('main page'!$K$24+'main page'!$K$11))/'main page'!$K$31)</f>
        <v>1</v>
      </c>
      <c r="AI210" s="44">
        <f ca="1">IF(controls!$B$45=1,LOG(AM210,1.01)+LOG(AL210,1.01)-LOG(AK210,1.01),-((T210-('main page'!$K$24+'main page'!$K$11))/(1-'normal case'!$AV$3))+'normal case'!AH210)</f>
        <v>2.0000000596046448</v>
      </c>
      <c r="AJ210" s="80">
        <f t="shared" ca="1" si="30"/>
        <v>1.0506250015463039</v>
      </c>
      <c r="AK210" s="44">
        <f t="shared" ca="1" si="31"/>
        <v>59.114211368310109</v>
      </c>
      <c r="AL210" s="44">
        <f>AL209*(1+'main page'!$K$32/100)</f>
        <v>1</v>
      </c>
      <c r="AM210" s="44">
        <f ca="1">IF(ABS(IF(controls!$B$45=1,$AS$13,AK210*AJ210/AL210)-AM209)&lt;0.00001,AM209,IF(controls!$B$45=1,$AS$13,AK210*AJ210/AL210))</f>
        <v>62.106868410239343</v>
      </c>
      <c r="AN210" s="44">
        <f>IF(controls!$B$46=0,0,IF(controls!$B$33=2,B211-B210*AC211-('normal case'!H211-D210*AD211-'main page'!$K$27*'normal case'!T210+'main page'!$K$31*'normal case'!AI210)-(('main page'!$K$25*'main page'!$U$13*'main page'!$K$29)/(1+('main page'!$K$25^2)*'main page'!$U$13))*('normal case'!L210-'main page'!$U$8),B211-B210*AC211-('normal case'!I211-D210*AD211-'main page'!$K$27*'normal case'!T210+'main page'!$K$31*'normal case'!AI210)-(('main page'!$K$25*'main page'!$U$13*'main page'!$K$29)/(1+('main page'!$K$25^2)*'main page'!$U$13))*('normal case'!L210-'main page'!$U$8)))</f>
        <v>0</v>
      </c>
      <c r="AU210" s="36"/>
      <c r="AV210" s="36"/>
    </row>
    <row r="211" spans="1:48">
      <c r="A211" s="43">
        <v>209</v>
      </c>
      <c r="B211" s="62">
        <f ca="1">IF(controls!$B$33=1,B210*(1+AC211)+AA211,B210*(1+AC211))</f>
        <v>101</v>
      </c>
      <c r="C211" s="67">
        <f t="shared" ca="1" si="32"/>
        <v>-1.5107707374006907E-7</v>
      </c>
      <c r="D211" s="64">
        <f t="shared" ca="1" si="28"/>
        <v>101.00000005960464</v>
      </c>
      <c r="E211" s="64">
        <f ca="1">AN210+IF(controls!$B$33=1,G211,F211)</f>
        <v>101.00000005960464</v>
      </c>
      <c r="F211" s="78">
        <f ca="1">IF(controls!$B$44=0,H211-'main page'!$K$27*T210,H211-'main page'!$K$27*T210+'main page'!$K$31*AI210)</f>
        <v>101.00000005960464</v>
      </c>
      <c r="G211" s="62">
        <f ca="1">IF(controls!$B$44=0,I211-'main page'!$K$27*T210,I211-'main page'!$K$27*T210+'main page'!$K$31*'normal case'!AI210)</f>
        <v>101.00000005960464</v>
      </c>
      <c r="H211" s="62">
        <f t="shared" ca="1" si="26"/>
        <v>108</v>
      </c>
      <c r="I211" s="62">
        <f t="shared" ca="1" si="27"/>
        <v>108</v>
      </c>
      <c r="L211" s="62">
        <f ca="1">IF(ABS('main page'!$K$29*L210+(1-'main page'!$K$29)*(controls!$B$9/100)*100+'main page'!$K$25*(D211-B211)-L210)&lt;0.0000001,L210,'main page'!$K$29*L210+(1-'main page'!$K$29)*(controls!$B$9/100)*100+'main page'!$K$25*(D211-B211))</f>
        <v>1.9999998807907104</v>
      </c>
      <c r="Q211" s="409">
        <f ca="1">(1-'main page'!$K$29)*($AS$11/100)*100+'main page'!$K$25*(D211-B211)</f>
        <v>5.9604644775390625E-8</v>
      </c>
      <c r="R211" s="409">
        <f>'main page'!G215+'main page'!$K$29*M210</f>
        <v>0</v>
      </c>
      <c r="S211" s="409">
        <f t="shared" ca="1" si="33"/>
        <v>5.9604644775390625E-8</v>
      </c>
      <c r="T211" s="79">
        <f ca="1">IF(controls!$B$10=1,T210,IF(SUM(controls!$B$44:$B$46)=2,U211-'main page'!$K$29*'normal case'!L211-(1-'main page'!$K$29)*'main page'!$K$32,U211-'main page'!$K$29*'normal case'!L211-(1-'main page'!$K$29)*controls!$B$9))</f>
        <v>3.4999999701976776</v>
      </c>
      <c r="U211" s="164">
        <f ca="1">IF(controls!$B$45=1,IF(controls!$B$46=1,'main page'!$K$24+'main page'!$K$11+'main page'!$U$8,'main page'!$K$24+'main page'!$K$11+'main page'!$K$32),IF(controls!$B$44=1,IF(V211&lt;0,0,V211),IF(V211+'main page'!$K$11&lt;0,0,V211+'main page'!$K$11)))</f>
        <v>5.4999998509883881</v>
      </c>
      <c r="V211" s="63">
        <f ca="1">IF(controls!$B$10=1,'normal case'!T211+'normal case'!L211,'normal case'!W211)</f>
        <v>5.4999998509883881</v>
      </c>
      <c r="W211" s="61">
        <f t="shared" ca="1" si="29"/>
        <v>5.4999998509883881</v>
      </c>
      <c r="X211" s="166">
        <f ca="1">IF(controls!$B$44=0,Y211+'main page'!$K$29*L211+(1-'main page'!$K$29)*controls!$B$9+(('main page'!$K$25*'main page'!$U$13*'main page'!$K$29)/('main page'!$K$27*(1+('main page'!$K$25^2)*'main page'!$U$13)))*(L211-controls!$B$9),Y211+'main page'!$K$29*L211+(1-'main page'!$K$29)*controls!$B$9+(('main page'!$K$25*'main page'!$U$13*'normal case'!$AV$3)/'normal case'!$AV$4)*('normal case'!L211-controls!$B$9))</f>
        <v>5.4999998509883881</v>
      </c>
      <c r="Y211" s="81">
        <f ca="1">IF(controls!$B$44=1,'main page'!$K$24+'main page'!$K$11,IF(controls!$B$33=1,((I212-D211*AD212-B212+B211*AC212)/'main page'!$K$27)-'main page'!$K$11,((H212-D211*AD212-B212+B211*AC212)/'main page'!$K$27)-'main page'!$K$11))</f>
        <v>3.5</v>
      </c>
      <c r="AA211" s="58">
        <f>IF(controls!$B$6=1,$AS$3*(1+('main page'!$K$35/100))^AB211-$AS$3*(1+('main page'!$K$35/100))^AB210,$AS$3*(1+('main page'!$G$8/100))*(1+('main page'!$K$35/100))^AB211-$AS$3*(1+('main page'!$G$8/100))*(1+('main page'!$K$35/100))^AB210)</f>
        <v>0</v>
      </c>
      <c r="AB211" s="60">
        <v>204</v>
      </c>
      <c r="AC211" s="125">
        <v>0</v>
      </c>
      <c r="AD211" s="36">
        <v>0</v>
      </c>
      <c r="AE211" s="44">
        <f ca="1">IF(controls!$B$33=1,D211-($I$3-'main page'!$K$27*2)*(1+('main page'!$K$35/100))^A210,D211-$AS$4)</f>
        <v>1.0000000596046448</v>
      </c>
      <c r="AF211" s="44">
        <f ca="1">ABS(L211-(controls!$B$9/100)*100)</f>
        <v>1.1920928955078125E-7</v>
      </c>
      <c r="AH211" s="44">
        <f ca="1">IF(controls!$B$33=1,(B212-B211*AC212-I212+D211*AD212+'main page'!$K$27*('main page'!$K$24+'main page'!$K$11))/'main page'!$K$31,(B212-B211*AC212+D211*AD212-H212+'main page'!$K$27*('main page'!$K$24+'main page'!$K$11))/'main page'!$K$31)</f>
        <v>1</v>
      </c>
      <c r="AI211" s="44">
        <f ca="1">IF(controls!$B$45=1,LOG(AM211,1.01)+LOG(AL211,1.01)-LOG(AK211,1.01),-((T211-('main page'!$K$24+'main page'!$K$11))/(1-'normal case'!$AV$3))+'normal case'!AH211)</f>
        <v>2.0000000596046448</v>
      </c>
      <c r="AJ211" s="80">
        <f t="shared" ca="1" si="30"/>
        <v>1.0506250015463039</v>
      </c>
      <c r="AK211" s="44">
        <f t="shared" ca="1" si="31"/>
        <v>60.29649552520668</v>
      </c>
      <c r="AL211" s="44">
        <f>AL210*(1+'main page'!$K$32/100)</f>
        <v>1</v>
      </c>
      <c r="AM211" s="44">
        <f ca="1">IF(ABS(IF(controls!$B$45=1,$AS$13,AK211*AJ211/AL211)-AM210)&lt;0.00001,AM210,IF(controls!$B$45=1,$AS$13,AK211*AJ211/AL211))</f>
        <v>63.349005704406977</v>
      </c>
      <c r="AN211" s="44">
        <f>IF(controls!$B$46=0,0,IF(controls!$B$33=2,B212-B211*AC212-('normal case'!H212-D211*AD212-'main page'!$K$27*'normal case'!T211+'main page'!$K$31*'normal case'!AI211)-(('main page'!$K$25*'main page'!$U$13*'main page'!$K$29)/(1+('main page'!$K$25^2)*'main page'!$U$13))*('normal case'!L211-'main page'!$U$8),B212-B211*AC212-('normal case'!I212-D211*AD212-'main page'!$K$27*'normal case'!T211+'main page'!$K$31*'normal case'!AI211)-(('main page'!$K$25*'main page'!$U$13*'main page'!$K$29)/(1+('main page'!$K$25^2)*'main page'!$U$13))*('normal case'!L211-'main page'!$U$8)))</f>
        <v>0</v>
      </c>
      <c r="AU211" s="36"/>
      <c r="AV211" s="36"/>
    </row>
    <row r="212" spans="1:48">
      <c r="A212" s="43">
        <v>210</v>
      </c>
      <c r="B212" s="62">
        <f ca="1">IF(controls!$B$33=1,B211*(1+AC212)+AA212,B211*(1+AC212))</f>
        <v>101</v>
      </c>
      <c r="C212" s="67">
        <f t="shared" ca="1" si="32"/>
        <v>-1.5107707374006907E-7</v>
      </c>
      <c r="D212" s="64">
        <f t="shared" ca="1" si="28"/>
        <v>101.00000005960464</v>
      </c>
      <c r="E212" s="64">
        <f ca="1">AN211+IF(controls!$B$33=1,G212,F212)</f>
        <v>101.00000005960464</v>
      </c>
      <c r="F212" s="78">
        <f ca="1">IF(controls!$B$44=0,H212-'main page'!$K$27*T211,H212-'main page'!$K$27*T211+'main page'!$K$31*AI211)</f>
        <v>101.00000005960464</v>
      </c>
      <c r="G212" s="62">
        <f ca="1">IF(controls!$B$44=0,I212-'main page'!$K$27*T211,I212-'main page'!$K$27*T211+'main page'!$K$31*'normal case'!AI211)</f>
        <v>101.00000005960464</v>
      </c>
      <c r="H212" s="62">
        <f t="shared" ca="1" si="26"/>
        <v>108</v>
      </c>
      <c r="I212" s="62">
        <f t="shared" ca="1" si="27"/>
        <v>108</v>
      </c>
      <c r="L212" s="62">
        <f ca="1">IF(ABS('main page'!$K$29*L211+(1-'main page'!$K$29)*(controls!$B$9/100)*100+'main page'!$K$25*(D212-B212)-L211)&lt;0.0000001,L211,'main page'!$K$29*L211+(1-'main page'!$K$29)*(controls!$B$9/100)*100+'main page'!$K$25*(D212-B212))</f>
        <v>1.9999998807907104</v>
      </c>
      <c r="Q212" s="409">
        <f ca="1">(1-'main page'!$K$29)*($AS$11/100)*100+'main page'!$K$25*(D212-B212)</f>
        <v>5.9604644775390625E-8</v>
      </c>
      <c r="R212" s="409">
        <f>'main page'!G216+'main page'!$K$29*M211</f>
        <v>0</v>
      </c>
      <c r="S212" s="409">
        <f t="shared" ca="1" si="33"/>
        <v>5.9604644775390625E-8</v>
      </c>
      <c r="T212" s="79">
        <f ca="1">IF(controls!$B$10=1,T211,IF(SUM(controls!$B$44:$B$46)=2,U212-'main page'!$K$29*'normal case'!L212-(1-'main page'!$K$29)*'main page'!$K$32,U212-'main page'!$K$29*'normal case'!L212-(1-'main page'!$K$29)*controls!$B$9))</f>
        <v>3.4999999701976776</v>
      </c>
      <c r="U212" s="164">
        <f ca="1">IF(controls!$B$45=1,IF(controls!$B$46=1,'main page'!$K$24+'main page'!$K$11+'main page'!$U$8,'main page'!$K$24+'main page'!$K$11+'main page'!$K$32),IF(controls!$B$44=1,IF(V212&lt;0,0,V212),IF(V212+'main page'!$K$11&lt;0,0,V212+'main page'!$K$11)))</f>
        <v>5.4999998509883881</v>
      </c>
      <c r="V212" s="63">
        <f ca="1">IF(controls!$B$10=1,'normal case'!T212+'normal case'!L212,'normal case'!W212)</f>
        <v>5.4999998509883881</v>
      </c>
      <c r="W212" s="61">
        <f t="shared" ca="1" si="29"/>
        <v>5.4999998509883881</v>
      </c>
      <c r="X212" s="166">
        <f ca="1">IF(controls!$B$44=0,Y212+'main page'!$K$29*L212+(1-'main page'!$K$29)*controls!$B$9+(('main page'!$K$25*'main page'!$U$13*'main page'!$K$29)/('main page'!$K$27*(1+('main page'!$K$25^2)*'main page'!$U$13)))*(L212-controls!$B$9),Y212+'main page'!$K$29*L212+(1-'main page'!$K$29)*controls!$B$9+(('main page'!$K$25*'main page'!$U$13*'normal case'!$AV$3)/'normal case'!$AV$4)*('normal case'!L212-controls!$B$9))</f>
        <v>5.4999998509883881</v>
      </c>
      <c r="Y212" s="81">
        <f ca="1">IF(controls!$B$44=1,'main page'!$K$24+'main page'!$K$11,IF(controls!$B$33=1,((I213-D212*AD213-B213+B212*AC213)/'main page'!$K$27)-'main page'!$K$11,((H213-D212*AD213-B213+B212*AC213)/'main page'!$K$27)-'main page'!$K$11))</f>
        <v>3.5</v>
      </c>
      <c r="AA212" s="58">
        <f>IF(controls!$B$6=1,$AS$3*(1+('main page'!$K$35/100))^AB212-$AS$3*(1+('main page'!$K$35/100))^AB211,$AS$3*(1+('main page'!$G$8/100))*(1+('main page'!$K$35/100))^AB212-$AS$3*(1+('main page'!$G$8/100))*(1+('main page'!$K$35/100))^AB211)</f>
        <v>0</v>
      </c>
      <c r="AB212" s="60">
        <v>205</v>
      </c>
      <c r="AC212" s="125">
        <f ca="1">IF(controls!$B$4=1,IF(controls!$H211=1,controls!$B$34*AC211+RAND()*('main page'!$K$16/100)-RAND()*('main page'!$K$16/100),0),0)</f>
        <v>0</v>
      </c>
      <c r="AD212" s="36">
        <f ca="1">IF(controls!$B$4=1,IF(controls!$I211=1,controls!$B$34*AD211+RAND()*('main page'!$K$16/100)-RAND()*('main page'!$K$16/100),0),0)</f>
        <v>0</v>
      </c>
      <c r="AE212" s="44">
        <f ca="1">IF(controls!$B$33=1,D212-($I$3-'main page'!$K$27*2)*(1+('main page'!$K$35/100))^A211,D212-$AS$4)</f>
        <v>1.0000000596046448</v>
      </c>
      <c r="AF212" s="44">
        <f ca="1">ABS(L212-(controls!$B$9/100)*100)</f>
        <v>1.1920928955078125E-7</v>
      </c>
      <c r="AH212" s="44">
        <f ca="1">IF(controls!$B$33=1,(B213-B212*AC213-I213+D212*AD213+'main page'!$K$27*('main page'!$K$24+'main page'!$K$11))/'main page'!$K$31,(B213-B212*AC213+D212*AD213-H213+'main page'!$K$27*('main page'!$K$24+'main page'!$K$11))/'main page'!$K$31)</f>
        <v>1</v>
      </c>
      <c r="AI212" s="44">
        <f ca="1">IF(controls!$B$45=1,LOG(AM212,1.01)+LOG(AL212,1.01)-LOG(AK212,1.01),-((T212-('main page'!$K$24+'main page'!$K$11))/(1-'normal case'!$AV$3))+'normal case'!AH212)</f>
        <v>2.0000000596046448</v>
      </c>
      <c r="AJ212" s="80">
        <f t="shared" ca="1" si="30"/>
        <v>1.0506250015463039</v>
      </c>
      <c r="AK212" s="44">
        <f t="shared" ca="1" si="31"/>
        <v>61.50242536383179</v>
      </c>
      <c r="AL212" s="44">
        <f>AL211*(1+'main page'!$K$32/100)</f>
        <v>1</v>
      </c>
      <c r="AM212" s="44">
        <f ca="1">IF(ABS(IF(controls!$B$45=1,$AS$13,AK212*AJ212/AL212)-AM211)&lt;0.00001,AM211,IF(controls!$B$45=1,$AS$13,AK212*AJ212/AL212))</f>
        <v>64.615985742977216</v>
      </c>
      <c r="AN212" s="44">
        <f>IF(controls!$B$46=0,0,IF(controls!$B$33=2,B213-B212*AC213-('normal case'!H213-D212*AD213-'main page'!$K$27*'normal case'!T212+'main page'!$K$31*'normal case'!AI212)-(('main page'!$K$25*'main page'!$U$13*'main page'!$K$29)/(1+('main page'!$K$25^2)*'main page'!$U$13))*('normal case'!L212-'main page'!$U$8),B213-B212*AC213-('normal case'!I213-D212*AD213-'main page'!$K$27*'normal case'!T212+'main page'!$K$31*'normal case'!AI212)-(('main page'!$K$25*'main page'!$U$13*'main page'!$K$29)/(1+('main page'!$K$25^2)*'main page'!$U$13))*('normal case'!L212-'main page'!$U$8)))</f>
        <v>0</v>
      </c>
      <c r="AU212" s="36"/>
      <c r="AV212" s="36"/>
    </row>
    <row r="213" spans="1:48">
      <c r="A213" s="43">
        <v>211</v>
      </c>
      <c r="B213" s="62">
        <f ca="1">IF(controls!$B$33=1,B212*(1+AC213)+AA213,B212*(1+AC213))</f>
        <v>101</v>
      </c>
      <c r="C213" s="67">
        <f t="shared" ca="1" si="32"/>
        <v>-1.5107707374006907E-7</v>
      </c>
      <c r="D213" s="64">
        <f t="shared" ca="1" si="28"/>
        <v>101.00000005960464</v>
      </c>
      <c r="E213" s="64">
        <f ca="1">AN212+IF(controls!$B$33=1,G213,F213)</f>
        <v>101.00000005960464</v>
      </c>
      <c r="F213" s="78">
        <f ca="1">IF(controls!$B$44=0,H213-'main page'!$K$27*T212,H213-'main page'!$K$27*T212+'main page'!$K$31*AI212)</f>
        <v>101.00000005960464</v>
      </c>
      <c r="G213" s="62">
        <f ca="1">IF(controls!$B$44=0,I213-'main page'!$K$27*T212,I213-'main page'!$K$27*T212+'main page'!$K$31*'normal case'!AI212)</f>
        <v>101.00000005960464</v>
      </c>
      <c r="H213" s="62">
        <f t="shared" ca="1" si="26"/>
        <v>108</v>
      </c>
      <c r="I213" s="62">
        <f t="shared" ca="1" si="27"/>
        <v>108</v>
      </c>
      <c r="L213" s="62">
        <f ca="1">IF(ABS('main page'!$K$29*L212+(1-'main page'!$K$29)*(controls!$B$9/100)*100+'main page'!$K$25*(D213-B213)-L212)&lt;0.0000001,L212,'main page'!$K$29*L212+(1-'main page'!$K$29)*(controls!$B$9/100)*100+'main page'!$K$25*(D213-B213))</f>
        <v>1.9999998807907104</v>
      </c>
      <c r="Q213" s="409">
        <f ca="1">(1-'main page'!$K$29)*($AS$11/100)*100+'main page'!$K$25*(D213-B213)</f>
        <v>5.9604644775390625E-8</v>
      </c>
      <c r="R213" s="409">
        <f>'main page'!G217+'main page'!$K$29*M212</f>
        <v>0</v>
      </c>
      <c r="S213" s="409">
        <f t="shared" ca="1" si="33"/>
        <v>5.9604644775390625E-8</v>
      </c>
      <c r="T213" s="79">
        <f ca="1">IF(controls!$B$10=1,T212,IF(SUM(controls!$B$44:$B$46)=2,U213-'main page'!$K$29*'normal case'!L213-(1-'main page'!$K$29)*'main page'!$K$32,U213-'main page'!$K$29*'normal case'!L213-(1-'main page'!$K$29)*controls!$B$9))</f>
        <v>3.4999999701976776</v>
      </c>
      <c r="U213" s="164">
        <f ca="1">IF(controls!$B$45=1,IF(controls!$B$46=1,'main page'!$K$24+'main page'!$K$11+'main page'!$U$8,'main page'!$K$24+'main page'!$K$11+'main page'!$K$32),IF(controls!$B$44=1,IF(V213&lt;0,0,V213),IF(V213+'main page'!$K$11&lt;0,0,V213+'main page'!$K$11)))</f>
        <v>5.4999998509883881</v>
      </c>
      <c r="V213" s="63">
        <f ca="1">IF(controls!$B$10=1,'normal case'!T213+'normal case'!L213,'normal case'!W213)</f>
        <v>5.4999998509883881</v>
      </c>
      <c r="W213" s="61">
        <f t="shared" ca="1" si="29"/>
        <v>5.4999998509883881</v>
      </c>
      <c r="X213" s="166">
        <f ca="1">IF(controls!$B$44=0,Y213+'main page'!$K$29*L213+(1-'main page'!$K$29)*controls!$B$9+(('main page'!$K$25*'main page'!$U$13*'main page'!$K$29)/('main page'!$K$27*(1+('main page'!$K$25^2)*'main page'!$U$13)))*(L213-controls!$B$9),Y213+'main page'!$K$29*L213+(1-'main page'!$K$29)*controls!$B$9+(('main page'!$K$25*'main page'!$U$13*'normal case'!$AV$3)/'normal case'!$AV$4)*('normal case'!L213-controls!$B$9))</f>
        <v>5.4999998509883881</v>
      </c>
      <c r="Y213" s="81">
        <f ca="1">IF(controls!$B$44=1,'main page'!$K$24+'main page'!$K$11,IF(controls!$B$33=1,((I214-D213*AD214-B214+B213*AC214)/'main page'!$K$27)-'main page'!$K$11,((H214-D213*AD214-B214+B213*AC214)/'main page'!$K$27)-'main page'!$K$11))</f>
        <v>3.5</v>
      </c>
      <c r="AA213" s="58">
        <f>IF(controls!$B$6=1,$AS$3*(1+('main page'!$K$35/100))^AB213-$AS$3*(1+('main page'!$K$35/100))^AB212,$AS$3*(1+('main page'!$G$8/100))*(1+('main page'!$K$35/100))^AB213-$AS$3*(1+('main page'!$G$8/100))*(1+('main page'!$K$35/100))^AB212)</f>
        <v>0</v>
      </c>
      <c r="AB213" s="60">
        <v>206</v>
      </c>
      <c r="AC213" s="125">
        <v>0</v>
      </c>
      <c r="AD213" s="36">
        <v>0</v>
      </c>
      <c r="AE213" s="44">
        <f ca="1">IF(controls!$B$33=1,D213-($I$3-'main page'!$K$27*2)*(1+('main page'!$K$35/100))^A212,D213-$AS$4)</f>
        <v>1.0000000596046448</v>
      </c>
      <c r="AF213" s="44">
        <f ca="1">ABS(L213-(controls!$B$9/100)*100)</f>
        <v>1.1920928955078125E-7</v>
      </c>
      <c r="AH213" s="44">
        <f ca="1">IF(controls!$B$33=1,(B214-B213*AC214-I214+D213*AD214+'main page'!$K$27*('main page'!$K$24+'main page'!$K$11))/'main page'!$K$31,(B214-B213*AC214+D213*AD214-H214+'main page'!$K$27*('main page'!$K$24+'main page'!$K$11))/'main page'!$K$31)</f>
        <v>1</v>
      </c>
      <c r="AI213" s="44">
        <f ca="1">IF(controls!$B$45=1,LOG(AM213,1.01)+LOG(AL213,1.01)-LOG(AK213,1.01),-((T213-('main page'!$K$24+'main page'!$K$11))/(1-'normal case'!$AV$3))+'normal case'!AH213)</f>
        <v>2.0000000596046448</v>
      </c>
      <c r="AJ213" s="80">
        <f t="shared" ca="1" si="30"/>
        <v>1.0506250015463039</v>
      </c>
      <c r="AK213" s="44">
        <f t="shared" ca="1" si="31"/>
        <v>62.732473797791826</v>
      </c>
      <c r="AL213" s="44">
        <f>AL212*(1+'main page'!$K$32/100)</f>
        <v>1</v>
      </c>
      <c r="AM213" s="44">
        <f ca="1">IF(ABS(IF(controls!$B$45=1,$AS$13,AK213*AJ213/AL213)-AM212)&lt;0.00001,AM212,IF(controls!$B$45=1,$AS$13,AK213*AJ213/AL213))</f>
        <v>65.9083053808085</v>
      </c>
      <c r="AN213" s="44">
        <f>IF(controls!$B$46=0,0,IF(controls!$B$33=2,B214-B213*AC214-('normal case'!H214-D213*AD214-'main page'!$K$27*'normal case'!T213+'main page'!$K$31*'normal case'!AI213)-(('main page'!$K$25*'main page'!$U$13*'main page'!$K$29)/(1+('main page'!$K$25^2)*'main page'!$U$13))*('normal case'!L213-'main page'!$U$8),B214-B213*AC214-('normal case'!I214-D213*AD214-'main page'!$K$27*'normal case'!T213+'main page'!$K$31*'normal case'!AI213)-(('main page'!$K$25*'main page'!$U$13*'main page'!$K$29)/(1+('main page'!$K$25^2)*'main page'!$U$13))*('normal case'!L213-'main page'!$U$8)))</f>
        <v>0</v>
      </c>
      <c r="AU213" s="36"/>
      <c r="AV213" s="36"/>
    </row>
    <row r="214" spans="1:48">
      <c r="A214" s="43">
        <v>212</v>
      </c>
      <c r="B214" s="62">
        <f ca="1">IF(controls!$B$33=1,B213*(1+AC214)+AA214,B213*(1+AC214))</f>
        <v>101</v>
      </c>
      <c r="C214" s="67">
        <f t="shared" ca="1" si="32"/>
        <v>-1.5107707374006907E-7</v>
      </c>
      <c r="D214" s="64">
        <f t="shared" ca="1" si="28"/>
        <v>101.00000005960464</v>
      </c>
      <c r="E214" s="64">
        <f ca="1">AN213+IF(controls!$B$33=1,G214,F214)</f>
        <v>101.00000005960464</v>
      </c>
      <c r="F214" s="78">
        <f ca="1">IF(controls!$B$44=0,H214-'main page'!$K$27*T213,H214-'main page'!$K$27*T213+'main page'!$K$31*AI213)</f>
        <v>101.00000005960464</v>
      </c>
      <c r="G214" s="62">
        <f ca="1">IF(controls!$B$44=0,I214-'main page'!$K$27*T213,I214-'main page'!$K$27*T213+'main page'!$K$31*'normal case'!AI213)</f>
        <v>101.00000005960464</v>
      </c>
      <c r="H214" s="62">
        <f t="shared" ca="1" si="26"/>
        <v>108</v>
      </c>
      <c r="I214" s="62">
        <f t="shared" ca="1" si="27"/>
        <v>108</v>
      </c>
      <c r="L214" s="62">
        <f ca="1">IF(ABS('main page'!$K$29*L213+(1-'main page'!$K$29)*(controls!$B$9/100)*100+'main page'!$K$25*(D214-B214)-L213)&lt;0.0000001,L213,'main page'!$K$29*L213+(1-'main page'!$K$29)*(controls!$B$9/100)*100+'main page'!$K$25*(D214-B214))</f>
        <v>1.9999998807907104</v>
      </c>
      <c r="Q214" s="409">
        <f ca="1">(1-'main page'!$K$29)*($AS$11/100)*100+'main page'!$K$25*(D214-B214)</f>
        <v>5.9604644775390625E-8</v>
      </c>
      <c r="R214" s="409">
        <f>'main page'!G218+'main page'!$K$29*M213</f>
        <v>0</v>
      </c>
      <c r="S214" s="409">
        <f t="shared" ca="1" si="33"/>
        <v>5.9604644775390625E-8</v>
      </c>
      <c r="T214" s="79">
        <f ca="1">IF(controls!$B$10=1,T213,IF(SUM(controls!$B$44:$B$46)=2,U214-'main page'!$K$29*'normal case'!L214-(1-'main page'!$K$29)*'main page'!$K$32,U214-'main page'!$K$29*'normal case'!L214-(1-'main page'!$K$29)*controls!$B$9))</f>
        <v>3.4999999701976776</v>
      </c>
      <c r="U214" s="164">
        <f ca="1">IF(controls!$B$45=1,IF(controls!$B$46=1,'main page'!$K$24+'main page'!$K$11+'main page'!$U$8,'main page'!$K$24+'main page'!$K$11+'main page'!$K$32),IF(controls!$B$44=1,IF(V214&lt;0,0,V214),IF(V214+'main page'!$K$11&lt;0,0,V214+'main page'!$K$11)))</f>
        <v>5.4999998509883881</v>
      </c>
      <c r="V214" s="63">
        <f ca="1">IF(controls!$B$10=1,'normal case'!T214+'normal case'!L214,'normal case'!W214)</f>
        <v>5.4999998509883881</v>
      </c>
      <c r="W214" s="61">
        <f t="shared" ca="1" si="29"/>
        <v>5.4999998509883881</v>
      </c>
      <c r="X214" s="166">
        <f ca="1">IF(controls!$B$44=0,Y214+'main page'!$K$29*L214+(1-'main page'!$K$29)*controls!$B$9+(('main page'!$K$25*'main page'!$U$13*'main page'!$K$29)/('main page'!$K$27*(1+('main page'!$K$25^2)*'main page'!$U$13)))*(L214-controls!$B$9),Y214+'main page'!$K$29*L214+(1-'main page'!$K$29)*controls!$B$9+(('main page'!$K$25*'main page'!$U$13*'normal case'!$AV$3)/'normal case'!$AV$4)*('normal case'!L214-controls!$B$9))</f>
        <v>5.4999998509883881</v>
      </c>
      <c r="Y214" s="81">
        <f ca="1">IF(controls!$B$44=1,'main page'!$K$24+'main page'!$K$11,IF(controls!$B$33=1,((I215-D214*AD215-B215+B214*AC215)/'main page'!$K$27)-'main page'!$K$11,((H215-D214*AD215-B215+B214*AC215)/'main page'!$K$27)-'main page'!$K$11))</f>
        <v>3.5</v>
      </c>
      <c r="AA214" s="58">
        <f>IF(controls!$B$6=1,$AS$3*(1+('main page'!$K$35/100))^AB214-$AS$3*(1+('main page'!$K$35/100))^AB213,$AS$3*(1+('main page'!$G$8/100))*(1+('main page'!$K$35/100))^AB214-$AS$3*(1+('main page'!$G$8/100))*(1+('main page'!$K$35/100))^AB213)</f>
        <v>0</v>
      </c>
      <c r="AB214" s="60">
        <v>207</v>
      </c>
      <c r="AC214" s="125">
        <v>0</v>
      </c>
      <c r="AD214" s="36">
        <v>0</v>
      </c>
      <c r="AE214" s="44">
        <f ca="1">IF(controls!$B$33=1,D214-($I$3-'main page'!$K$27*2)*(1+('main page'!$K$35/100))^A213,D214-$AS$4)</f>
        <v>1.0000000596046448</v>
      </c>
      <c r="AF214" s="44">
        <f ca="1">ABS(L214-(controls!$B$9/100)*100)</f>
        <v>1.1920928955078125E-7</v>
      </c>
      <c r="AH214" s="44">
        <f ca="1">IF(controls!$B$33=1,(B215-B214*AC215-I215+D214*AD215+'main page'!$K$27*('main page'!$K$24+'main page'!$K$11))/'main page'!$K$31,(B215-B214*AC215+D214*AD215-H215+'main page'!$K$27*('main page'!$K$24+'main page'!$K$11))/'main page'!$K$31)</f>
        <v>1</v>
      </c>
      <c r="AI214" s="44">
        <f ca="1">IF(controls!$B$45=1,LOG(AM214,1.01)+LOG(AL214,1.01)-LOG(AK214,1.01),-((T214-('main page'!$K$24+'main page'!$K$11))/(1-'normal case'!$AV$3))+'normal case'!AH214)</f>
        <v>2.0000000596046448</v>
      </c>
      <c r="AJ214" s="80">
        <f t="shared" ca="1" si="30"/>
        <v>1.0506250015463039</v>
      </c>
      <c r="AK214" s="44">
        <f t="shared" ca="1" si="31"/>
        <v>63.987123198964731</v>
      </c>
      <c r="AL214" s="44">
        <f>AL213*(1+'main page'!$K$32/100)</f>
        <v>1</v>
      </c>
      <c r="AM214" s="44">
        <f ca="1">IF(ABS(IF(controls!$B$45=1,$AS$13,AK214*AJ214/AL214)-AM213)&lt;0.00001,AM213,IF(controls!$B$45=1,$AS$13,AK214*AJ214/AL214))</f>
        <v>67.226471409855861</v>
      </c>
      <c r="AN214" s="44">
        <f>IF(controls!$B$46=0,0,IF(controls!$B$33=2,B215-B214*AC215-('normal case'!H215-D214*AD215-'main page'!$K$27*'normal case'!T214+'main page'!$K$31*'normal case'!AI214)-(('main page'!$K$25*'main page'!$U$13*'main page'!$K$29)/(1+('main page'!$K$25^2)*'main page'!$U$13))*('normal case'!L214-'main page'!$U$8),B215-B214*AC215-('normal case'!I215-D214*AD215-'main page'!$K$27*'normal case'!T214+'main page'!$K$31*'normal case'!AI214)-(('main page'!$K$25*'main page'!$U$13*'main page'!$K$29)/(1+('main page'!$K$25^2)*'main page'!$U$13))*('normal case'!L214-'main page'!$U$8)))</f>
        <v>0</v>
      </c>
      <c r="AU214" s="36"/>
      <c r="AV214" s="36"/>
    </row>
    <row r="215" spans="1:48">
      <c r="A215" s="43">
        <v>213</v>
      </c>
      <c r="B215" s="62">
        <f ca="1">IF(controls!$B$33=1,B214*(1+AC215)+AA215,B214*(1+AC215))</f>
        <v>101</v>
      </c>
      <c r="C215" s="67">
        <f t="shared" ca="1" si="32"/>
        <v>-1.5107707374006907E-7</v>
      </c>
      <c r="D215" s="64">
        <f t="shared" ca="1" si="28"/>
        <v>101.00000005960464</v>
      </c>
      <c r="E215" s="64">
        <f ca="1">AN214+IF(controls!$B$33=1,G215,F215)</f>
        <v>101.00000005960464</v>
      </c>
      <c r="F215" s="78">
        <f ca="1">IF(controls!$B$44=0,H215-'main page'!$K$27*T214,H215-'main page'!$K$27*T214+'main page'!$K$31*AI214)</f>
        <v>101.00000005960464</v>
      </c>
      <c r="G215" s="62">
        <f ca="1">IF(controls!$B$44=0,I215-'main page'!$K$27*T214,I215-'main page'!$K$27*T214+'main page'!$K$31*'normal case'!AI214)</f>
        <v>101.00000005960464</v>
      </c>
      <c r="H215" s="62">
        <f t="shared" ca="1" si="26"/>
        <v>108</v>
      </c>
      <c r="I215" s="62">
        <f t="shared" ca="1" si="27"/>
        <v>108</v>
      </c>
      <c r="L215" s="62">
        <f ca="1">IF(ABS('main page'!$K$29*L214+(1-'main page'!$K$29)*(controls!$B$9/100)*100+'main page'!$K$25*(D215-B215)-L214)&lt;0.0000001,L214,'main page'!$K$29*L214+(1-'main page'!$K$29)*(controls!$B$9/100)*100+'main page'!$K$25*(D215-B215))</f>
        <v>1.9999998807907104</v>
      </c>
      <c r="Q215" s="409">
        <f ca="1">(1-'main page'!$K$29)*($AS$11/100)*100+'main page'!$K$25*(D215-B215)</f>
        <v>5.9604644775390625E-8</v>
      </c>
      <c r="R215" s="409">
        <f>'main page'!G219+'main page'!$K$29*M214</f>
        <v>0</v>
      </c>
      <c r="S215" s="409">
        <f t="shared" ca="1" si="33"/>
        <v>5.9604644775390625E-8</v>
      </c>
      <c r="T215" s="79">
        <f ca="1">IF(controls!$B$10=1,T214,IF(SUM(controls!$B$44:$B$46)=2,U215-'main page'!$K$29*'normal case'!L215-(1-'main page'!$K$29)*'main page'!$K$32,U215-'main page'!$K$29*'normal case'!L215-(1-'main page'!$K$29)*controls!$B$9))</f>
        <v>3.4999999701976776</v>
      </c>
      <c r="U215" s="164">
        <f ca="1">IF(controls!$B$45=1,IF(controls!$B$46=1,'main page'!$K$24+'main page'!$K$11+'main page'!$U$8,'main page'!$K$24+'main page'!$K$11+'main page'!$K$32),IF(controls!$B$44=1,IF(V215&lt;0,0,V215),IF(V215+'main page'!$K$11&lt;0,0,V215+'main page'!$K$11)))</f>
        <v>5.4999998509883881</v>
      </c>
      <c r="V215" s="63">
        <f ca="1">IF(controls!$B$10=1,'normal case'!T215+'normal case'!L215,'normal case'!W215)</f>
        <v>5.4999998509883881</v>
      </c>
      <c r="W215" s="61">
        <f t="shared" ca="1" si="29"/>
        <v>5.4999998509883881</v>
      </c>
      <c r="X215" s="166">
        <f ca="1">IF(controls!$B$44=0,Y215+'main page'!$K$29*L215+(1-'main page'!$K$29)*controls!$B$9+(('main page'!$K$25*'main page'!$U$13*'main page'!$K$29)/('main page'!$K$27*(1+('main page'!$K$25^2)*'main page'!$U$13)))*(L215-controls!$B$9),Y215+'main page'!$K$29*L215+(1-'main page'!$K$29)*controls!$B$9+(('main page'!$K$25*'main page'!$U$13*'normal case'!$AV$3)/'normal case'!$AV$4)*('normal case'!L215-controls!$B$9))</f>
        <v>5.4999998509883881</v>
      </c>
      <c r="Y215" s="81">
        <f ca="1">IF(controls!$B$44=1,'main page'!$K$24+'main page'!$K$11,IF(controls!$B$33=1,((I216-D215*AD216-B216+B215*AC216)/'main page'!$K$27)-'main page'!$K$11,((H216-D215*AD216-B216+B215*AC216)/'main page'!$K$27)-'main page'!$K$11))</f>
        <v>3.5</v>
      </c>
      <c r="AA215" s="58">
        <f>IF(controls!$B$6=1,$AS$3*(1+('main page'!$K$35/100))^AB215-$AS$3*(1+('main page'!$K$35/100))^AB214,$AS$3*(1+('main page'!$G$8/100))*(1+('main page'!$K$35/100))^AB215-$AS$3*(1+('main page'!$G$8/100))*(1+('main page'!$K$35/100))^AB214)</f>
        <v>0</v>
      </c>
      <c r="AB215" s="60">
        <v>208</v>
      </c>
      <c r="AC215" s="125">
        <f ca="1">IF(controls!$B$4=1,IF(controls!$H214=1,controls!$B$34*AC214+RAND()*('main page'!$K$16/100)-RAND()*('main page'!$K$16/100),0),0)</f>
        <v>0</v>
      </c>
      <c r="AD215" s="36">
        <f ca="1">IF(controls!$B$4=1,IF(controls!$I214=1,controls!$B$34*AD214+RAND()*('main page'!$K$16/100)-RAND()*('main page'!$K$16/100),0),0)</f>
        <v>0</v>
      </c>
      <c r="AE215" s="44">
        <f ca="1">IF(controls!$B$33=1,D215-($I$3-'main page'!$K$27*2)*(1+('main page'!$K$35/100))^A214,D215-$AS$4)</f>
        <v>1.0000000596046448</v>
      </c>
      <c r="AF215" s="44">
        <f ca="1">ABS(L215-(controls!$B$9/100)*100)</f>
        <v>1.1920928955078125E-7</v>
      </c>
      <c r="AH215" s="44">
        <f ca="1">IF(controls!$B$33=1,(B216-B215*AC216-I216+D215*AD216+'main page'!$K$27*('main page'!$K$24+'main page'!$K$11))/'main page'!$K$31,(B216-B215*AC216+D215*AD216-H216+'main page'!$K$27*('main page'!$K$24+'main page'!$K$11))/'main page'!$K$31)</f>
        <v>1</v>
      </c>
      <c r="AI215" s="44">
        <f ca="1">IF(controls!$B$45=1,LOG(AM215,1.01)+LOG(AL215,1.01)-LOG(AK215,1.01),-((T215-('main page'!$K$24+'main page'!$K$11))/(1-'normal case'!$AV$3))+'normal case'!AH215)</f>
        <v>2.0000000596046448</v>
      </c>
      <c r="AJ215" s="80">
        <f t="shared" ca="1" si="30"/>
        <v>1.0506250015463039</v>
      </c>
      <c r="AK215" s="44">
        <f t="shared" ca="1" si="31"/>
        <v>65.266865586665432</v>
      </c>
      <c r="AL215" s="44">
        <f>AL214*(1+'main page'!$K$32/100)</f>
        <v>1</v>
      </c>
      <c r="AM215" s="44">
        <f ca="1">IF(ABS(IF(controls!$B$45=1,$AS$13,AK215*AJ215/AL215)-AM214)&lt;0.00001,AM214,IF(controls!$B$45=1,$AS$13,AK215*AJ215/AL215))</f>
        <v>68.571000757912785</v>
      </c>
      <c r="AN215" s="44">
        <f>IF(controls!$B$46=0,0,IF(controls!$B$33=2,B216-B215*AC216-('normal case'!H216-D215*AD216-'main page'!$K$27*'normal case'!T215+'main page'!$K$31*'normal case'!AI215)-(('main page'!$K$25*'main page'!$U$13*'main page'!$K$29)/(1+('main page'!$K$25^2)*'main page'!$U$13))*('normal case'!L215-'main page'!$U$8),B216-B215*AC216-('normal case'!I216-D215*AD216-'main page'!$K$27*'normal case'!T215+'main page'!$K$31*'normal case'!AI215)-(('main page'!$K$25*'main page'!$U$13*'main page'!$K$29)/(1+('main page'!$K$25^2)*'main page'!$U$13))*('normal case'!L215-'main page'!$U$8)))</f>
        <v>0</v>
      </c>
      <c r="AU215" s="36"/>
      <c r="AV215" s="36"/>
    </row>
    <row r="216" spans="1:48">
      <c r="A216" s="43">
        <v>214</v>
      </c>
      <c r="B216" s="62">
        <f ca="1">IF(controls!$B$33=1,B215*(1+AC216)+AA216,B215*(1+AC216))</f>
        <v>101</v>
      </c>
      <c r="C216" s="67">
        <f t="shared" ca="1" si="32"/>
        <v>-1.5107707374006907E-7</v>
      </c>
      <c r="D216" s="64">
        <f t="shared" ca="1" si="28"/>
        <v>101.00000005960464</v>
      </c>
      <c r="E216" s="64">
        <f ca="1">AN215+IF(controls!$B$33=1,G216,F216)</f>
        <v>101.00000005960464</v>
      </c>
      <c r="F216" s="78">
        <f ca="1">IF(controls!$B$44=0,H216-'main page'!$K$27*T215,H216-'main page'!$K$27*T215+'main page'!$K$31*AI215)</f>
        <v>101.00000005960464</v>
      </c>
      <c r="G216" s="62">
        <f ca="1">IF(controls!$B$44=0,I216-'main page'!$K$27*T215,I216-'main page'!$K$27*T215+'main page'!$K$31*'normal case'!AI215)</f>
        <v>101.00000005960464</v>
      </c>
      <c r="H216" s="62">
        <f t="shared" ref="H216:H279" ca="1" si="34">H215+D215*AD216</f>
        <v>108</v>
      </c>
      <c r="I216" s="62">
        <f t="shared" ref="I216:I279" ca="1" si="35">I215+D215*AD216+AA216</f>
        <v>108</v>
      </c>
      <c r="L216" s="62">
        <f ca="1">IF(ABS('main page'!$K$29*L215+(1-'main page'!$K$29)*(controls!$B$9/100)*100+'main page'!$K$25*(D216-B216)-L215)&lt;0.0000001,L215,'main page'!$K$29*L215+(1-'main page'!$K$29)*(controls!$B$9/100)*100+'main page'!$K$25*(D216-B216))</f>
        <v>1.9999998807907104</v>
      </c>
      <c r="Q216" s="409">
        <f ca="1">(1-'main page'!$K$29)*($AS$11/100)*100+'main page'!$K$25*(D216-B216)</f>
        <v>5.9604644775390625E-8</v>
      </c>
      <c r="R216" s="409">
        <f>'main page'!G220+'main page'!$K$29*M215</f>
        <v>0</v>
      </c>
      <c r="S216" s="409">
        <f t="shared" ca="1" si="33"/>
        <v>5.9604644775390625E-8</v>
      </c>
      <c r="T216" s="79">
        <f ca="1">IF(controls!$B$10=1,T215,IF(SUM(controls!$B$44:$B$46)=2,U216-'main page'!$K$29*'normal case'!L216-(1-'main page'!$K$29)*'main page'!$K$32,U216-'main page'!$K$29*'normal case'!L216-(1-'main page'!$K$29)*controls!$B$9))</f>
        <v>3.4999999701976776</v>
      </c>
      <c r="U216" s="164">
        <f ca="1">IF(controls!$B$45=1,IF(controls!$B$46=1,'main page'!$K$24+'main page'!$K$11+'main page'!$U$8,'main page'!$K$24+'main page'!$K$11+'main page'!$K$32),IF(controls!$B$44=1,IF(V216&lt;0,0,V216),IF(V216+'main page'!$K$11&lt;0,0,V216+'main page'!$K$11)))</f>
        <v>5.4999998509883881</v>
      </c>
      <c r="V216" s="63">
        <f ca="1">IF(controls!$B$10=1,'normal case'!T216+'normal case'!L216,'normal case'!W216)</f>
        <v>5.4999998509883881</v>
      </c>
      <c r="W216" s="61">
        <f t="shared" ca="1" si="29"/>
        <v>5.4999998509883881</v>
      </c>
      <c r="X216" s="166">
        <f ca="1">IF(controls!$B$44=0,Y216+'main page'!$K$29*L216+(1-'main page'!$K$29)*controls!$B$9+(('main page'!$K$25*'main page'!$U$13*'main page'!$K$29)/('main page'!$K$27*(1+('main page'!$K$25^2)*'main page'!$U$13)))*(L216-controls!$B$9),Y216+'main page'!$K$29*L216+(1-'main page'!$K$29)*controls!$B$9+(('main page'!$K$25*'main page'!$U$13*'normal case'!$AV$3)/'normal case'!$AV$4)*('normal case'!L216-controls!$B$9))</f>
        <v>5.4999998509883881</v>
      </c>
      <c r="Y216" s="81">
        <f ca="1">IF(controls!$B$44=1,'main page'!$K$24+'main page'!$K$11,IF(controls!$B$33=1,((I217-D216*AD217-B217+B216*AC217)/'main page'!$K$27)-'main page'!$K$11,((H217-D216*AD217-B217+B216*AC217)/'main page'!$K$27)-'main page'!$K$11))</f>
        <v>3.5</v>
      </c>
      <c r="AA216" s="58">
        <f>IF(controls!$B$6=1,$AS$3*(1+('main page'!$K$35/100))^AB216-$AS$3*(1+('main page'!$K$35/100))^AB215,$AS$3*(1+('main page'!$G$8/100))*(1+('main page'!$K$35/100))^AB216-$AS$3*(1+('main page'!$G$8/100))*(1+('main page'!$K$35/100))^AB215)</f>
        <v>0</v>
      </c>
      <c r="AB216" s="60">
        <v>209</v>
      </c>
      <c r="AC216" s="125">
        <v>0</v>
      </c>
      <c r="AD216" s="36">
        <v>0</v>
      </c>
      <c r="AE216" s="44">
        <f ca="1">IF(controls!$B$33=1,D216-($I$3-'main page'!$K$27*2)*(1+('main page'!$K$35/100))^A215,D216-$AS$4)</f>
        <v>1.0000000596046448</v>
      </c>
      <c r="AF216" s="44">
        <f ca="1">ABS(L216-(controls!$B$9/100)*100)</f>
        <v>1.1920928955078125E-7</v>
      </c>
      <c r="AH216" s="44">
        <f ca="1">IF(controls!$B$33=1,(B217-B216*AC217-I217+D216*AD217+'main page'!$K$27*('main page'!$K$24+'main page'!$K$11))/'main page'!$K$31,(B217-B216*AC217+D216*AD217-H217+'main page'!$K$27*('main page'!$K$24+'main page'!$K$11))/'main page'!$K$31)</f>
        <v>1</v>
      </c>
      <c r="AI216" s="44">
        <f ca="1">IF(controls!$B$45=1,LOG(AM216,1.01)+LOG(AL216,1.01)-LOG(AK216,1.01),-((T216-('main page'!$K$24+'main page'!$K$11))/(1-'normal case'!$AV$3))+'normal case'!AH216)</f>
        <v>2.0000000596046448</v>
      </c>
      <c r="AJ216" s="80">
        <f t="shared" ca="1" si="30"/>
        <v>1.0506250015463039</v>
      </c>
      <c r="AK216" s="44">
        <f t="shared" ca="1" si="31"/>
        <v>66.572202820594583</v>
      </c>
      <c r="AL216" s="44">
        <f>AL215*(1+'main page'!$K$32/100)</f>
        <v>1</v>
      </c>
      <c r="AM216" s="44">
        <f ca="1">IF(ABS(IF(controls!$B$45=1,$AS$13,AK216*AJ216/AL216)-AM215)&lt;0.00001,AM215,IF(controls!$B$45=1,$AS$13,AK216*AJ216/AL216))</f>
        <v>69.942420691328039</v>
      </c>
      <c r="AN216" s="44">
        <f>IF(controls!$B$46=0,0,IF(controls!$B$33=2,B217-B216*AC217-('normal case'!H217-D216*AD217-'main page'!$K$27*'normal case'!T216+'main page'!$K$31*'normal case'!AI216)-(('main page'!$K$25*'main page'!$U$13*'main page'!$K$29)/(1+('main page'!$K$25^2)*'main page'!$U$13))*('normal case'!L216-'main page'!$U$8),B217-B216*AC217-('normal case'!I217-D216*AD217-'main page'!$K$27*'normal case'!T216+'main page'!$K$31*'normal case'!AI216)-(('main page'!$K$25*'main page'!$U$13*'main page'!$K$29)/(1+('main page'!$K$25^2)*'main page'!$U$13))*('normal case'!L216-'main page'!$U$8)))</f>
        <v>0</v>
      </c>
      <c r="AU216" s="36"/>
      <c r="AV216" s="36"/>
    </row>
    <row r="217" spans="1:48">
      <c r="A217" s="43">
        <v>215</v>
      </c>
      <c r="B217" s="62">
        <f ca="1">IF(controls!$B$33=1,B216*(1+AC217)+AA217,B216*(1+AC217))</f>
        <v>101</v>
      </c>
      <c r="C217" s="67">
        <f t="shared" ca="1" si="32"/>
        <v>-1.5107707374006907E-7</v>
      </c>
      <c r="D217" s="64">
        <f t="shared" ca="1" si="28"/>
        <v>101.00000005960464</v>
      </c>
      <c r="E217" s="64">
        <f ca="1">AN216+IF(controls!$B$33=1,G217,F217)</f>
        <v>101.00000005960464</v>
      </c>
      <c r="F217" s="78">
        <f ca="1">IF(controls!$B$44=0,H217-'main page'!$K$27*T216,H217-'main page'!$K$27*T216+'main page'!$K$31*AI216)</f>
        <v>101.00000005960464</v>
      </c>
      <c r="G217" s="62">
        <f ca="1">IF(controls!$B$44=0,I217-'main page'!$K$27*T216,I217-'main page'!$K$27*T216+'main page'!$K$31*'normal case'!AI216)</f>
        <v>101.00000005960464</v>
      </c>
      <c r="H217" s="62">
        <f t="shared" ca="1" si="34"/>
        <v>108</v>
      </c>
      <c r="I217" s="62">
        <f t="shared" ca="1" si="35"/>
        <v>108</v>
      </c>
      <c r="L217" s="62">
        <f ca="1">IF(ABS('main page'!$K$29*L216+(1-'main page'!$K$29)*(controls!$B$9/100)*100+'main page'!$K$25*(D217-B217)-L216)&lt;0.0000001,L216,'main page'!$K$29*L216+(1-'main page'!$K$29)*(controls!$B$9/100)*100+'main page'!$K$25*(D217-B217))</f>
        <v>1.9999998807907104</v>
      </c>
      <c r="Q217" s="409">
        <f ca="1">(1-'main page'!$K$29)*($AS$11/100)*100+'main page'!$K$25*(D217-B217)</f>
        <v>5.9604644775390625E-8</v>
      </c>
      <c r="R217" s="409">
        <f>'main page'!G221+'main page'!$K$29*M216</f>
        <v>0</v>
      </c>
      <c r="S217" s="409">
        <f t="shared" ca="1" si="33"/>
        <v>5.9604644775390625E-8</v>
      </c>
      <c r="T217" s="79">
        <f ca="1">IF(controls!$B$10=1,T216,IF(SUM(controls!$B$44:$B$46)=2,U217-'main page'!$K$29*'normal case'!L217-(1-'main page'!$K$29)*'main page'!$K$32,U217-'main page'!$K$29*'normal case'!L217-(1-'main page'!$K$29)*controls!$B$9))</f>
        <v>3.4999999701976776</v>
      </c>
      <c r="U217" s="164">
        <f ca="1">IF(controls!$B$45=1,IF(controls!$B$46=1,'main page'!$K$24+'main page'!$K$11+'main page'!$U$8,'main page'!$K$24+'main page'!$K$11+'main page'!$K$32),IF(controls!$B$44=1,IF(V217&lt;0,0,V217),IF(V217+'main page'!$K$11&lt;0,0,V217+'main page'!$K$11)))</f>
        <v>5.4999998509883881</v>
      </c>
      <c r="V217" s="63">
        <f ca="1">IF(controls!$B$10=1,'normal case'!T217+'normal case'!L217,'normal case'!W217)</f>
        <v>5.4999998509883881</v>
      </c>
      <c r="W217" s="61">
        <f t="shared" ca="1" si="29"/>
        <v>5.4999998509883881</v>
      </c>
      <c r="X217" s="166">
        <f ca="1">IF(controls!$B$44=0,Y217+'main page'!$K$29*L217+(1-'main page'!$K$29)*controls!$B$9+(('main page'!$K$25*'main page'!$U$13*'main page'!$K$29)/('main page'!$K$27*(1+('main page'!$K$25^2)*'main page'!$U$13)))*(L217-controls!$B$9),Y217+'main page'!$K$29*L217+(1-'main page'!$K$29)*controls!$B$9+(('main page'!$K$25*'main page'!$U$13*'normal case'!$AV$3)/'normal case'!$AV$4)*('normal case'!L217-controls!$B$9))</f>
        <v>5.4999998509883881</v>
      </c>
      <c r="Y217" s="81">
        <f ca="1">IF(controls!$B$44=1,'main page'!$K$24+'main page'!$K$11,IF(controls!$B$33=1,((I218-D217*AD218-B218+B217*AC218)/'main page'!$K$27)-'main page'!$K$11,((H218-D217*AD218-B218+B217*AC218)/'main page'!$K$27)-'main page'!$K$11))</f>
        <v>3.5</v>
      </c>
      <c r="AA217" s="58">
        <f>IF(controls!$B$6=1,$AS$3*(1+('main page'!$K$35/100))^AB217-$AS$3*(1+('main page'!$K$35/100))^AB216,$AS$3*(1+('main page'!$G$8/100))*(1+('main page'!$K$35/100))^AB217-$AS$3*(1+('main page'!$G$8/100))*(1+('main page'!$K$35/100))^AB216)</f>
        <v>0</v>
      </c>
      <c r="AB217" s="60">
        <v>210</v>
      </c>
      <c r="AC217" s="125">
        <v>0</v>
      </c>
      <c r="AD217" s="36">
        <v>0</v>
      </c>
      <c r="AE217" s="44">
        <f ca="1">IF(controls!$B$33=1,D217-($I$3-'main page'!$K$27*2)*(1+('main page'!$K$35/100))^A216,D217-$AS$4)</f>
        <v>1.0000000596046448</v>
      </c>
      <c r="AF217" s="44">
        <f ca="1">ABS(L217-(controls!$B$9/100)*100)</f>
        <v>1.1920928955078125E-7</v>
      </c>
      <c r="AH217" s="44">
        <f ca="1">IF(controls!$B$33=1,(B218-B217*AC218-I218+D217*AD218+'main page'!$K$27*('main page'!$K$24+'main page'!$K$11))/'main page'!$K$31,(B218-B217*AC218+D217*AD218-H218+'main page'!$K$27*('main page'!$K$24+'main page'!$K$11))/'main page'!$K$31)</f>
        <v>1</v>
      </c>
      <c r="AI217" s="44">
        <f ca="1">IF(controls!$B$45=1,LOG(AM217,1.01)+LOG(AL217,1.01)-LOG(AK217,1.01),-((T217-('main page'!$K$24+'main page'!$K$11))/(1-'normal case'!$AV$3))+'normal case'!AH217)</f>
        <v>2.0000000596046448</v>
      </c>
      <c r="AJ217" s="80">
        <f t="shared" ca="1" si="30"/>
        <v>1.0506250015463039</v>
      </c>
      <c r="AK217" s="44">
        <f t="shared" ca="1" si="31"/>
        <v>67.903646797646232</v>
      </c>
      <c r="AL217" s="44">
        <f>AL216*(1+'main page'!$K$32/100)</f>
        <v>1</v>
      </c>
      <c r="AM217" s="44">
        <f ca="1">IF(ABS(IF(controls!$B$45=1,$AS$13,AK217*AJ217/AL217)-AM216)&lt;0.00001,AM216,IF(controls!$B$45=1,$AS$13,AK217*AJ217/AL217))</f>
        <v>71.341269021776739</v>
      </c>
      <c r="AN217" s="44">
        <f>IF(controls!$B$46=0,0,IF(controls!$B$33=2,B218-B217*AC218-('normal case'!H218-D217*AD218-'main page'!$K$27*'normal case'!T217+'main page'!$K$31*'normal case'!AI217)-(('main page'!$K$25*'main page'!$U$13*'main page'!$K$29)/(1+('main page'!$K$25^2)*'main page'!$U$13))*('normal case'!L217-'main page'!$U$8),B218-B217*AC218-('normal case'!I218-D217*AD218-'main page'!$K$27*'normal case'!T217+'main page'!$K$31*'normal case'!AI217)-(('main page'!$K$25*'main page'!$U$13*'main page'!$K$29)/(1+('main page'!$K$25^2)*'main page'!$U$13))*('normal case'!L217-'main page'!$U$8)))</f>
        <v>0</v>
      </c>
      <c r="AU217" s="36"/>
      <c r="AV217" s="36"/>
    </row>
    <row r="218" spans="1:48">
      <c r="A218" s="43">
        <v>216</v>
      </c>
      <c r="B218" s="62">
        <f ca="1">IF(controls!$B$33=1,B217*(1+AC218)+AA218,B217*(1+AC218))</f>
        <v>101</v>
      </c>
      <c r="C218" s="67">
        <f t="shared" ca="1" si="32"/>
        <v>-1.5107707374006907E-7</v>
      </c>
      <c r="D218" s="64">
        <f t="shared" ca="1" si="28"/>
        <v>101.00000005960464</v>
      </c>
      <c r="E218" s="64">
        <f ca="1">AN217+IF(controls!$B$33=1,G218,F218)</f>
        <v>101.00000005960464</v>
      </c>
      <c r="F218" s="78">
        <f ca="1">IF(controls!$B$44=0,H218-'main page'!$K$27*T217,H218-'main page'!$K$27*T217+'main page'!$K$31*AI217)</f>
        <v>101.00000005960464</v>
      </c>
      <c r="G218" s="62">
        <f ca="1">IF(controls!$B$44=0,I218-'main page'!$K$27*T217,I218-'main page'!$K$27*T217+'main page'!$K$31*'normal case'!AI217)</f>
        <v>101.00000005960464</v>
      </c>
      <c r="H218" s="62">
        <f t="shared" ca="1" si="34"/>
        <v>108</v>
      </c>
      <c r="I218" s="62">
        <f t="shared" ca="1" si="35"/>
        <v>108</v>
      </c>
      <c r="L218" s="62">
        <f ca="1">IF(ABS('main page'!$K$29*L217+(1-'main page'!$K$29)*(controls!$B$9/100)*100+'main page'!$K$25*(D218-B218)-L217)&lt;0.0000001,L217,'main page'!$K$29*L217+(1-'main page'!$K$29)*(controls!$B$9/100)*100+'main page'!$K$25*(D218-B218))</f>
        <v>1.9999998807907104</v>
      </c>
      <c r="Q218" s="409">
        <f ca="1">(1-'main page'!$K$29)*($AS$11/100)*100+'main page'!$K$25*(D218-B218)</f>
        <v>5.9604644775390625E-8</v>
      </c>
      <c r="R218" s="409">
        <f>'main page'!G222+'main page'!$K$29*M217</f>
        <v>0</v>
      </c>
      <c r="S218" s="409">
        <f t="shared" ca="1" si="33"/>
        <v>5.9604644775390625E-8</v>
      </c>
      <c r="T218" s="79">
        <f ca="1">IF(controls!$B$10=1,T217,IF(SUM(controls!$B$44:$B$46)=2,U218-'main page'!$K$29*'normal case'!L218-(1-'main page'!$K$29)*'main page'!$K$32,U218-'main page'!$K$29*'normal case'!L218-(1-'main page'!$K$29)*controls!$B$9))</f>
        <v>3.4999999701976776</v>
      </c>
      <c r="U218" s="164">
        <f ca="1">IF(controls!$B$45=1,IF(controls!$B$46=1,'main page'!$K$24+'main page'!$K$11+'main page'!$U$8,'main page'!$K$24+'main page'!$K$11+'main page'!$K$32),IF(controls!$B$44=1,IF(V218&lt;0,0,V218),IF(V218+'main page'!$K$11&lt;0,0,V218+'main page'!$K$11)))</f>
        <v>5.4999998509883881</v>
      </c>
      <c r="V218" s="63">
        <f ca="1">IF(controls!$B$10=1,'normal case'!T218+'normal case'!L218,'normal case'!W218)</f>
        <v>5.4999998509883881</v>
      </c>
      <c r="W218" s="61">
        <f t="shared" ca="1" si="29"/>
        <v>5.4999998509883881</v>
      </c>
      <c r="X218" s="166">
        <f ca="1">IF(controls!$B$44=0,Y218+'main page'!$K$29*L218+(1-'main page'!$K$29)*controls!$B$9+(('main page'!$K$25*'main page'!$U$13*'main page'!$K$29)/('main page'!$K$27*(1+('main page'!$K$25^2)*'main page'!$U$13)))*(L218-controls!$B$9),Y218+'main page'!$K$29*L218+(1-'main page'!$K$29)*controls!$B$9+(('main page'!$K$25*'main page'!$U$13*'normal case'!$AV$3)/'normal case'!$AV$4)*('normal case'!L218-controls!$B$9))</f>
        <v>5.4999998509883881</v>
      </c>
      <c r="Y218" s="81">
        <f ca="1">IF(controls!$B$44=1,'main page'!$K$24+'main page'!$K$11,IF(controls!$B$33=1,((I219-D218*AD219-B219+B218*AC219)/'main page'!$K$27)-'main page'!$K$11,((H219-D218*AD219-B219+B218*AC219)/'main page'!$K$27)-'main page'!$K$11))</f>
        <v>3.5</v>
      </c>
      <c r="AA218" s="58">
        <f>IF(controls!$B$6=1,$AS$3*(1+('main page'!$K$35/100))^AB218-$AS$3*(1+('main page'!$K$35/100))^AB217,$AS$3*(1+('main page'!$G$8/100))*(1+('main page'!$K$35/100))^AB218-$AS$3*(1+('main page'!$G$8/100))*(1+('main page'!$K$35/100))^AB217)</f>
        <v>0</v>
      </c>
      <c r="AB218" s="60">
        <v>211</v>
      </c>
      <c r="AC218" s="125">
        <f ca="1">IF(controls!$B$4=1,IF(controls!$H217=1,controls!$B$34*AC217+RAND()*('main page'!$K$16/100)-RAND()*('main page'!$K$16/100),0),0)</f>
        <v>0</v>
      </c>
      <c r="AD218" s="36">
        <f ca="1">IF(controls!$B$4=1,IF(controls!$I217=1,controls!$B$34*AD217+RAND()*('main page'!$K$16/100)-RAND()*('main page'!$K$16/100),0),0)</f>
        <v>0</v>
      </c>
      <c r="AE218" s="44">
        <f ca="1">IF(controls!$B$33=1,D218-($I$3-'main page'!$K$27*2)*(1+('main page'!$K$35/100))^A217,D218-$AS$4)</f>
        <v>1.0000000596046448</v>
      </c>
      <c r="AF218" s="44">
        <f ca="1">ABS(L218-(controls!$B$9/100)*100)</f>
        <v>1.1920928955078125E-7</v>
      </c>
      <c r="AH218" s="44">
        <f ca="1">IF(controls!$B$33=1,(B219-B218*AC219-I219+D218*AD219+'main page'!$K$27*('main page'!$K$24+'main page'!$K$11))/'main page'!$K$31,(B219-B218*AC219+D218*AD219-H219+'main page'!$K$27*('main page'!$K$24+'main page'!$K$11))/'main page'!$K$31)</f>
        <v>1</v>
      </c>
      <c r="AI218" s="44">
        <f ca="1">IF(controls!$B$45=1,LOG(AM218,1.01)+LOG(AL218,1.01)-LOG(AK218,1.01),-((T218-('main page'!$K$24+'main page'!$K$11))/(1-'normal case'!$AV$3))+'normal case'!AH218)</f>
        <v>2.0000000596046448</v>
      </c>
      <c r="AJ218" s="80">
        <f t="shared" ca="1" si="30"/>
        <v>1.0506250015463039</v>
      </c>
      <c r="AK218" s="44">
        <f t="shared" ca="1" si="31"/>
        <v>69.261719652651706</v>
      </c>
      <c r="AL218" s="44">
        <f>AL217*(1+'main page'!$K$32/100)</f>
        <v>1</v>
      </c>
      <c r="AM218" s="44">
        <f ca="1">IF(ABS(IF(controls!$B$45=1,$AS$13,AK218*AJ218/AL218)-AM217)&lt;0.00001,AM217,IF(controls!$B$45=1,$AS$13,AK218*AJ218/AL218))</f>
        <v>72.76809431716687</v>
      </c>
      <c r="AN218" s="44">
        <f>IF(controls!$B$46=0,0,IF(controls!$B$33=2,B219-B218*AC219-('normal case'!H219-D218*AD219-'main page'!$K$27*'normal case'!T218+'main page'!$K$31*'normal case'!AI218)-(('main page'!$K$25*'main page'!$U$13*'main page'!$K$29)/(1+('main page'!$K$25^2)*'main page'!$U$13))*('normal case'!L218-'main page'!$U$8),B219-B218*AC219-('normal case'!I219-D218*AD219-'main page'!$K$27*'normal case'!T218+'main page'!$K$31*'normal case'!AI218)-(('main page'!$K$25*'main page'!$U$13*'main page'!$K$29)/(1+('main page'!$K$25^2)*'main page'!$U$13))*('normal case'!L218-'main page'!$U$8)))</f>
        <v>0</v>
      </c>
      <c r="AU218" s="36"/>
      <c r="AV218" s="36"/>
    </row>
    <row r="219" spans="1:48">
      <c r="A219" s="43">
        <v>217</v>
      </c>
      <c r="B219" s="62">
        <f ca="1">IF(controls!$B$33=1,B218*(1+AC219)+AA219,B218*(1+AC219))</f>
        <v>101</v>
      </c>
      <c r="C219" s="67">
        <f t="shared" ca="1" si="32"/>
        <v>-1.5107707374006907E-7</v>
      </c>
      <c r="D219" s="64">
        <f t="shared" ca="1" si="28"/>
        <v>101.00000005960464</v>
      </c>
      <c r="E219" s="64">
        <f ca="1">AN218+IF(controls!$B$33=1,G219,F219)</f>
        <v>101.00000005960464</v>
      </c>
      <c r="F219" s="78">
        <f ca="1">IF(controls!$B$44=0,H219-'main page'!$K$27*T218,H219-'main page'!$K$27*T218+'main page'!$K$31*AI218)</f>
        <v>101.00000005960464</v>
      </c>
      <c r="G219" s="62">
        <f ca="1">IF(controls!$B$44=0,I219-'main page'!$K$27*T218,I219-'main page'!$K$27*T218+'main page'!$K$31*'normal case'!AI218)</f>
        <v>101.00000005960464</v>
      </c>
      <c r="H219" s="62">
        <f t="shared" ca="1" si="34"/>
        <v>108</v>
      </c>
      <c r="I219" s="62">
        <f t="shared" ca="1" si="35"/>
        <v>108</v>
      </c>
      <c r="L219" s="62">
        <f ca="1">IF(ABS('main page'!$K$29*L218+(1-'main page'!$K$29)*(controls!$B$9/100)*100+'main page'!$K$25*(D219-B219)-L218)&lt;0.0000001,L218,'main page'!$K$29*L218+(1-'main page'!$K$29)*(controls!$B$9/100)*100+'main page'!$K$25*(D219-B219))</f>
        <v>1.9999998807907104</v>
      </c>
      <c r="Q219" s="409">
        <f ca="1">(1-'main page'!$K$29)*($AS$11/100)*100+'main page'!$K$25*(D219-B219)</f>
        <v>5.9604644775390625E-8</v>
      </c>
      <c r="R219" s="409">
        <f>'main page'!G223+'main page'!$K$29*M218</f>
        <v>0</v>
      </c>
      <c r="S219" s="409">
        <f t="shared" ca="1" si="33"/>
        <v>5.9604644775390625E-8</v>
      </c>
      <c r="T219" s="79">
        <f ca="1">IF(controls!$B$10=1,T218,IF(SUM(controls!$B$44:$B$46)=2,U219-'main page'!$K$29*'normal case'!L219-(1-'main page'!$K$29)*'main page'!$K$32,U219-'main page'!$K$29*'normal case'!L219-(1-'main page'!$K$29)*controls!$B$9))</f>
        <v>3.4999999701976776</v>
      </c>
      <c r="U219" s="164">
        <f ca="1">IF(controls!$B$45=1,IF(controls!$B$46=1,'main page'!$K$24+'main page'!$K$11+'main page'!$U$8,'main page'!$K$24+'main page'!$K$11+'main page'!$K$32),IF(controls!$B$44=1,IF(V219&lt;0,0,V219),IF(V219+'main page'!$K$11&lt;0,0,V219+'main page'!$K$11)))</f>
        <v>5.4999998509883881</v>
      </c>
      <c r="V219" s="63">
        <f ca="1">IF(controls!$B$10=1,'normal case'!T219+'normal case'!L219,'normal case'!W219)</f>
        <v>5.4999998509883881</v>
      </c>
      <c r="W219" s="61">
        <f t="shared" ca="1" si="29"/>
        <v>5.4999998509883881</v>
      </c>
      <c r="X219" s="166">
        <f ca="1">IF(controls!$B$44=0,Y219+'main page'!$K$29*L219+(1-'main page'!$K$29)*controls!$B$9+(('main page'!$K$25*'main page'!$U$13*'main page'!$K$29)/('main page'!$K$27*(1+('main page'!$K$25^2)*'main page'!$U$13)))*(L219-controls!$B$9),Y219+'main page'!$K$29*L219+(1-'main page'!$K$29)*controls!$B$9+(('main page'!$K$25*'main page'!$U$13*'normal case'!$AV$3)/'normal case'!$AV$4)*('normal case'!L219-controls!$B$9))</f>
        <v>5.4999998509883881</v>
      </c>
      <c r="Y219" s="81">
        <f ca="1">IF(controls!$B$44=1,'main page'!$K$24+'main page'!$K$11,IF(controls!$B$33=1,((I220-D219*AD220-B220+B219*AC220)/'main page'!$K$27)-'main page'!$K$11,((H220-D219*AD220-B220+B219*AC220)/'main page'!$K$27)-'main page'!$K$11))</f>
        <v>3.5</v>
      </c>
      <c r="AA219" s="58">
        <f>IF(controls!$B$6=1,$AS$3*(1+('main page'!$K$35/100))^AB219-$AS$3*(1+('main page'!$K$35/100))^AB218,$AS$3*(1+('main page'!$G$8/100))*(1+('main page'!$K$35/100))^AB219-$AS$3*(1+('main page'!$G$8/100))*(1+('main page'!$K$35/100))^AB218)</f>
        <v>0</v>
      </c>
      <c r="AB219" s="60">
        <v>212</v>
      </c>
      <c r="AC219" s="125">
        <v>0</v>
      </c>
      <c r="AD219" s="36">
        <v>0</v>
      </c>
      <c r="AE219" s="44">
        <f ca="1">IF(controls!$B$33=1,D219-($I$3-'main page'!$K$27*2)*(1+('main page'!$K$35/100))^A218,D219-$AS$4)</f>
        <v>1.0000000596046448</v>
      </c>
      <c r="AF219" s="44">
        <f ca="1">ABS(L219-(controls!$B$9/100)*100)</f>
        <v>1.1920928955078125E-7</v>
      </c>
      <c r="AH219" s="44">
        <f ca="1">IF(controls!$B$33=1,(B220-B219*AC220-I220+D219*AD220+'main page'!$K$27*('main page'!$K$24+'main page'!$K$11))/'main page'!$K$31,(B220-B219*AC220+D219*AD220-H220+'main page'!$K$27*('main page'!$K$24+'main page'!$K$11))/'main page'!$K$31)</f>
        <v>1</v>
      </c>
      <c r="AI219" s="44">
        <f ca="1">IF(controls!$B$45=1,LOG(AM219,1.01)+LOG(AL219,1.01)-LOG(AK219,1.01),-((T219-('main page'!$K$24+'main page'!$K$11))/(1-'normal case'!$AV$3))+'normal case'!AH219)</f>
        <v>2.0000000596046448</v>
      </c>
      <c r="AJ219" s="80">
        <f t="shared" ca="1" si="30"/>
        <v>1.0506250015463039</v>
      </c>
      <c r="AK219" s="44">
        <f t="shared" ca="1" si="31"/>
        <v>70.646953963138344</v>
      </c>
      <c r="AL219" s="44">
        <f>AL218*(1+'main page'!$K$32/100)</f>
        <v>1</v>
      </c>
      <c r="AM219" s="44">
        <f ca="1">IF(ABS(IF(controls!$B$45=1,$AS$13,AK219*AJ219/AL219)-AM218)&lt;0.00001,AM218,IF(controls!$B$45=1,$AS$13,AK219*AJ219/AL219))</f>
        <v>74.223456116763884</v>
      </c>
      <c r="AN219" s="44">
        <f>IF(controls!$B$46=0,0,IF(controls!$B$33=2,B220-B219*AC220-('normal case'!H220-D219*AD220-'main page'!$K$27*'normal case'!T219+'main page'!$K$31*'normal case'!AI219)-(('main page'!$K$25*'main page'!$U$13*'main page'!$K$29)/(1+('main page'!$K$25^2)*'main page'!$U$13))*('normal case'!L219-'main page'!$U$8),B220-B219*AC220-('normal case'!I220-D219*AD220-'main page'!$K$27*'normal case'!T219+'main page'!$K$31*'normal case'!AI219)-(('main page'!$K$25*'main page'!$U$13*'main page'!$K$29)/(1+('main page'!$K$25^2)*'main page'!$U$13))*('normal case'!L219-'main page'!$U$8)))</f>
        <v>0</v>
      </c>
      <c r="AU219" s="36"/>
      <c r="AV219" s="36"/>
    </row>
    <row r="220" spans="1:48">
      <c r="A220" s="43">
        <v>218</v>
      </c>
      <c r="B220" s="62">
        <f ca="1">IF(controls!$B$33=1,B219*(1+AC220)+AA220,B219*(1+AC220))</f>
        <v>101</v>
      </c>
      <c r="C220" s="67">
        <f t="shared" ca="1" si="32"/>
        <v>-1.5107707374006907E-7</v>
      </c>
      <c r="D220" s="64">
        <f t="shared" ca="1" si="28"/>
        <v>101.00000005960464</v>
      </c>
      <c r="E220" s="64">
        <f ca="1">AN219+IF(controls!$B$33=1,G220,F220)</f>
        <v>101.00000005960464</v>
      </c>
      <c r="F220" s="78">
        <f ca="1">IF(controls!$B$44=0,H220-'main page'!$K$27*T219,H220-'main page'!$K$27*T219+'main page'!$K$31*AI219)</f>
        <v>101.00000005960464</v>
      </c>
      <c r="G220" s="62">
        <f ca="1">IF(controls!$B$44=0,I220-'main page'!$K$27*T219,I220-'main page'!$K$27*T219+'main page'!$K$31*'normal case'!AI219)</f>
        <v>101.00000005960464</v>
      </c>
      <c r="H220" s="62">
        <f t="shared" ca="1" si="34"/>
        <v>108</v>
      </c>
      <c r="I220" s="62">
        <f t="shared" ca="1" si="35"/>
        <v>108</v>
      </c>
      <c r="L220" s="62">
        <f ca="1">IF(ABS('main page'!$K$29*L219+(1-'main page'!$K$29)*(controls!$B$9/100)*100+'main page'!$K$25*(D220-B220)-L219)&lt;0.0000001,L219,'main page'!$K$29*L219+(1-'main page'!$K$29)*(controls!$B$9/100)*100+'main page'!$K$25*(D220-B220))</f>
        <v>1.9999998807907104</v>
      </c>
      <c r="Q220" s="409">
        <f ca="1">(1-'main page'!$K$29)*($AS$11/100)*100+'main page'!$K$25*(D220-B220)</f>
        <v>5.9604644775390625E-8</v>
      </c>
      <c r="R220" s="409">
        <f>'main page'!G224+'main page'!$K$29*M219</f>
        <v>0</v>
      </c>
      <c r="S220" s="409">
        <f t="shared" ca="1" si="33"/>
        <v>5.9604644775390625E-8</v>
      </c>
      <c r="T220" s="79">
        <f ca="1">IF(controls!$B$10=1,T219,IF(SUM(controls!$B$44:$B$46)=2,U220-'main page'!$K$29*'normal case'!L220-(1-'main page'!$K$29)*'main page'!$K$32,U220-'main page'!$K$29*'normal case'!L220-(1-'main page'!$K$29)*controls!$B$9))</f>
        <v>3.4999999701976776</v>
      </c>
      <c r="U220" s="164">
        <f ca="1">IF(controls!$B$45=1,IF(controls!$B$46=1,'main page'!$K$24+'main page'!$K$11+'main page'!$U$8,'main page'!$K$24+'main page'!$K$11+'main page'!$K$32),IF(controls!$B$44=1,IF(V220&lt;0,0,V220),IF(V220+'main page'!$K$11&lt;0,0,V220+'main page'!$K$11)))</f>
        <v>5.4999998509883881</v>
      </c>
      <c r="V220" s="63">
        <f ca="1">IF(controls!$B$10=1,'normal case'!T220+'normal case'!L220,'normal case'!W220)</f>
        <v>5.4999998509883881</v>
      </c>
      <c r="W220" s="61">
        <f t="shared" ca="1" si="29"/>
        <v>5.4999998509883881</v>
      </c>
      <c r="X220" s="166">
        <f ca="1">IF(controls!$B$44=0,Y220+'main page'!$K$29*L220+(1-'main page'!$K$29)*controls!$B$9+(('main page'!$K$25*'main page'!$U$13*'main page'!$K$29)/('main page'!$K$27*(1+('main page'!$K$25^2)*'main page'!$U$13)))*(L220-controls!$B$9),Y220+'main page'!$K$29*L220+(1-'main page'!$K$29)*controls!$B$9+(('main page'!$K$25*'main page'!$U$13*'normal case'!$AV$3)/'normal case'!$AV$4)*('normal case'!L220-controls!$B$9))</f>
        <v>5.4999998509883881</v>
      </c>
      <c r="Y220" s="81">
        <f ca="1">IF(controls!$B$44=1,'main page'!$K$24+'main page'!$K$11,IF(controls!$B$33=1,((I221-D220*AD221-B221+B220*AC221)/'main page'!$K$27)-'main page'!$K$11,((H221-D220*AD221-B221+B220*AC221)/'main page'!$K$27)-'main page'!$K$11))</f>
        <v>3.5</v>
      </c>
      <c r="AA220" s="58">
        <f>IF(controls!$B$6=1,$AS$3*(1+('main page'!$K$35/100))^AB220-$AS$3*(1+('main page'!$K$35/100))^AB219,$AS$3*(1+('main page'!$G$8/100))*(1+('main page'!$K$35/100))^AB220-$AS$3*(1+('main page'!$G$8/100))*(1+('main page'!$K$35/100))^AB219)</f>
        <v>0</v>
      </c>
      <c r="AB220" s="60">
        <v>213</v>
      </c>
      <c r="AC220" s="125">
        <v>0</v>
      </c>
      <c r="AD220" s="36">
        <v>0</v>
      </c>
      <c r="AE220" s="44">
        <f ca="1">IF(controls!$B$33=1,D220-($I$3-'main page'!$K$27*2)*(1+('main page'!$K$35/100))^A219,D220-$AS$4)</f>
        <v>1.0000000596046448</v>
      </c>
      <c r="AF220" s="44">
        <f ca="1">ABS(L220-(controls!$B$9/100)*100)</f>
        <v>1.1920928955078125E-7</v>
      </c>
      <c r="AH220" s="44">
        <f ca="1">IF(controls!$B$33=1,(B221-B220*AC221-I221+D220*AD221+'main page'!$K$27*('main page'!$K$24+'main page'!$K$11))/'main page'!$K$31,(B221-B220*AC221+D220*AD221-H221+'main page'!$K$27*('main page'!$K$24+'main page'!$K$11))/'main page'!$K$31)</f>
        <v>1</v>
      </c>
      <c r="AI220" s="44">
        <f ca="1">IF(controls!$B$45=1,LOG(AM220,1.01)+LOG(AL220,1.01)-LOG(AK220,1.01),-((T220-('main page'!$K$24+'main page'!$K$11))/(1-'normal case'!$AV$3))+'normal case'!AH220)</f>
        <v>2.0000000596046448</v>
      </c>
      <c r="AJ220" s="80">
        <f t="shared" ca="1" si="30"/>
        <v>1.0506250015463039</v>
      </c>
      <c r="AK220" s="44">
        <f t="shared" ca="1" si="31"/>
        <v>72.059892958183383</v>
      </c>
      <c r="AL220" s="44">
        <f>AL219*(1+'main page'!$K$32/100)</f>
        <v>1</v>
      </c>
      <c r="AM220" s="44">
        <f ca="1">IF(ABS(IF(controls!$B$45=1,$AS$13,AK220*AJ220/AL220)-AM219)&lt;0.00001,AM219,IF(controls!$B$45=1,$AS$13,AK220*AJ220/AL220))</f>
        <v>75.707925150617911</v>
      </c>
      <c r="AN220" s="44">
        <f>IF(controls!$B$46=0,0,IF(controls!$B$33=2,B221-B220*AC221-('normal case'!H221-D220*AD221-'main page'!$K$27*'normal case'!T220+'main page'!$K$31*'normal case'!AI220)-(('main page'!$K$25*'main page'!$U$13*'main page'!$K$29)/(1+('main page'!$K$25^2)*'main page'!$U$13))*('normal case'!L220-'main page'!$U$8),B221-B220*AC221-('normal case'!I221-D220*AD221-'main page'!$K$27*'normal case'!T220+'main page'!$K$31*'normal case'!AI220)-(('main page'!$K$25*'main page'!$U$13*'main page'!$K$29)/(1+('main page'!$K$25^2)*'main page'!$U$13))*('normal case'!L220-'main page'!$U$8)))</f>
        <v>0</v>
      </c>
      <c r="AU220" s="36"/>
      <c r="AV220" s="36"/>
    </row>
    <row r="221" spans="1:48">
      <c r="A221" s="43">
        <v>219</v>
      </c>
      <c r="B221" s="62">
        <f ca="1">IF(controls!$B$33=1,B220*(1+AC221)+AA221,B220*(1+AC221))</f>
        <v>101</v>
      </c>
      <c r="C221" s="67">
        <f t="shared" ca="1" si="32"/>
        <v>-1.5107707374006907E-7</v>
      </c>
      <c r="D221" s="64">
        <f t="shared" ca="1" si="28"/>
        <v>101.00000005960464</v>
      </c>
      <c r="E221" s="64">
        <f ca="1">AN220+IF(controls!$B$33=1,G221,F221)</f>
        <v>101.00000005960464</v>
      </c>
      <c r="F221" s="78">
        <f ca="1">IF(controls!$B$44=0,H221-'main page'!$K$27*T220,H221-'main page'!$K$27*T220+'main page'!$K$31*AI220)</f>
        <v>101.00000005960464</v>
      </c>
      <c r="G221" s="62">
        <f ca="1">IF(controls!$B$44=0,I221-'main page'!$K$27*T220,I221-'main page'!$K$27*T220+'main page'!$K$31*'normal case'!AI220)</f>
        <v>101.00000005960464</v>
      </c>
      <c r="H221" s="62">
        <f t="shared" ca="1" si="34"/>
        <v>108</v>
      </c>
      <c r="I221" s="62">
        <f t="shared" ca="1" si="35"/>
        <v>108</v>
      </c>
      <c r="L221" s="62">
        <f ca="1">IF(ABS('main page'!$K$29*L220+(1-'main page'!$K$29)*(controls!$B$9/100)*100+'main page'!$K$25*(D221-B221)-L220)&lt;0.0000001,L220,'main page'!$K$29*L220+(1-'main page'!$K$29)*(controls!$B$9/100)*100+'main page'!$K$25*(D221-B221))</f>
        <v>1.9999998807907104</v>
      </c>
      <c r="Q221" s="409">
        <f ca="1">(1-'main page'!$K$29)*($AS$11/100)*100+'main page'!$K$25*(D221-B221)</f>
        <v>5.9604644775390625E-8</v>
      </c>
      <c r="R221" s="409">
        <f>'main page'!G225+'main page'!$K$29*M220</f>
        <v>0</v>
      </c>
      <c r="S221" s="409">
        <f t="shared" ca="1" si="33"/>
        <v>5.9604644775390625E-8</v>
      </c>
      <c r="T221" s="79">
        <f ca="1">IF(controls!$B$10=1,T220,IF(SUM(controls!$B$44:$B$46)=2,U221-'main page'!$K$29*'normal case'!L221-(1-'main page'!$K$29)*'main page'!$K$32,U221-'main page'!$K$29*'normal case'!L221-(1-'main page'!$K$29)*controls!$B$9))</f>
        <v>3.4999999701976776</v>
      </c>
      <c r="U221" s="164">
        <f ca="1">IF(controls!$B$45=1,IF(controls!$B$46=1,'main page'!$K$24+'main page'!$K$11+'main page'!$U$8,'main page'!$K$24+'main page'!$K$11+'main page'!$K$32),IF(controls!$B$44=1,IF(V221&lt;0,0,V221),IF(V221+'main page'!$K$11&lt;0,0,V221+'main page'!$K$11)))</f>
        <v>5.4999998509883881</v>
      </c>
      <c r="V221" s="63">
        <f ca="1">IF(controls!$B$10=1,'normal case'!T221+'normal case'!L221,'normal case'!W221)</f>
        <v>5.4999998509883881</v>
      </c>
      <c r="W221" s="61">
        <f t="shared" ca="1" si="29"/>
        <v>5.4999998509883881</v>
      </c>
      <c r="X221" s="166">
        <f ca="1">IF(controls!$B$44=0,Y221+'main page'!$K$29*L221+(1-'main page'!$K$29)*controls!$B$9+(('main page'!$K$25*'main page'!$U$13*'main page'!$K$29)/('main page'!$K$27*(1+('main page'!$K$25^2)*'main page'!$U$13)))*(L221-controls!$B$9),Y221+'main page'!$K$29*L221+(1-'main page'!$K$29)*controls!$B$9+(('main page'!$K$25*'main page'!$U$13*'normal case'!$AV$3)/'normal case'!$AV$4)*('normal case'!L221-controls!$B$9))</f>
        <v>5.4999998509883881</v>
      </c>
      <c r="Y221" s="81">
        <f ca="1">IF(controls!$B$44=1,'main page'!$K$24+'main page'!$K$11,IF(controls!$B$33=1,((I222-D221*AD222-B222+B221*AC222)/'main page'!$K$27)-'main page'!$K$11,((H222-D221*AD222-B222+B221*AC222)/'main page'!$K$27)-'main page'!$K$11))</f>
        <v>3.5</v>
      </c>
      <c r="AA221" s="58">
        <f>IF(controls!$B$6=1,$AS$3*(1+('main page'!$K$35/100))^AB221-$AS$3*(1+('main page'!$K$35/100))^AB220,$AS$3*(1+('main page'!$G$8/100))*(1+('main page'!$K$35/100))^AB221-$AS$3*(1+('main page'!$G$8/100))*(1+('main page'!$K$35/100))^AB220)</f>
        <v>0</v>
      </c>
      <c r="AB221" s="60">
        <v>214</v>
      </c>
      <c r="AC221" s="125">
        <f ca="1">IF(controls!$B$4=1,IF(controls!$H220=1,controls!$B$34*AC220+RAND()*('main page'!$K$16/100)-RAND()*('main page'!$K$16/100),0),0)</f>
        <v>0</v>
      </c>
      <c r="AD221" s="36">
        <f ca="1">IF(controls!$B$4=1,IF(controls!$I220=1,controls!$B$34*AD220+RAND()*('main page'!$K$16/100)-RAND()*('main page'!$K$16/100),0),0)</f>
        <v>0</v>
      </c>
      <c r="AE221" s="44">
        <f ca="1">IF(controls!$B$33=1,D221-($I$3-'main page'!$K$27*2)*(1+('main page'!$K$35/100))^A220,D221-$AS$4)</f>
        <v>1.0000000596046448</v>
      </c>
      <c r="AF221" s="44">
        <f ca="1">ABS(L221-(controls!$B$9/100)*100)</f>
        <v>1.1920928955078125E-7</v>
      </c>
      <c r="AH221" s="44">
        <f ca="1">IF(controls!$B$33=1,(B222-B221*AC222-I222+D221*AD222+'main page'!$K$27*('main page'!$K$24+'main page'!$K$11))/'main page'!$K$31,(B222-B221*AC222+D221*AD222-H222+'main page'!$K$27*('main page'!$K$24+'main page'!$K$11))/'main page'!$K$31)</f>
        <v>1</v>
      </c>
      <c r="AI221" s="44">
        <f ca="1">IF(controls!$B$45=1,LOG(AM221,1.01)+LOG(AL221,1.01)-LOG(AK221,1.01),-((T221-('main page'!$K$24+'main page'!$K$11))/(1-'normal case'!$AV$3))+'normal case'!AH221)</f>
        <v>2.0000000596046448</v>
      </c>
      <c r="AJ221" s="80">
        <f t="shared" ca="1" si="30"/>
        <v>1.0506250015463039</v>
      </c>
      <c r="AK221" s="44">
        <f t="shared" ca="1" si="31"/>
        <v>73.501090731444961</v>
      </c>
      <c r="AL221" s="44">
        <f>AL220*(1+'main page'!$K$32/100)</f>
        <v>1</v>
      </c>
      <c r="AM221" s="44">
        <f ca="1">IF(ABS(IF(controls!$B$45=1,$AS$13,AK221*AJ221/AL221)-AM220)&lt;0.00001,AM220,IF(controls!$B$45=1,$AS$13,AK221*AJ221/AL221))</f>
        <v>77.222083563379385</v>
      </c>
      <c r="AN221" s="44">
        <f>IF(controls!$B$46=0,0,IF(controls!$B$33=2,B222-B221*AC222-('normal case'!H222-D221*AD222-'main page'!$K$27*'normal case'!T221+'main page'!$K$31*'normal case'!AI221)-(('main page'!$K$25*'main page'!$U$13*'main page'!$K$29)/(1+('main page'!$K$25^2)*'main page'!$U$13))*('normal case'!L221-'main page'!$U$8),B222-B221*AC222-('normal case'!I222-D221*AD222-'main page'!$K$27*'normal case'!T221+'main page'!$K$31*'normal case'!AI221)-(('main page'!$K$25*'main page'!$U$13*'main page'!$K$29)/(1+('main page'!$K$25^2)*'main page'!$U$13))*('normal case'!L221-'main page'!$U$8)))</f>
        <v>0</v>
      </c>
      <c r="AU221" s="36"/>
      <c r="AV221" s="36"/>
    </row>
    <row r="222" spans="1:48">
      <c r="A222" s="43">
        <v>220</v>
      </c>
      <c r="B222" s="62">
        <f ca="1">IF(controls!$B$33=1,B221*(1+AC222)+AA222,B221*(1+AC222))</f>
        <v>101</v>
      </c>
      <c r="C222" s="67">
        <f t="shared" ca="1" si="32"/>
        <v>-1.5107707374006907E-7</v>
      </c>
      <c r="D222" s="64">
        <f t="shared" ca="1" si="28"/>
        <v>101.00000005960464</v>
      </c>
      <c r="E222" s="64">
        <f ca="1">AN221+IF(controls!$B$33=1,G222,F222)</f>
        <v>101.00000005960464</v>
      </c>
      <c r="F222" s="78">
        <f ca="1">IF(controls!$B$44=0,H222-'main page'!$K$27*T221,H222-'main page'!$K$27*T221+'main page'!$K$31*AI221)</f>
        <v>101.00000005960464</v>
      </c>
      <c r="G222" s="62">
        <f ca="1">IF(controls!$B$44=0,I222-'main page'!$K$27*T221,I222-'main page'!$K$27*T221+'main page'!$K$31*'normal case'!AI221)</f>
        <v>101.00000005960464</v>
      </c>
      <c r="H222" s="62">
        <f t="shared" ca="1" si="34"/>
        <v>108</v>
      </c>
      <c r="I222" s="62">
        <f t="shared" ca="1" si="35"/>
        <v>108</v>
      </c>
      <c r="L222" s="62">
        <f ca="1">IF(ABS('main page'!$K$29*L221+(1-'main page'!$K$29)*(controls!$B$9/100)*100+'main page'!$K$25*(D222-B222)-L221)&lt;0.0000001,L221,'main page'!$K$29*L221+(1-'main page'!$K$29)*(controls!$B$9/100)*100+'main page'!$K$25*(D222-B222))</f>
        <v>1.9999998807907104</v>
      </c>
      <c r="Q222" s="409">
        <f ca="1">(1-'main page'!$K$29)*($AS$11/100)*100+'main page'!$K$25*(D222-B222)</f>
        <v>5.9604644775390625E-8</v>
      </c>
      <c r="R222" s="409">
        <f>'main page'!G226+'main page'!$K$29*M221</f>
        <v>0</v>
      </c>
      <c r="S222" s="409">
        <f t="shared" ca="1" si="33"/>
        <v>5.9604644775390625E-8</v>
      </c>
      <c r="T222" s="79">
        <f ca="1">IF(controls!$B$10=1,T221,IF(SUM(controls!$B$44:$B$46)=2,U222-'main page'!$K$29*'normal case'!L222-(1-'main page'!$K$29)*'main page'!$K$32,U222-'main page'!$K$29*'normal case'!L222-(1-'main page'!$K$29)*controls!$B$9))</f>
        <v>3.4999999701976776</v>
      </c>
      <c r="U222" s="164">
        <f ca="1">IF(controls!$B$45=1,IF(controls!$B$46=1,'main page'!$K$24+'main page'!$K$11+'main page'!$U$8,'main page'!$K$24+'main page'!$K$11+'main page'!$K$32),IF(controls!$B$44=1,IF(V222&lt;0,0,V222),IF(V222+'main page'!$K$11&lt;0,0,V222+'main page'!$K$11)))</f>
        <v>5.4999998509883881</v>
      </c>
      <c r="V222" s="63">
        <f ca="1">IF(controls!$B$10=1,'normal case'!T222+'normal case'!L222,'normal case'!W222)</f>
        <v>5.4999998509883881</v>
      </c>
      <c r="W222" s="61">
        <f t="shared" ca="1" si="29"/>
        <v>5.4999998509883881</v>
      </c>
      <c r="X222" s="166">
        <f ca="1">IF(controls!$B$44=0,Y222+'main page'!$K$29*L222+(1-'main page'!$K$29)*controls!$B$9+(('main page'!$K$25*'main page'!$U$13*'main page'!$K$29)/('main page'!$K$27*(1+('main page'!$K$25^2)*'main page'!$U$13)))*(L222-controls!$B$9),Y222+'main page'!$K$29*L222+(1-'main page'!$K$29)*controls!$B$9+(('main page'!$K$25*'main page'!$U$13*'normal case'!$AV$3)/'normal case'!$AV$4)*('normal case'!L222-controls!$B$9))</f>
        <v>5.4999998509883881</v>
      </c>
      <c r="Y222" s="81">
        <f ca="1">IF(controls!$B$44=1,'main page'!$K$24+'main page'!$K$11,IF(controls!$B$33=1,((I223-D222*AD223-B223+B222*AC223)/'main page'!$K$27)-'main page'!$K$11,((H223-D222*AD223-B223+B222*AC223)/'main page'!$K$27)-'main page'!$K$11))</f>
        <v>3.5</v>
      </c>
      <c r="AA222" s="58">
        <f>IF(controls!$B$6=1,$AS$3*(1+('main page'!$K$35/100))^AB222-$AS$3*(1+('main page'!$K$35/100))^AB221,$AS$3*(1+('main page'!$G$8/100))*(1+('main page'!$K$35/100))^AB222-$AS$3*(1+('main page'!$G$8/100))*(1+('main page'!$K$35/100))^AB221)</f>
        <v>0</v>
      </c>
      <c r="AB222" s="60">
        <v>215</v>
      </c>
      <c r="AC222" s="125">
        <v>0</v>
      </c>
      <c r="AD222" s="36">
        <v>0</v>
      </c>
      <c r="AE222" s="44">
        <f ca="1">IF(controls!$B$33=1,D222-($I$3-'main page'!$K$27*2)*(1+('main page'!$K$35/100))^A221,D222-$AS$4)</f>
        <v>1.0000000596046448</v>
      </c>
      <c r="AF222" s="44">
        <f ca="1">ABS(L222-(controls!$B$9/100)*100)</f>
        <v>1.1920928955078125E-7</v>
      </c>
      <c r="AH222" s="44">
        <f ca="1">IF(controls!$B$33=1,(B223-B222*AC223-I223+D222*AD223+'main page'!$K$27*('main page'!$K$24+'main page'!$K$11))/'main page'!$K$31,(B223-B222*AC223+D222*AD223-H223+'main page'!$K$27*('main page'!$K$24+'main page'!$K$11))/'main page'!$K$31)</f>
        <v>1</v>
      </c>
      <c r="AI222" s="44">
        <f ca="1">IF(controls!$B$45=1,LOG(AM222,1.01)+LOG(AL222,1.01)-LOG(AK222,1.01),-((T222-('main page'!$K$24+'main page'!$K$11))/(1-'normal case'!$AV$3))+'normal case'!AH222)</f>
        <v>2.0000000596046448</v>
      </c>
      <c r="AJ222" s="80">
        <f t="shared" ca="1" si="30"/>
        <v>1.0506250015463039</v>
      </c>
      <c r="AK222" s="44">
        <f t="shared" ca="1" si="31"/>
        <v>74.971112458453732</v>
      </c>
      <c r="AL222" s="44">
        <f>AL221*(1+'main page'!$K$32/100)</f>
        <v>1</v>
      </c>
      <c r="AM222" s="44">
        <f ca="1">IF(ABS(IF(controls!$B$45=1,$AS$13,AK222*AJ222/AL222)-AM221)&lt;0.00001,AM221,IF(controls!$B$45=1,$AS$13,AK222*AJ222/AL222))</f>
        <v>78.766525142591078</v>
      </c>
      <c r="AN222" s="44">
        <f>IF(controls!$B$46=0,0,IF(controls!$B$33=2,B223-B222*AC223-('normal case'!H223-D222*AD223-'main page'!$K$27*'normal case'!T222+'main page'!$K$31*'normal case'!AI222)-(('main page'!$K$25*'main page'!$U$13*'main page'!$K$29)/(1+('main page'!$K$25^2)*'main page'!$U$13))*('normal case'!L222-'main page'!$U$8),B223-B222*AC223-('normal case'!I223-D222*AD223-'main page'!$K$27*'normal case'!T222+'main page'!$K$31*'normal case'!AI222)-(('main page'!$K$25*'main page'!$U$13*'main page'!$K$29)/(1+('main page'!$K$25^2)*'main page'!$U$13))*('normal case'!L222-'main page'!$U$8)))</f>
        <v>0</v>
      </c>
      <c r="AU222" s="36"/>
      <c r="AV222" s="36"/>
    </row>
    <row r="223" spans="1:48">
      <c r="A223" s="43">
        <v>221</v>
      </c>
      <c r="B223" s="62">
        <f ca="1">IF(controls!$B$33=1,B222*(1+AC223)+AA223,B222*(1+AC223))</f>
        <v>101</v>
      </c>
      <c r="C223" s="67">
        <f t="shared" ca="1" si="32"/>
        <v>-1.5107707374006907E-7</v>
      </c>
      <c r="D223" s="64">
        <f t="shared" ca="1" si="28"/>
        <v>101.00000005960464</v>
      </c>
      <c r="E223" s="64">
        <f ca="1">AN222+IF(controls!$B$33=1,G223,F223)</f>
        <v>101.00000005960464</v>
      </c>
      <c r="F223" s="78">
        <f ca="1">IF(controls!$B$44=0,H223-'main page'!$K$27*T222,H223-'main page'!$K$27*T222+'main page'!$K$31*AI222)</f>
        <v>101.00000005960464</v>
      </c>
      <c r="G223" s="62">
        <f ca="1">IF(controls!$B$44=0,I223-'main page'!$K$27*T222,I223-'main page'!$K$27*T222+'main page'!$K$31*'normal case'!AI222)</f>
        <v>101.00000005960464</v>
      </c>
      <c r="H223" s="62">
        <f t="shared" ca="1" si="34"/>
        <v>108</v>
      </c>
      <c r="I223" s="62">
        <f t="shared" ca="1" si="35"/>
        <v>108</v>
      </c>
      <c r="L223" s="62">
        <f ca="1">IF(ABS('main page'!$K$29*L222+(1-'main page'!$K$29)*(controls!$B$9/100)*100+'main page'!$K$25*(D223-B223)-L222)&lt;0.0000001,L222,'main page'!$K$29*L222+(1-'main page'!$K$29)*(controls!$B$9/100)*100+'main page'!$K$25*(D223-B223))</f>
        <v>1.9999998807907104</v>
      </c>
      <c r="Q223" s="409">
        <f ca="1">(1-'main page'!$K$29)*($AS$11/100)*100+'main page'!$K$25*(D223-B223)</f>
        <v>5.9604644775390625E-8</v>
      </c>
      <c r="R223" s="409">
        <f>'main page'!G227+'main page'!$K$29*M222</f>
        <v>0</v>
      </c>
      <c r="S223" s="409">
        <f t="shared" ca="1" si="33"/>
        <v>5.9604644775390625E-8</v>
      </c>
      <c r="T223" s="79">
        <f ca="1">IF(controls!$B$10=1,T222,IF(SUM(controls!$B$44:$B$46)=2,U223-'main page'!$K$29*'normal case'!L223-(1-'main page'!$K$29)*'main page'!$K$32,U223-'main page'!$K$29*'normal case'!L223-(1-'main page'!$K$29)*controls!$B$9))</f>
        <v>3.4999999701976776</v>
      </c>
      <c r="U223" s="164">
        <f ca="1">IF(controls!$B$45=1,IF(controls!$B$46=1,'main page'!$K$24+'main page'!$K$11+'main page'!$U$8,'main page'!$K$24+'main page'!$K$11+'main page'!$K$32),IF(controls!$B$44=1,IF(V223&lt;0,0,V223),IF(V223+'main page'!$K$11&lt;0,0,V223+'main page'!$K$11)))</f>
        <v>5.4999998509883881</v>
      </c>
      <c r="V223" s="63">
        <f ca="1">IF(controls!$B$10=1,'normal case'!T223+'normal case'!L223,'normal case'!W223)</f>
        <v>5.4999998509883881</v>
      </c>
      <c r="W223" s="61">
        <f t="shared" ca="1" si="29"/>
        <v>5.4999998509883881</v>
      </c>
      <c r="X223" s="166">
        <f ca="1">IF(controls!$B$44=0,Y223+'main page'!$K$29*L223+(1-'main page'!$K$29)*controls!$B$9+(('main page'!$K$25*'main page'!$U$13*'main page'!$K$29)/('main page'!$K$27*(1+('main page'!$K$25^2)*'main page'!$U$13)))*(L223-controls!$B$9),Y223+'main page'!$K$29*L223+(1-'main page'!$K$29)*controls!$B$9+(('main page'!$K$25*'main page'!$U$13*'normal case'!$AV$3)/'normal case'!$AV$4)*('normal case'!L223-controls!$B$9))</f>
        <v>5.4999998509883881</v>
      </c>
      <c r="Y223" s="81">
        <f ca="1">IF(controls!$B$44=1,'main page'!$K$24+'main page'!$K$11,IF(controls!$B$33=1,((I224-D223*AD224-B224+B223*AC224)/'main page'!$K$27)-'main page'!$K$11,((H224-D223*AD224-B224+B223*AC224)/'main page'!$K$27)-'main page'!$K$11))</f>
        <v>3.5</v>
      </c>
      <c r="AA223" s="58">
        <f>IF(controls!$B$6=1,$AS$3*(1+('main page'!$K$35/100))^AB223-$AS$3*(1+('main page'!$K$35/100))^AB222,$AS$3*(1+('main page'!$G$8/100))*(1+('main page'!$K$35/100))^AB223-$AS$3*(1+('main page'!$G$8/100))*(1+('main page'!$K$35/100))^AB222)</f>
        <v>0</v>
      </c>
      <c r="AB223" s="60">
        <v>216</v>
      </c>
      <c r="AC223" s="125">
        <v>0</v>
      </c>
      <c r="AD223" s="36">
        <v>0</v>
      </c>
      <c r="AE223" s="44">
        <f ca="1">IF(controls!$B$33=1,D223-($I$3-'main page'!$K$27*2)*(1+('main page'!$K$35/100))^A222,D223-$AS$4)</f>
        <v>1.0000000596046448</v>
      </c>
      <c r="AF223" s="44">
        <f ca="1">ABS(L223-(controls!$B$9/100)*100)</f>
        <v>1.1920928955078125E-7</v>
      </c>
      <c r="AH223" s="44">
        <f ca="1">IF(controls!$B$33=1,(B224-B223*AC224-I224+D223*AD224+'main page'!$K$27*('main page'!$K$24+'main page'!$K$11))/'main page'!$K$31,(B224-B223*AC224+D223*AD224-H224+'main page'!$K$27*('main page'!$K$24+'main page'!$K$11))/'main page'!$K$31)</f>
        <v>1</v>
      </c>
      <c r="AI223" s="44">
        <f ca="1">IF(controls!$B$45=1,LOG(AM223,1.01)+LOG(AL223,1.01)-LOG(AK223,1.01),-((T223-('main page'!$K$24+'main page'!$K$11))/(1-'normal case'!$AV$3))+'normal case'!AH223)</f>
        <v>2.0000000596046448</v>
      </c>
      <c r="AJ223" s="80">
        <f t="shared" ca="1" si="30"/>
        <v>1.0506250015463039</v>
      </c>
      <c r="AK223" s="44">
        <f t="shared" ca="1" si="31"/>
        <v>76.470534618250284</v>
      </c>
      <c r="AL223" s="44">
        <f>AL222*(1+'main page'!$K$32/100)</f>
        <v>1</v>
      </c>
      <c r="AM223" s="44">
        <f ca="1">IF(ABS(IF(controls!$B$45=1,$AS$13,AK223*AJ223/AL223)-AM222)&lt;0.00001,AM222,IF(controls!$B$45=1,$AS$13,AK223*AJ223/AL223))</f>
        <v>80.341855551545891</v>
      </c>
      <c r="AN223" s="44">
        <f>IF(controls!$B$46=0,0,IF(controls!$B$33=2,B224-B223*AC224-('normal case'!H224-D223*AD224-'main page'!$K$27*'normal case'!T223+'main page'!$K$31*'normal case'!AI223)-(('main page'!$K$25*'main page'!$U$13*'main page'!$K$29)/(1+('main page'!$K$25^2)*'main page'!$U$13))*('normal case'!L223-'main page'!$U$8),B224-B223*AC224-('normal case'!I224-D223*AD224-'main page'!$K$27*'normal case'!T223+'main page'!$K$31*'normal case'!AI223)-(('main page'!$K$25*'main page'!$U$13*'main page'!$K$29)/(1+('main page'!$K$25^2)*'main page'!$U$13))*('normal case'!L223-'main page'!$U$8)))</f>
        <v>0</v>
      </c>
      <c r="AU223" s="36"/>
      <c r="AV223" s="36"/>
    </row>
    <row r="224" spans="1:48">
      <c r="A224" s="43">
        <v>222</v>
      </c>
      <c r="B224" s="62">
        <f ca="1">IF(controls!$B$33=1,B223*(1+AC224)+AA224,B223*(1+AC224))</f>
        <v>101</v>
      </c>
      <c r="C224" s="67">
        <f t="shared" ca="1" si="32"/>
        <v>-1.5107707374006907E-7</v>
      </c>
      <c r="D224" s="64">
        <f t="shared" ca="1" si="28"/>
        <v>101.00000005960464</v>
      </c>
      <c r="E224" s="64">
        <f ca="1">AN223+IF(controls!$B$33=1,G224,F224)</f>
        <v>101.00000005960464</v>
      </c>
      <c r="F224" s="78">
        <f ca="1">IF(controls!$B$44=0,H224-'main page'!$K$27*T223,H224-'main page'!$K$27*T223+'main page'!$K$31*AI223)</f>
        <v>101.00000005960464</v>
      </c>
      <c r="G224" s="62">
        <f ca="1">IF(controls!$B$44=0,I224-'main page'!$K$27*T223,I224-'main page'!$K$27*T223+'main page'!$K$31*'normal case'!AI223)</f>
        <v>101.00000005960464</v>
      </c>
      <c r="H224" s="62">
        <f t="shared" ca="1" si="34"/>
        <v>108</v>
      </c>
      <c r="I224" s="62">
        <f t="shared" ca="1" si="35"/>
        <v>108</v>
      </c>
      <c r="L224" s="62">
        <f ca="1">IF(ABS('main page'!$K$29*L223+(1-'main page'!$K$29)*(controls!$B$9/100)*100+'main page'!$K$25*(D224-B224)-L223)&lt;0.0000001,L223,'main page'!$K$29*L223+(1-'main page'!$K$29)*(controls!$B$9/100)*100+'main page'!$K$25*(D224-B224))</f>
        <v>1.9999998807907104</v>
      </c>
      <c r="Q224" s="409">
        <f ca="1">(1-'main page'!$K$29)*($AS$11/100)*100+'main page'!$K$25*(D224-B224)</f>
        <v>5.9604644775390625E-8</v>
      </c>
      <c r="R224" s="409">
        <f>'main page'!G228+'main page'!$K$29*M223</f>
        <v>0</v>
      </c>
      <c r="S224" s="409">
        <f t="shared" ca="1" si="33"/>
        <v>5.9604644775390625E-8</v>
      </c>
      <c r="T224" s="79">
        <f ca="1">IF(controls!$B$10=1,T223,IF(SUM(controls!$B$44:$B$46)=2,U224-'main page'!$K$29*'normal case'!L224-(1-'main page'!$K$29)*'main page'!$K$32,U224-'main page'!$K$29*'normal case'!L224-(1-'main page'!$K$29)*controls!$B$9))</f>
        <v>3.4999999701976776</v>
      </c>
      <c r="U224" s="164">
        <f ca="1">IF(controls!$B$45=1,IF(controls!$B$46=1,'main page'!$K$24+'main page'!$K$11+'main page'!$U$8,'main page'!$K$24+'main page'!$K$11+'main page'!$K$32),IF(controls!$B$44=1,IF(V224&lt;0,0,V224),IF(V224+'main page'!$K$11&lt;0,0,V224+'main page'!$K$11)))</f>
        <v>5.4999998509883881</v>
      </c>
      <c r="V224" s="63">
        <f ca="1">IF(controls!$B$10=1,'normal case'!T224+'normal case'!L224,'normal case'!W224)</f>
        <v>5.4999998509883881</v>
      </c>
      <c r="W224" s="61">
        <f t="shared" ca="1" si="29"/>
        <v>5.4999998509883881</v>
      </c>
      <c r="X224" s="166">
        <f ca="1">IF(controls!$B$44=0,Y224+'main page'!$K$29*L224+(1-'main page'!$K$29)*controls!$B$9+(('main page'!$K$25*'main page'!$U$13*'main page'!$K$29)/('main page'!$K$27*(1+('main page'!$K$25^2)*'main page'!$U$13)))*(L224-controls!$B$9),Y224+'main page'!$K$29*L224+(1-'main page'!$K$29)*controls!$B$9+(('main page'!$K$25*'main page'!$U$13*'normal case'!$AV$3)/'normal case'!$AV$4)*('normal case'!L224-controls!$B$9))</f>
        <v>5.4999998509883881</v>
      </c>
      <c r="Y224" s="81">
        <f ca="1">IF(controls!$B$44=1,'main page'!$K$24+'main page'!$K$11,IF(controls!$B$33=1,((I225-D224*AD225-B225+B224*AC225)/'main page'!$K$27)-'main page'!$K$11,((H225-D224*AD225-B225+B224*AC225)/'main page'!$K$27)-'main page'!$K$11))</f>
        <v>3.5</v>
      </c>
      <c r="AA224" s="58">
        <f>IF(controls!$B$6=1,$AS$3*(1+('main page'!$K$35/100))^AB224-$AS$3*(1+('main page'!$K$35/100))^AB223,$AS$3*(1+('main page'!$G$8/100))*(1+('main page'!$K$35/100))^AB224-$AS$3*(1+('main page'!$G$8/100))*(1+('main page'!$K$35/100))^AB223)</f>
        <v>0</v>
      </c>
      <c r="AB224" s="60">
        <v>217</v>
      </c>
      <c r="AC224" s="125">
        <f ca="1">IF(controls!$B$4=1,IF(controls!$H223=1,controls!$B$34*AC223+RAND()*('main page'!$K$16/100)-RAND()*('main page'!$K$16/100),0),0)</f>
        <v>0</v>
      </c>
      <c r="AD224" s="36">
        <f ca="1">IF(controls!$B$4=1,IF(controls!$I223=1,controls!$B$34*AD223+RAND()*('main page'!$K$16/100)-RAND()*('main page'!$K$16/100),0),0)</f>
        <v>0</v>
      </c>
      <c r="AE224" s="44">
        <f ca="1">IF(controls!$B$33=1,D224-($I$3-'main page'!$K$27*2)*(1+('main page'!$K$35/100))^A223,D224-$AS$4)</f>
        <v>1.0000000596046448</v>
      </c>
      <c r="AF224" s="44">
        <f ca="1">ABS(L224-(controls!$B$9/100)*100)</f>
        <v>1.1920928955078125E-7</v>
      </c>
      <c r="AH224" s="44">
        <f ca="1">IF(controls!$B$33=1,(B225-B224*AC225-I225+D224*AD225+'main page'!$K$27*('main page'!$K$24+'main page'!$K$11))/'main page'!$K$31,(B225-B224*AC225+D224*AD225-H225+'main page'!$K$27*('main page'!$K$24+'main page'!$K$11))/'main page'!$K$31)</f>
        <v>1</v>
      </c>
      <c r="AI224" s="44">
        <f ca="1">IF(controls!$B$45=1,LOG(AM224,1.01)+LOG(AL224,1.01)-LOG(AK224,1.01),-((T224-('main page'!$K$24+'main page'!$K$11))/(1-'normal case'!$AV$3))+'normal case'!AH224)</f>
        <v>2.0000000596046448</v>
      </c>
      <c r="AJ224" s="80">
        <f t="shared" ca="1" si="30"/>
        <v>1.0506250015463039</v>
      </c>
      <c r="AK224" s="44">
        <f t="shared" ca="1" si="31"/>
        <v>77.999945219455313</v>
      </c>
      <c r="AL224" s="44">
        <f>AL223*(1+'main page'!$K$32/100)</f>
        <v>1</v>
      </c>
      <c r="AM224" s="44">
        <f ca="1">IF(ABS(IF(controls!$B$45=1,$AS$13,AK224*AJ224/AL224)-AM223)&lt;0.00001,AM223,IF(controls!$B$45=1,$AS$13,AK224*AJ224/AL224))</f>
        <v>81.948692566801853</v>
      </c>
      <c r="AN224" s="44">
        <f>IF(controls!$B$46=0,0,IF(controls!$B$33=2,B225-B224*AC225-('normal case'!H225-D224*AD225-'main page'!$K$27*'normal case'!T224+'main page'!$K$31*'normal case'!AI224)-(('main page'!$K$25*'main page'!$U$13*'main page'!$K$29)/(1+('main page'!$K$25^2)*'main page'!$U$13))*('normal case'!L224-'main page'!$U$8),B225-B224*AC225-('normal case'!I225-D224*AD225-'main page'!$K$27*'normal case'!T224+'main page'!$K$31*'normal case'!AI224)-(('main page'!$K$25*'main page'!$U$13*'main page'!$K$29)/(1+('main page'!$K$25^2)*'main page'!$U$13))*('normal case'!L224-'main page'!$U$8)))</f>
        <v>0</v>
      </c>
      <c r="AU224" s="36"/>
      <c r="AV224" s="36"/>
    </row>
    <row r="225" spans="1:48">
      <c r="A225" s="43">
        <v>223</v>
      </c>
      <c r="B225" s="62">
        <f ca="1">IF(controls!$B$33=1,B224*(1+AC225)+AA225,B224*(1+AC225))</f>
        <v>101</v>
      </c>
      <c r="C225" s="67">
        <f t="shared" ca="1" si="32"/>
        <v>-1.5107707374006907E-7</v>
      </c>
      <c r="D225" s="64">
        <f t="shared" ca="1" si="28"/>
        <v>101.00000005960464</v>
      </c>
      <c r="E225" s="64">
        <f ca="1">AN224+IF(controls!$B$33=1,G225,F225)</f>
        <v>101.00000005960464</v>
      </c>
      <c r="F225" s="78">
        <f ca="1">IF(controls!$B$44=0,H225-'main page'!$K$27*T224,H225-'main page'!$K$27*T224+'main page'!$K$31*AI224)</f>
        <v>101.00000005960464</v>
      </c>
      <c r="G225" s="62">
        <f ca="1">IF(controls!$B$44=0,I225-'main page'!$K$27*T224,I225-'main page'!$K$27*T224+'main page'!$K$31*'normal case'!AI224)</f>
        <v>101.00000005960464</v>
      </c>
      <c r="H225" s="62">
        <f t="shared" ca="1" si="34"/>
        <v>108</v>
      </c>
      <c r="I225" s="62">
        <f t="shared" ca="1" si="35"/>
        <v>108</v>
      </c>
      <c r="L225" s="62">
        <f ca="1">IF(ABS('main page'!$K$29*L224+(1-'main page'!$K$29)*(controls!$B$9/100)*100+'main page'!$K$25*(D225-B225)-L224)&lt;0.0000001,L224,'main page'!$K$29*L224+(1-'main page'!$K$29)*(controls!$B$9/100)*100+'main page'!$K$25*(D225-B225))</f>
        <v>1.9999998807907104</v>
      </c>
      <c r="Q225" s="409">
        <f ca="1">(1-'main page'!$K$29)*($AS$11/100)*100+'main page'!$K$25*(D225-B225)</f>
        <v>5.9604644775390625E-8</v>
      </c>
      <c r="R225" s="409">
        <f>'main page'!G229+'main page'!$K$29*M224</f>
        <v>0</v>
      </c>
      <c r="S225" s="409">
        <f t="shared" ca="1" si="33"/>
        <v>5.9604644775390625E-8</v>
      </c>
      <c r="T225" s="79">
        <f ca="1">IF(controls!$B$10=1,T224,IF(SUM(controls!$B$44:$B$46)=2,U225-'main page'!$K$29*'normal case'!L225-(1-'main page'!$K$29)*'main page'!$K$32,U225-'main page'!$K$29*'normal case'!L225-(1-'main page'!$K$29)*controls!$B$9))</f>
        <v>3.4999999701976776</v>
      </c>
      <c r="U225" s="164">
        <f ca="1">IF(controls!$B$45=1,IF(controls!$B$46=1,'main page'!$K$24+'main page'!$K$11+'main page'!$U$8,'main page'!$K$24+'main page'!$K$11+'main page'!$K$32),IF(controls!$B$44=1,IF(V225&lt;0,0,V225),IF(V225+'main page'!$K$11&lt;0,0,V225+'main page'!$K$11)))</f>
        <v>5.4999998509883881</v>
      </c>
      <c r="V225" s="63">
        <f ca="1">IF(controls!$B$10=1,'normal case'!T225+'normal case'!L225,'normal case'!W225)</f>
        <v>5.4999998509883881</v>
      </c>
      <c r="W225" s="61">
        <f t="shared" ca="1" si="29"/>
        <v>5.4999998509883881</v>
      </c>
      <c r="X225" s="166">
        <f ca="1">IF(controls!$B$44=0,Y225+'main page'!$K$29*L225+(1-'main page'!$K$29)*controls!$B$9+(('main page'!$K$25*'main page'!$U$13*'main page'!$K$29)/('main page'!$K$27*(1+('main page'!$K$25^2)*'main page'!$U$13)))*(L225-controls!$B$9),Y225+'main page'!$K$29*L225+(1-'main page'!$K$29)*controls!$B$9+(('main page'!$K$25*'main page'!$U$13*'normal case'!$AV$3)/'normal case'!$AV$4)*('normal case'!L225-controls!$B$9))</f>
        <v>5.4999998509883881</v>
      </c>
      <c r="Y225" s="81">
        <f ca="1">IF(controls!$B$44=1,'main page'!$K$24+'main page'!$K$11,IF(controls!$B$33=1,((I226-D225*AD226-B226+B225*AC226)/'main page'!$K$27)-'main page'!$K$11,((H226-D225*AD226-B226+B225*AC226)/'main page'!$K$27)-'main page'!$K$11))</f>
        <v>3.5</v>
      </c>
      <c r="AA225" s="58">
        <f>IF(controls!$B$6=1,$AS$3*(1+('main page'!$K$35/100))^AB225-$AS$3*(1+('main page'!$K$35/100))^AB224,$AS$3*(1+('main page'!$G$8/100))*(1+('main page'!$K$35/100))^AB225-$AS$3*(1+('main page'!$G$8/100))*(1+('main page'!$K$35/100))^AB224)</f>
        <v>0</v>
      </c>
      <c r="AB225" s="60">
        <v>218</v>
      </c>
      <c r="AC225" s="125">
        <v>0</v>
      </c>
      <c r="AD225" s="36">
        <v>0</v>
      </c>
      <c r="AE225" s="44">
        <f ca="1">IF(controls!$B$33=1,D225-($I$3-'main page'!$K$27*2)*(1+('main page'!$K$35/100))^A224,D225-$AS$4)</f>
        <v>1.0000000596046448</v>
      </c>
      <c r="AF225" s="44">
        <f ca="1">ABS(L225-(controls!$B$9/100)*100)</f>
        <v>1.1920928955078125E-7</v>
      </c>
      <c r="AH225" s="44">
        <f ca="1">IF(controls!$B$33=1,(B226-B225*AC226-I226+D225*AD226+'main page'!$K$27*('main page'!$K$24+'main page'!$K$11))/'main page'!$K$31,(B226-B225*AC226+D225*AD226-H226+'main page'!$K$27*('main page'!$K$24+'main page'!$K$11))/'main page'!$K$31)</f>
        <v>1</v>
      </c>
      <c r="AI225" s="44">
        <f ca="1">IF(controls!$B$45=1,LOG(AM225,1.01)+LOG(AL225,1.01)-LOG(AK225,1.01),-((T225-('main page'!$K$24+'main page'!$K$11))/(1-'normal case'!$AV$3))+'normal case'!AH225)</f>
        <v>2.0000000596046448</v>
      </c>
      <c r="AJ225" s="80">
        <f t="shared" ca="1" si="30"/>
        <v>1.0506250015463039</v>
      </c>
      <c r="AK225" s="44">
        <f t="shared" ca="1" si="31"/>
        <v>79.559944030861246</v>
      </c>
      <c r="AL225" s="44">
        <f>AL224*(1+'main page'!$K$32/100)</f>
        <v>1</v>
      </c>
      <c r="AM225" s="44">
        <f ca="1">IF(ABS(IF(controls!$B$45=1,$AS$13,AK225*AJ225/AL225)-AM224)&lt;0.00001,AM224,IF(controls!$B$45=1,$AS$13,AK225*AJ225/AL225))</f>
        <v>83.587666320447454</v>
      </c>
      <c r="AN225" s="44">
        <f>IF(controls!$B$46=0,0,IF(controls!$B$33=2,B226-B225*AC226-('normal case'!H226-D225*AD226-'main page'!$K$27*'normal case'!T225+'main page'!$K$31*'normal case'!AI225)-(('main page'!$K$25*'main page'!$U$13*'main page'!$K$29)/(1+('main page'!$K$25^2)*'main page'!$U$13))*('normal case'!L225-'main page'!$U$8),B226-B225*AC226-('normal case'!I226-D225*AD226-'main page'!$K$27*'normal case'!T225+'main page'!$K$31*'normal case'!AI225)-(('main page'!$K$25*'main page'!$U$13*'main page'!$K$29)/(1+('main page'!$K$25^2)*'main page'!$U$13))*('normal case'!L225-'main page'!$U$8)))</f>
        <v>0</v>
      </c>
      <c r="AU225" s="36"/>
      <c r="AV225" s="36"/>
    </row>
    <row r="226" spans="1:48">
      <c r="A226" s="43">
        <v>224</v>
      </c>
      <c r="B226" s="62">
        <f ca="1">IF(controls!$B$33=1,B225*(1+AC226)+AA226,B225*(1+AC226))</f>
        <v>101</v>
      </c>
      <c r="C226" s="67">
        <f t="shared" ca="1" si="32"/>
        <v>-1.5107707374006907E-7</v>
      </c>
      <c r="D226" s="64">
        <f t="shared" ca="1" si="28"/>
        <v>101.00000005960464</v>
      </c>
      <c r="E226" s="64">
        <f ca="1">AN225+IF(controls!$B$33=1,G226,F226)</f>
        <v>101.00000005960464</v>
      </c>
      <c r="F226" s="78">
        <f ca="1">IF(controls!$B$44=0,H226-'main page'!$K$27*T225,H226-'main page'!$K$27*T225+'main page'!$K$31*AI225)</f>
        <v>101.00000005960464</v>
      </c>
      <c r="G226" s="62">
        <f ca="1">IF(controls!$B$44=0,I226-'main page'!$K$27*T225,I226-'main page'!$K$27*T225+'main page'!$K$31*'normal case'!AI225)</f>
        <v>101.00000005960464</v>
      </c>
      <c r="H226" s="62">
        <f t="shared" ca="1" si="34"/>
        <v>108</v>
      </c>
      <c r="I226" s="62">
        <f t="shared" ca="1" si="35"/>
        <v>108</v>
      </c>
      <c r="L226" s="62">
        <f ca="1">IF(ABS('main page'!$K$29*L225+(1-'main page'!$K$29)*(controls!$B$9/100)*100+'main page'!$K$25*(D226-B226)-L225)&lt;0.0000001,L225,'main page'!$K$29*L225+(1-'main page'!$K$29)*(controls!$B$9/100)*100+'main page'!$K$25*(D226-B226))</f>
        <v>1.9999998807907104</v>
      </c>
      <c r="Q226" s="409">
        <f ca="1">(1-'main page'!$K$29)*($AS$11/100)*100+'main page'!$K$25*(D226-B226)</f>
        <v>5.9604644775390625E-8</v>
      </c>
      <c r="R226" s="409">
        <f>'main page'!G230+'main page'!$K$29*M225</f>
        <v>0</v>
      </c>
      <c r="S226" s="409">
        <f t="shared" ca="1" si="33"/>
        <v>5.9604644775390625E-8</v>
      </c>
      <c r="T226" s="79">
        <f ca="1">IF(controls!$B$10=1,T225,IF(SUM(controls!$B$44:$B$46)=2,U226-'main page'!$K$29*'normal case'!L226-(1-'main page'!$K$29)*'main page'!$K$32,U226-'main page'!$K$29*'normal case'!L226-(1-'main page'!$K$29)*controls!$B$9))</f>
        <v>3.4999999701976776</v>
      </c>
      <c r="U226" s="164">
        <f ca="1">IF(controls!$B$45=1,IF(controls!$B$46=1,'main page'!$K$24+'main page'!$K$11+'main page'!$U$8,'main page'!$K$24+'main page'!$K$11+'main page'!$K$32),IF(controls!$B$44=1,IF(V226&lt;0,0,V226),IF(V226+'main page'!$K$11&lt;0,0,V226+'main page'!$K$11)))</f>
        <v>5.4999998509883881</v>
      </c>
      <c r="V226" s="63">
        <f ca="1">IF(controls!$B$10=1,'normal case'!T226+'normal case'!L226,'normal case'!W226)</f>
        <v>5.4999998509883881</v>
      </c>
      <c r="W226" s="61">
        <f t="shared" ca="1" si="29"/>
        <v>5.4999998509883881</v>
      </c>
      <c r="X226" s="166">
        <f ca="1">IF(controls!$B$44=0,Y226+'main page'!$K$29*L226+(1-'main page'!$K$29)*controls!$B$9+(('main page'!$K$25*'main page'!$U$13*'main page'!$K$29)/('main page'!$K$27*(1+('main page'!$K$25^2)*'main page'!$U$13)))*(L226-controls!$B$9),Y226+'main page'!$K$29*L226+(1-'main page'!$K$29)*controls!$B$9+(('main page'!$K$25*'main page'!$U$13*'normal case'!$AV$3)/'normal case'!$AV$4)*('normal case'!L226-controls!$B$9))</f>
        <v>5.4999998509883881</v>
      </c>
      <c r="Y226" s="81">
        <f ca="1">IF(controls!$B$44=1,'main page'!$K$24+'main page'!$K$11,IF(controls!$B$33=1,((I227-D226*AD227-B227+B226*AC227)/'main page'!$K$27)-'main page'!$K$11,((H227-D226*AD227-B227+B226*AC227)/'main page'!$K$27)-'main page'!$K$11))</f>
        <v>3.5</v>
      </c>
      <c r="AA226" s="58">
        <f>IF(controls!$B$6=1,$AS$3*(1+('main page'!$K$35/100))^AB226-$AS$3*(1+('main page'!$K$35/100))^AB225,$AS$3*(1+('main page'!$G$8/100))*(1+('main page'!$K$35/100))^AB226-$AS$3*(1+('main page'!$G$8/100))*(1+('main page'!$K$35/100))^AB225)</f>
        <v>0</v>
      </c>
      <c r="AB226" s="60">
        <v>219</v>
      </c>
      <c r="AC226" s="125">
        <v>0</v>
      </c>
      <c r="AD226" s="36">
        <v>0</v>
      </c>
      <c r="AE226" s="44">
        <f ca="1">IF(controls!$B$33=1,D226-($I$3-'main page'!$K$27*2)*(1+('main page'!$K$35/100))^A225,D226-$AS$4)</f>
        <v>1.0000000596046448</v>
      </c>
      <c r="AF226" s="44">
        <f ca="1">ABS(L226-(controls!$B$9/100)*100)</f>
        <v>1.1920928955078125E-7</v>
      </c>
      <c r="AH226" s="44">
        <f ca="1">IF(controls!$B$33=1,(B227-B226*AC227-I227+D226*AD227+'main page'!$K$27*('main page'!$K$24+'main page'!$K$11))/'main page'!$K$31,(B227-B226*AC227+D226*AD227-H227+'main page'!$K$27*('main page'!$K$24+'main page'!$K$11))/'main page'!$K$31)</f>
        <v>1</v>
      </c>
      <c r="AI226" s="44">
        <f ca="1">IF(controls!$B$45=1,LOG(AM226,1.01)+LOG(AL226,1.01)-LOG(AK226,1.01),-((T226-('main page'!$K$24+'main page'!$K$11))/(1-'normal case'!$AV$3))+'normal case'!AH226)</f>
        <v>2.0000000596046448</v>
      </c>
      <c r="AJ226" s="80">
        <f t="shared" ca="1" si="30"/>
        <v>1.0506250015463039</v>
      </c>
      <c r="AK226" s="44">
        <f t="shared" ca="1" si="31"/>
        <v>81.151142816635627</v>
      </c>
      <c r="AL226" s="44">
        <f>AL225*(1+'main page'!$K$32/100)</f>
        <v>1</v>
      </c>
      <c r="AM226" s="44">
        <f ca="1">IF(ABS(IF(controls!$B$45=1,$AS$13,AK226*AJ226/AL226)-AM225)&lt;0.00001,AM225,IF(controls!$B$45=1,$AS$13,AK226*AJ226/AL226))</f>
        <v>85.259419547212133</v>
      </c>
      <c r="AN226" s="44">
        <f>IF(controls!$B$46=0,0,IF(controls!$B$33=2,B227-B226*AC227-('normal case'!H227-D226*AD227-'main page'!$K$27*'normal case'!T226+'main page'!$K$31*'normal case'!AI226)-(('main page'!$K$25*'main page'!$U$13*'main page'!$K$29)/(1+('main page'!$K$25^2)*'main page'!$U$13))*('normal case'!L226-'main page'!$U$8),B227-B226*AC227-('normal case'!I227-D226*AD227-'main page'!$K$27*'normal case'!T226+'main page'!$K$31*'normal case'!AI226)-(('main page'!$K$25*'main page'!$U$13*'main page'!$K$29)/(1+('main page'!$K$25^2)*'main page'!$U$13))*('normal case'!L226-'main page'!$U$8)))</f>
        <v>0</v>
      </c>
      <c r="AU226" s="36"/>
      <c r="AV226" s="36"/>
    </row>
    <row r="227" spans="1:48">
      <c r="A227" s="43">
        <v>225</v>
      </c>
      <c r="B227" s="62">
        <f ca="1">IF(controls!$B$33=1,B226*(1+AC227)+AA227,B226*(1+AC227))</f>
        <v>101</v>
      </c>
      <c r="C227" s="67">
        <f t="shared" ca="1" si="32"/>
        <v>-1.5107707374006907E-7</v>
      </c>
      <c r="D227" s="64">
        <f t="shared" ca="1" si="28"/>
        <v>101.00000005960464</v>
      </c>
      <c r="E227" s="64">
        <f ca="1">AN226+IF(controls!$B$33=1,G227,F227)</f>
        <v>101.00000005960464</v>
      </c>
      <c r="F227" s="78">
        <f ca="1">IF(controls!$B$44=0,H227-'main page'!$K$27*T226,H227-'main page'!$K$27*T226+'main page'!$K$31*AI226)</f>
        <v>101.00000005960464</v>
      </c>
      <c r="G227" s="62">
        <f ca="1">IF(controls!$B$44=0,I227-'main page'!$K$27*T226,I227-'main page'!$K$27*T226+'main page'!$K$31*'normal case'!AI226)</f>
        <v>101.00000005960464</v>
      </c>
      <c r="H227" s="62">
        <f t="shared" ca="1" si="34"/>
        <v>108</v>
      </c>
      <c r="I227" s="62">
        <f t="shared" ca="1" si="35"/>
        <v>108</v>
      </c>
      <c r="L227" s="62">
        <f ca="1">IF(ABS('main page'!$K$29*L226+(1-'main page'!$K$29)*(controls!$B$9/100)*100+'main page'!$K$25*(D227-B227)-L226)&lt;0.0000001,L226,'main page'!$K$29*L226+(1-'main page'!$K$29)*(controls!$B$9/100)*100+'main page'!$K$25*(D227-B227))</f>
        <v>1.9999998807907104</v>
      </c>
      <c r="Q227" s="409">
        <f ca="1">(1-'main page'!$K$29)*($AS$11/100)*100+'main page'!$K$25*(D227-B227)</f>
        <v>5.9604644775390625E-8</v>
      </c>
      <c r="R227" s="409">
        <f>'main page'!G231+'main page'!$K$29*M226</f>
        <v>0</v>
      </c>
      <c r="S227" s="409">
        <f t="shared" ca="1" si="33"/>
        <v>5.9604644775390625E-8</v>
      </c>
      <c r="T227" s="79">
        <f ca="1">IF(controls!$B$10=1,T226,IF(SUM(controls!$B$44:$B$46)=2,U227-'main page'!$K$29*'normal case'!L227-(1-'main page'!$K$29)*'main page'!$K$32,U227-'main page'!$K$29*'normal case'!L227-(1-'main page'!$K$29)*controls!$B$9))</f>
        <v>3.4999999701976776</v>
      </c>
      <c r="U227" s="164">
        <f ca="1">IF(controls!$B$45=1,IF(controls!$B$46=1,'main page'!$K$24+'main page'!$K$11+'main page'!$U$8,'main page'!$K$24+'main page'!$K$11+'main page'!$K$32),IF(controls!$B$44=1,IF(V227&lt;0,0,V227),IF(V227+'main page'!$K$11&lt;0,0,V227+'main page'!$K$11)))</f>
        <v>5.4999998509883881</v>
      </c>
      <c r="V227" s="63">
        <f ca="1">IF(controls!$B$10=1,'normal case'!T227+'normal case'!L227,'normal case'!W227)</f>
        <v>5.4999998509883881</v>
      </c>
      <c r="W227" s="61">
        <f t="shared" ca="1" si="29"/>
        <v>5.4999998509883881</v>
      </c>
      <c r="X227" s="166">
        <f ca="1">IF(controls!$B$44=0,Y227+'main page'!$K$29*L227+(1-'main page'!$K$29)*controls!$B$9+(('main page'!$K$25*'main page'!$U$13*'main page'!$K$29)/('main page'!$K$27*(1+('main page'!$K$25^2)*'main page'!$U$13)))*(L227-controls!$B$9),Y227+'main page'!$K$29*L227+(1-'main page'!$K$29)*controls!$B$9+(('main page'!$K$25*'main page'!$U$13*'normal case'!$AV$3)/'normal case'!$AV$4)*('normal case'!L227-controls!$B$9))</f>
        <v>5.4999998509883881</v>
      </c>
      <c r="Y227" s="81">
        <f ca="1">IF(controls!$B$44=1,'main page'!$K$24+'main page'!$K$11,IF(controls!$B$33=1,((I228-D227*AD228-B228+B227*AC228)/'main page'!$K$27)-'main page'!$K$11,((H228-D227*AD228-B228+B227*AC228)/'main page'!$K$27)-'main page'!$K$11))</f>
        <v>3.5</v>
      </c>
      <c r="AA227" s="58">
        <f>IF(controls!$B$6=1,$AS$3*(1+('main page'!$K$35/100))^AB227-$AS$3*(1+('main page'!$K$35/100))^AB226,$AS$3*(1+('main page'!$G$8/100))*(1+('main page'!$K$35/100))^AB227-$AS$3*(1+('main page'!$G$8/100))*(1+('main page'!$K$35/100))^AB226)</f>
        <v>0</v>
      </c>
      <c r="AB227" s="60">
        <v>220</v>
      </c>
      <c r="AC227" s="125">
        <f ca="1">IF(controls!$B$4=1,IF(controls!$H226=1,controls!$B$34*AC226+RAND()*('main page'!$K$16/100)-RAND()*('main page'!$K$16/100),0),0)</f>
        <v>0</v>
      </c>
      <c r="AD227" s="36">
        <f ca="1">IF(controls!$B$4=1,IF(controls!$I226=1,controls!$B$34*AD226+RAND()*('main page'!$K$16/100)-RAND()*('main page'!$K$16/100),0),0)</f>
        <v>0</v>
      </c>
      <c r="AE227" s="44">
        <f ca="1">IF(controls!$B$33=1,D227-($I$3-'main page'!$K$27*2)*(1+('main page'!$K$35/100))^A226,D227-$AS$4)</f>
        <v>1.0000000596046448</v>
      </c>
      <c r="AF227" s="44">
        <f ca="1">ABS(L227-(controls!$B$9/100)*100)</f>
        <v>1.1920928955078125E-7</v>
      </c>
      <c r="AH227" s="44">
        <f ca="1">IF(controls!$B$33=1,(B228-B227*AC228-I228+D227*AD228+'main page'!$K$27*('main page'!$K$24+'main page'!$K$11))/'main page'!$K$31,(B228-B227*AC228+D227*AD228-H228+'main page'!$K$27*('main page'!$K$24+'main page'!$K$11))/'main page'!$K$31)</f>
        <v>1</v>
      </c>
      <c r="AI227" s="44">
        <f ca="1">IF(controls!$B$45=1,LOG(AM227,1.01)+LOG(AL227,1.01)-LOG(AK227,1.01),-((T227-('main page'!$K$24+'main page'!$K$11))/(1-'normal case'!$AV$3))+'normal case'!AH227)</f>
        <v>2.0000000596046448</v>
      </c>
      <c r="AJ227" s="80">
        <f t="shared" ca="1" si="30"/>
        <v>1.0506250015463039</v>
      </c>
      <c r="AK227" s="44">
        <f t="shared" ca="1" si="31"/>
        <v>82.77416557622864</v>
      </c>
      <c r="AL227" s="44">
        <f>AL226*(1+'main page'!$K$32/100)</f>
        <v>1</v>
      </c>
      <c r="AM227" s="44">
        <f ca="1">IF(ABS(IF(controls!$B$45=1,$AS$13,AK227*AJ227/AL227)-AM226)&lt;0.00001,AM226,IF(controls!$B$45=1,$AS$13,AK227*AJ227/AL227))</f>
        <v>86.964607836519235</v>
      </c>
      <c r="AN227" s="44">
        <f>IF(controls!$B$46=0,0,IF(controls!$B$33=2,B228-B227*AC228-('normal case'!H228-D227*AD228-'main page'!$K$27*'normal case'!T227+'main page'!$K$31*'normal case'!AI227)-(('main page'!$K$25*'main page'!$U$13*'main page'!$K$29)/(1+('main page'!$K$25^2)*'main page'!$U$13))*('normal case'!L227-'main page'!$U$8),B228-B227*AC228-('normal case'!I228-D227*AD228-'main page'!$K$27*'normal case'!T227+'main page'!$K$31*'normal case'!AI227)-(('main page'!$K$25*'main page'!$U$13*'main page'!$K$29)/(1+('main page'!$K$25^2)*'main page'!$U$13))*('normal case'!L227-'main page'!$U$8)))</f>
        <v>0</v>
      </c>
      <c r="AU227" s="36"/>
      <c r="AV227" s="36"/>
    </row>
    <row r="228" spans="1:48">
      <c r="A228" s="43">
        <v>226</v>
      </c>
      <c r="B228" s="62">
        <f ca="1">IF(controls!$B$33=1,B227*(1+AC228)+AA228,B227*(1+AC228))</f>
        <v>101</v>
      </c>
      <c r="C228" s="67">
        <f t="shared" ca="1" si="32"/>
        <v>-1.5107707374006907E-7</v>
      </c>
      <c r="D228" s="64">
        <f t="shared" ca="1" si="28"/>
        <v>101.00000005960464</v>
      </c>
      <c r="E228" s="64">
        <f ca="1">AN227+IF(controls!$B$33=1,G228,F228)</f>
        <v>101.00000005960464</v>
      </c>
      <c r="F228" s="78">
        <f ca="1">IF(controls!$B$44=0,H228-'main page'!$K$27*T227,H228-'main page'!$K$27*T227+'main page'!$K$31*AI227)</f>
        <v>101.00000005960464</v>
      </c>
      <c r="G228" s="62">
        <f ca="1">IF(controls!$B$44=0,I228-'main page'!$K$27*T227,I228-'main page'!$K$27*T227+'main page'!$K$31*'normal case'!AI227)</f>
        <v>101.00000005960464</v>
      </c>
      <c r="H228" s="62">
        <f t="shared" ca="1" si="34"/>
        <v>108</v>
      </c>
      <c r="I228" s="62">
        <f t="shared" ca="1" si="35"/>
        <v>108</v>
      </c>
      <c r="L228" s="62">
        <f ca="1">IF(ABS('main page'!$K$29*L227+(1-'main page'!$K$29)*(controls!$B$9/100)*100+'main page'!$K$25*(D228-B228)-L227)&lt;0.0000001,L227,'main page'!$K$29*L227+(1-'main page'!$K$29)*(controls!$B$9/100)*100+'main page'!$K$25*(D228-B228))</f>
        <v>1.9999998807907104</v>
      </c>
      <c r="Q228" s="409">
        <f ca="1">(1-'main page'!$K$29)*($AS$11/100)*100+'main page'!$K$25*(D228-B228)</f>
        <v>5.9604644775390625E-8</v>
      </c>
      <c r="R228" s="409">
        <f>'main page'!G232+'main page'!$K$29*M227</f>
        <v>0</v>
      </c>
      <c r="S228" s="409">
        <f t="shared" ca="1" si="33"/>
        <v>5.9604644775390625E-8</v>
      </c>
      <c r="T228" s="79">
        <f ca="1">IF(controls!$B$10=1,T227,IF(SUM(controls!$B$44:$B$46)=2,U228-'main page'!$K$29*'normal case'!L228-(1-'main page'!$K$29)*'main page'!$K$32,U228-'main page'!$K$29*'normal case'!L228-(1-'main page'!$K$29)*controls!$B$9))</f>
        <v>3.4999999701976776</v>
      </c>
      <c r="U228" s="164">
        <f ca="1">IF(controls!$B$45=1,IF(controls!$B$46=1,'main page'!$K$24+'main page'!$K$11+'main page'!$U$8,'main page'!$K$24+'main page'!$K$11+'main page'!$K$32),IF(controls!$B$44=1,IF(V228&lt;0,0,V228),IF(V228+'main page'!$K$11&lt;0,0,V228+'main page'!$K$11)))</f>
        <v>5.4999998509883881</v>
      </c>
      <c r="V228" s="63">
        <f ca="1">IF(controls!$B$10=1,'normal case'!T228+'normal case'!L228,'normal case'!W228)</f>
        <v>5.4999998509883881</v>
      </c>
      <c r="W228" s="61">
        <f t="shared" ca="1" si="29"/>
        <v>5.4999998509883881</v>
      </c>
      <c r="X228" s="166">
        <f ca="1">IF(controls!$B$44=0,Y228+'main page'!$K$29*L228+(1-'main page'!$K$29)*controls!$B$9+(('main page'!$K$25*'main page'!$U$13*'main page'!$K$29)/('main page'!$K$27*(1+('main page'!$K$25^2)*'main page'!$U$13)))*(L228-controls!$B$9),Y228+'main page'!$K$29*L228+(1-'main page'!$K$29)*controls!$B$9+(('main page'!$K$25*'main page'!$U$13*'normal case'!$AV$3)/'normal case'!$AV$4)*('normal case'!L228-controls!$B$9))</f>
        <v>5.4999998509883881</v>
      </c>
      <c r="Y228" s="81">
        <f ca="1">IF(controls!$B$44=1,'main page'!$K$24+'main page'!$K$11,IF(controls!$B$33=1,((I229-D228*AD229-B229+B228*AC229)/'main page'!$K$27)-'main page'!$K$11,((H229-D228*AD229-B229+B228*AC229)/'main page'!$K$27)-'main page'!$K$11))</f>
        <v>3.5</v>
      </c>
      <c r="AA228" s="58">
        <f>IF(controls!$B$6=1,$AS$3*(1+('main page'!$K$35/100))^AB228-$AS$3*(1+('main page'!$K$35/100))^AB227,$AS$3*(1+('main page'!$G$8/100))*(1+('main page'!$K$35/100))^AB228-$AS$3*(1+('main page'!$G$8/100))*(1+('main page'!$K$35/100))^AB227)</f>
        <v>0</v>
      </c>
      <c r="AB228" s="60">
        <v>221</v>
      </c>
      <c r="AC228" s="125">
        <v>0</v>
      </c>
      <c r="AD228" s="36">
        <v>0</v>
      </c>
      <c r="AE228" s="44">
        <f ca="1">IF(controls!$B$33=1,D228-($I$3-'main page'!$K$27*2)*(1+('main page'!$K$35/100))^A227,D228-$AS$4)</f>
        <v>1.0000000596046448</v>
      </c>
      <c r="AF228" s="44">
        <f ca="1">ABS(L228-(controls!$B$9/100)*100)</f>
        <v>1.1920928955078125E-7</v>
      </c>
      <c r="AH228" s="44">
        <f ca="1">IF(controls!$B$33=1,(B229-B228*AC229-I229+D228*AD229+'main page'!$K$27*('main page'!$K$24+'main page'!$K$11))/'main page'!$K$31,(B229-B228*AC229+D228*AD229-H229+'main page'!$K$27*('main page'!$K$24+'main page'!$K$11))/'main page'!$K$31)</f>
        <v>1</v>
      </c>
      <c r="AI228" s="44">
        <f ca="1">IF(controls!$B$45=1,LOG(AM228,1.01)+LOG(AL228,1.01)-LOG(AK228,1.01),-((T228-('main page'!$K$24+'main page'!$K$11))/(1-'normal case'!$AV$3))+'normal case'!AH228)</f>
        <v>2.0000000596046448</v>
      </c>
      <c r="AJ228" s="80">
        <f t="shared" ca="1" si="30"/>
        <v>1.0506250015463039</v>
      </c>
      <c r="AK228" s="44">
        <f t="shared" ca="1" si="31"/>
        <v>84.429648789078726</v>
      </c>
      <c r="AL228" s="44">
        <f>AL227*(1+'main page'!$K$32/100)</f>
        <v>1</v>
      </c>
      <c r="AM228" s="44">
        <f ca="1">IF(ABS(IF(controls!$B$45=1,$AS$13,AK228*AJ228/AL228)-AM227)&lt;0.00001,AM227,IF(controls!$B$45=1,$AS$13,AK228*AJ228/AL228))</f>
        <v>88.703899889579731</v>
      </c>
      <c r="AN228" s="44">
        <f>IF(controls!$B$46=0,0,IF(controls!$B$33=2,B229-B228*AC229-('normal case'!H229-D228*AD229-'main page'!$K$27*'normal case'!T228+'main page'!$K$31*'normal case'!AI228)-(('main page'!$K$25*'main page'!$U$13*'main page'!$K$29)/(1+('main page'!$K$25^2)*'main page'!$U$13))*('normal case'!L228-'main page'!$U$8),B229-B228*AC229-('normal case'!I229-D228*AD229-'main page'!$K$27*'normal case'!T228+'main page'!$K$31*'normal case'!AI228)-(('main page'!$K$25*'main page'!$U$13*'main page'!$K$29)/(1+('main page'!$K$25^2)*'main page'!$U$13))*('normal case'!L228-'main page'!$U$8)))</f>
        <v>0</v>
      </c>
      <c r="AU228" s="36"/>
      <c r="AV228" s="36"/>
    </row>
    <row r="229" spans="1:48">
      <c r="A229" s="43">
        <v>227</v>
      </c>
      <c r="B229" s="62">
        <f ca="1">IF(controls!$B$33=1,B228*(1+AC229)+AA229,B228*(1+AC229))</f>
        <v>101</v>
      </c>
      <c r="C229" s="67">
        <f t="shared" ca="1" si="32"/>
        <v>-1.5107707374006907E-7</v>
      </c>
      <c r="D229" s="64">
        <f t="shared" ca="1" si="28"/>
        <v>101.00000005960464</v>
      </c>
      <c r="E229" s="64">
        <f ca="1">AN228+IF(controls!$B$33=1,G229,F229)</f>
        <v>101.00000005960464</v>
      </c>
      <c r="F229" s="78">
        <f ca="1">IF(controls!$B$44=0,H229-'main page'!$K$27*T228,H229-'main page'!$K$27*T228+'main page'!$K$31*AI228)</f>
        <v>101.00000005960464</v>
      </c>
      <c r="G229" s="62">
        <f ca="1">IF(controls!$B$44=0,I229-'main page'!$K$27*T228,I229-'main page'!$K$27*T228+'main page'!$K$31*'normal case'!AI228)</f>
        <v>101.00000005960464</v>
      </c>
      <c r="H229" s="62">
        <f t="shared" ca="1" si="34"/>
        <v>108</v>
      </c>
      <c r="I229" s="62">
        <f t="shared" ca="1" si="35"/>
        <v>108</v>
      </c>
      <c r="L229" s="62">
        <f ca="1">IF(ABS('main page'!$K$29*L228+(1-'main page'!$K$29)*(controls!$B$9/100)*100+'main page'!$K$25*(D229-B229)-L228)&lt;0.0000001,L228,'main page'!$K$29*L228+(1-'main page'!$K$29)*(controls!$B$9/100)*100+'main page'!$K$25*(D229-B229))</f>
        <v>1.9999998807907104</v>
      </c>
      <c r="Q229" s="409">
        <f ca="1">(1-'main page'!$K$29)*($AS$11/100)*100+'main page'!$K$25*(D229-B229)</f>
        <v>5.9604644775390625E-8</v>
      </c>
      <c r="R229" s="409">
        <f>'main page'!G233+'main page'!$K$29*M228</f>
        <v>0</v>
      </c>
      <c r="S229" s="409">
        <f t="shared" ca="1" si="33"/>
        <v>5.9604644775390625E-8</v>
      </c>
      <c r="T229" s="79">
        <f ca="1">IF(controls!$B$10=1,T228,IF(SUM(controls!$B$44:$B$46)=2,U229-'main page'!$K$29*'normal case'!L229-(1-'main page'!$K$29)*'main page'!$K$32,U229-'main page'!$K$29*'normal case'!L229-(1-'main page'!$K$29)*controls!$B$9))</f>
        <v>3.4999999701976776</v>
      </c>
      <c r="U229" s="164">
        <f ca="1">IF(controls!$B$45=1,IF(controls!$B$46=1,'main page'!$K$24+'main page'!$K$11+'main page'!$U$8,'main page'!$K$24+'main page'!$K$11+'main page'!$K$32),IF(controls!$B$44=1,IF(V229&lt;0,0,V229),IF(V229+'main page'!$K$11&lt;0,0,V229+'main page'!$K$11)))</f>
        <v>5.4999998509883881</v>
      </c>
      <c r="V229" s="63">
        <f ca="1">IF(controls!$B$10=1,'normal case'!T229+'normal case'!L229,'normal case'!W229)</f>
        <v>5.4999998509883881</v>
      </c>
      <c r="W229" s="61">
        <f t="shared" ca="1" si="29"/>
        <v>5.4999998509883881</v>
      </c>
      <c r="X229" s="166">
        <f ca="1">IF(controls!$B$44=0,Y229+'main page'!$K$29*L229+(1-'main page'!$K$29)*controls!$B$9+(('main page'!$K$25*'main page'!$U$13*'main page'!$K$29)/('main page'!$K$27*(1+('main page'!$K$25^2)*'main page'!$U$13)))*(L229-controls!$B$9),Y229+'main page'!$K$29*L229+(1-'main page'!$K$29)*controls!$B$9+(('main page'!$K$25*'main page'!$U$13*'normal case'!$AV$3)/'normal case'!$AV$4)*('normal case'!L229-controls!$B$9))</f>
        <v>5.4999998509883881</v>
      </c>
      <c r="Y229" s="81">
        <f ca="1">IF(controls!$B$44=1,'main page'!$K$24+'main page'!$K$11,IF(controls!$B$33=1,((I230-D229*AD230-B230+B229*AC230)/'main page'!$K$27)-'main page'!$K$11,((H230-D229*AD230-B230+B229*AC230)/'main page'!$K$27)-'main page'!$K$11))</f>
        <v>3.5</v>
      </c>
      <c r="AA229" s="58">
        <f>IF(controls!$B$6=1,$AS$3*(1+('main page'!$K$35/100))^AB229-$AS$3*(1+('main page'!$K$35/100))^AB228,$AS$3*(1+('main page'!$G$8/100))*(1+('main page'!$K$35/100))^AB229-$AS$3*(1+('main page'!$G$8/100))*(1+('main page'!$K$35/100))^AB228)</f>
        <v>0</v>
      </c>
      <c r="AB229" s="60">
        <v>222</v>
      </c>
      <c r="AC229" s="125">
        <v>0</v>
      </c>
      <c r="AD229" s="36">
        <v>0</v>
      </c>
      <c r="AE229" s="44">
        <f ca="1">IF(controls!$B$33=1,D229-($I$3-'main page'!$K$27*2)*(1+('main page'!$K$35/100))^A228,D229-$AS$4)</f>
        <v>1.0000000596046448</v>
      </c>
      <c r="AF229" s="44">
        <f ca="1">ABS(L229-(controls!$B$9/100)*100)</f>
        <v>1.1920928955078125E-7</v>
      </c>
      <c r="AH229" s="44">
        <f ca="1">IF(controls!$B$33=1,(B230-B229*AC230-I230+D229*AD230+'main page'!$K$27*('main page'!$K$24+'main page'!$K$11))/'main page'!$K$31,(B230-B229*AC230+D229*AD230-H230+'main page'!$K$27*('main page'!$K$24+'main page'!$K$11))/'main page'!$K$31)</f>
        <v>1</v>
      </c>
      <c r="AI229" s="44">
        <f ca="1">IF(controls!$B$45=1,LOG(AM229,1.01)+LOG(AL229,1.01)-LOG(AK229,1.01),-((T229-('main page'!$K$24+'main page'!$K$11))/(1-'normal case'!$AV$3))+'normal case'!AH229)</f>
        <v>2.0000000596046448</v>
      </c>
      <c r="AJ229" s="80">
        <f t="shared" ca="1" si="30"/>
        <v>1.0506250015463039</v>
      </c>
      <c r="AK229" s="44">
        <f t="shared" ca="1" si="31"/>
        <v>86.11824166421232</v>
      </c>
      <c r="AL229" s="44">
        <f>AL228*(1+'main page'!$K$32/100)</f>
        <v>1</v>
      </c>
      <c r="AM229" s="44">
        <f ca="1">IF(ABS(IF(controls!$B$45=1,$AS$13,AK229*AJ229/AL229)-AM228)&lt;0.00001,AM228,IF(controls!$B$45=1,$AS$13,AK229*AJ229/AL229))</f>
        <v>90.477977781628041</v>
      </c>
      <c r="AN229" s="44">
        <f>IF(controls!$B$46=0,0,IF(controls!$B$33=2,B230-B229*AC230-('normal case'!H230-D229*AD230-'main page'!$K$27*'normal case'!T229+'main page'!$K$31*'normal case'!AI229)-(('main page'!$K$25*'main page'!$U$13*'main page'!$K$29)/(1+('main page'!$K$25^2)*'main page'!$U$13))*('normal case'!L229-'main page'!$U$8),B230-B229*AC230-('normal case'!I230-D229*AD230-'main page'!$K$27*'normal case'!T229+'main page'!$K$31*'normal case'!AI229)-(('main page'!$K$25*'main page'!$U$13*'main page'!$K$29)/(1+('main page'!$K$25^2)*'main page'!$U$13))*('normal case'!L229-'main page'!$U$8)))</f>
        <v>0</v>
      </c>
      <c r="AU229" s="36"/>
      <c r="AV229" s="36"/>
    </row>
    <row r="230" spans="1:48">
      <c r="A230" s="43">
        <v>228</v>
      </c>
      <c r="B230" s="62">
        <f ca="1">IF(controls!$B$33=1,B229*(1+AC230)+AA230,B229*(1+AC230))</f>
        <v>101</v>
      </c>
      <c r="C230" s="67">
        <f t="shared" ca="1" si="32"/>
        <v>-1.5107707374006907E-7</v>
      </c>
      <c r="D230" s="64">
        <f t="shared" ca="1" si="28"/>
        <v>101.00000005960464</v>
      </c>
      <c r="E230" s="64">
        <f ca="1">AN229+IF(controls!$B$33=1,G230,F230)</f>
        <v>101.00000005960464</v>
      </c>
      <c r="F230" s="78">
        <f ca="1">IF(controls!$B$44=0,H230-'main page'!$K$27*T229,H230-'main page'!$K$27*T229+'main page'!$K$31*AI229)</f>
        <v>101.00000005960464</v>
      </c>
      <c r="G230" s="62">
        <f ca="1">IF(controls!$B$44=0,I230-'main page'!$K$27*T229,I230-'main page'!$K$27*T229+'main page'!$K$31*'normal case'!AI229)</f>
        <v>101.00000005960464</v>
      </c>
      <c r="H230" s="62">
        <f t="shared" ca="1" si="34"/>
        <v>108</v>
      </c>
      <c r="I230" s="62">
        <f t="shared" ca="1" si="35"/>
        <v>108</v>
      </c>
      <c r="L230" s="62">
        <f ca="1">IF(ABS('main page'!$K$29*L229+(1-'main page'!$K$29)*(controls!$B$9/100)*100+'main page'!$K$25*(D230-B230)-L229)&lt;0.0000001,L229,'main page'!$K$29*L229+(1-'main page'!$K$29)*(controls!$B$9/100)*100+'main page'!$K$25*(D230-B230))</f>
        <v>1.9999998807907104</v>
      </c>
      <c r="Q230" s="409">
        <f ca="1">(1-'main page'!$K$29)*($AS$11/100)*100+'main page'!$K$25*(D230-B230)</f>
        <v>5.9604644775390625E-8</v>
      </c>
      <c r="R230" s="409">
        <f>'main page'!G234+'main page'!$K$29*M229</f>
        <v>0</v>
      </c>
      <c r="S230" s="409">
        <f t="shared" ca="1" si="33"/>
        <v>5.9604644775390625E-8</v>
      </c>
      <c r="T230" s="79">
        <f ca="1">IF(controls!$B$10=1,T229,IF(SUM(controls!$B$44:$B$46)=2,U230-'main page'!$K$29*'normal case'!L230-(1-'main page'!$K$29)*'main page'!$K$32,U230-'main page'!$K$29*'normal case'!L230-(1-'main page'!$K$29)*controls!$B$9))</f>
        <v>3.4999999701976776</v>
      </c>
      <c r="U230" s="164">
        <f ca="1">IF(controls!$B$45=1,IF(controls!$B$46=1,'main page'!$K$24+'main page'!$K$11+'main page'!$U$8,'main page'!$K$24+'main page'!$K$11+'main page'!$K$32),IF(controls!$B$44=1,IF(V230&lt;0,0,V230),IF(V230+'main page'!$K$11&lt;0,0,V230+'main page'!$K$11)))</f>
        <v>5.4999998509883881</v>
      </c>
      <c r="V230" s="63">
        <f ca="1">IF(controls!$B$10=1,'normal case'!T230+'normal case'!L230,'normal case'!W230)</f>
        <v>5.4999998509883881</v>
      </c>
      <c r="W230" s="61">
        <f t="shared" ca="1" si="29"/>
        <v>5.4999998509883881</v>
      </c>
      <c r="X230" s="166">
        <f ca="1">IF(controls!$B$44=0,Y230+'main page'!$K$29*L230+(1-'main page'!$K$29)*controls!$B$9+(('main page'!$K$25*'main page'!$U$13*'main page'!$K$29)/('main page'!$K$27*(1+('main page'!$K$25^2)*'main page'!$U$13)))*(L230-controls!$B$9),Y230+'main page'!$K$29*L230+(1-'main page'!$K$29)*controls!$B$9+(('main page'!$K$25*'main page'!$U$13*'normal case'!$AV$3)/'normal case'!$AV$4)*('normal case'!L230-controls!$B$9))</f>
        <v>5.4999998509883881</v>
      </c>
      <c r="Y230" s="81">
        <f ca="1">IF(controls!$B$44=1,'main page'!$K$24+'main page'!$K$11,IF(controls!$B$33=1,((I231-D230*AD231-B231+B230*AC231)/'main page'!$K$27)-'main page'!$K$11,((H231-D230*AD231-B231+B230*AC231)/'main page'!$K$27)-'main page'!$K$11))</f>
        <v>3.5</v>
      </c>
      <c r="AA230" s="58">
        <f>IF(controls!$B$6=1,$AS$3*(1+('main page'!$K$35/100))^AB230-$AS$3*(1+('main page'!$K$35/100))^AB229,$AS$3*(1+('main page'!$G$8/100))*(1+('main page'!$K$35/100))^AB230-$AS$3*(1+('main page'!$G$8/100))*(1+('main page'!$K$35/100))^AB229)</f>
        <v>0</v>
      </c>
      <c r="AB230" s="60">
        <v>223</v>
      </c>
      <c r="AC230" s="125">
        <f ca="1">IF(controls!$B$4=1,IF(controls!$H229=1,controls!$B$34*AC229+RAND()*('main page'!$K$16/100)-RAND()*('main page'!$K$16/100),0),0)</f>
        <v>0</v>
      </c>
      <c r="AD230" s="36">
        <f ca="1">IF(controls!$B$4=1,IF(controls!$I229=1,controls!$B$34*AD229+RAND()*('main page'!$K$16/100)-RAND()*('main page'!$K$16/100),0),0)</f>
        <v>0</v>
      </c>
      <c r="AE230" s="44">
        <f ca="1">IF(controls!$B$33=1,D230-($I$3-'main page'!$K$27*2)*(1+('main page'!$K$35/100))^A229,D230-$AS$4)</f>
        <v>1.0000000596046448</v>
      </c>
      <c r="AF230" s="44">
        <f ca="1">ABS(L230-(controls!$B$9/100)*100)</f>
        <v>1.1920928955078125E-7</v>
      </c>
      <c r="AH230" s="44">
        <f ca="1">IF(controls!$B$33=1,(B231-B230*AC231-I231+D230*AD231+'main page'!$K$27*('main page'!$K$24+'main page'!$K$11))/'main page'!$K$31,(B231-B230*AC231+D230*AD231-H231+'main page'!$K$27*('main page'!$K$24+'main page'!$K$11))/'main page'!$K$31)</f>
        <v>1</v>
      </c>
      <c r="AI230" s="44">
        <f ca="1">IF(controls!$B$45=1,LOG(AM230,1.01)+LOG(AL230,1.01)-LOG(AK230,1.01),-((T230-('main page'!$K$24+'main page'!$K$11))/(1-'normal case'!$AV$3))+'normal case'!AH230)</f>
        <v>2.0000000596046448</v>
      </c>
      <c r="AJ230" s="80">
        <f t="shared" ca="1" si="30"/>
        <v>1.0506250015463039</v>
      </c>
      <c r="AK230" s="44">
        <f t="shared" ca="1" si="31"/>
        <v>87.840606394835632</v>
      </c>
      <c r="AL230" s="44">
        <f>AL229*(1+'main page'!$K$32/100)</f>
        <v>1</v>
      </c>
      <c r="AM230" s="44">
        <f ca="1">IF(ABS(IF(controls!$B$45=1,$AS$13,AK230*AJ230/AL230)-AM229)&lt;0.00001,AM229,IF(controls!$B$45=1,$AS$13,AK230*AJ230/AL230))</f>
        <v>92.28753722940246</v>
      </c>
      <c r="AN230" s="44">
        <f>IF(controls!$B$46=0,0,IF(controls!$B$33=2,B231-B230*AC231-('normal case'!H231-D230*AD231-'main page'!$K$27*'normal case'!T230+'main page'!$K$31*'normal case'!AI230)-(('main page'!$K$25*'main page'!$U$13*'main page'!$K$29)/(1+('main page'!$K$25^2)*'main page'!$U$13))*('normal case'!L230-'main page'!$U$8),B231-B230*AC231-('normal case'!I231-D230*AD231-'main page'!$K$27*'normal case'!T230+'main page'!$K$31*'normal case'!AI230)-(('main page'!$K$25*'main page'!$U$13*'main page'!$K$29)/(1+('main page'!$K$25^2)*'main page'!$U$13))*('normal case'!L230-'main page'!$U$8)))</f>
        <v>0</v>
      </c>
      <c r="AU230" s="36"/>
      <c r="AV230" s="36"/>
    </row>
    <row r="231" spans="1:48">
      <c r="A231" s="43">
        <v>229</v>
      </c>
      <c r="B231" s="62">
        <f ca="1">IF(controls!$B$33=1,B230*(1+AC231)+AA231,B230*(1+AC231))</f>
        <v>101</v>
      </c>
      <c r="C231" s="67">
        <f t="shared" ca="1" si="32"/>
        <v>-1.5107707374006907E-7</v>
      </c>
      <c r="D231" s="64">
        <f t="shared" ca="1" si="28"/>
        <v>101.00000005960464</v>
      </c>
      <c r="E231" s="64">
        <f ca="1">AN230+IF(controls!$B$33=1,G231,F231)</f>
        <v>101.00000005960464</v>
      </c>
      <c r="F231" s="78">
        <f ca="1">IF(controls!$B$44=0,H231-'main page'!$K$27*T230,H231-'main page'!$K$27*T230+'main page'!$K$31*AI230)</f>
        <v>101.00000005960464</v>
      </c>
      <c r="G231" s="62">
        <f ca="1">IF(controls!$B$44=0,I231-'main page'!$K$27*T230,I231-'main page'!$K$27*T230+'main page'!$K$31*'normal case'!AI230)</f>
        <v>101.00000005960464</v>
      </c>
      <c r="H231" s="62">
        <f t="shared" ca="1" si="34"/>
        <v>108</v>
      </c>
      <c r="I231" s="62">
        <f t="shared" ca="1" si="35"/>
        <v>108</v>
      </c>
      <c r="L231" s="62">
        <f ca="1">IF(ABS('main page'!$K$29*L230+(1-'main page'!$K$29)*(controls!$B$9/100)*100+'main page'!$K$25*(D231-B231)-L230)&lt;0.0000001,L230,'main page'!$K$29*L230+(1-'main page'!$K$29)*(controls!$B$9/100)*100+'main page'!$K$25*(D231-B231))</f>
        <v>1.9999998807907104</v>
      </c>
      <c r="Q231" s="409">
        <f ca="1">(1-'main page'!$K$29)*($AS$11/100)*100+'main page'!$K$25*(D231-B231)</f>
        <v>5.9604644775390625E-8</v>
      </c>
      <c r="R231" s="409">
        <f>'main page'!G235+'main page'!$K$29*M230</f>
        <v>0</v>
      </c>
      <c r="S231" s="409">
        <f t="shared" ca="1" si="33"/>
        <v>5.9604644775390625E-8</v>
      </c>
      <c r="T231" s="79">
        <f ca="1">IF(controls!$B$10=1,T230,IF(SUM(controls!$B$44:$B$46)=2,U231-'main page'!$K$29*'normal case'!L231-(1-'main page'!$K$29)*'main page'!$K$32,U231-'main page'!$K$29*'normal case'!L231-(1-'main page'!$K$29)*controls!$B$9))</f>
        <v>3.4999999701976776</v>
      </c>
      <c r="U231" s="164">
        <f ca="1">IF(controls!$B$45=1,IF(controls!$B$46=1,'main page'!$K$24+'main page'!$K$11+'main page'!$U$8,'main page'!$K$24+'main page'!$K$11+'main page'!$K$32),IF(controls!$B$44=1,IF(V231&lt;0,0,V231),IF(V231+'main page'!$K$11&lt;0,0,V231+'main page'!$K$11)))</f>
        <v>5.4999998509883881</v>
      </c>
      <c r="V231" s="63">
        <f ca="1">IF(controls!$B$10=1,'normal case'!T231+'normal case'!L231,'normal case'!W231)</f>
        <v>5.4999998509883881</v>
      </c>
      <c r="W231" s="61">
        <f t="shared" ca="1" si="29"/>
        <v>5.4999998509883881</v>
      </c>
      <c r="X231" s="166">
        <f ca="1">IF(controls!$B$44=0,Y231+'main page'!$K$29*L231+(1-'main page'!$K$29)*controls!$B$9+(('main page'!$K$25*'main page'!$U$13*'main page'!$K$29)/('main page'!$K$27*(1+('main page'!$K$25^2)*'main page'!$U$13)))*(L231-controls!$B$9),Y231+'main page'!$K$29*L231+(1-'main page'!$K$29)*controls!$B$9+(('main page'!$K$25*'main page'!$U$13*'normal case'!$AV$3)/'normal case'!$AV$4)*('normal case'!L231-controls!$B$9))</f>
        <v>5.4999998509883881</v>
      </c>
      <c r="Y231" s="81">
        <f ca="1">IF(controls!$B$44=1,'main page'!$K$24+'main page'!$K$11,IF(controls!$B$33=1,((I232-D231*AD232-B232+B231*AC232)/'main page'!$K$27)-'main page'!$K$11,((H232-D231*AD232-B232+B231*AC232)/'main page'!$K$27)-'main page'!$K$11))</f>
        <v>3.5</v>
      </c>
      <c r="AA231" s="58">
        <f>IF(controls!$B$6=1,$AS$3*(1+('main page'!$K$35/100))^AB231-$AS$3*(1+('main page'!$K$35/100))^AB230,$AS$3*(1+('main page'!$G$8/100))*(1+('main page'!$K$35/100))^AB231-$AS$3*(1+('main page'!$G$8/100))*(1+('main page'!$K$35/100))^AB230)</f>
        <v>0</v>
      </c>
      <c r="AB231" s="60">
        <v>224</v>
      </c>
      <c r="AC231" s="125">
        <v>0</v>
      </c>
      <c r="AD231" s="36">
        <v>0</v>
      </c>
      <c r="AE231" s="44">
        <f ca="1">IF(controls!$B$33=1,D231-($I$3-'main page'!$K$27*2)*(1+('main page'!$K$35/100))^A230,D231-$AS$4)</f>
        <v>1.0000000596046448</v>
      </c>
      <c r="AF231" s="44">
        <f ca="1">ABS(L231-(controls!$B$9/100)*100)</f>
        <v>1.1920928955078125E-7</v>
      </c>
      <c r="AH231" s="44">
        <f ca="1">IF(controls!$B$33=1,(B232-B231*AC232-I232+D231*AD232+'main page'!$K$27*('main page'!$K$24+'main page'!$K$11))/'main page'!$K$31,(B232-B231*AC232+D231*AD232-H232+'main page'!$K$27*('main page'!$K$24+'main page'!$K$11))/'main page'!$K$31)</f>
        <v>1</v>
      </c>
      <c r="AI231" s="44">
        <f ca="1">IF(controls!$B$45=1,LOG(AM231,1.01)+LOG(AL231,1.01)-LOG(AK231,1.01),-((T231-('main page'!$K$24+'main page'!$K$11))/(1-'normal case'!$AV$3))+'normal case'!AH231)</f>
        <v>2.0000000596046448</v>
      </c>
      <c r="AJ231" s="80">
        <f t="shared" ca="1" si="30"/>
        <v>1.0506250015463039</v>
      </c>
      <c r="AK231" s="44">
        <f t="shared" ca="1" si="31"/>
        <v>89.597418418018179</v>
      </c>
      <c r="AL231" s="44">
        <f>AL230*(1+'main page'!$K$32/100)</f>
        <v>1</v>
      </c>
      <c r="AM231" s="44">
        <f ca="1">IF(ABS(IF(controls!$B$45=1,$AS$13,AK231*AJ231/AL231)-AM230)&lt;0.00001,AM230,IF(controls!$B$45=1,$AS$13,AK231*AJ231/AL231))</f>
        <v>94.133287863975184</v>
      </c>
      <c r="AN231" s="44">
        <f>IF(controls!$B$46=0,0,IF(controls!$B$33=2,B232-B231*AC232-('normal case'!H232-D231*AD232-'main page'!$K$27*'normal case'!T231+'main page'!$K$31*'normal case'!AI231)-(('main page'!$K$25*'main page'!$U$13*'main page'!$K$29)/(1+('main page'!$K$25^2)*'main page'!$U$13))*('normal case'!L231-'main page'!$U$8),B232-B231*AC232-('normal case'!I232-D231*AD232-'main page'!$K$27*'normal case'!T231+'main page'!$K$31*'normal case'!AI231)-(('main page'!$K$25*'main page'!$U$13*'main page'!$K$29)/(1+('main page'!$K$25^2)*'main page'!$U$13))*('normal case'!L231-'main page'!$U$8)))</f>
        <v>0</v>
      </c>
      <c r="AU231" s="36"/>
      <c r="AV231" s="36"/>
    </row>
    <row r="232" spans="1:48">
      <c r="A232" s="43">
        <v>230</v>
      </c>
      <c r="B232" s="62">
        <f ca="1">IF(controls!$B$33=1,B231*(1+AC232)+AA232,B231*(1+AC232))</f>
        <v>101</v>
      </c>
      <c r="C232" s="67">
        <f t="shared" ca="1" si="32"/>
        <v>-1.5107707374006907E-7</v>
      </c>
      <c r="D232" s="64">
        <f t="shared" ca="1" si="28"/>
        <v>101.00000005960464</v>
      </c>
      <c r="E232" s="64">
        <f ca="1">AN231+IF(controls!$B$33=1,G232,F232)</f>
        <v>101.00000005960464</v>
      </c>
      <c r="F232" s="78">
        <f ca="1">IF(controls!$B$44=0,H232-'main page'!$K$27*T231,H232-'main page'!$K$27*T231+'main page'!$K$31*AI231)</f>
        <v>101.00000005960464</v>
      </c>
      <c r="G232" s="62">
        <f ca="1">IF(controls!$B$44=0,I232-'main page'!$K$27*T231,I232-'main page'!$K$27*T231+'main page'!$K$31*'normal case'!AI231)</f>
        <v>101.00000005960464</v>
      </c>
      <c r="H232" s="62">
        <f t="shared" ca="1" si="34"/>
        <v>108</v>
      </c>
      <c r="I232" s="62">
        <f t="shared" ca="1" si="35"/>
        <v>108</v>
      </c>
      <c r="L232" s="62">
        <f ca="1">IF(ABS('main page'!$K$29*L231+(1-'main page'!$K$29)*(controls!$B$9/100)*100+'main page'!$K$25*(D232-B232)-L231)&lt;0.0000001,L231,'main page'!$K$29*L231+(1-'main page'!$K$29)*(controls!$B$9/100)*100+'main page'!$K$25*(D232-B232))</f>
        <v>1.9999998807907104</v>
      </c>
      <c r="Q232" s="409">
        <f ca="1">(1-'main page'!$K$29)*($AS$11/100)*100+'main page'!$K$25*(D232-B232)</f>
        <v>5.9604644775390625E-8</v>
      </c>
      <c r="R232" s="409">
        <f>'main page'!G236+'main page'!$K$29*M231</f>
        <v>0</v>
      </c>
      <c r="S232" s="409">
        <f t="shared" ca="1" si="33"/>
        <v>5.9604644775390625E-8</v>
      </c>
      <c r="T232" s="79">
        <f ca="1">IF(controls!$B$10=1,T231,IF(SUM(controls!$B$44:$B$46)=2,U232-'main page'!$K$29*'normal case'!L232-(1-'main page'!$K$29)*'main page'!$K$32,U232-'main page'!$K$29*'normal case'!L232-(1-'main page'!$K$29)*controls!$B$9))</f>
        <v>3.4999999701976776</v>
      </c>
      <c r="U232" s="164">
        <f ca="1">IF(controls!$B$45=1,IF(controls!$B$46=1,'main page'!$K$24+'main page'!$K$11+'main page'!$U$8,'main page'!$K$24+'main page'!$K$11+'main page'!$K$32),IF(controls!$B$44=1,IF(V232&lt;0,0,V232),IF(V232+'main page'!$K$11&lt;0,0,V232+'main page'!$K$11)))</f>
        <v>5.4999998509883881</v>
      </c>
      <c r="V232" s="63">
        <f ca="1">IF(controls!$B$10=1,'normal case'!T232+'normal case'!L232,'normal case'!W232)</f>
        <v>5.4999998509883881</v>
      </c>
      <c r="W232" s="61">
        <f t="shared" ca="1" si="29"/>
        <v>5.4999998509883881</v>
      </c>
      <c r="X232" s="166">
        <f ca="1">IF(controls!$B$44=0,Y232+'main page'!$K$29*L232+(1-'main page'!$K$29)*controls!$B$9+(('main page'!$K$25*'main page'!$U$13*'main page'!$K$29)/('main page'!$K$27*(1+('main page'!$K$25^2)*'main page'!$U$13)))*(L232-controls!$B$9),Y232+'main page'!$K$29*L232+(1-'main page'!$K$29)*controls!$B$9+(('main page'!$K$25*'main page'!$U$13*'normal case'!$AV$3)/'normal case'!$AV$4)*('normal case'!L232-controls!$B$9))</f>
        <v>5.4999998509883881</v>
      </c>
      <c r="Y232" s="81">
        <f ca="1">IF(controls!$B$44=1,'main page'!$K$24+'main page'!$K$11,IF(controls!$B$33=1,((I233-D232*AD233-B233+B232*AC233)/'main page'!$K$27)-'main page'!$K$11,((H233-D232*AD233-B233+B232*AC233)/'main page'!$K$27)-'main page'!$K$11))</f>
        <v>3.5</v>
      </c>
      <c r="AA232" s="58">
        <f>IF(controls!$B$6=1,$AS$3*(1+('main page'!$K$35/100))^AB232-$AS$3*(1+('main page'!$K$35/100))^AB231,$AS$3*(1+('main page'!$G$8/100))*(1+('main page'!$K$35/100))^AB232-$AS$3*(1+('main page'!$G$8/100))*(1+('main page'!$K$35/100))^AB231)</f>
        <v>0</v>
      </c>
      <c r="AB232" s="60">
        <v>225</v>
      </c>
      <c r="AC232" s="125">
        <v>0</v>
      </c>
      <c r="AD232" s="36">
        <v>0</v>
      </c>
      <c r="AE232" s="44">
        <f ca="1">IF(controls!$B$33=1,D232-($I$3-'main page'!$K$27*2)*(1+('main page'!$K$35/100))^A231,D232-$AS$4)</f>
        <v>1.0000000596046448</v>
      </c>
      <c r="AF232" s="44">
        <f ca="1">ABS(L232-(controls!$B$9/100)*100)</f>
        <v>1.1920928955078125E-7</v>
      </c>
      <c r="AH232" s="44">
        <f ca="1">IF(controls!$B$33=1,(B233-B232*AC233-I233+D232*AD233+'main page'!$K$27*('main page'!$K$24+'main page'!$K$11))/'main page'!$K$31,(B233-B232*AC233+D232*AD233-H233+'main page'!$K$27*('main page'!$K$24+'main page'!$K$11))/'main page'!$K$31)</f>
        <v>1</v>
      </c>
      <c r="AI232" s="44">
        <f ca="1">IF(controls!$B$45=1,LOG(AM232,1.01)+LOG(AL232,1.01)-LOG(AK232,1.01),-((T232-('main page'!$K$24+'main page'!$K$11))/(1-'normal case'!$AV$3))+'normal case'!AH232)</f>
        <v>2.0000000596046448</v>
      </c>
      <c r="AJ232" s="80">
        <f t="shared" ca="1" si="30"/>
        <v>1.0506250015463039</v>
      </c>
      <c r="AK232" s="44">
        <f t="shared" ca="1" si="31"/>
        <v>91.389366679570102</v>
      </c>
      <c r="AL232" s="44">
        <f>AL231*(1+'main page'!$K$32/100)</f>
        <v>1</v>
      </c>
      <c r="AM232" s="44">
        <f ca="1">IF(ABS(IF(controls!$B$45=1,$AS$13,AK232*AJ232/AL232)-AM231)&lt;0.00001,AM231,IF(controls!$B$45=1,$AS$13,AK232*AJ232/AL232))</f>
        <v>96.015953509039079</v>
      </c>
      <c r="AN232" s="44">
        <f>IF(controls!$B$46=0,0,IF(controls!$B$33=2,B233-B232*AC233-('normal case'!H233-D232*AD233-'main page'!$K$27*'normal case'!T232+'main page'!$K$31*'normal case'!AI232)-(('main page'!$K$25*'main page'!$U$13*'main page'!$K$29)/(1+('main page'!$K$25^2)*'main page'!$U$13))*('normal case'!L232-'main page'!$U$8),B233-B232*AC233-('normal case'!I233-D232*AD233-'main page'!$K$27*'normal case'!T232+'main page'!$K$31*'normal case'!AI232)-(('main page'!$K$25*'main page'!$U$13*'main page'!$K$29)/(1+('main page'!$K$25^2)*'main page'!$U$13))*('normal case'!L232-'main page'!$U$8)))</f>
        <v>0</v>
      </c>
      <c r="AU232" s="36"/>
      <c r="AV232" s="36"/>
    </row>
    <row r="233" spans="1:48">
      <c r="A233" s="43">
        <v>231</v>
      </c>
      <c r="B233" s="62">
        <f ca="1">IF(controls!$B$33=1,B232*(1+AC233)+AA233,B232*(1+AC233))</f>
        <v>101</v>
      </c>
      <c r="C233" s="67">
        <f t="shared" ca="1" si="32"/>
        <v>-1.5107707374006907E-7</v>
      </c>
      <c r="D233" s="64">
        <f t="shared" ca="1" si="28"/>
        <v>101.00000005960464</v>
      </c>
      <c r="E233" s="64">
        <f ca="1">AN232+IF(controls!$B$33=1,G233,F233)</f>
        <v>101.00000005960464</v>
      </c>
      <c r="F233" s="78">
        <f ca="1">IF(controls!$B$44=0,H233-'main page'!$K$27*T232,H233-'main page'!$K$27*T232+'main page'!$K$31*AI232)</f>
        <v>101.00000005960464</v>
      </c>
      <c r="G233" s="62">
        <f ca="1">IF(controls!$B$44=0,I233-'main page'!$K$27*T232,I233-'main page'!$K$27*T232+'main page'!$K$31*'normal case'!AI232)</f>
        <v>101.00000005960464</v>
      </c>
      <c r="H233" s="62">
        <f t="shared" ca="1" si="34"/>
        <v>108</v>
      </c>
      <c r="I233" s="62">
        <f t="shared" ca="1" si="35"/>
        <v>108</v>
      </c>
      <c r="L233" s="62">
        <f ca="1">IF(ABS('main page'!$K$29*L232+(1-'main page'!$K$29)*(controls!$B$9/100)*100+'main page'!$K$25*(D233-B233)-L232)&lt;0.0000001,L232,'main page'!$K$29*L232+(1-'main page'!$K$29)*(controls!$B$9/100)*100+'main page'!$K$25*(D233-B233))</f>
        <v>1.9999998807907104</v>
      </c>
      <c r="Q233" s="409">
        <f ca="1">(1-'main page'!$K$29)*($AS$11/100)*100+'main page'!$K$25*(D233-B233)</f>
        <v>5.9604644775390625E-8</v>
      </c>
      <c r="R233" s="409">
        <f>'main page'!G237+'main page'!$K$29*M232</f>
        <v>0</v>
      </c>
      <c r="S233" s="409">
        <f t="shared" ca="1" si="33"/>
        <v>5.9604644775390625E-8</v>
      </c>
      <c r="T233" s="79">
        <f ca="1">IF(controls!$B$10=1,T232,IF(SUM(controls!$B$44:$B$46)=2,U233-'main page'!$K$29*'normal case'!L233-(1-'main page'!$K$29)*'main page'!$K$32,U233-'main page'!$K$29*'normal case'!L233-(1-'main page'!$K$29)*controls!$B$9))</f>
        <v>3.4999999701976776</v>
      </c>
      <c r="U233" s="164">
        <f ca="1">IF(controls!$B$45=1,IF(controls!$B$46=1,'main page'!$K$24+'main page'!$K$11+'main page'!$U$8,'main page'!$K$24+'main page'!$K$11+'main page'!$K$32),IF(controls!$B$44=1,IF(V233&lt;0,0,V233),IF(V233+'main page'!$K$11&lt;0,0,V233+'main page'!$K$11)))</f>
        <v>5.4999998509883881</v>
      </c>
      <c r="V233" s="63">
        <f ca="1">IF(controls!$B$10=1,'normal case'!T233+'normal case'!L233,'normal case'!W233)</f>
        <v>5.4999998509883881</v>
      </c>
      <c r="W233" s="61">
        <f t="shared" ca="1" si="29"/>
        <v>5.4999998509883881</v>
      </c>
      <c r="X233" s="166">
        <f ca="1">IF(controls!$B$44=0,Y233+'main page'!$K$29*L233+(1-'main page'!$K$29)*controls!$B$9+(('main page'!$K$25*'main page'!$U$13*'main page'!$K$29)/('main page'!$K$27*(1+('main page'!$K$25^2)*'main page'!$U$13)))*(L233-controls!$B$9),Y233+'main page'!$K$29*L233+(1-'main page'!$K$29)*controls!$B$9+(('main page'!$K$25*'main page'!$U$13*'normal case'!$AV$3)/'normal case'!$AV$4)*('normal case'!L233-controls!$B$9))</f>
        <v>5.4999998509883881</v>
      </c>
      <c r="Y233" s="81">
        <f ca="1">IF(controls!$B$44=1,'main page'!$K$24+'main page'!$K$11,IF(controls!$B$33=1,((I234-D233*AD234-B234+B233*AC234)/'main page'!$K$27)-'main page'!$K$11,((H234-D233*AD234-B234+B233*AC234)/'main page'!$K$27)-'main page'!$K$11))</f>
        <v>3.5</v>
      </c>
      <c r="AA233" s="58">
        <f>IF(controls!$B$6=1,$AS$3*(1+('main page'!$K$35/100))^AB233-$AS$3*(1+('main page'!$K$35/100))^AB232,$AS$3*(1+('main page'!$G$8/100))*(1+('main page'!$K$35/100))^AB233-$AS$3*(1+('main page'!$G$8/100))*(1+('main page'!$K$35/100))^AB232)</f>
        <v>0</v>
      </c>
      <c r="AB233" s="60">
        <v>226</v>
      </c>
      <c r="AC233" s="125">
        <f ca="1">IF(controls!$B$4=1,IF(controls!$H232=1,controls!$B$34*AC232+RAND()*('main page'!$K$16/100)-RAND()*('main page'!$K$16/100),0),0)</f>
        <v>0</v>
      </c>
      <c r="AD233" s="36">
        <f ca="1">IF(controls!$B$4=1,IF(controls!$I232=1,controls!$B$34*AD232+RAND()*('main page'!$K$16/100)-RAND()*('main page'!$K$16/100),0),0)</f>
        <v>0</v>
      </c>
      <c r="AE233" s="44">
        <f ca="1">IF(controls!$B$33=1,D233-($I$3-'main page'!$K$27*2)*(1+('main page'!$K$35/100))^A232,D233-$AS$4)</f>
        <v>1.0000000596046448</v>
      </c>
      <c r="AF233" s="44">
        <f ca="1">ABS(L233-(controls!$B$9/100)*100)</f>
        <v>1.1920928955078125E-7</v>
      </c>
      <c r="AH233" s="44">
        <f ca="1">IF(controls!$B$33=1,(B234-B233*AC234-I234+D233*AD234+'main page'!$K$27*('main page'!$K$24+'main page'!$K$11))/'main page'!$K$31,(B234-B233*AC234+D233*AD234-H234+'main page'!$K$27*('main page'!$K$24+'main page'!$K$11))/'main page'!$K$31)</f>
        <v>1</v>
      </c>
      <c r="AI233" s="44">
        <f ca="1">IF(controls!$B$45=1,LOG(AM233,1.01)+LOG(AL233,1.01)-LOG(AK233,1.01),-((T233-('main page'!$K$24+'main page'!$K$11))/(1-'normal case'!$AV$3))+'normal case'!AH233)</f>
        <v>2.0000000596046448</v>
      </c>
      <c r="AJ233" s="80">
        <f t="shared" ca="1" si="30"/>
        <v>1.0506250015463039</v>
      </c>
      <c r="AK233" s="44">
        <f t="shared" ca="1" si="31"/>
        <v>93.2171539042169</v>
      </c>
      <c r="AL233" s="44">
        <f>AL232*(1+'main page'!$K$32/100)</f>
        <v>1</v>
      </c>
      <c r="AM233" s="44">
        <f ca="1">IF(ABS(IF(controls!$B$45=1,$AS$13,AK233*AJ233/AL233)-AM232)&lt;0.00001,AM232,IF(controls!$B$45=1,$AS$13,AK233*AJ233/AL233))</f>
        <v>97.936272464759924</v>
      </c>
      <c r="AN233" s="44">
        <f>IF(controls!$B$46=0,0,IF(controls!$B$33=2,B234-B233*AC234-('normal case'!H234-D233*AD234-'main page'!$K$27*'normal case'!T233+'main page'!$K$31*'normal case'!AI233)-(('main page'!$K$25*'main page'!$U$13*'main page'!$K$29)/(1+('main page'!$K$25^2)*'main page'!$U$13))*('normal case'!L233-'main page'!$U$8),B234-B233*AC234-('normal case'!I234-D233*AD234-'main page'!$K$27*'normal case'!T233+'main page'!$K$31*'normal case'!AI233)-(('main page'!$K$25*'main page'!$U$13*'main page'!$K$29)/(1+('main page'!$K$25^2)*'main page'!$U$13))*('normal case'!L233-'main page'!$U$8)))</f>
        <v>0</v>
      </c>
      <c r="AU233" s="36"/>
      <c r="AV233" s="36"/>
    </row>
    <row r="234" spans="1:48">
      <c r="A234" s="43">
        <v>232</v>
      </c>
      <c r="B234" s="62">
        <f ca="1">IF(controls!$B$33=1,B233*(1+AC234)+AA234,B233*(1+AC234))</f>
        <v>101</v>
      </c>
      <c r="C234" s="67">
        <f t="shared" ca="1" si="32"/>
        <v>-1.5107707374006907E-7</v>
      </c>
      <c r="D234" s="64">
        <f t="shared" ca="1" si="28"/>
        <v>101.00000005960464</v>
      </c>
      <c r="E234" s="64">
        <f ca="1">AN233+IF(controls!$B$33=1,G234,F234)</f>
        <v>101.00000005960464</v>
      </c>
      <c r="F234" s="78">
        <f ca="1">IF(controls!$B$44=0,H234-'main page'!$K$27*T233,H234-'main page'!$K$27*T233+'main page'!$K$31*AI233)</f>
        <v>101.00000005960464</v>
      </c>
      <c r="G234" s="62">
        <f ca="1">IF(controls!$B$44=0,I234-'main page'!$K$27*T233,I234-'main page'!$K$27*T233+'main page'!$K$31*'normal case'!AI233)</f>
        <v>101.00000005960464</v>
      </c>
      <c r="H234" s="62">
        <f t="shared" ca="1" si="34"/>
        <v>108</v>
      </c>
      <c r="I234" s="62">
        <f t="shared" ca="1" si="35"/>
        <v>108</v>
      </c>
      <c r="L234" s="62">
        <f ca="1">IF(ABS('main page'!$K$29*L233+(1-'main page'!$K$29)*(controls!$B$9/100)*100+'main page'!$K$25*(D234-B234)-L233)&lt;0.0000001,L233,'main page'!$K$29*L233+(1-'main page'!$K$29)*(controls!$B$9/100)*100+'main page'!$K$25*(D234-B234))</f>
        <v>1.9999998807907104</v>
      </c>
      <c r="Q234" s="409">
        <f ca="1">(1-'main page'!$K$29)*($AS$11/100)*100+'main page'!$K$25*(D234-B234)</f>
        <v>5.9604644775390625E-8</v>
      </c>
      <c r="R234" s="409">
        <f>'main page'!G238+'main page'!$K$29*M233</f>
        <v>0</v>
      </c>
      <c r="S234" s="409">
        <f t="shared" ca="1" si="33"/>
        <v>5.9604644775390625E-8</v>
      </c>
      <c r="T234" s="79">
        <f ca="1">IF(controls!$B$10=1,T233,IF(SUM(controls!$B$44:$B$46)=2,U234-'main page'!$K$29*'normal case'!L234-(1-'main page'!$K$29)*'main page'!$K$32,U234-'main page'!$K$29*'normal case'!L234-(1-'main page'!$K$29)*controls!$B$9))</f>
        <v>3.4999999701976776</v>
      </c>
      <c r="U234" s="164">
        <f ca="1">IF(controls!$B$45=1,IF(controls!$B$46=1,'main page'!$K$24+'main page'!$K$11+'main page'!$U$8,'main page'!$K$24+'main page'!$K$11+'main page'!$K$32),IF(controls!$B$44=1,IF(V234&lt;0,0,V234),IF(V234+'main page'!$K$11&lt;0,0,V234+'main page'!$K$11)))</f>
        <v>5.4999998509883881</v>
      </c>
      <c r="V234" s="63">
        <f ca="1">IF(controls!$B$10=1,'normal case'!T234+'normal case'!L234,'normal case'!W234)</f>
        <v>5.4999998509883881</v>
      </c>
      <c r="W234" s="61">
        <f t="shared" ca="1" si="29"/>
        <v>5.4999998509883881</v>
      </c>
      <c r="X234" s="166">
        <f ca="1">IF(controls!$B$44=0,Y234+'main page'!$K$29*L234+(1-'main page'!$K$29)*controls!$B$9+(('main page'!$K$25*'main page'!$U$13*'main page'!$K$29)/('main page'!$K$27*(1+('main page'!$K$25^2)*'main page'!$U$13)))*(L234-controls!$B$9),Y234+'main page'!$K$29*L234+(1-'main page'!$K$29)*controls!$B$9+(('main page'!$K$25*'main page'!$U$13*'normal case'!$AV$3)/'normal case'!$AV$4)*('normal case'!L234-controls!$B$9))</f>
        <v>5.4999998509883881</v>
      </c>
      <c r="Y234" s="81">
        <f ca="1">IF(controls!$B$44=1,'main page'!$K$24+'main page'!$K$11,IF(controls!$B$33=1,((I235-D234*AD235-B235+B234*AC235)/'main page'!$K$27)-'main page'!$K$11,((H235-D234*AD235-B235+B234*AC235)/'main page'!$K$27)-'main page'!$K$11))</f>
        <v>3.5</v>
      </c>
      <c r="AA234" s="58">
        <f>IF(controls!$B$6=1,$AS$3*(1+('main page'!$K$35/100))^AB234-$AS$3*(1+('main page'!$K$35/100))^AB233,$AS$3*(1+('main page'!$G$8/100))*(1+('main page'!$K$35/100))^AB234-$AS$3*(1+('main page'!$G$8/100))*(1+('main page'!$K$35/100))^AB233)</f>
        <v>0</v>
      </c>
      <c r="AB234" s="60">
        <v>227</v>
      </c>
      <c r="AC234" s="125">
        <v>0</v>
      </c>
      <c r="AD234" s="36">
        <v>0</v>
      </c>
      <c r="AE234" s="44">
        <f ca="1">IF(controls!$B$33=1,D234-($I$3-'main page'!$K$27*2)*(1+('main page'!$K$35/100))^A233,D234-$AS$4)</f>
        <v>1.0000000596046448</v>
      </c>
      <c r="AF234" s="44">
        <f ca="1">ABS(L234-(controls!$B$9/100)*100)</f>
        <v>1.1920928955078125E-7</v>
      </c>
      <c r="AH234" s="44">
        <f ca="1">IF(controls!$B$33=1,(B235-B234*AC235-I235+D234*AD235+'main page'!$K$27*('main page'!$K$24+'main page'!$K$11))/'main page'!$K$31,(B235-B234*AC235+D234*AD235-H235+'main page'!$K$27*('main page'!$K$24+'main page'!$K$11))/'main page'!$K$31)</f>
        <v>1</v>
      </c>
      <c r="AI234" s="44">
        <f ca="1">IF(controls!$B$45=1,LOG(AM234,1.01)+LOG(AL234,1.01)-LOG(AK234,1.01),-((T234-('main page'!$K$24+'main page'!$K$11))/(1-'normal case'!$AV$3))+'normal case'!AH234)</f>
        <v>2.0000000596046448</v>
      </c>
      <c r="AJ234" s="80">
        <f t="shared" ca="1" si="30"/>
        <v>1.0506250015463039</v>
      </c>
      <c r="AK234" s="44">
        <f t="shared" ca="1" si="31"/>
        <v>95.081496871177734</v>
      </c>
      <c r="AL234" s="44">
        <f>AL233*(1+'main page'!$K$32/100)</f>
        <v>1</v>
      </c>
      <c r="AM234" s="44">
        <f ca="1">IF(ABS(IF(controls!$B$45=1,$AS$13,AK234*AJ234/AL234)-AM233)&lt;0.00001,AM233,IF(controls!$B$45=1,$AS$13,AK234*AJ234/AL234))</f>
        <v>99.89499779730599</v>
      </c>
      <c r="AN234" s="44">
        <f>IF(controls!$B$46=0,0,IF(controls!$B$33=2,B235-B234*AC235-('normal case'!H235-D234*AD235-'main page'!$K$27*'normal case'!T234+'main page'!$K$31*'normal case'!AI234)-(('main page'!$K$25*'main page'!$U$13*'main page'!$K$29)/(1+('main page'!$K$25^2)*'main page'!$U$13))*('normal case'!L234-'main page'!$U$8),B235-B234*AC235-('normal case'!I235-D234*AD235-'main page'!$K$27*'normal case'!T234+'main page'!$K$31*'normal case'!AI234)-(('main page'!$K$25*'main page'!$U$13*'main page'!$K$29)/(1+('main page'!$K$25^2)*'main page'!$U$13))*('normal case'!L234-'main page'!$U$8)))</f>
        <v>0</v>
      </c>
      <c r="AU234" s="36"/>
      <c r="AV234" s="36"/>
    </row>
    <row r="235" spans="1:48">
      <c r="A235" s="43">
        <v>233</v>
      </c>
      <c r="B235" s="62">
        <f ca="1">IF(controls!$B$33=1,B234*(1+AC235)+AA235,B234*(1+AC235))</f>
        <v>101</v>
      </c>
      <c r="C235" s="67">
        <f t="shared" ca="1" si="32"/>
        <v>-1.5107707374006907E-7</v>
      </c>
      <c r="D235" s="64">
        <f t="shared" ca="1" si="28"/>
        <v>101.00000005960464</v>
      </c>
      <c r="E235" s="64">
        <f ca="1">AN234+IF(controls!$B$33=1,G235,F235)</f>
        <v>101.00000005960464</v>
      </c>
      <c r="F235" s="78">
        <f ca="1">IF(controls!$B$44=0,H235-'main page'!$K$27*T234,H235-'main page'!$K$27*T234+'main page'!$K$31*AI234)</f>
        <v>101.00000005960464</v>
      </c>
      <c r="G235" s="62">
        <f ca="1">IF(controls!$B$44=0,I235-'main page'!$K$27*T234,I235-'main page'!$K$27*T234+'main page'!$K$31*'normal case'!AI234)</f>
        <v>101.00000005960464</v>
      </c>
      <c r="H235" s="62">
        <f t="shared" ca="1" si="34"/>
        <v>108</v>
      </c>
      <c r="I235" s="62">
        <f t="shared" ca="1" si="35"/>
        <v>108</v>
      </c>
      <c r="L235" s="62">
        <f ca="1">IF(ABS('main page'!$K$29*L234+(1-'main page'!$K$29)*(controls!$B$9/100)*100+'main page'!$K$25*(D235-B235)-L234)&lt;0.0000001,L234,'main page'!$K$29*L234+(1-'main page'!$K$29)*(controls!$B$9/100)*100+'main page'!$K$25*(D235-B235))</f>
        <v>1.9999998807907104</v>
      </c>
      <c r="Q235" s="409">
        <f ca="1">(1-'main page'!$K$29)*($AS$11/100)*100+'main page'!$K$25*(D235-B235)</f>
        <v>5.9604644775390625E-8</v>
      </c>
      <c r="R235" s="409">
        <f>'main page'!G239+'main page'!$K$29*M234</f>
        <v>0</v>
      </c>
      <c r="S235" s="409">
        <f t="shared" ca="1" si="33"/>
        <v>5.9604644775390625E-8</v>
      </c>
      <c r="T235" s="79">
        <f ca="1">IF(controls!$B$10=1,T234,IF(SUM(controls!$B$44:$B$46)=2,U235-'main page'!$K$29*'normal case'!L235-(1-'main page'!$K$29)*'main page'!$K$32,U235-'main page'!$K$29*'normal case'!L235-(1-'main page'!$K$29)*controls!$B$9))</f>
        <v>3.4999999701976776</v>
      </c>
      <c r="U235" s="164">
        <f ca="1">IF(controls!$B$45=1,IF(controls!$B$46=1,'main page'!$K$24+'main page'!$K$11+'main page'!$U$8,'main page'!$K$24+'main page'!$K$11+'main page'!$K$32),IF(controls!$B$44=1,IF(V235&lt;0,0,V235),IF(V235+'main page'!$K$11&lt;0,0,V235+'main page'!$K$11)))</f>
        <v>5.4999998509883881</v>
      </c>
      <c r="V235" s="63">
        <f ca="1">IF(controls!$B$10=1,'normal case'!T235+'normal case'!L235,'normal case'!W235)</f>
        <v>5.4999998509883881</v>
      </c>
      <c r="W235" s="61">
        <f t="shared" ca="1" si="29"/>
        <v>5.4999998509883881</v>
      </c>
      <c r="X235" s="166">
        <f ca="1">IF(controls!$B$44=0,Y235+'main page'!$K$29*L235+(1-'main page'!$K$29)*controls!$B$9+(('main page'!$K$25*'main page'!$U$13*'main page'!$K$29)/('main page'!$K$27*(1+('main page'!$K$25^2)*'main page'!$U$13)))*(L235-controls!$B$9),Y235+'main page'!$K$29*L235+(1-'main page'!$K$29)*controls!$B$9+(('main page'!$K$25*'main page'!$U$13*'normal case'!$AV$3)/'normal case'!$AV$4)*('normal case'!L235-controls!$B$9))</f>
        <v>5.4999998509883881</v>
      </c>
      <c r="Y235" s="81">
        <f ca="1">IF(controls!$B$44=1,'main page'!$K$24+'main page'!$K$11,IF(controls!$B$33=1,((I236-D235*AD236-B236+B235*AC236)/'main page'!$K$27)-'main page'!$K$11,((H236-D235*AD236-B236+B235*AC236)/'main page'!$K$27)-'main page'!$K$11))</f>
        <v>3.5</v>
      </c>
      <c r="AA235" s="58">
        <f>IF(controls!$B$6=1,$AS$3*(1+('main page'!$K$35/100))^AB235-$AS$3*(1+('main page'!$K$35/100))^AB234,$AS$3*(1+('main page'!$G$8/100))*(1+('main page'!$K$35/100))^AB235-$AS$3*(1+('main page'!$G$8/100))*(1+('main page'!$K$35/100))^AB234)</f>
        <v>0</v>
      </c>
      <c r="AB235" s="60">
        <v>228</v>
      </c>
      <c r="AC235" s="125">
        <v>0</v>
      </c>
      <c r="AD235" s="36">
        <v>0</v>
      </c>
      <c r="AE235" s="44">
        <f ca="1">IF(controls!$B$33=1,D235-($I$3-'main page'!$K$27*2)*(1+('main page'!$K$35/100))^A234,D235-$AS$4)</f>
        <v>1.0000000596046448</v>
      </c>
      <c r="AF235" s="44">
        <f ca="1">ABS(L235-(controls!$B$9/100)*100)</f>
        <v>1.1920928955078125E-7</v>
      </c>
      <c r="AH235" s="44">
        <f ca="1">IF(controls!$B$33=1,(B236-B235*AC236-I236+D235*AD236+'main page'!$K$27*('main page'!$K$24+'main page'!$K$11))/'main page'!$K$31,(B236-B235*AC236+D235*AD236-H236+'main page'!$K$27*('main page'!$K$24+'main page'!$K$11))/'main page'!$K$31)</f>
        <v>1</v>
      </c>
      <c r="AI235" s="44">
        <f ca="1">IF(controls!$B$45=1,LOG(AM235,1.01)+LOG(AL235,1.01)-LOG(AK235,1.01),-((T235-('main page'!$K$24+'main page'!$K$11))/(1-'normal case'!$AV$3))+'normal case'!AH235)</f>
        <v>2.0000000596046448</v>
      </c>
      <c r="AJ235" s="80">
        <f t="shared" ca="1" si="30"/>
        <v>1.0506250015463039</v>
      </c>
      <c r="AK235" s="44">
        <f t="shared" ca="1" si="31"/>
        <v>96.983126695255322</v>
      </c>
      <c r="AL235" s="44">
        <f>AL234*(1+'main page'!$K$32/100)</f>
        <v>1</v>
      </c>
      <c r="AM235" s="44">
        <f ca="1">IF(ABS(IF(controls!$B$45=1,$AS$13,AK235*AJ235/AL235)-AM234)&lt;0.00001,AM234,IF(controls!$B$45=1,$AS$13,AK235*AJ235/AL235))</f>
        <v>101.89289763416801</v>
      </c>
      <c r="AN235" s="44">
        <f>IF(controls!$B$46=0,0,IF(controls!$B$33=2,B236-B235*AC236-('normal case'!H236-D235*AD236-'main page'!$K$27*'normal case'!T235+'main page'!$K$31*'normal case'!AI235)-(('main page'!$K$25*'main page'!$U$13*'main page'!$K$29)/(1+('main page'!$K$25^2)*'main page'!$U$13))*('normal case'!L235-'main page'!$U$8),B236-B235*AC236-('normal case'!I236-D235*AD236-'main page'!$K$27*'normal case'!T235+'main page'!$K$31*'normal case'!AI235)-(('main page'!$K$25*'main page'!$U$13*'main page'!$K$29)/(1+('main page'!$K$25^2)*'main page'!$U$13))*('normal case'!L235-'main page'!$U$8)))</f>
        <v>0</v>
      </c>
      <c r="AU235" s="36"/>
      <c r="AV235" s="36"/>
    </row>
    <row r="236" spans="1:48">
      <c r="A236" s="43">
        <v>234</v>
      </c>
      <c r="B236" s="62">
        <f ca="1">IF(controls!$B$33=1,B235*(1+AC236)+AA236,B235*(1+AC236))</f>
        <v>101</v>
      </c>
      <c r="C236" s="67">
        <f t="shared" ca="1" si="32"/>
        <v>-1.5107707374006907E-7</v>
      </c>
      <c r="D236" s="64">
        <f t="shared" ca="1" si="28"/>
        <v>101.00000005960464</v>
      </c>
      <c r="E236" s="64">
        <f ca="1">AN235+IF(controls!$B$33=1,G236,F236)</f>
        <v>101.00000005960464</v>
      </c>
      <c r="F236" s="78">
        <f ca="1">IF(controls!$B$44=0,H236-'main page'!$K$27*T235,H236-'main page'!$K$27*T235+'main page'!$K$31*AI235)</f>
        <v>101.00000005960464</v>
      </c>
      <c r="G236" s="62">
        <f ca="1">IF(controls!$B$44=0,I236-'main page'!$K$27*T235,I236-'main page'!$K$27*T235+'main page'!$K$31*'normal case'!AI235)</f>
        <v>101.00000005960464</v>
      </c>
      <c r="H236" s="62">
        <f t="shared" ca="1" si="34"/>
        <v>108</v>
      </c>
      <c r="I236" s="62">
        <f t="shared" ca="1" si="35"/>
        <v>108</v>
      </c>
      <c r="L236" s="62">
        <f ca="1">IF(ABS('main page'!$K$29*L235+(1-'main page'!$K$29)*(controls!$B$9/100)*100+'main page'!$K$25*(D236-B236)-L235)&lt;0.0000001,L235,'main page'!$K$29*L235+(1-'main page'!$K$29)*(controls!$B$9/100)*100+'main page'!$K$25*(D236-B236))</f>
        <v>1.9999998807907104</v>
      </c>
      <c r="Q236" s="409">
        <f ca="1">(1-'main page'!$K$29)*($AS$11/100)*100+'main page'!$K$25*(D236-B236)</f>
        <v>5.9604644775390625E-8</v>
      </c>
      <c r="R236" s="409">
        <f>'main page'!G240+'main page'!$K$29*M235</f>
        <v>0</v>
      </c>
      <c r="S236" s="409">
        <f t="shared" ca="1" si="33"/>
        <v>5.9604644775390625E-8</v>
      </c>
      <c r="T236" s="79">
        <f ca="1">IF(controls!$B$10=1,T235,IF(SUM(controls!$B$44:$B$46)=2,U236-'main page'!$K$29*'normal case'!L236-(1-'main page'!$K$29)*'main page'!$K$32,U236-'main page'!$K$29*'normal case'!L236-(1-'main page'!$K$29)*controls!$B$9))</f>
        <v>3.4999999701976776</v>
      </c>
      <c r="U236" s="164">
        <f ca="1">IF(controls!$B$45=1,IF(controls!$B$46=1,'main page'!$K$24+'main page'!$K$11+'main page'!$U$8,'main page'!$K$24+'main page'!$K$11+'main page'!$K$32),IF(controls!$B$44=1,IF(V236&lt;0,0,V236),IF(V236+'main page'!$K$11&lt;0,0,V236+'main page'!$K$11)))</f>
        <v>5.4999998509883881</v>
      </c>
      <c r="V236" s="63">
        <f ca="1">IF(controls!$B$10=1,'normal case'!T236+'normal case'!L236,'normal case'!W236)</f>
        <v>5.4999998509883881</v>
      </c>
      <c r="W236" s="61">
        <f t="shared" ca="1" si="29"/>
        <v>5.4999998509883881</v>
      </c>
      <c r="X236" s="166">
        <f ca="1">IF(controls!$B$44=0,Y236+'main page'!$K$29*L236+(1-'main page'!$K$29)*controls!$B$9+(('main page'!$K$25*'main page'!$U$13*'main page'!$K$29)/('main page'!$K$27*(1+('main page'!$K$25^2)*'main page'!$U$13)))*(L236-controls!$B$9),Y236+'main page'!$K$29*L236+(1-'main page'!$K$29)*controls!$B$9+(('main page'!$K$25*'main page'!$U$13*'normal case'!$AV$3)/'normal case'!$AV$4)*('normal case'!L236-controls!$B$9))</f>
        <v>5.4999998509883881</v>
      </c>
      <c r="Y236" s="81">
        <f ca="1">IF(controls!$B$44=1,'main page'!$K$24+'main page'!$K$11,IF(controls!$B$33=1,((I237-D236*AD237-B237+B236*AC237)/'main page'!$K$27)-'main page'!$K$11,((H237-D236*AD237-B237+B236*AC237)/'main page'!$K$27)-'main page'!$K$11))</f>
        <v>3.5</v>
      </c>
      <c r="AA236" s="58">
        <f>IF(controls!$B$6=1,$AS$3*(1+('main page'!$K$35/100))^AB236-$AS$3*(1+('main page'!$K$35/100))^AB235,$AS$3*(1+('main page'!$G$8/100))*(1+('main page'!$K$35/100))^AB236-$AS$3*(1+('main page'!$G$8/100))*(1+('main page'!$K$35/100))^AB235)</f>
        <v>0</v>
      </c>
      <c r="AB236" s="60">
        <v>229</v>
      </c>
      <c r="AC236" s="125">
        <f ca="1">IF(controls!$B$4=1,IF(controls!$H235=1,controls!$B$34*AC235+RAND()*('main page'!$K$16/100)-RAND()*('main page'!$K$16/100),0),0)</f>
        <v>0</v>
      </c>
      <c r="AD236" s="36">
        <f ca="1">IF(controls!$B$4=1,IF(controls!$I235=1,controls!$B$34*AD235+RAND()*('main page'!$K$16/100)-RAND()*('main page'!$K$16/100),0),0)</f>
        <v>0</v>
      </c>
      <c r="AE236" s="44">
        <f ca="1">IF(controls!$B$33=1,D236-($I$3-'main page'!$K$27*2)*(1+('main page'!$K$35/100))^A235,D236-$AS$4)</f>
        <v>1.0000000596046448</v>
      </c>
      <c r="AF236" s="44">
        <f ca="1">ABS(L236-(controls!$B$9/100)*100)</f>
        <v>1.1920928955078125E-7</v>
      </c>
      <c r="AH236" s="44">
        <f ca="1">IF(controls!$B$33=1,(B237-B236*AC237-I237+D236*AD237+'main page'!$K$27*('main page'!$K$24+'main page'!$K$11))/'main page'!$K$31,(B237-B236*AC237+D236*AD237-H237+'main page'!$K$27*('main page'!$K$24+'main page'!$K$11))/'main page'!$K$31)</f>
        <v>1</v>
      </c>
      <c r="AI236" s="44">
        <f ca="1">IF(controls!$B$45=1,LOG(AM236,1.01)+LOG(AL236,1.01)-LOG(AK236,1.01),-((T236-('main page'!$K$24+'main page'!$K$11))/(1-'normal case'!$AV$3))+'normal case'!AH236)</f>
        <v>2.0000000596046448</v>
      </c>
      <c r="AJ236" s="80">
        <f t="shared" ca="1" si="30"/>
        <v>1.0506250015463039</v>
      </c>
      <c r="AK236" s="44">
        <f t="shared" ca="1" si="31"/>
        <v>98.922789113547537</v>
      </c>
      <c r="AL236" s="44">
        <f>AL235*(1+'main page'!$K$32/100)</f>
        <v>1</v>
      </c>
      <c r="AM236" s="44">
        <f ca="1">IF(ABS(IF(controls!$B$45=1,$AS$13,AK236*AJ236/AL236)-AM235)&lt;0.00001,AM235,IF(controls!$B$45=1,$AS$13,AK236*AJ236/AL236))</f>
        <v>103.93075546538557</v>
      </c>
      <c r="AN236" s="44">
        <f>IF(controls!$B$46=0,0,IF(controls!$B$33=2,B237-B236*AC237-('normal case'!H237-D236*AD237-'main page'!$K$27*'normal case'!T236+'main page'!$K$31*'normal case'!AI236)-(('main page'!$K$25*'main page'!$U$13*'main page'!$K$29)/(1+('main page'!$K$25^2)*'main page'!$U$13))*('normal case'!L236-'main page'!$U$8),B237-B236*AC237-('normal case'!I237-D236*AD237-'main page'!$K$27*'normal case'!T236+'main page'!$K$31*'normal case'!AI236)-(('main page'!$K$25*'main page'!$U$13*'main page'!$K$29)/(1+('main page'!$K$25^2)*'main page'!$U$13))*('normal case'!L236-'main page'!$U$8)))</f>
        <v>0</v>
      </c>
      <c r="AU236" s="36"/>
      <c r="AV236" s="36"/>
    </row>
    <row r="237" spans="1:48">
      <c r="A237" s="43">
        <v>235</v>
      </c>
      <c r="B237" s="62">
        <f ca="1">IF(controls!$B$33=1,B236*(1+AC237)+AA237,B236*(1+AC237))</f>
        <v>101</v>
      </c>
      <c r="C237" s="67">
        <f t="shared" ca="1" si="32"/>
        <v>-1.5107707374006907E-7</v>
      </c>
      <c r="D237" s="64">
        <f t="shared" ca="1" si="28"/>
        <v>101.00000005960464</v>
      </c>
      <c r="E237" s="64">
        <f ca="1">AN236+IF(controls!$B$33=1,G237,F237)</f>
        <v>101.00000005960464</v>
      </c>
      <c r="F237" s="78">
        <f ca="1">IF(controls!$B$44=0,H237-'main page'!$K$27*T236,H237-'main page'!$K$27*T236+'main page'!$K$31*AI236)</f>
        <v>101.00000005960464</v>
      </c>
      <c r="G237" s="62">
        <f ca="1">IF(controls!$B$44=0,I237-'main page'!$K$27*T236,I237-'main page'!$K$27*T236+'main page'!$K$31*'normal case'!AI236)</f>
        <v>101.00000005960464</v>
      </c>
      <c r="H237" s="62">
        <f t="shared" ca="1" si="34"/>
        <v>108</v>
      </c>
      <c r="I237" s="62">
        <f t="shared" ca="1" si="35"/>
        <v>108</v>
      </c>
      <c r="L237" s="62">
        <f ca="1">IF(ABS('main page'!$K$29*L236+(1-'main page'!$K$29)*(controls!$B$9/100)*100+'main page'!$K$25*(D237-B237)-L236)&lt;0.0000001,L236,'main page'!$K$29*L236+(1-'main page'!$K$29)*(controls!$B$9/100)*100+'main page'!$K$25*(D237-B237))</f>
        <v>1.9999998807907104</v>
      </c>
      <c r="Q237" s="409">
        <f ca="1">(1-'main page'!$K$29)*($AS$11/100)*100+'main page'!$K$25*(D237-B237)</f>
        <v>5.9604644775390625E-8</v>
      </c>
      <c r="R237" s="409">
        <f>'main page'!G241+'main page'!$K$29*M236</f>
        <v>0</v>
      </c>
      <c r="S237" s="409">
        <f t="shared" ca="1" si="33"/>
        <v>5.9604644775390625E-8</v>
      </c>
      <c r="T237" s="79">
        <f ca="1">IF(controls!$B$10=1,T236,IF(SUM(controls!$B$44:$B$46)=2,U237-'main page'!$K$29*'normal case'!L237-(1-'main page'!$K$29)*'main page'!$K$32,U237-'main page'!$K$29*'normal case'!L237-(1-'main page'!$K$29)*controls!$B$9))</f>
        <v>3.4999999701976776</v>
      </c>
      <c r="U237" s="164">
        <f ca="1">IF(controls!$B$45=1,IF(controls!$B$46=1,'main page'!$K$24+'main page'!$K$11+'main page'!$U$8,'main page'!$K$24+'main page'!$K$11+'main page'!$K$32),IF(controls!$B$44=1,IF(V237&lt;0,0,V237),IF(V237+'main page'!$K$11&lt;0,0,V237+'main page'!$K$11)))</f>
        <v>5.4999998509883881</v>
      </c>
      <c r="V237" s="63">
        <f ca="1">IF(controls!$B$10=1,'normal case'!T237+'normal case'!L237,'normal case'!W237)</f>
        <v>5.4999998509883881</v>
      </c>
      <c r="W237" s="61">
        <f t="shared" ca="1" si="29"/>
        <v>5.4999998509883881</v>
      </c>
      <c r="X237" s="166">
        <f ca="1">IF(controls!$B$44=0,Y237+'main page'!$K$29*L237+(1-'main page'!$K$29)*controls!$B$9+(('main page'!$K$25*'main page'!$U$13*'main page'!$K$29)/('main page'!$K$27*(1+('main page'!$K$25^2)*'main page'!$U$13)))*(L237-controls!$B$9),Y237+'main page'!$K$29*L237+(1-'main page'!$K$29)*controls!$B$9+(('main page'!$K$25*'main page'!$U$13*'normal case'!$AV$3)/'normal case'!$AV$4)*('normal case'!L237-controls!$B$9))</f>
        <v>5.4999998509883881</v>
      </c>
      <c r="Y237" s="81">
        <f ca="1">IF(controls!$B$44=1,'main page'!$K$24+'main page'!$K$11,IF(controls!$B$33=1,((I238-D237*AD238-B238+B237*AC238)/'main page'!$K$27)-'main page'!$K$11,((H238-D237*AD238-B238+B237*AC238)/'main page'!$K$27)-'main page'!$K$11))</f>
        <v>3.5</v>
      </c>
      <c r="AA237" s="58">
        <f>IF(controls!$B$6=1,$AS$3*(1+('main page'!$K$35/100))^AB237-$AS$3*(1+('main page'!$K$35/100))^AB236,$AS$3*(1+('main page'!$G$8/100))*(1+('main page'!$K$35/100))^AB237-$AS$3*(1+('main page'!$G$8/100))*(1+('main page'!$K$35/100))^AB236)</f>
        <v>0</v>
      </c>
      <c r="AB237" s="60">
        <v>230</v>
      </c>
      <c r="AC237" s="125">
        <v>0</v>
      </c>
      <c r="AD237" s="36">
        <v>0</v>
      </c>
      <c r="AE237" s="44">
        <f ca="1">IF(controls!$B$33=1,D237-($I$3-'main page'!$K$27*2)*(1+('main page'!$K$35/100))^A236,D237-$AS$4)</f>
        <v>1.0000000596046448</v>
      </c>
      <c r="AF237" s="44">
        <f ca="1">ABS(L237-(controls!$B$9/100)*100)</f>
        <v>1.1920928955078125E-7</v>
      </c>
      <c r="AH237" s="44">
        <f ca="1">IF(controls!$B$33=1,(B238-B237*AC238-I238+D237*AD238+'main page'!$K$27*('main page'!$K$24+'main page'!$K$11))/'main page'!$K$31,(B238-B237*AC238+D237*AD238-H238+'main page'!$K$27*('main page'!$K$24+'main page'!$K$11))/'main page'!$K$31)</f>
        <v>1</v>
      </c>
      <c r="AI237" s="44">
        <f ca="1">IF(controls!$B$45=1,LOG(AM237,1.01)+LOG(AL237,1.01)-LOG(AK237,1.01),-((T237-('main page'!$K$24+'main page'!$K$11))/(1-'normal case'!$AV$3))+'normal case'!AH237)</f>
        <v>2.0000000596046448</v>
      </c>
      <c r="AJ237" s="80">
        <f t="shared" ca="1" si="30"/>
        <v>1.0506250015463039</v>
      </c>
      <c r="AK237" s="44">
        <f t="shared" ca="1" si="31"/>
        <v>100.90124477789334</v>
      </c>
      <c r="AL237" s="44">
        <f>AL236*(1+'main page'!$K$32/100)</f>
        <v>1</v>
      </c>
      <c r="AM237" s="44">
        <f ca="1">IF(ABS(IF(controls!$B$45=1,$AS$13,AK237*AJ237/AL237)-AM236)&lt;0.00001,AM236,IF(controls!$B$45=1,$AS$13,AK237*AJ237/AL237))</f>
        <v>106.00937045079817</v>
      </c>
      <c r="AN237" s="44">
        <f>IF(controls!$B$46=0,0,IF(controls!$B$33=2,B238-B237*AC238-('normal case'!H238-D237*AD238-'main page'!$K$27*'normal case'!T237+'main page'!$K$31*'normal case'!AI237)-(('main page'!$K$25*'main page'!$U$13*'main page'!$K$29)/(1+('main page'!$K$25^2)*'main page'!$U$13))*('normal case'!L237-'main page'!$U$8),B238-B237*AC238-('normal case'!I238-D237*AD238-'main page'!$K$27*'normal case'!T237+'main page'!$K$31*'normal case'!AI237)-(('main page'!$K$25*'main page'!$U$13*'main page'!$K$29)/(1+('main page'!$K$25^2)*'main page'!$U$13))*('normal case'!L237-'main page'!$U$8)))</f>
        <v>0</v>
      </c>
      <c r="AU237" s="36"/>
      <c r="AV237" s="36"/>
    </row>
    <row r="238" spans="1:48">
      <c r="A238" s="43">
        <v>236</v>
      </c>
      <c r="B238" s="62">
        <f ca="1">IF(controls!$B$33=1,B237*(1+AC238)+AA238,B237*(1+AC238))</f>
        <v>101</v>
      </c>
      <c r="C238" s="67">
        <f t="shared" ca="1" si="32"/>
        <v>-1.5107707374006907E-7</v>
      </c>
      <c r="D238" s="64">
        <f t="shared" ca="1" si="28"/>
        <v>101.00000005960464</v>
      </c>
      <c r="E238" s="64">
        <f ca="1">AN237+IF(controls!$B$33=1,G238,F238)</f>
        <v>101.00000005960464</v>
      </c>
      <c r="F238" s="78">
        <f ca="1">IF(controls!$B$44=0,H238-'main page'!$K$27*T237,H238-'main page'!$K$27*T237+'main page'!$K$31*AI237)</f>
        <v>101.00000005960464</v>
      </c>
      <c r="G238" s="62">
        <f ca="1">IF(controls!$B$44=0,I238-'main page'!$K$27*T237,I238-'main page'!$K$27*T237+'main page'!$K$31*'normal case'!AI237)</f>
        <v>101.00000005960464</v>
      </c>
      <c r="H238" s="62">
        <f t="shared" ca="1" si="34"/>
        <v>108</v>
      </c>
      <c r="I238" s="62">
        <f t="shared" ca="1" si="35"/>
        <v>108</v>
      </c>
      <c r="L238" s="62">
        <f ca="1">IF(ABS('main page'!$K$29*L237+(1-'main page'!$K$29)*(controls!$B$9/100)*100+'main page'!$K$25*(D238-B238)-L237)&lt;0.0000001,L237,'main page'!$K$29*L237+(1-'main page'!$K$29)*(controls!$B$9/100)*100+'main page'!$K$25*(D238-B238))</f>
        <v>1.9999998807907104</v>
      </c>
      <c r="Q238" s="409">
        <f ca="1">(1-'main page'!$K$29)*($AS$11/100)*100+'main page'!$K$25*(D238-B238)</f>
        <v>5.9604644775390625E-8</v>
      </c>
      <c r="R238" s="409">
        <f>'main page'!G242+'main page'!$K$29*M237</f>
        <v>0</v>
      </c>
      <c r="S238" s="409">
        <f t="shared" ca="1" si="33"/>
        <v>5.9604644775390625E-8</v>
      </c>
      <c r="T238" s="79">
        <f ca="1">IF(controls!$B$10=1,T237,IF(SUM(controls!$B$44:$B$46)=2,U238-'main page'!$K$29*'normal case'!L238-(1-'main page'!$K$29)*'main page'!$K$32,U238-'main page'!$K$29*'normal case'!L238-(1-'main page'!$K$29)*controls!$B$9))</f>
        <v>3.4999999701976776</v>
      </c>
      <c r="U238" s="164">
        <f ca="1">IF(controls!$B$45=1,IF(controls!$B$46=1,'main page'!$K$24+'main page'!$K$11+'main page'!$U$8,'main page'!$K$24+'main page'!$K$11+'main page'!$K$32),IF(controls!$B$44=1,IF(V238&lt;0,0,V238),IF(V238+'main page'!$K$11&lt;0,0,V238+'main page'!$K$11)))</f>
        <v>5.4999998509883881</v>
      </c>
      <c r="V238" s="63">
        <f ca="1">IF(controls!$B$10=1,'normal case'!T238+'normal case'!L238,'normal case'!W238)</f>
        <v>5.4999998509883881</v>
      </c>
      <c r="W238" s="61">
        <f t="shared" ca="1" si="29"/>
        <v>5.4999998509883881</v>
      </c>
      <c r="X238" s="166">
        <f ca="1">IF(controls!$B$44=0,Y238+'main page'!$K$29*L238+(1-'main page'!$K$29)*controls!$B$9+(('main page'!$K$25*'main page'!$U$13*'main page'!$K$29)/('main page'!$K$27*(1+('main page'!$K$25^2)*'main page'!$U$13)))*(L238-controls!$B$9),Y238+'main page'!$K$29*L238+(1-'main page'!$K$29)*controls!$B$9+(('main page'!$K$25*'main page'!$U$13*'normal case'!$AV$3)/'normal case'!$AV$4)*('normal case'!L238-controls!$B$9))</f>
        <v>5.4999998509883881</v>
      </c>
      <c r="Y238" s="81">
        <f ca="1">IF(controls!$B$44=1,'main page'!$K$24+'main page'!$K$11,IF(controls!$B$33=1,((I239-D238*AD239-B239+B238*AC239)/'main page'!$K$27)-'main page'!$K$11,((H239-D238*AD239-B239+B238*AC239)/'main page'!$K$27)-'main page'!$K$11))</f>
        <v>3.5</v>
      </c>
      <c r="AA238" s="58">
        <f>IF(controls!$B$6=1,$AS$3*(1+('main page'!$K$35/100))^AB238-$AS$3*(1+('main page'!$K$35/100))^AB237,$AS$3*(1+('main page'!$G$8/100))*(1+('main page'!$K$35/100))^AB238-$AS$3*(1+('main page'!$G$8/100))*(1+('main page'!$K$35/100))^AB237)</f>
        <v>0</v>
      </c>
      <c r="AB238" s="60">
        <v>231</v>
      </c>
      <c r="AC238" s="125">
        <v>0</v>
      </c>
      <c r="AD238" s="36">
        <v>0</v>
      </c>
      <c r="AE238" s="44">
        <f ca="1">IF(controls!$B$33=1,D238-($I$3-'main page'!$K$27*2)*(1+('main page'!$K$35/100))^A237,D238-$AS$4)</f>
        <v>1.0000000596046448</v>
      </c>
      <c r="AF238" s="44">
        <f ca="1">ABS(L238-(controls!$B$9/100)*100)</f>
        <v>1.1920928955078125E-7</v>
      </c>
      <c r="AH238" s="44">
        <f ca="1">IF(controls!$B$33=1,(B239-B238*AC239-I239+D238*AD239+'main page'!$K$27*('main page'!$K$24+'main page'!$K$11))/'main page'!$K$31,(B239-B238*AC239+D238*AD239-H239+'main page'!$K$27*('main page'!$K$24+'main page'!$K$11))/'main page'!$K$31)</f>
        <v>1</v>
      </c>
      <c r="AI238" s="44">
        <f ca="1">IF(controls!$B$45=1,LOG(AM238,1.01)+LOG(AL238,1.01)-LOG(AK238,1.01),-((T238-('main page'!$K$24+'main page'!$K$11))/(1-'normal case'!$AV$3))+'normal case'!AH238)</f>
        <v>2.0000000596046448</v>
      </c>
      <c r="AJ238" s="80">
        <f t="shared" ca="1" si="30"/>
        <v>1.0506250015463039</v>
      </c>
      <c r="AK238" s="44">
        <f t="shared" ca="1" si="31"/>
        <v>102.91926955316755</v>
      </c>
      <c r="AL238" s="44">
        <f>AL237*(1+'main page'!$K$32/100)</f>
        <v>1</v>
      </c>
      <c r="AM238" s="44">
        <f ca="1">IF(ABS(IF(controls!$B$45=1,$AS$13,AK238*AJ238/AL238)-AM237)&lt;0.00001,AM237,IF(controls!$B$45=1,$AS$13,AK238*AJ238/AL238))</f>
        <v>108.12955773344113</v>
      </c>
      <c r="AN238" s="44">
        <f>IF(controls!$B$46=0,0,IF(controls!$B$33=2,B239-B238*AC239-('normal case'!H239-D238*AD239-'main page'!$K$27*'normal case'!T238+'main page'!$K$31*'normal case'!AI238)-(('main page'!$K$25*'main page'!$U$13*'main page'!$K$29)/(1+('main page'!$K$25^2)*'main page'!$U$13))*('normal case'!L238-'main page'!$U$8),B239-B238*AC239-('normal case'!I239-D238*AD239-'main page'!$K$27*'normal case'!T238+'main page'!$K$31*'normal case'!AI238)-(('main page'!$K$25*'main page'!$U$13*'main page'!$K$29)/(1+('main page'!$K$25^2)*'main page'!$U$13))*('normal case'!L238-'main page'!$U$8)))</f>
        <v>0</v>
      </c>
      <c r="AU238" s="36"/>
      <c r="AV238" s="36"/>
    </row>
    <row r="239" spans="1:48">
      <c r="A239" s="43">
        <v>237</v>
      </c>
      <c r="B239" s="62">
        <f ca="1">IF(controls!$B$33=1,B238*(1+AC239)+AA239,B238*(1+AC239))</f>
        <v>101</v>
      </c>
      <c r="C239" s="67">
        <f t="shared" ca="1" si="32"/>
        <v>-1.5107707374006907E-7</v>
      </c>
      <c r="D239" s="64">
        <f t="shared" ca="1" si="28"/>
        <v>101.00000005960464</v>
      </c>
      <c r="E239" s="64">
        <f ca="1">AN238+IF(controls!$B$33=1,G239,F239)</f>
        <v>101.00000005960464</v>
      </c>
      <c r="F239" s="78">
        <f ca="1">IF(controls!$B$44=0,H239-'main page'!$K$27*T238,H239-'main page'!$K$27*T238+'main page'!$K$31*AI238)</f>
        <v>101.00000005960464</v>
      </c>
      <c r="G239" s="62">
        <f ca="1">IF(controls!$B$44=0,I239-'main page'!$K$27*T238,I239-'main page'!$K$27*T238+'main page'!$K$31*'normal case'!AI238)</f>
        <v>101.00000005960464</v>
      </c>
      <c r="H239" s="62">
        <f t="shared" ca="1" si="34"/>
        <v>108</v>
      </c>
      <c r="I239" s="62">
        <f t="shared" ca="1" si="35"/>
        <v>108</v>
      </c>
      <c r="L239" s="62">
        <f ca="1">IF(ABS('main page'!$K$29*L238+(1-'main page'!$K$29)*(controls!$B$9/100)*100+'main page'!$K$25*(D239-B239)-L238)&lt;0.0000001,L238,'main page'!$K$29*L238+(1-'main page'!$K$29)*(controls!$B$9/100)*100+'main page'!$K$25*(D239-B239))</f>
        <v>1.9999998807907104</v>
      </c>
      <c r="Q239" s="409">
        <f ca="1">(1-'main page'!$K$29)*($AS$11/100)*100+'main page'!$K$25*(D239-B239)</f>
        <v>5.9604644775390625E-8</v>
      </c>
      <c r="R239" s="409">
        <f>'main page'!G243+'main page'!$K$29*M238</f>
        <v>0</v>
      </c>
      <c r="S239" s="409">
        <f t="shared" ca="1" si="33"/>
        <v>5.9604644775390625E-8</v>
      </c>
      <c r="T239" s="79">
        <f ca="1">IF(controls!$B$10=1,T238,IF(SUM(controls!$B$44:$B$46)=2,U239-'main page'!$K$29*'normal case'!L239-(1-'main page'!$K$29)*'main page'!$K$32,U239-'main page'!$K$29*'normal case'!L239-(1-'main page'!$K$29)*controls!$B$9))</f>
        <v>3.4999999701976776</v>
      </c>
      <c r="U239" s="164">
        <f ca="1">IF(controls!$B$45=1,IF(controls!$B$46=1,'main page'!$K$24+'main page'!$K$11+'main page'!$U$8,'main page'!$K$24+'main page'!$K$11+'main page'!$K$32),IF(controls!$B$44=1,IF(V239&lt;0,0,V239),IF(V239+'main page'!$K$11&lt;0,0,V239+'main page'!$K$11)))</f>
        <v>5.4999998509883881</v>
      </c>
      <c r="V239" s="63">
        <f ca="1">IF(controls!$B$10=1,'normal case'!T239+'normal case'!L239,'normal case'!W239)</f>
        <v>5.4999998509883881</v>
      </c>
      <c r="W239" s="61">
        <f t="shared" ca="1" si="29"/>
        <v>5.4999998509883881</v>
      </c>
      <c r="X239" s="166">
        <f ca="1">IF(controls!$B$44=0,Y239+'main page'!$K$29*L239+(1-'main page'!$K$29)*controls!$B$9+(('main page'!$K$25*'main page'!$U$13*'main page'!$K$29)/('main page'!$K$27*(1+('main page'!$K$25^2)*'main page'!$U$13)))*(L239-controls!$B$9),Y239+'main page'!$K$29*L239+(1-'main page'!$K$29)*controls!$B$9+(('main page'!$K$25*'main page'!$U$13*'normal case'!$AV$3)/'normal case'!$AV$4)*('normal case'!L239-controls!$B$9))</f>
        <v>5.4999998509883881</v>
      </c>
      <c r="Y239" s="81">
        <f ca="1">IF(controls!$B$44=1,'main page'!$K$24+'main page'!$K$11,IF(controls!$B$33=1,((I240-D239*AD240-B240+B239*AC240)/'main page'!$K$27)-'main page'!$K$11,((H240-D239*AD240-B240+B239*AC240)/'main page'!$K$27)-'main page'!$K$11))</f>
        <v>3.5</v>
      </c>
      <c r="AA239" s="58">
        <f>IF(controls!$B$6=1,$AS$3*(1+('main page'!$K$35/100))^AB239-$AS$3*(1+('main page'!$K$35/100))^AB238,$AS$3*(1+('main page'!$G$8/100))*(1+('main page'!$K$35/100))^AB239-$AS$3*(1+('main page'!$G$8/100))*(1+('main page'!$K$35/100))^AB238)</f>
        <v>0</v>
      </c>
      <c r="AB239" s="60">
        <v>232</v>
      </c>
      <c r="AC239" s="125">
        <f ca="1">IF(controls!$B$4=1,IF(controls!$H238=1,controls!$B$34*AC238+RAND()*('main page'!$K$16/100)-RAND()*('main page'!$K$16/100),0),0)</f>
        <v>0</v>
      </c>
      <c r="AD239" s="36">
        <f ca="1">IF(controls!$B$4=1,IF(controls!$I238=1,controls!$B$34*AD238+RAND()*('main page'!$K$16/100)-RAND()*('main page'!$K$16/100),0),0)</f>
        <v>0</v>
      </c>
      <c r="AE239" s="44">
        <f ca="1">IF(controls!$B$33=1,D239-($I$3-'main page'!$K$27*2)*(1+('main page'!$K$35/100))^A238,D239-$AS$4)</f>
        <v>1.0000000596046448</v>
      </c>
      <c r="AF239" s="44">
        <f ca="1">ABS(L239-(controls!$B$9/100)*100)</f>
        <v>1.1920928955078125E-7</v>
      </c>
      <c r="AH239" s="44">
        <f ca="1">IF(controls!$B$33=1,(B240-B239*AC240-I240+D239*AD240+'main page'!$K$27*('main page'!$K$24+'main page'!$K$11))/'main page'!$K$31,(B240-B239*AC240+D239*AD240-H240+'main page'!$K$27*('main page'!$K$24+'main page'!$K$11))/'main page'!$K$31)</f>
        <v>1</v>
      </c>
      <c r="AI239" s="44">
        <f ca="1">IF(controls!$B$45=1,LOG(AM239,1.01)+LOG(AL239,1.01)-LOG(AK239,1.01),-((T239-('main page'!$K$24+'main page'!$K$11))/(1-'normal case'!$AV$3))+'normal case'!AH239)</f>
        <v>2.0000000596046448</v>
      </c>
      <c r="AJ239" s="80">
        <f t="shared" ca="1" si="30"/>
        <v>1.0506250015463039</v>
      </c>
      <c r="AK239" s="44">
        <f t="shared" ca="1" si="31"/>
        <v>104.97765482154158</v>
      </c>
      <c r="AL239" s="44">
        <f>AL238*(1+'main page'!$K$32/100)</f>
        <v>1</v>
      </c>
      <c r="AM239" s="44">
        <f ca="1">IF(ABS(IF(controls!$B$45=1,$AS$13,AK239*AJ239/AL239)-AM238)&lt;0.00001,AM238,IF(controls!$B$45=1,$AS$13,AK239*AJ239/AL239))</f>
        <v>110.29214875920948</v>
      </c>
      <c r="AN239" s="44">
        <f>IF(controls!$B$46=0,0,IF(controls!$B$33=2,B240-B239*AC240-('normal case'!H240-D239*AD240-'main page'!$K$27*'normal case'!T239+'main page'!$K$31*'normal case'!AI239)-(('main page'!$K$25*'main page'!$U$13*'main page'!$K$29)/(1+('main page'!$K$25^2)*'main page'!$U$13))*('normal case'!L239-'main page'!$U$8),B240-B239*AC240-('normal case'!I240-D239*AD240-'main page'!$K$27*'normal case'!T239+'main page'!$K$31*'normal case'!AI239)-(('main page'!$K$25*'main page'!$U$13*'main page'!$K$29)/(1+('main page'!$K$25^2)*'main page'!$U$13))*('normal case'!L239-'main page'!$U$8)))</f>
        <v>0</v>
      </c>
      <c r="AU239" s="36"/>
      <c r="AV239" s="36"/>
    </row>
    <row r="240" spans="1:48">
      <c r="A240" s="43">
        <v>238</v>
      </c>
      <c r="B240" s="62">
        <f ca="1">IF(controls!$B$33=1,B239*(1+AC240)+AA240,B239*(1+AC240))</f>
        <v>101</v>
      </c>
      <c r="C240" s="67">
        <f t="shared" ca="1" si="32"/>
        <v>-1.5107707374006907E-7</v>
      </c>
      <c r="D240" s="64">
        <f t="shared" ca="1" si="28"/>
        <v>101.00000005960464</v>
      </c>
      <c r="E240" s="64">
        <f ca="1">AN239+IF(controls!$B$33=1,G240,F240)</f>
        <v>101.00000005960464</v>
      </c>
      <c r="F240" s="78">
        <f ca="1">IF(controls!$B$44=0,H240-'main page'!$K$27*T239,H240-'main page'!$K$27*T239+'main page'!$K$31*AI239)</f>
        <v>101.00000005960464</v>
      </c>
      <c r="G240" s="62">
        <f ca="1">IF(controls!$B$44=0,I240-'main page'!$K$27*T239,I240-'main page'!$K$27*T239+'main page'!$K$31*'normal case'!AI239)</f>
        <v>101.00000005960464</v>
      </c>
      <c r="H240" s="62">
        <f t="shared" ca="1" si="34"/>
        <v>108</v>
      </c>
      <c r="I240" s="62">
        <f t="shared" ca="1" si="35"/>
        <v>108</v>
      </c>
      <c r="L240" s="62">
        <f ca="1">IF(ABS('main page'!$K$29*L239+(1-'main page'!$K$29)*(controls!$B$9/100)*100+'main page'!$K$25*(D240-B240)-L239)&lt;0.0000001,L239,'main page'!$K$29*L239+(1-'main page'!$K$29)*(controls!$B$9/100)*100+'main page'!$K$25*(D240-B240))</f>
        <v>1.9999998807907104</v>
      </c>
      <c r="Q240" s="409">
        <f ca="1">(1-'main page'!$K$29)*($AS$11/100)*100+'main page'!$K$25*(D240-B240)</f>
        <v>5.9604644775390625E-8</v>
      </c>
      <c r="R240" s="409">
        <f>'main page'!G244+'main page'!$K$29*M239</f>
        <v>0</v>
      </c>
      <c r="S240" s="409">
        <f t="shared" ca="1" si="33"/>
        <v>5.9604644775390625E-8</v>
      </c>
      <c r="T240" s="79">
        <f ca="1">IF(controls!$B$10=1,T239,IF(SUM(controls!$B$44:$B$46)=2,U240-'main page'!$K$29*'normal case'!L240-(1-'main page'!$K$29)*'main page'!$K$32,U240-'main page'!$K$29*'normal case'!L240-(1-'main page'!$K$29)*controls!$B$9))</f>
        <v>3.4999999701976776</v>
      </c>
      <c r="U240" s="164">
        <f ca="1">IF(controls!$B$45=1,IF(controls!$B$46=1,'main page'!$K$24+'main page'!$K$11+'main page'!$U$8,'main page'!$K$24+'main page'!$K$11+'main page'!$K$32),IF(controls!$B$44=1,IF(V240&lt;0,0,V240),IF(V240+'main page'!$K$11&lt;0,0,V240+'main page'!$K$11)))</f>
        <v>5.4999998509883881</v>
      </c>
      <c r="V240" s="63">
        <f ca="1">IF(controls!$B$10=1,'normal case'!T240+'normal case'!L240,'normal case'!W240)</f>
        <v>5.4999998509883881</v>
      </c>
      <c r="W240" s="61">
        <f t="shared" ca="1" si="29"/>
        <v>5.4999998509883881</v>
      </c>
      <c r="X240" s="166">
        <f ca="1">IF(controls!$B$44=0,Y240+'main page'!$K$29*L240+(1-'main page'!$K$29)*controls!$B$9+(('main page'!$K$25*'main page'!$U$13*'main page'!$K$29)/('main page'!$K$27*(1+('main page'!$K$25^2)*'main page'!$U$13)))*(L240-controls!$B$9),Y240+'main page'!$K$29*L240+(1-'main page'!$K$29)*controls!$B$9+(('main page'!$K$25*'main page'!$U$13*'normal case'!$AV$3)/'normal case'!$AV$4)*('normal case'!L240-controls!$B$9))</f>
        <v>5.4999998509883881</v>
      </c>
      <c r="Y240" s="81">
        <f ca="1">IF(controls!$B$44=1,'main page'!$K$24+'main page'!$K$11,IF(controls!$B$33=1,((I241-D240*AD241-B241+B240*AC241)/'main page'!$K$27)-'main page'!$K$11,((H241-D240*AD241-B241+B240*AC241)/'main page'!$K$27)-'main page'!$K$11))</f>
        <v>3.5</v>
      </c>
      <c r="AA240" s="58">
        <f>IF(controls!$B$6=1,$AS$3*(1+('main page'!$K$35/100))^AB240-$AS$3*(1+('main page'!$K$35/100))^AB239,$AS$3*(1+('main page'!$G$8/100))*(1+('main page'!$K$35/100))^AB240-$AS$3*(1+('main page'!$G$8/100))*(1+('main page'!$K$35/100))^AB239)</f>
        <v>0</v>
      </c>
      <c r="AB240" s="60">
        <v>233</v>
      </c>
      <c r="AC240" s="125">
        <v>0</v>
      </c>
      <c r="AD240" s="36">
        <v>0</v>
      </c>
      <c r="AE240" s="44">
        <f ca="1">IF(controls!$B$33=1,D240-($I$3-'main page'!$K$27*2)*(1+('main page'!$K$35/100))^A239,D240-$AS$4)</f>
        <v>1.0000000596046448</v>
      </c>
      <c r="AF240" s="44">
        <f ca="1">ABS(L240-(controls!$B$9/100)*100)</f>
        <v>1.1920928955078125E-7</v>
      </c>
      <c r="AH240" s="44">
        <f ca="1">IF(controls!$B$33=1,(B241-B240*AC241-I241+D240*AD241+'main page'!$K$27*('main page'!$K$24+'main page'!$K$11))/'main page'!$K$31,(B241-B240*AC241+D240*AD241-H241+'main page'!$K$27*('main page'!$K$24+'main page'!$K$11))/'main page'!$K$31)</f>
        <v>1</v>
      </c>
      <c r="AI240" s="44">
        <f ca="1">IF(controls!$B$45=1,LOG(AM240,1.01)+LOG(AL240,1.01)-LOG(AK240,1.01),-((T240-('main page'!$K$24+'main page'!$K$11))/(1-'normal case'!$AV$3))+'normal case'!AH240)</f>
        <v>2.0000000596046448</v>
      </c>
      <c r="AJ240" s="80">
        <f t="shared" ca="1" si="30"/>
        <v>1.0506250015463039</v>
      </c>
      <c r="AK240" s="44">
        <f t="shared" ca="1" si="31"/>
        <v>107.0772077928293</v>
      </c>
      <c r="AL240" s="44">
        <f>AL239*(1+'main page'!$K$32/100)</f>
        <v>1</v>
      </c>
      <c r="AM240" s="44">
        <f ca="1">IF(ABS(IF(controls!$B$45=1,$AS$13,AK240*AJ240/AL240)-AM239)&lt;0.00001,AM239,IF(controls!$B$45=1,$AS$13,AK240*AJ240/AL240))</f>
        <v>112.49799160291519</v>
      </c>
      <c r="AN240" s="44">
        <f>IF(controls!$B$46=0,0,IF(controls!$B$33=2,B241-B240*AC241-('normal case'!H241-D240*AD241-'main page'!$K$27*'normal case'!T240+'main page'!$K$31*'normal case'!AI240)-(('main page'!$K$25*'main page'!$U$13*'main page'!$K$29)/(1+('main page'!$K$25^2)*'main page'!$U$13))*('normal case'!L240-'main page'!$U$8),B241-B240*AC241-('normal case'!I241-D240*AD241-'main page'!$K$27*'normal case'!T240+'main page'!$K$31*'normal case'!AI240)-(('main page'!$K$25*'main page'!$U$13*'main page'!$K$29)/(1+('main page'!$K$25^2)*'main page'!$U$13))*('normal case'!L240-'main page'!$U$8)))</f>
        <v>0</v>
      </c>
      <c r="AU240" s="36"/>
      <c r="AV240" s="36"/>
    </row>
    <row r="241" spans="1:48">
      <c r="A241" s="43">
        <v>239</v>
      </c>
      <c r="B241" s="62">
        <f ca="1">IF(controls!$B$33=1,B240*(1+AC241)+AA241,B240*(1+AC241))</f>
        <v>101</v>
      </c>
      <c r="C241" s="67">
        <f t="shared" ca="1" si="32"/>
        <v>-1.5107707374006907E-7</v>
      </c>
      <c r="D241" s="64">
        <f t="shared" ca="1" si="28"/>
        <v>101.00000005960464</v>
      </c>
      <c r="E241" s="64">
        <f ca="1">AN240+IF(controls!$B$33=1,G241,F241)</f>
        <v>101.00000005960464</v>
      </c>
      <c r="F241" s="78">
        <f ca="1">IF(controls!$B$44=0,H241-'main page'!$K$27*T240,H241-'main page'!$K$27*T240+'main page'!$K$31*AI240)</f>
        <v>101.00000005960464</v>
      </c>
      <c r="G241" s="62">
        <f ca="1">IF(controls!$B$44=0,I241-'main page'!$K$27*T240,I241-'main page'!$K$27*T240+'main page'!$K$31*'normal case'!AI240)</f>
        <v>101.00000005960464</v>
      </c>
      <c r="H241" s="62">
        <f t="shared" ca="1" si="34"/>
        <v>108</v>
      </c>
      <c r="I241" s="62">
        <f t="shared" ca="1" si="35"/>
        <v>108</v>
      </c>
      <c r="L241" s="62">
        <f ca="1">IF(ABS('main page'!$K$29*L240+(1-'main page'!$K$29)*(controls!$B$9/100)*100+'main page'!$K$25*(D241-B241)-L240)&lt;0.0000001,L240,'main page'!$K$29*L240+(1-'main page'!$K$29)*(controls!$B$9/100)*100+'main page'!$K$25*(D241-B241))</f>
        <v>1.9999998807907104</v>
      </c>
      <c r="Q241" s="409">
        <f ca="1">(1-'main page'!$K$29)*($AS$11/100)*100+'main page'!$K$25*(D241-B241)</f>
        <v>5.9604644775390625E-8</v>
      </c>
      <c r="R241" s="409">
        <f>'main page'!G245+'main page'!$K$29*M240</f>
        <v>0</v>
      </c>
      <c r="S241" s="409">
        <f t="shared" ca="1" si="33"/>
        <v>5.9604644775390625E-8</v>
      </c>
      <c r="T241" s="79">
        <f ca="1">IF(controls!$B$10=1,T240,IF(SUM(controls!$B$44:$B$46)=2,U241-'main page'!$K$29*'normal case'!L241-(1-'main page'!$K$29)*'main page'!$K$32,U241-'main page'!$K$29*'normal case'!L241-(1-'main page'!$K$29)*controls!$B$9))</f>
        <v>3.4999999701976776</v>
      </c>
      <c r="U241" s="164">
        <f ca="1">IF(controls!$B$45=1,IF(controls!$B$46=1,'main page'!$K$24+'main page'!$K$11+'main page'!$U$8,'main page'!$K$24+'main page'!$K$11+'main page'!$K$32),IF(controls!$B$44=1,IF(V241&lt;0,0,V241),IF(V241+'main page'!$K$11&lt;0,0,V241+'main page'!$K$11)))</f>
        <v>5.4999998509883881</v>
      </c>
      <c r="V241" s="63">
        <f ca="1">IF(controls!$B$10=1,'normal case'!T241+'normal case'!L241,'normal case'!W241)</f>
        <v>5.4999998509883881</v>
      </c>
      <c r="W241" s="61">
        <f t="shared" ca="1" si="29"/>
        <v>5.4999998509883881</v>
      </c>
      <c r="X241" s="166">
        <f ca="1">IF(controls!$B$44=0,Y241+'main page'!$K$29*L241+(1-'main page'!$K$29)*controls!$B$9+(('main page'!$K$25*'main page'!$U$13*'main page'!$K$29)/('main page'!$K$27*(1+('main page'!$K$25^2)*'main page'!$U$13)))*(L241-controls!$B$9),Y241+'main page'!$K$29*L241+(1-'main page'!$K$29)*controls!$B$9+(('main page'!$K$25*'main page'!$U$13*'normal case'!$AV$3)/'normal case'!$AV$4)*('normal case'!L241-controls!$B$9))</f>
        <v>5.4999998509883881</v>
      </c>
      <c r="Y241" s="81">
        <f ca="1">IF(controls!$B$44=1,'main page'!$K$24+'main page'!$K$11,IF(controls!$B$33=1,((I242-D241*AD242-B242+B241*AC242)/'main page'!$K$27)-'main page'!$K$11,((H242-D241*AD242-B242+B241*AC242)/'main page'!$K$27)-'main page'!$K$11))</f>
        <v>3.5</v>
      </c>
      <c r="AA241" s="58">
        <f>IF(controls!$B$6=1,$AS$3*(1+('main page'!$K$35/100))^AB241-$AS$3*(1+('main page'!$K$35/100))^AB240,$AS$3*(1+('main page'!$G$8/100))*(1+('main page'!$K$35/100))^AB241-$AS$3*(1+('main page'!$G$8/100))*(1+('main page'!$K$35/100))^AB240)</f>
        <v>0</v>
      </c>
      <c r="AB241" s="60">
        <v>234</v>
      </c>
      <c r="AC241" s="125">
        <v>0</v>
      </c>
      <c r="AD241" s="36">
        <v>0</v>
      </c>
      <c r="AE241" s="44">
        <f ca="1">IF(controls!$B$33=1,D241-($I$3-'main page'!$K$27*2)*(1+('main page'!$K$35/100))^A240,D241-$AS$4)</f>
        <v>1.0000000596046448</v>
      </c>
      <c r="AF241" s="44">
        <f ca="1">ABS(L241-(controls!$B$9/100)*100)</f>
        <v>1.1920928955078125E-7</v>
      </c>
      <c r="AH241" s="44">
        <f ca="1">IF(controls!$B$33=1,(B242-B241*AC242-I242+D241*AD242+'main page'!$K$27*('main page'!$K$24+'main page'!$K$11))/'main page'!$K$31,(B242-B241*AC242+D241*AD242-H242+'main page'!$K$27*('main page'!$K$24+'main page'!$K$11))/'main page'!$K$31)</f>
        <v>1</v>
      </c>
      <c r="AI241" s="44">
        <f ca="1">IF(controls!$B$45=1,LOG(AM241,1.01)+LOG(AL241,1.01)-LOG(AK241,1.01),-((T241-('main page'!$K$24+'main page'!$K$11))/(1-'normal case'!$AV$3))+'normal case'!AH241)</f>
        <v>2.0000000596046448</v>
      </c>
      <c r="AJ241" s="80">
        <f t="shared" ca="1" si="30"/>
        <v>1.0506250015463039</v>
      </c>
      <c r="AK241" s="44">
        <f t="shared" ca="1" si="31"/>
        <v>109.21875182103992</v>
      </c>
      <c r="AL241" s="44">
        <f>AL240*(1+'main page'!$K$32/100)</f>
        <v>1</v>
      </c>
      <c r="AM241" s="44">
        <f ca="1">IF(ABS(IF(controls!$B$45=1,$AS$13,AK241*AJ241/AL241)-AM240)&lt;0.00001,AM240,IF(controls!$B$45=1,$AS$13,AK241*AJ241/AL241))</f>
        <v>114.74795130086544</v>
      </c>
      <c r="AN241" s="44">
        <f>IF(controls!$B$46=0,0,IF(controls!$B$33=2,B242-B241*AC242-('normal case'!H242-D241*AD242-'main page'!$K$27*'normal case'!T241+'main page'!$K$31*'normal case'!AI241)-(('main page'!$K$25*'main page'!$U$13*'main page'!$K$29)/(1+('main page'!$K$25^2)*'main page'!$U$13))*('normal case'!L241-'main page'!$U$8),B242-B241*AC242-('normal case'!I242-D241*AD242-'main page'!$K$27*'normal case'!T241+'main page'!$K$31*'normal case'!AI241)-(('main page'!$K$25*'main page'!$U$13*'main page'!$K$29)/(1+('main page'!$K$25^2)*'main page'!$U$13))*('normal case'!L241-'main page'!$U$8)))</f>
        <v>0</v>
      </c>
      <c r="AU241" s="36"/>
      <c r="AV241" s="36"/>
    </row>
    <row r="242" spans="1:48">
      <c r="A242" s="43">
        <v>240</v>
      </c>
      <c r="B242" s="62">
        <f ca="1">IF(controls!$B$33=1,B241*(1+AC242)+AA242,B241*(1+AC242))</f>
        <v>101</v>
      </c>
      <c r="C242" s="67">
        <f t="shared" ca="1" si="32"/>
        <v>-1.5107707374006907E-7</v>
      </c>
      <c r="D242" s="64">
        <f t="shared" ca="1" si="28"/>
        <v>101.00000005960464</v>
      </c>
      <c r="E242" s="64">
        <f ca="1">AN241+IF(controls!$B$33=1,G242,F242)</f>
        <v>101.00000005960464</v>
      </c>
      <c r="F242" s="78">
        <f ca="1">IF(controls!$B$44=0,H242-'main page'!$K$27*T241,H242-'main page'!$K$27*T241+'main page'!$K$31*AI241)</f>
        <v>101.00000005960464</v>
      </c>
      <c r="G242" s="62">
        <f ca="1">IF(controls!$B$44=0,I242-'main page'!$K$27*T241,I242-'main page'!$K$27*T241+'main page'!$K$31*'normal case'!AI241)</f>
        <v>101.00000005960464</v>
      </c>
      <c r="H242" s="62">
        <f t="shared" ca="1" si="34"/>
        <v>108</v>
      </c>
      <c r="I242" s="62">
        <f t="shared" ca="1" si="35"/>
        <v>108</v>
      </c>
      <c r="L242" s="62">
        <f ca="1">IF(ABS('main page'!$K$29*L241+(1-'main page'!$K$29)*(controls!$B$9/100)*100+'main page'!$K$25*(D242-B242)-L241)&lt;0.0000001,L241,'main page'!$K$29*L241+(1-'main page'!$K$29)*(controls!$B$9/100)*100+'main page'!$K$25*(D242-B242))</f>
        <v>1.9999998807907104</v>
      </c>
      <c r="Q242" s="409">
        <f ca="1">(1-'main page'!$K$29)*($AS$11/100)*100+'main page'!$K$25*(D242-B242)</f>
        <v>5.9604644775390625E-8</v>
      </c>
      <c r="R242" s="409">
        <f>'main page'!G246+'main page'!$K$29*M241</f>
        <v>0</v>
      </c>
      <c r="S242" s="409">
        <f t="shared" ca="1" si="33"/>
        <v>5.9604644775390625E-8</v>
      </c>
      <c r="T242" s="79">
        <f ca="1">IF(controls!$B$10=1,T241,IF(SUM(controls!$B$44:$B$46)=2,U242-'main page'!$K$29*'normal case'!L242-(1-'main page'!$K$29)*'main page'!$K$32,U242-'main page'!$K$29*'normal case'!L242-(1-'main page'!$K$29)*controls!$B$9))</f>
        <v>3.4999999701976776</v>
      </c>
      <c r="U242" s="164">
        <f ca="1">IF(controls!$B$45=1,IF(controls!$B$46=1,'main page'!$K$24+'main page'!$K$11+'main page'!$U$8,'main page'!$K$24+'main page'!$K$11+'main page'!$K$32),IF(controls!$B$44=1,IF(V242&lt;0,0,V242),IF(V242+'main page'!$K$11&lt;0,0,V242+'main page'!$K$11)))</f>
        <v>5.4999998509883881</v>
      </c>
      <c r="V242" s="63">
        <f ca="1">IF(controls!$B$10=1,'normal case'!T242+'normal case'!L242,'normal case'!W242)</f>
        <v>5.4999998509883881</v>
      </c>
      <c r="W242" s="61">
        <f t="shared" ca="1" si="29"/>
        <v>5.4999998509883881</v>
      </c>
      <c r="X242" s="166">
        <f ca="1">IF(controls!$B$44=0,Y242+'main page'!$K$29*L242+(1-'main page'!$K$29)*controls!$B$9+(('main page'!$K$25*'main page'!$U$13*'main page'!$K$29)/('main page'!$K$27*(1+('main page'!$K$25^2)*'main page'!$U$13)))*(L242-controls!$B$9),Y242+'main page'!$K$29*L242+(1-'main page'!$K$29)*controls!$B$9+(('main page'!$K$25*'main page'!$U$13*'normal case'!$AV$3)/'normal case'!$AV$4)*('normal case'!L242-controls!$B$9))</f>
        <v>5.4999998509883881</v>
      </c>
      <c r="Y242" s="81">
        <f ca="1">IF(controls!$B$44=1,'main page'!$K$24+'main page'!$K$11,IF(controls!$B$33=1,((I243-D242*AD243-B243+B242*AC243)/'main page'!$K$27)-'main page'!$K$11,((H243-D242*AD243-B243+B242*AC243)/'main page'!$K$27)-'main page'!$K$11))</f>
        <v>3.5</v>
      </c>
      <c r="AA242" s="58">
        <f>IF(controls!$B$6=1,$AS$3*(1+('main page'!$K$35/100))^AB242-$AS$3*(1+('main page'!$K$35/100))^AB241,$AS$3*(1+('main page'!$G$8/100))*(1+('main page'!$K$35/100))^AB242-$AS$3*(1+('main page'!$G$8/100))*(1+('main page'!$K$35/100))^AB241)</f>
        <v>0</v>
      </c>
      <c r="AB242" s="60">
        <v>235</v>
      </c>
      <c r="AC242" s="125">
        <f ca="1">IF(controls!$B$4=1,IF(controls!$H241=1,controls!$B$34*AC241+RAND()*('main page'!$K$16/100)-RAND()*('main page'!$K$16/100),0),0)</f>
        <v>0</v>
      </c>
      <c r="AD242" s="36">
        <f ca="1">IF(controls!$B$4=1,IF(controls!$I241=1,controls!$B$34*AD241+RAND()*('main page'!$K$16/100)-RAND()*('main page'!$K$16/100),0),0)</f>
        <v>0</v>
      </c>
      <c r="AE242" s="44">
        <f ca="1">IF(controls!$B$33=1,D242-($I$3-'main page'!$K$27*2)*(1+('main page'!$K$35/100))^A241,D242-$AS$4)</f>
        <v>1.0000000596046448</v>
      </c>
      <c r="AF242" s="44">
        <f ca="1">ABS(L242-(controls!$B$9/100)*100)</f>
        <v>1.1920928955078125E-7</v>
      </c>
      <c r="AH242" s="44">
        <f ca="1">IF(controls!$B$33=1,(B243-B242*AC243-I243+D242*AD243+'main page'!$K$27*('main page'!$K$24+'main page'!$K$11))/'main page'!$K$31,(B243-B242*AC243+D242*AD243-H243+'main page'!$K$27*('main page'!$K$24+'main page'!$K$11))/'main page'!$K$31)</f>
        <v>1</v>
      </c>
      <c r="AI242" s="44">
        <f ca="1">IF(controls!$B$45=1,LOG(AM242,1.01)+LOG(AL242,1.01)-LOG(AK242,1.01),-((T242-('main page'!$K$24+'main page'!$K$11))/(1-'normal case'!$AV$3))+'normal case'!AH242)</f>
        <v>2.0000000596046448</v>
      </c>
      <c r="AJ242" s="80">
        <f t="shared" ca="1" si="30"/>
        <v>1.0506250015463039</v>
      </c>
      <c r="AK242" s="44">
        <f t="shared" ca="1" si="31"/>
        <v>111.40312672726182</v>
      </c>
      <c r="AL242" s="44">
        <f>AL241*(1+'main page'!$K$32/100)</f>
        <v>1</v>
      </c>
      <c r="AM242" s="44">
        <f ca="1">IF(ABS(IF(controls!$B$45=1,$AS$13,AK242*AJ242/AL242)-AM241)&lt;0.00001,AM241,IF(controls!$B$45=1,$AS$13,AK242*AJ242/AL242))</f>
        <v>117.04291019009254</v>
      </c>
      <c r="AN242" s="44">
        <f>IF(controls!$B$46=0,0,IF(controls!$B$33=2,B243-B242*AC243-('normal case'!H243-D242*AD243-'main page'!$K$27*'normal case'!T242+'main page'!$K$31*'normal case'!AI242)-(('main page'!$K$25*'main page'!$U$13*'main page'!$K$29)/(1+('main page'!$K$25^2)*'main page'!$U$13))*('normal case'!L242-'main page'!$U$8),B243-B242*AC243-('normal case'!I243-D242*AD243-'main page'!$K$27*'normal case'!T242+'main page'!$K$31*'normal case'!AI242)-(('main page'!$K$25*'main page'!$U$13*'main page'!$K$29)/(1+('main page'!$K$25^2)*'main page'!$U$13))*('normal case'!L242-'main page'!$U$8)))</f>
        <v>0</v>
      </c>
      <c r="AU242" s="36"/>
      <c r="AV242" s="36"/>
    </row>
    <row r="243" spans="1:48">
      <c r="A243" s="43">
        <v>241</v>
      </c>
      <c r="B243" s="62">
        <f ca="1">IF(controls!$B$33=1,B242*(1+AC243)+AA243,B242*(1+AC243))</f>
        <v>101</v>
      </c>
      <c r="C243" s="67">
        <f t="shared" ca="1" si="32"/>
        <v>-1.5107707374006907E-7</v>
      </c>
      <c r="D243" s="64">
        <f t="shared" ca="1" si="28"/>
        <v>101.00000005960464</v>
      </c>
      <c r="E243" s="64">
        <f ca="1">AN242+IF(controls!$B$33=1,G243,F243)</f>
        <v>101.00000005960464</v>
      </c>
      <c r="F243" s="78">
        <f ca="1">IF(controls!$B$44=0,H243-'main page'!$K$27*T242,H243-'main page'!$K$27*T242+'main page'!$K$31*AI242)</f>
        <v>101.00000005960464</v>
      </c>
      <c r="G243" s="62">
        <f ca="1">IF(controls!$B$44=0,I243-'main page'!$K$27*T242,I243-'main page'!$K$27*T242+'main page'!$K$31*'normal case'!AI242)</f>
        <v>101.00000005960464</v>
      </c>
      <c r="H243" s="62">
        <f t="shared" ca="1" si="34"/>
        <v>108</v>
      </c>
      <c r="I243" s="62">
        <f t="shared" ca="1" si="35"/>
        <v>108</v>
      </c>
      <c r="L243" s="62">
        <f ca="1">IF(ABS('main page'!$K$29*L242+(1-'main page'!$K$29)*(controls!$B$9/100)*100+'main page'!$K$25*(D243-B243)-L242)&lt;0.0000001,L242,'main page'!$K$29*L242+(1-'main page'!$K$29)*(controls!$B$9/100)*100+'main page'!$K$25*(D243-B243))</f>
        <v>1.9999998807907104</v>
      </c>
      <c r="Q243" s="409">
        <f ca="1">(1-'main page'!$K$29)*($AS$11/100)*100+'main page'!$K$25*(D243-B243)</f>
        <v>5.9604644775390625E-8</v>
      </c>
      <c r="R243" s="409">
        <f>'main page'!G247+'main page'!$K$29*M242</f>
        <v>0</v>
      </c>
      <c r="S243" s="409">
        <f t="shared" ca="1" si="33"/>
        <v>5.9604644775390625E-8</v>
      </c>
      <c r="T243" s="79">
        <f ca="1">IF(controls!$B$10=1,T242,IF(SUM(controls!$B$44:$B$46)=2,U243-'main page'!$K$29*'normal case'!L243-(1-'main page'!$K$29)*'main page'!$K$32,U243-'main page'!$K$29*'normal case'!L243-(1-'main page'!$K$29)*controls!$B$9))</f>
        <v>3.4999999701976776</v>
      </c>
      <c r="U243" s="164">
        <f ca="1">IF(controls!$B$45=1,IF(controls!$B$46=1,'main page'!$K$24+'main page'!$K$11+'main page'!$U$8,'main page'!$K$24+'main page'!$K$11+'main page'!$K$32),IF(controls!$B$44=1,IF(V243&lt;0,0,V243),IF(V243+'main page'!$K$11&lt;0,0,V243+'main page'!$K$11)))</f>
        <v>5.4999998509883881</v>
      </c>
      <c r="V243" s="63">
        <f ca="1">IF(controls!$B$10=1,'normal case'!T243+'normal case'!L243,'normal case'!W243)</f>
        <v>5.4999998509883881</v>
      </c>
      <c r="W243" s="61">
        <f t="shared" ca="1" si="29"/>
        <v>5.4999998509883881</v>
      </c>
      <c r="X243" s="166">
        <f ca="1">IF(controls!$B$44=0,Y243+'main page'!$K$29*L243+(1-'main page'!$K$29)*controls!$B$9+(('main page'!$K$25*'main page'!$U$13*'main page'!$K$29)/('main page'!$K$27*(1+('main page'!$K$25^2)*'main page'!$U$13)))*(L243-controls!$B$9),Y243+'main page'!$K$29*L243+(1-'main page'!$K$29)*controls!$B$9+(('main page'!$K$25*'main page'!$U$13*'normal case'!$AV$3)/'normal case'!$AV$4)*('normal case'!L243-controls!$B$9))</f>
        <v>5.4999998509883881</v>
      </c>
      <c r="Y243" s="81">
        <f ca="1">IF(controls!$B$44=1,'main page'!$K$24+'main page'!$K$11,IF(controls!$B$33=1,((I244-D243*AD244-B244+B243*AC244)/'main page'!$K$27)-'main page'!$K$11,((H244-D243*AD244-B244+B243*AC244)/'main page'!$K$27)-'main page'!$K$11))</f>
        <v>3.5</v>
      </c>
      <c r="AA243" s="58">
        <f>IF(controls!$B$6=1,$AS$3*(1+('main page'!$K$35/100))^AB243-$AS$3*(1+('main page'!$K$35/100))^AB242,$AS$3*(1+('main page'!$G$8/100))*(1+('main page'!$K$35/100))^AB243-$AS$3*(1+('main page'!$G$8/100))*(1+('main page'!$K$35/100))^AB242)</f>
        <v>0</v>
      </c>
      <c r="AB243" s="60">
        <v>236</v>
      </c>
      <c r="AC243" s="125">
        <v>0</v>
      </c>
      <c r="AD243" s="36">
        <v>0</v>
      </c>
      <c r="AE243" s="44">
        <f ca="1">IF(controls!$B$33=1,D243-($I$3-'main page'!$K$27*2)*(1+('main page'!$K$35/100))^A242,D243-$AS$4)</f>
        <v>1.0000000596046448</v>
      </c>
      <c r="AF243" s="44">
        <f ca="1">ABS(L243-(controls!$B$9/100)*100)</f>
        <v>1.1920928955078125E-7</v>
      </c>
      <c r="AH243" s="44">
        <f ca="1">IF(controls!$B$33=1,(B244-B243*AC244-I244+D243*AD244+'main page'!$K$27*('main page'!$K$24+'main page'!$K$11))/'main page'!$K$31,(B244-B243*AC244+D243*AD244-H244+'main page'!$K$27*('main page'!$K$24+'main page'!$K$11))/'main page'!$K$31)</f>
        <v>1</v>
      </c>
      <c r="AI243" s="44">
        <f ca="1">IF(controls!$B$45=1,LOG(AM243,1.01)+LOG(AL243,1.01)-LOG(AK243,1.01),-((T243-('main page'!$K$24+'main page'!$K$11))/(1-'normal case'!$AV$3))+'normal case'!AH243)</f>
        <v>2.0000000596046448</v>
      </c>
      <c r="AJ243" s="80">
        <f t="shared" ca="1" si="30"/>
        <v>1.0506250015463039</v>
      </c>
      <c r="AK243" s="44">
        <f t="shared" ca="1" si="31"/>
        <v>113.63118912900418</v>
      </c>
      <c r="AL243" s="44">
        <f>AL242*(1+'main page'!$K$32/100)</f>
        <v>1</v>
      </c>
      <c r="AM243" s="44">
        <f ca="1">IF(ABS(IF(controls!$B$45=1,$AS$13,AK243*AJ243/AL243)-AM242)&lt;0.00001,AM242,IF(controls!$B$45=1,$AS$13,AK243*AJ243/AL243))</f>
        <v>119.38376825436838</v>
      </c>
      <c r="AN243" s="44">
        <f>IF(controls!$B$46=0,0,IF(controls!$B$33=2,B244-B243*AC244-('normal case'!H244-D243*AD244-'main page'!$K$27*'normal case'!T243+'main page'!$K$31*'normal case'!AI243)-(('main page'!$K$25*'main page'!$U$13*'main page'!$K$29)/(1+('main page'!$K$25^2)*'main page'!$U$13))*('normal case'!L243-'main page'!$U$8),B244-B243*AC244-('normal case'!I244-D243*AD244-'main page'!$K$27*'normal case'!T243+'main page'!$K$31*'normal case'!AI243)-(('main page'!$K$25*'main page'!$U$13*'main page'!$K$29)/(1+('main page'!$K$25^2)*'main page'!$U$13))*('normal case'!L243-'main page'!$U$8)))</f>
        <v>0</v>
      </c>
      <c r="AU243" s="36"/>
      <c r="AV243" s="36"/>
    </row>
    <row r="244" spans="1:48">
      <c r="A244" s="43">
        <v>242</v>
      </c>
      <c r="B244" s="62">
        <f ca="1">IF(controls!$B$33=1,B243*(1+AC244)+AA244,B243*(1+AC244))</f>
        <v>101</v>
      </c>
      <c r="C244" s="67">
        <f t="shared" ca="1" si="32"/>
        <v>-1.5107707374006907E-7</v>
      </c>
      <c r="D244" s="64">
        <f t="shared" ca="1" si="28"/>
        <v>101.00000005960464</v>
      </c>
      <c r="E244" s="64">
        <f ca="1">AN243+IF(controls!$B$33=1,G244,F244)</f>
        <v>101.00000005960464</v>
      </c>
      <c r="F244" s="78">
        <f ca="1">IF(controls!$B$44=0,H244-'main page'!$K$27*T243,H244-'main page'!$K$27*T243+'main page'!$K$31*AI243)</f>
        <v>101.00000005960464</v>
      </c>
      <c r="G244" s="62">
        <f ca="1">IF(controls!$B$44=0,I244-'main page'!$K$27*T243,I244-'main page'!$K$27*T243+'main page'!$K$31*'normal case'!AI243)</f>
        <v>101.00000005960464</v>
      </c>
      <c r="H244" s="62">
        <f t="shared" ca="1" si="34"/>
        <v>108</v>
      </c>
      <c r="I244" s="62">
        <f t="shared" ca="1" si="35"/>
        <v>108</v>
      </c>
      <c r="L244" s="62">
        <f ca="1">IF(ABS('main page'!$K$29*L243+(1-'main page'!$K$29)*(controls!$B$9/100)*100+'main page'!$K$25*(D244-B244)-L243)&lt;0.0000001,L243,'main page'!$K$29*L243+(1-'main page'!$K$29)*(controls!$B$9/100)*100+'main page'!$K$25*(D244-B244))</f>
        <v>1.9999998807907104</v>
      </c>
      <c r="Q244" s="409">
        <f ca="1">(1-'main page'!$K$29)*($AS$11/100)*100+'main page'!$K$25*(D244-B244)</f>
        <v>5.9604644775390625E-8</v>
      </c>
      <c r="R244" s="409">
        <f>'main page'!G248+'main page'!$K$29*M243</f>
        <v>0</v>
      </c>
      <c r="S244" s="409">
        <f t="shared" ca="1" si="33"/>
        <v>5.9604644775390625E-8</v>
      </c>
      <c r="T244" s="79">
        <f ca="1">IF(controls!$B$10=1,T243,IF(SUM(controls!$B$44:$B$46)=2,U244-'main page'!$K$29*'normal case'!L244-(1-'main page'!$K$29)*'main page'!$K$32,U244-'main page'!$K$29*'normal case'!L244-(1-'main page'!$K$29)*controls!$B$9))</f>
        <v>3.4999999701976776</v>
      </c>
      <c r="U244" s="164">
        <f ca="1">IF(controls!$B$45=1,IF(controls!$B$46=1,'main page'!$K$24+'main page'!$K$11+'main page'!$U$8,'main page'!$K$24+'main page'!$K$11+'main page'!$K$32),IF(controls!$B$44=1,IF(V244&lt;0,0,V244),IF(V244+'main page'!$K$11&lt;0,0,V244+'main page'!$K$11)))</f>
        <v>5.4999998509883881</v>
      </c>
      <c r="V244" s="63">
        <f ca="1">IF(controls!$B$10=1,'normal case'!T244+'normal case'!L244,'normal case'!W244)</f>
        <v>5.4999998509883881</v>
      </c>
      <c r="W244" s="61">
        <f t="shared" ca="1" si="29"/>
        <v>5.4999998509883881</v>
      </c>
      <c r="X244" s="166">
        <f ca="1">IF(controls!$B$44=0,Y244+'main page'!$K$29*L244+(1-'main page'!$K$29)*controls!$B$9+(('main page'!$K$25*'main page'!$U$13*'main page'!$K$29)/('main page'!$K$27*(1+('main page'!$K$25^2)*'main page'!$U$13)))*(L244-controls!$B$9),Y244+'main page'!$K$29*L244+(1-'main page'!$K$29)*controls!$B$9+(('main page'!$K$25*'main page'!$U$13*'normal case'!$AV$3)/'normal case'!$AV$4)*('normal case'!L244-controls!$B$9))</f>
        <v>5.4999998509883881</v>
      </c>
      <c r="Y244" s="81">
        <f ca="1">IF(controls!$B$44=1,'main page'!$K$24+'main page'!$K$11,IF(controls!$B$33=1,((I245-D244*AD245-B245+B244*AC245)/'main page'!$K$27)-'main page'!$K$11,((H245-D244*AD245-B245+B244*AC245)/'main page'!$K$27)-'main page'!$K$11))</f>
        <v>3.5</v>
      </c>
      <c r="AA244" s="58">
        <f>IF(controls!$B$6=1,$AS$3*(1+('main page'!$K$35/100))^AB244-$AS$3*(1+('main page'!$K$35/100))^AB243,$AS$3*(1+('main page'!$G$8/100))*(1+('main page'!$K$35/100))^AB244-$AS$3*(1+('main page'!$G$8/100))*(1+('main page'!$K$35/100))^AB243)</f>
        <v>0</v>
      </c>
      <c r="AB244" s="60">
        <v>237</v>
      </c>
      <c r="AC244" s="125">
        <v>0</v>
      </c>
      <c r="AD244" s="36">
        <v>0</v>
      </c>
      <c r="AE244" s="44">
        <f ca="1">IF(controls!$B$33=1,D244-($I$3-'main page'!$K$27*2)*(1+('main page'!$K$35/100))^A243,D244-$AS$4)</f>
        <v>1.0000000596046448</v>
      </c>
      <c r="AF244" s="44">
        <f ca="1">ABS(L244-(controls!$B$9/100)*100)</f>
        <v>1.1920928955078125E-7</v>
      </c>
      <c r="AH244" s="44">
        <f ca="1">IF(controls!$B$33=1,(B245-B244*AC245-I245+D244*AD245+'main page'!$K$27*('main page'!$K$24+'main page'!$K$11))/'main page'!$K$31,(B245-B244*AC245+D244*AD245-H245+'main page'!$K$27*('main page'!$K$24+'main page'!$K$11))/'main page'!$K$31)</f>
        <v>1</v>
      </c>
      <c r="AI244" s="44">
        <f ca="1">IF(controls!$B$45=1,LOG(AM244,1.01)+LOG(AL244,1.01)-LOG(AK244,1.01),-((T244-('main page'!$K$24+'main page'!$K$11))/(1-'normal case'!$AV$3))+'normal case'!AH244)</f>
        <v>2.0000000596046448</v>
      </c>
      <c r="AJ244" s="80">
        <f t="shared" ca="1" si="30"/>
        <v>1.0506250015463039</v>
      </c>
      <c r="AK244" s="44">
        <f t="shared" ca="1" si="31"/>
        <v>115.90381277612533</v>
      </c>
      <c r="AL244" s="44">
        <f>AL243*(1+'main page'!$K$32/100)</f>
        <v>1</v>
      </c>
      <c r="AM244" s="44">
        <f ca="1">IF(ABS(IF(controls!$B$45=1,$AS$13,AK244*AJ244/AL244)-AM243)&lt;0.00001,AM243,IF(controls!$B$45=1,$AS$13,AK244*AJ244/AL244))</f>
        <v>121.7714434771392</v>
      </c>
      <c r="AN244" s="44">
        <f>IF(controls!$B$46=0,0,IF(controls!$B$33=2,B245-B244*AC245-('normal case'!H245-D244*AD245-'main page'!$K$27*'normal case'!T244+'main page'!$K$31*'normal case'!AI244)-(('main page'!$K$25*'main page'!$U$13*'main page'!$K$29)/(1+('main page'!$K$25^2)*'main page'!$U$13))*('normal case'!L244-'main page'!$U$8),B245-B244*AC245-('normal case'!I245-D244*AD245-'main page'!$K$27*'normal case'!T244+'main page'!$K$31*'normal case'!AI244)-(('main page'!$K$25*'main page'!$U$13*'main page'!$K$29)/(1+('main page'!$K$25^2)*'main page'!$U$13))*('normal case'!L244-'main page'!$U$8)))</f>
        <v>0</v>
      </c>
      <c r="AU244" s="36"/>
      <c r="AV244" s="36"/>
    </row>
    <row r="245" spans="1:48">
      <c r="A245" s="43">
        <v>243</v>
      </c>
      <c r="B245" s="62">
        <f ca="1">IF(controls!$B$33=1,B244*(1+AC245)+AA245,B244*(1+AC245))</f>
        <v>101</v>
      </c>
      <c r="C245" s="67">
        <f t="shared" ca="1" si="32"/>
        <v>-1.5107707374006907E-7</v>
      </c>
      <c r="D245" s="64">
        <f t="shared" ca="1" si="28"/>
        <v>101.00000005960464</v>
      </c>
      <c r="E245" s="64">
        <f ca="1">AN244+IF(controls!$B$33=1,G245,F245)</f>
        <v>101.00000005960464</v>
      </c>
      <c r="F245" s="78">
        <f ca="1">IF(controls!$B$44=0,H245-'main page'!$K$27*T244,H245-'main page'!$K$27*T244+'main page'!$K$31*AI244)</f>
        <v>101.00000005960464</v>
      </c>
      <c r="G245" s="62">
        <f ca="1">IF(controls!$B$44=0,I245-'main page'!$K$27*T244,I245-'main page'!$K$27*T244+'main page'!$K$31*'normal case'!AI244)</f>
        <v>101.00000005960464</v>
      </c>
      <c r="H245" s="62">
        <f t="shared" ca="1" si="34"/>
        <v>108</v>
      </c>
      <c r="I245" s="62">
        <f t="shared" ca="1" si="35"/>
        <v>108</v>
      </c>
      <c r="L245" s="62">
        <f ca="1">IF(ABS('main page'!$K$29*L244+(1-'main page'!$K$29)*(controls!$B$9/100)*100+'main page'!$K$25*(D245-B245)-L244)&lt;0.0000001,L244,'main page'!$K$29*L244+(1-'main page'!$K$29)*(controls!$B$9/100)*100+'main page'!$K$25*(D245-B245))</f>
        <v>1.9999998807907104</v>
      </c>
      <c r="Q245" s="409">
        <f ca="1">(1-'main page'!$K$29)*($AS$11/100)*100+'main page'!$K$25*(D245-B245)</f>
        <v>5.9604644775390625E-8</v>
      </c>
      <c r="R245" s="409">
        <f>'main page'!G249+'main page'!$K$29*M244</f>
        <v>0</v>
      </c>
      <c r="S245" s="409">
        <f t="shared" ca="1" si="33"/>
        <v>5.9604644775390625E-8</v>
      </c>
      <c r="T245" s="79">
        <f ca="1">IF(controls!$B$10=1,T244,IF(SUM(controls!$B$44:$B$46)=2,U245-'main page'!$K$29*'normal case'!L245-(1-'main page'!$K$29)*'main page'!$K$32,U245-'main page'!$K$29*'normal case'!L245-(1-'main page'!$K$29)*controls!$B$9))</f>
        <v>3.4999999701976776</v>
      </c>
      <c r="U245" s="164">
        <f ca="1">IF(controls!$B$45=1,IF(controls!$B$46=1,'main page'!$K$24+'main page'!$K$11+'main page'!$U$8,'main page'!$K$24+'main page'!$K$11+'main page'!$K$32),IF(controls!$B$44=1,IF(V245&lt;0,0,V245),IF(V245+'main page'!$K$11&lt;0,0,V245+'main page'!$K$11)))</f>
        <v>5.4999998509883881</v>
      </c>
      <c r="V245" s="63">
        <f ca="1">IF(controls!$B$10=1,'normal case'!T245+'normal case'!L245,'normal case'!W245)</f>
        <v>5.4999998509883881</v>
      </c>
      <c r="W245" s="61">
        <f t="shared" ca="1" si="29"/>
        <v>5.4999998509883881</v>
      </c>
      <c r="X245" s="166">
        <f ca="1">IF(controls!$B$44=0,Y245+'main page'!$K$29*L245+(1-'main page'!$K$29)*controls!$B$9+(('main page'!$K$25*'main page'!$U$13*'main page'!$K$29)/('main page'!$K$27*(1+('main page'!$K$25^2)*'main page'!$U$13)))*(L245-controls!$B$9),Y245+'main page'!$K$29*L245+(1-'main page'!$K$29)*controls!$B$9+(('main page'!$K$25*'main page'!$U$13*'normal case'!$AV$3)/'normal case'!$AV$4)*('normal case'!L245-controls!$B$9))</f>
        <v>5.4999998509883881</v>
      </c>
      <c r="Y245" s="81">
        <f ca="1">IF(controls!$B$44=1,'main page'!$K$24+'main page'!$K$11,IF(controls!$B$33=1,((I246-D245*AD246-B246+B245*AC246)/'main page'!$K$27)-'main page'!$K$11,((H246-D245*AD246-B246+B245*AC246)/'main page'!$K$27)-'main page'!$K$11))</f>
        <v>3.5</v>
      </c>
      <c r="AA245" s="58">
        <f>IF(controls!$B$6=1,$AS$3*(1+('main page'!$K$35/100))^AB245-$AS$3*(1+('main page'!$K$35/100))^AB244,$AS$3*(1+('main page'!$G$8/100))*(1+('main page'!$K$35/100))^AB245-$AS$3*(1+('main page'!$G$8/100))*(1+('main page'!$K$35/100))^AB244)</f>
        <v>0</v>
      </c>
      <c r="AB245" s="60">
        <v>238</v>
      </c>
      <c r="AC245" s="125">
        <f ca="1">IF(controls!$B$4=1,IF(controls!$H244=1,controls!$B$34*AC244+RAND()*('main page'!$K$16/100)-RAND()*('main page'!$K$16/100),0),0)</f>
        <v>0</v>
      </c>
      <c r="AD245" s="36">
        <f ca="1">IF(controls!$B$4=1,IF(controls!$I244=1,controls!$B$34*AD244+RAND()*('main page'!$K$16/100)-RAND()*('main page'!$K$16/100),0),0)</f>
        <v>0</v>
      </c>
      <c r="AE245" s="44">
        <f ca="1">IF(controls!$B$33=1,D245-($I$3-'main page'!$K$27*2)*(1+('main page'!$K$35/100))^A244,D245-$AS$4)</f>
        <v>1.0000000596046448</v>
      </c>
      <c r="AF245" s="44">
        <f ca="1">ABS(L245-(controls!$B$9/100)*100)</f>
        <v>1.1920928955078125E-7</v>
      </c>
      <c r="AH245" s="44">
        <f ca="1">IF(controls!$B$33=1,(B246-B245*AC246-I246+D245*AD246+'main page'!$K$27*('main page'!$K$24+'main page'!$K$11))/'main page'!$K$31,(B246-B245*AC246+D245*AD246-H246+'main page'!$K$27*('main page'!$K$24+'main page'!$K$11))/'main page'!$K$31)</f>
        <v>1</v>
      </c>
      <c r="AI245" s="44">
        <f ca="1">IF(controls!$B$45=1,LOG(AM245,1.01)+LOG(AL245,1.01)-LOG(AK245,1.01),-((T245-('main page'!$K$24+'main page'!$K$11))/(1-'normal case'!$AV$3))+'normal case'!AH245)</f>
        <v>2.0000000596046448</v>
      </c>
      <c r="AJ245" s="80">
        <f t="shared" ca="1" si="30"/>
        <v>1.0506250015463039</v>
      </c>
      <c r="AK245" s="44">
        <f t="shared" ca="1" si="31"/>
        <v>118.22188889347973</v>
      </c>
      <c r="AL245" s="44">
        <f>AL244*(1+'main page'!$K$32/100)</f>
        <v>1</v>
      </c>
      <c r="AM245" s="44">
        <f ca="1">IF(ABS(IF(controls!$B$45=1,$AS$13,AK245*AJ245/AL245)-AM244)&lt;0.00001,AM244,IF(controls!$B$45=1,$AS$13,AK245*AJ245/AL245))</f>
        <v>124.2068722015191</v>
      </c>
      <c r="AN245" s="44">
        <f>IF(controls!$B$46=0,0,IF(controls!$B$33=2,B246-B245*AC246-('normal case'!H246-D245*AD246-'main page'!$K$27*'normal case'!T245+'main page'!$K$31*'normal case'!AI245)-(('main page'!$K$25*'main page'!$U$13*'main page'!$K$29)/(1+('main page'!$K$25^2)*'main page'!$U$13))*('normal case'!L245-'main page'!$U$8),B246-B245*AC246-('normal case'!I246-D245*AD246-'main page'!$K$27*'normal case'!T245+'main page'!$K$31*'normal case'!AI245)-(('main page'!$K$25*'main page'!$U$13*'main page'!$K$29)/(1+('main page'!$K$25^2)*'main page'!$U$13))*('normal case'!L245-'main page'!$U$8)))</f>
        <v>0</v>
      </c>
      <c r="AU245" s="36"/>
      <c r="AV245" s="36"/>
    </row>
    <row r="246" spans="1:48">
      <c r="A246" s="43">
        <v>244</v>
      </c>
      <c r="B246" s="62">
        <f ca="1">IF(controls!$B$33=1,B245*(1+AC246)+AA246,B245*(1+AC246))</f>
        <v>101</v>
      </c>
      <c r="C246" s="67">
        <f t="shared" ca="1" si="32"/>
        <v>-1.5107707374006907E-7</v>
      </c>
      <c r="D246" s="64">
        <f t="shared" ca="1" si="28"/>
        <v>101.00000005960464</v>
      </c>
      <c r="E246" s="64">
        <f ca="1">AN245+IF(controls!$B$33=1,G246,F246)</f>
        <v>101.00000005960464</v>
      </c>
      <c r="F246" s="78">
        <f ca="1">IF(controls!$B$44=0,H246-'main page'!$K$27*T245,H246-'main page'!$K$27*T245+'main page'!$K$31*AI245)</f>
        <v>101.00000005960464</v>
      </c>
      <c r="G246" s="62">
        <f ca="1">IF(controls!$B$44=0,I246-'main page'!$K$27*T245,I246-'main page'!$K$27*T245+'main page'!$K$31*'normal case'!AI245)</f>
        <v>101.00000005960464</v>
      </c>
      <c r="H246" s="62">
        <f t="shared" ca="1" si="34"/>
        <v>108</v>
      </c>
      <c r="I246" s="62">
        <f t="shared" ca="1" si="35"/>
        <v>108</v>
      </c>
      <c r="L246" s="62">
        <f ca="1">IF(ABS('main page'!$K$29*L245+(1-'main page'!$K$29)*(controls!$B$9/100)*100+'main page'!$K$25*(D246-B246)-L245)&lt;0.0000001,L245,'main page'!$K$29*L245+(1-'main page'!$K$29)*(controls!$B$9/100)*100+'main page'!$K$25*(D246-B246))</f>
        <v>1.9999998807907104</v>
      </c>
      <c r="Q246" s="409">
        <f ca="1">(1-'main page'!$K$29)*($AS$11/100)*100+'main page'!$K$25*(D246-B246)</f>
        <v>5.9604644775390625E-8</v>
      </c>
      <c r="R246" s="409">
        <f>'main page'!G250+'main page'!$K$29*M245</f>
        <v>0</v>
      </c>
      <c r="S246" s="409">
        <f t="shared" ca="1" si="33"/>
        <v>5.9604644775390625E-8</v>
      </c>
      <c r="T246" s="79">
        <f ca="1">IF(controls!$B$10=1,T245,IF(SUM(controls!$B$44:$B$46)=2,U246-'main page'!$K$29*'normal case'!L246-(1-'main page'!$K$29)*'main page'!$K$32,U246-'main page'!$K$29*'normal case'!L246-(1-'main page'!$K$29)*controls!$B$9))</f>
        <v>3.4999999701976776</v>
      </c>
      <c r="U246" s="164">
        <f ca="1">IF(controls!$B$45=1,IF(controls!$B$46=1,'main page'!$K$24+'main page'!$K$11+'main page'!$U$8,'main page'!$K$24+'main page'!$K$11+'main page'!$K$32),IF(controls!$B$44=1,IF(V246&lt;0,0,V246),IF(V246+'main page'!$K$11&lt;0,0,V246+'main page'!$K$11)))</f>
        <v>5.4999998509883881</v>
      </c>
      <c r="V246" s="63">
        <f ca="1">IF(controls!$B$10=1,'normal case'!T246+'normal case'!L246,'normal case'!W246)</f>
        <v>5.4999998509883881</v>
      </c>
      <c r="W246" s="61">
        <f t="shared" ca="1" si="29"/>
        <v>5.4999998509883881</v>
      </c>
      <c r="X246" s="166">
        <f ca="1">IF(controls!$B$44=0,Y246+'main page'!$K$29*L246+(1-'main page'!$K$29)*controls!$B$9+(('main page'!$K$25*'main page'!$U$13*'main page'!$K$29)/('main page'!$K$27*(1+('main page'!$K$25^2)*'main page'!$U$13)))*(L246-controls!$B$9),Y246+'main page'!$K$29*L246+(1-'main page'!$K$29)*controls!$B$9+(('main page'!$K$25*'main page'!$U$13*'normal case'!$AV$3)/'normal case'!$AV$4)*('normal case'!L246-controls!$B$9))</f>
        <v>5.4999998509883881</v>
      </c>
      <c r="Y246" s="81">
        <f ca="1">IF(controls!$B$44=1,'main page'!$K$24+'main page'!$K$11,IF(controls!$B$33=1,((I247-D246*AD247-B247+B246*AC247)/'main page'!$K$27)-'main page'!$K$11,((H247-D246*AD247-B247+B246*AC247)/'main page'!$K$27)-'main page'!$K$11))</f>
        <v>3.5</v>
      </c>
      <c r="AA246" s="58">
        <f>IF(controls!$B$6=1,$AS$3*(1+('main page'!$K$35/100))^AB246-$AS$3*(1+('main page'!$K$35/100))^AB245,$AS$3*(1+('main page'!$G$8/100))*(1+('main page'!$K$35/100))^AB246-$AS$3*(1+('main page'!$G$8/100))*(1+('main page'!$K$35/100))^AB245)</f>
        <v>0</v>
      </c>
      <c r="AB246" s="60">
        <v>239</v>
      </c>
      <c r="AC246" s="125">
        <v>0</v>
      </c>
      <c r="AD246" s="36">
        <v>0</v>
      </c>
      <c r="AE246" s="44">
        <f ca="1">IF(controls!$B$33=1,D246-($I$3-'main page'!$K$27*2)*(1+('main page'!$K$35/100))^A245,D246-$AS$4)</f>
        <v>1.0000000596046448</v>
      </c>
      <c r="AF246" s="44">
        <f ca="1">ABS(L246-(controls!$B$9/100)*100)</f>
        <v>1.1920928955078125E-7</v>
      </c>
      <c r="AH246" s="44">
        <f ca="1">IF(controls!$B$33=1,(B247-B246*AC247-I247+D246*AD247+'main page'!$K$27*('main page'!$K$24+'main page'!$K$11))/'main page'!$K$31,(B247-B246*AC247+D246*AD247-H247+'main page'!$K$27*('main page'!$K$24+'main page'!$K$11))/'main page'!$K$31)</f>
        <v>1</v>
      </c>
      <c r="AI246" s="44">
        <f ca="1">IF(controls!$B$45=1,LOG(AM246,1.01)+LOG(AL246,1.01)-LOG(AK246,1.01),-((T246-('main page'!$K$24+'main page'!$K$11))/(1-'normal case'!$AV$3))+'normal case'!AH246)</f>
        <v>2.0000000596046448</v>
      </c>
      <c r="AJ246" s="80">
        <f t="shared" ca="1" si="30"/>
        <v>1.0506250015463039</v>
      </c>
      <c r="AK246" s="44">
        <f t="shared" ca="1" si="31"/>
        <v>120.58632653041785</v>
      </c>
      <c r="AL246" s="44">
        <f>AL245*(1+'main page'!$K$32/100)</f>
        <v>1</v>
      </c>
      <c r="AM246" s="44">
        <f ca="1">IF(ABS(IF(controls!$B$45=1,$AS$13,AK246*AJ246/AL246)-AM245)&lt;0.00001,AM245,IF(controls!$B$45=1,$AS$13,AK246*AJ246/AL246))</f>
        <v>126.69100949748336</v>
      </c>
      <c r="AN246" s="44">
        <f>IF(controls!$B$46=0,0,IF(controls!$B$33=2,B247-B246*AC247-('normal case'!H247-D246*AD247-'main page'!$K$27*'normal case'!T246+'main page'!$K$31*'normal case'!AI246)-(('main page'!$K$25*'main page'!$U$13*'main page'!$K$29)/(1+('main page'!$K$25^2)*'main page'!$U$13))*('normal case'!L246-'main page'!$U$8),B247-B246*AC247-('normal case'!I247-D246*AD247-'main page'!$K$27*'normal case'!T246+'main page'!$K$31*'normal case'!AI246)-(('main page'!$K$25*'main page'!$U$13*'main page'!$K$29)/(1+('main page'!$K$25^2)*'main page'!$U$13))*('normal case'!L246-'main page'!$U$8)))</f>
        <v>0</v>
      </c>
      <c r="AU246" s="36"/>
      <c r="AV246" s="36"/>
    </row>
    <row r="247" spans="1:48">
      <c r="A247" s="43">
        <v>245</v>
      </c>
      <c r="B247" s="62">
        <f ca="1">IF(controls!$B$33=1,B246*(1+AC247)+AA247,B246*(1+AC247))</f>
        <v>101</v>
      </c>
      <c r="C247" s="67">
        <f t="shared" ca="1" si="32"/>
        <v>-1.5107707374006907E-7</v>
      </c>
      <c r="D247" s="64">
        <f t="shared" ca="1" si="28"/>
        <v>101.00000005960464</v>
      </c>
      <c r="E247" s="64">
        <f ca="1">AN246+IF(controls!$B$33=1,G247,F247)</f>
        <v>101.00000005960464</v>
      </c>
      <c r="F247" s="78">
        <f ca="1">IF(controls!$B$44=0,H247-'main page'!$K$27*T246,H247-'main page'!$K$27*T246+'main page'!$K$31*AI246)</f>
        <v>101.00000005960464</v>
      </c>
      <c r="G247" s="62">
        <f ca="1">IF(controls!$B$44=0,I247-'main page'!$K$27*T246,I247-'main page'!$K$27*T246+'main page'!$K$31*'normal case'!AI246)</f>
        <v>101.00000005960464</v>
      </c>
      <c r="H247" s="62">
        <f t="shared" ca="1" si="34"/>
        <v>108</v>
      </c>
      <c r="I247" s="62">
        <f t="shared" ca="1" si="35"/>
        <v>108</v>
      </c>
      <c r="L247" s="62">
        <f ca="1">IF(ABS('main page'!$K$29*L246+(1-'main page'!$K$29)*(controls!$B$9/100)*100+'main page'!$K$25*(D247-B247)-L246)&lt;0.0000001,L246,'main page'!$K$29*L246+(1-'main page'!$K$29)*(controls!$B$9/100)*100+'main page'!$K$25*(D247-B247))</f>
        <v>1.9999998807907104</v>
      </c>
      <c r="Q247" s="409">
        <f ca="1">(1-'main page'!$K$29)*($AS$11/100)*100+'main page'!$K$25*(D247-B247)</f>
        <v>5.9604644775390625E-8</v>
      </c>
      <c r="R247" s="409">
        <f>'main page'!G251+'main page'!$K$29*M246</f>
        <v>0</v>
      </c>
      <c r="S247" s="409">
        <f t="shared" ca="1" si="33"/>
        <v>5.9604644775390625E-8</v>
      </c>
      <c r="T247" s="79">
        <f ca="1">IF(controls!$B$10=1,T246,IF(SUM(controls!$B$44:$B$46)=2,U247-'main page'!$K$29*'normal case'!L247-(1-'main page'!$K$29)*'main page'!$K$32,U247-'main page'!$K$29*'normal case'!L247-(1-'main page'!$K$29)*controls!$B$9))</f>
        <v>3.4999999701976776</v>
      </c>
      <c r="U247" s="164">
        <f ca="1">IF(controls!$B$45=1,IF(controls!$B$46=1,'main page'!$K$24+'main page'!$K$11+'main page'!$U$8,'main page'!$K$24+'main page'!$K$11+'main page'!$K$32),IF(controls!$B$44=1,IF(V247&lt;0,0,V247),IF(V247+'main page'!$K$11&lt;0,0,V247+'main page'!$K$11)))</f>
        <v>5.4999998509883881</v>
      </c>
      <c r="V247" s="63">
        <f ca="1">IF(controls!$B$10=1,'normal case'!T247+'normal case'!L247,'normal case'!W247)</f>
        <v>5.4999998509883881</v>
      </c>
      <c r="W247" s="61">
        <f t="shared" ca="1" si="29"/>
        <v>5.4999998509883881</v>
      </c>
      <c r="X247" s="166">
        <f ca="1">IF(controls!$B$44=0,Y247+'main page'!$K$29*L247+(1-'main page'!$K$29)*controls!$B$9+(('main page'!$K$25*'main page'!$U$13*'main page'!$K$29)/('main page'!$K$27*(1+('main page'!$K$25^2)*'main page'!$U$13)))*(L247-controls!$B$9),Y247+'main page'!$K$29*L247+(1-'main page'!$K$29)*controls!$B$9+(('main page'!$K$25*'main page'!$U$13*'normal case'!$AV$3)/'normal case'!$AV$4)*('normal case'!L247-controls!$B$9))</f>
        <v>5.4999998509883881</v>
      </c>
      <c r="Y247" s="81">
        <f ca="1">IF(controls!$B$44=1,'main page'!$K$24+'main page'!$K$11,IF(controls!$B$33=1,((I248-D247*AD248-B248+B247*AC248)/'main page'!$K$27)-'main page'!$K$11,((H248-D247*AD248-B248+B247*AC248)/'main page'!$K$27)-'main page'!$K$11))</f>
        <v>3.5</v>
      </c>
      <c r="AA247" s="58">
        <f>IF(controls!$B$6=1,$AS$3*(1+('main page'!$K$35/100))^AB247-$AS$3*(1+('main page'!$K$35/100))^AB246,$AS$3*(1+('main page'!$G$8/100))*(1+('main page'!$K$35/100))^AB247-$AS$3*(1+('main page'!$G$8/100))*(1+('main page'!$K$35/100))^AB246)</f>
        <v>0</v>
      </c>
      <c r="AB247" s="60">
        <v>240</v>
      </c>
      <c r="AC247" s="125">
        <v>0</v>
      </c>
      <c r="AD247" s="36">
        <v>0</v>
      </c>
      <c r="AE247" s="44">
        <f ca="1">IF(controls!$B$33=1,D247-($I$3-'main page'!$K$27*2)*(1+('main page'!$K$35/100))^A246,D247-$AS$4)</f>
        <v>1.0000000596046448</v>
      </c>
      <c r="AF247" s="44">
        <f ca="1">ABS(L247-(controls!$B$9/100)*100)</f>
        <v>1.1920928955078125E-7</v>
      </c>
      <c r="AH247" s="44">
        <f ca="1">IF(controls!$B$33=1,(B248-B247*AC248-I248+D247*AD248+'main page'!$K$27*('main page'!$K$24+'main page'!$K$11))/'main page'!$K$31,(B248-B247*AC248+D247*AD248-H248+'main page'!$K$27*('main page'!$K$24+'main page'!$K$11))/'main page'!$K$31)</f>
        <v>1</v>
      </c>
      <c r="AI247" s="44">
        <f ca="1">IF(controls!$B$45=1,LOG(AM247,1.01)+LOG(AL247,1.01)-LOG(AK247,1.01),-((T247-('main page'!$K$24+'main page'!$K$11))/(1-'normal case'!$AV$3))+'normal case'!AH247)</f>
        <v>2.0000000596046448</v>
      </c>
      <c r="AJ247" s="80">
        <f t="shared" ca="1" si="30"/>
        <v>1.0506250015463039</v>
      </c>
      <c r="AK247" s="44">
        <f t="shared" ca="1" si="31"/>
        <v>122.99805291727611</v>
      </c>
      <c r="AL247" s="44">
        <f>AL246*(1+'main page'!$K$32/100)</f>
        <v>1</v>
      </c>
      <c r="AM247" s="44">
        <f ca="1">IF(ABS(IF(controls!$B$45=1,$AS$13,AK247*AJ247/AL247)-AM246)&lt;0.00001,AM246,IF(controls!$B$45=1,$AS$13,AK247*AJ247/AL247))</f>
        <v>129.22482953640559</v>
      </c>
      <c r="AN247" s="44">
        <f>IF(controls!$B$46=0,0,IF(controls!$B$33=2,B248-B247*AC248-('normal case'!H248-D247*AD248-'main page'!$K$27*'normal case'!T247+'main page'!$K$31*'normal case'!AI247)-(('main page'!$K$25*'main page'!$U$13*'main page'!$K$29)/(1+('main page'!$K$25^2)*'main page'!$U$13))*('normal case'!L247-'main page'!$U$8),B248-B247*AC248-('normal case'!I248-D247*AD248-'main page'!$K$27*'normal case'!T247+'main page'!$K$31*'normal case'!AI247)-(('main page'!$K$25*'main page'!$U$13*'main page'!$K$29)/(1+('main page'!$K$25^2)*'main page'!$U$13))*('normal case'!L247-'main page'!$U$8)))</f>
        <v>0</v>
      </c>
      <c r="AU247" s="36"/>
      <c r="AV247" s="36"/>
    </row>
    <row r="248" spans="1:48">
      <c r="A248" s="43">
        <v>246</v>
      </c>
      <c r="B248" s="62">
        <f ca="1">IF(controls!$B$33=1,B247*(1+AC248)+AA248,B247*(1+AC248))</f>
        <v>101</v>
      </c>
      <c r="C248" s="67">
        <f t="shared" ca="1" si="32"/>
        <v>-1.5107707374006907E-7</v>
      </c>
      <c r="D248" s="64">
        <f t="shared" ca="1" si="28"/>
        <v>101.00000005960464</v>
      </c>
      <c r="E248" s="64">
        <f ca="1">AN247+IF(controls!$B$33=1,G248,F248)</f>
        <v>101.00000005960464</v>
      </c>
      <c r="F248" s="78">
        <f ca="1">IF(controls!$B$44=0,H248-'main page'!$K$27*T247,H248-'main page'!$K$27*T247+'main page'!$K$31*AI247)</f>
        <v>101.00000005960464</v>
      </c>
      <c r="G248" s="62">
        <f ca="1">IF(controls!$B$44=0,I248-'main page'!$K$27*T247,I248-'main page'!$K$27*T247+'main page'!$K$31*'normal case'!AI247)</f>
        <v>101.00000005960464</v>
      </c>
      <c r="H248" s="62">
        <f t="shared" ca="1" si="34"/>
        <v>108</v>
      </c>
      <c r="I248" s="62">
        <f t="shared" ca="1" si="35"/>
        <v>108</v>
      </c>
      <c r="L248" s="62">
        <f ca="1">IF(ABS('main page'!$K$29*L247+(1-'main page'!$K$29)*(controls!$B$9/100)*100+'main page'!$K$25*(D248-B248)-L247)&lt;0.0000001,L247,'main page'!$K$29*L247+(1-'main page'!$K$29)*(controls!$B$9/100)*100+'main page'!$K$25*(D248-B248))</f>
        <v>1.9999998807907104</v>
      </c>
      <c r="Q248" s="409">
        <f ca="1">(1-'main page'!$K$29)*($AS$11/100)*100+'main page'!$K$25*(D248-B248)</f>
        <v>5.9604644775390625E-8</v>
      </c>
      <c r="R248" s="409">
        <f>'main page'!G252+'main page'!$K$29*M247</f>
        <v>0</v>
      </c>
      <c r="S248" s="409">
        <f t="shared" ca="1" si="33"/>
        <v>5.9604644775390625E-8</v>
      </c>
      <c r="T248" s="79">
        <f ca="1">IF(controls!$B$10=1,T247,IF(SUM(controls!$B$44:$B$46)=2,U248-'main page'!$K$29*'normal case'!L248-(1-'main page'!$K$29)*'main page'!$K$32,U248-'main page'!$K$29*'normal case'!L248-(1-'main page'!$K$29)*controls!$B$9))</f>
        <v>3.4999999701976776</v>
      </c>
      <c r="U248" s="164">
        <f ca="1">IF(controls!$B$45=1,IF(controls!$B$46=1,'main page'!$K$24+'main page'!$K$11+'main page'!$U$8,'main page'!$K$24+'main page'!$K$11+'main page'!$K$32),IF(controls!$B$44=1,IF(V248&lt;0,0,V248),IF(V248+'main page'!$K$11&lt;0,0,V248+'main page'!$K$11)))</f>
        <v>5.4999998509883881</v>
      </c>
      <c r="V248" s="63">
        <f ca="1">IF(controls!$B$10=1,'normal case'!T248+'normal case'!L248,'normal case'!W248)</f>
        <v>5.4999998509883881</v>
      </c>
      <c r="W248" s="61">
        <f t="shared" ca="1" si="29"/>
        <v>5.4999998509883881</v>
      </c>
      <c r="X248" s="166">
        <f ca="1">IF(controls!$B$44=0,Y248+'main page'!$K$29*L248+(1-'main page'!$K$29)*controls!$B$9+(('main page'!$K$25*'main page'!$U$13*'main page'!$K$29)/('main page'!$K$27*(1+('main page'!$K$25^2)*'main page'!$U$13)))*(L248-controls!$B$9),Y248+'main page'!$K$29*L248+(1-'main page'!$K$29)*controls!$B$9+(('main page'!$K$25*'main page'!$U$13*'normal case'!$AV$3)/'normal case'!$AV$4)*('normal case'!L248-controls!$B$9))</f>
        <v>5.4999998509883881</v>
      </c>
      <c r="Y248" s="81">
        <f ca="1">IF(controls!$B$44=1,'main page'!$K$24+'main page'!$K$11,IF(controls!$B$33=1,((I249-D248*AD249-B249+B248*AC249)/'main page'!$K$27)-'main page'!$K$11,((H249-D248*AD249-B249+B248*AC249)/'main page'!$K$27)-'main page'!$K$11))</f>
        <v>3.5</v>
      </c>
      <c r="AA248" s="58">
        <f>IF(controls!$B$6=1,$AS$3*(1+('main page'!$K$35/100))^AB248-$AS$3*(1+('main page'!$K$35/100))^AB247,$AS$3*(1+('main page'!$G$8/100))*(1+('main page'!$K$35/100))^AB248-$AS$3*(1+('main page'!$G$8/100))*(1+('main page'!$K$35/100))^AB247)</f>
        <v>0</v>
      </c>
      <c r="AB248" s="60">
        <v>241</v>
      </c>
      <c r="AC248" s="125">
        <f ca="1">IF(controls!$B$4=1,IF(controls!$H247=1,controls!$B$34*AC247+RAND()*('main page'!$K$16/100)-RAND()*('main page'!$K$16/100),0),0)</f>
        <v>0</v>
      </c>
      <c r="AD248" s="36">
        <f ca="1">IF(controls!$B$4=1,IF(controls!$I247=1,controls!$B$34*AD247+RAND()*('main page'!$K$16/100)-RAND()*('main page'!$K$16/100),0),0)</f>
        <v>0</v>
      </c>
      <c r="AE248" s="44">
        <f ca="1">IF(controls!$B$33=1,D248-($I$3-'main page'!$K$27*2)*(1+('main page'!$K$35/100))^A247,D248-$AS$4)</f>
        <v>1.0000000596046448</v>
      </c>
      <c r="AF248" s="44">
        <f ca="1">ABS(L248-(controls!$B$9/100)*100)</f>
        <v>1.1920928955078125E-7</v>
      </c>
      <c r="AH248" s="44">
        <f ca="1">IF(controls!$B$33=1,(B249-B248*AC249-I249+D248*AD249+'main page'!$K$27*('main page'!$K$24+'main page'!$K$11))/'main page'!$K$31,(B249-B248*AC249+D248*AD249-H249+'main page'!$K$27*('main page'!$K$24+'main page'!$K$11))/'main page'!$K$31)</f>
        <v>1</v>
      </c>
      <c r="AI248" s="44">
        <f ca="1">IF(controls!$B$45=1,LOG(AM248,1.01)+LOG(AL248,1.01)-LOG(AK248,1.01),-((T248-('main page'!$K$24+'main page'!$K$11))/(1-'normal case'!$AV$3))+'normal case'!AH248)</f>
        <v>2.0000000596046448</v>
      </c>
      <c r="AJ248" s="80">
        <f t="shared" ca="1" si="30"/>
        <v>1.0506250015463039</v>
      </c>
      <c r="AK248" s="44">
        <f t="shared" ca="1" si="31"/>
        <v>125.45801382899654</v>
      </c>
      <c r="AL248" s="44">
        <f>AL247*(1+'main page'!$K$32/100)</f>
        <v>1</v>
      </c>
      <c r="AM248" s="44">
        <f ca="1">IF(ABS(IF(controls!$B$45=1,$AS$13,AK248*AJ248/AL248)-AM247)&lt;0.00001,AM247,IF(controls!$B$45=1,$AS$13,AK248*AJ248/AL248))</f>
        <v>131.80932597308572</v>
      </c>
      <c r="AN248" s="44">
        <f>IF(controls!$B$46=0,0,IF(controls!$B$33=2,B249-B248*AC249-('normal case'!H249-D248*AD249-'main page'!$K$27*'normal case'!T248+'main page'!$K$31*'normal case'!AI248)-(('main page'!$K$25*'main page'!$U$13*'main page'!$K$29)/(1+('main page'!$K$25^2)*'main page'!$U$13))*('normal case'!L248-'main page'!$U$8),B249-B248*AC249-('normal case'!I249-D248*AD249-'main page'!$K$27*'normal case'!T248+'main page'!$K$31*'normal case'!AI248)-(('main page'!$K$25*'main page'!$U$13*'main page'!$K$29)/(1+('main page'!$K$25^2)*'main page'!$U$13))*('normal case'!L248-'main page'!$U$8)))</f>
        <v>0</v>
      </c>
      <c r="AU248" s="36"/>
      <c r="AV248" s="36"/>
    </row>
    <row r="249" spans="1:48">
      <c r="A249" s="43">
        <v>247</v>
      </c>
      <c r="B249" s="62">
        <f ca="1">IF(controls!$B$33=1,B248*(1+AC249)+AA249,B248*(1+AC249))</f>
        <v>101</v>
      </c>
      <c r="C249" s="67">
        <f t="shared" ca="1" si="32"/>
        <v>-1.5107707374006907E-7</v>
      </c>
      <c r="D249" s="64">
        <f t="shared" ca="1" si="28"/>
        <v>101.00000005960464</v>
      </c>
      <c r="E249" s="64">
        <f ca="1">AN248+IF(controls!$B$33=1,G249,F249)</f>
        <v>101.00000005960464</v>
      </c>
      <c r="F249" s="78">
        <f ca="1">IF(controls!$B$44=0,H249-'main page'!$K$27*T248,H249-'main page'!$K$27*T248+'main page'!$K$31*AI248)</f>
        <v>101.00000005960464</v>
      </c>
      <c r="G249" s="62">
        <f ca="1">IF(controls!$B$44=0,I249-'main page'!$K$27*T248,I249-'main page'!$K$27*T248+'main page'!$K$31*'normal case'!AI248)</f>
        <v>101.00000005960464</v>
      </c>
      <c r="H249" s="62">
        <f t="shared" ca="1" si="34"/>
        <v>108</v>
      </c>
      <c r="I249" s="62">
        <f t="shared" ca="1" si="35"/>
        <v>108</v>
      </c>
      <c r="L249" s="62">
        <f ca="1">IF(ABS('main page'!$K$29*L248+(1-'main page'!$K$29)*(controls!$B$9/100)*100+'main page'!$K$25*(D249-B249)-L248)&lt;0.0000001,L248,'main page'!$K$29*L248+(1-'main page'!$K$29)*(controls!$B$9/100)*100+'main page'!$K$25*(D249-B249))</f>
        <v>1.9999998807907104</v>
      </c>
      <c r="Q249" s="409">
        <f ca="1">(1-'main page'!$K$29)*($AS$11/100)*100+'main page'!$K$25*(D249-B249)</f>
        <v>5.9604644775390625E-8</v>
      </c>
      <c r="R249" s="409">
        <f>'main page'!G253+'main page'!$K$29*M248</f>
        <v>0</v>
      </c>
      <c r="S249" s="409">
        <f t="shared" ca="1" si="33"/>
        <v>5.9604644775390625E-8</v>
      </c>
      <c r="T249" s="79">
        <f ca="1">IF(controls!$B$10=1,T248,IF(SUM(controls!$B$44:$B$46)=2,U249-'main page'!$K$29*'normal case'!L249-(1-'main page'!$K$29)*'main page'!$K$32,U249-'main page'!$K$29*'normal case'!L249-(1-'main page'!$K$29)*controls!$B$9))</f>
        <v>3.4999999701976776</v>
      </c>
      <c r="U249" s="164">
        <f ca="1">IF(controls!$B$45=1,IF(controls!$B$46=1,'main page'!$K$24+'main page'!$K$11+'main page'!$U$8,'main page'!$K$24+'main page'!$K$11+'main page'!$K$32),IF(controls!$B$44=1,IF(V249&lt;0,0,V249),IF(V249+'main page'!$K$11&lt;0,0,V249+'main page'!$K$11)))</f>
        <v>5.4999998509883881</v>
      </c>
      <c r="V249" s="63">
        <f ca="1">IF(controls!$B$10=1,'normal case'!T249+'normal case'!L249,'normal case'!W249)</f>
        <v>5.4999998509883881</v>
      </c>
      <c r="W249" s="61">
        <f t="shared" ca="1" si="29"/>
        <v>5.4999998509883881</v>
      </c>
      <c r="X249" s="166">
        <f ca="1">IF(controls!$B$44=0,Y249+'main page'!$K$29*L249+(1-'main page'!$K$29)*controls!$B$9+(('main page'!$K$25*'main page'!$U$13*'main page'!$K$29)/('main page'!$K$27*(1+('main page'!$K$25^2)*'main page'!$U$13)))*(L249-controls!$B$9),Y249+'main page'!$K$29*L249+(1-'main page'!$K$29)*controls!$B$9+(('main page'!$K$25*'main page'!$U$13*'normal case'!$AV$3)/'normal case'!$AV$4)*('normal case'!L249-controls!$B$9))</f>
        <v>5.4999998509883881</v>
      </c>
      <c r="Y249" s="81">
        <f ca="1">IF(controls!$B$44=1,'main page'!$K$24+'main page'!$K$11,IF(controls!$B$33=1,((I250-D249*AD250-B250+B249*AC250)/'main page'!$K$27)-'main page'!$K$11,((H250-D249*AD250-B250+B249*AC250)/'main page'!$K$27)-'main page'!$K$11))</f>
        <v>3.5</v>
      </c>
      <c r="AA249" s="58">
        <f>IF(controls!$B$6=1,$AS$3*(1+('main page'!$K$35/100))^AB249-$AS$3*(1+('main page'!$K$35/100))^AB248,$AS$3*(1+('main page'!$G$8/100))*(1+('main page'!$K$35/100))^AB249-$AS$3*(1+('main page'!$G$8/100))*(1+('main page'!$K$35/100))^AB248)</f>
        <v>0</v>
      </c>
      <c r="AB249" s="60">
        <v>242</v>
      </c>
      <c r="AC249" s="125">
        <v>0</v>
      </c>
      <c r="AD249" s="36">
        <v>0</v>
      </c>
      <c r="AE249" s="44">
        <f ca="1">IF(controls!$B$33=1,D249-($I$3-'main page'!$K$27*2)*(1+('main page'!$K$35/100))^A248,D249-$AS$4)</f>
        <v>1.0000000596046448</v>
      </c>
      <c r="AF249" s="44">
        <f ca="1">ABS(L249-(controls!$B$9/100)*100)</f>
        <v>1.1920928955078125E-7</v>
      </c>
      <c r="AH249" s="44">
        <f ca="1">IF(controls!$B$33=1,(B250-B249*AC250-I250+D249*AD250+'main page'!$K$27*('main page'!$K$24+'main page'!$K$11))/'main page'!$K$31,(B250-B249*AC250+D249*AD250-H250+'main page'!$K$27*('main page'!$K$24+'main page'!$K$11))/'main page'!$K$31)</f>
        <v>1</v>
      </c>
      <c r="AI249" s="44">
        <f ca="1">IF(controls!$B$45=1,LOG(AM249,1.01)+LOG(AL249,1.01)-LOG(AK249,1.01),-((T249-('main page'!$K$24+'main page'!$K$11))/(1-'normal case'!$AV$3))+'normal case'!AH249)</f>
        <v>2.0000000596046448</v>
      </c>
      <c r="AJ249" s="80">
        <f t="shared" ca="1" si="30"/>
        <v>1.0506250015463039</v>
      </c>
      <c r="AK249" s="44">
        <f t="shared" ca="1" si="31"/>
        <v>127.96717395601887</v>
      </c>
      <c r="AL249" s="44">
        <f>AL248*(1+'main page'!$K$32/100)</f>
        <v>1</v>
      </c>
      <c r="AM249" s="44">
        <f ca="1">IF(ABS(IF(controls!$B$45=1,$AS$13,AK249*AJ249/AL249)-AM248)&lt;0.00001,AM248,IF(controls!$B$45=1,$AS$13,AK249*AJ249/AL249))</f>
        <v>134.44551233541847</v>
      </c>
      <c r="AN249" s="44">
        <f>IF(controls!$B$46=0,0,IF(controls!$B$33=2,B250-B249*AC250-('normal case'!H250-D249*AD250-'main page'!$K$27*'normal case'!T249+'main page'!$K$31*'normal case'!AI249)-(('main page'!$K$25*'main page'!$U$13*'main page'!$K$29)/(1+('main page'!$K$25^2)*'main page'!$U$13))*('normal case'!L249-'main page'!$U$8),B250-B249*AC250-('normal case'!I250-D249*AD250-'main page'!$K$27*'normal case'!T249+'main page'!$K$31*'normal case'!AI249)-(('main page'!$K$25*'main page'!$U$13*'main page'!$K$29)/(1+('main page'!$K$25^2)*'main page'!$U$13))*('normal case'!L249-'main page'!$U$8)))</f>
        <v>0</v>
      </c>
      <c r="AU249" s="36"/>
      <c r="AV249" s="36"/>
    </row>
    <row r="250" spans="1:48">
      <c r="A250" s="43">
        <v>248</v>
      </c>
      <c r="B250" s="62">
        <f ca="1">IF(controls!$B$33=1,B249*(1+AC250)+AA250,B249*(1+AC250))</f>
        <v>101</v>
      </c>
      <c r="C250" s="67">
        <f t="shared" ca="1" si="32"/>
        <v>-1.5107707374006907E-7</v>
      </c>
      <c r="D250" s="64">
        <f t="shared" ca="1" si="28"/>
        <v>101.00000005960464</v>
      </c>
      <c r="E250" s="64">
        <f ca="1">AN249+IF(controls!$B$33=1,G250,F250)</f>
        <v>101.00000005960464</v>
      </c>
      <c r="F250" s="78">
        <f ca="1">IF(controls!$B$44=0,H250-'main page'!$K$27*T249,H250-'main page'!$K$27*T249+'main page'!$K$31*AI249)</f>
        <v>101.00000005960464</v>
      </c>
      <c r="G250" s="62">
        <f ca="1">IF(controls!$B$44=0,I250-'main page'!$K$27*T249,I250-'main page'!$K$27*T249+'main page'!$K$31*'normal case'!AI249)</f>
        <v>101.00000005960464</v>
      </c>
      <c r="H250" s="62">
        <f t="shared" ca="1" si="34"/>
        <v>108</v>
      </c>
      <c r="I250" s="62">
        <f t="shared" ca="1" si="35"/>
        <v>108</v>
      </c>
      <c r="L250" s="62">
        <f ca="1">IF(ABS('main page'!$K$29*L249+(1-'main page'!$K$29)*(controls!$B$9/100)*100+'main page'!$K$25*(D250-B250)-L249)&lt;0.0000001,L249,'main page'!$K$29*L249+(1-'main page'!$K$29)*(controls!$B$9/100)*100+'main page'!$K$25*(D250-B250))</f>
        <v>1.9999998807907104</v>
      </c>
      <c r="Q250" s="409">
        <f ca="1">(1-'main page'!$K$29)*($AS$11/100)*100+'main page'!$K$25*(D250-B250)</f>
        <v>5.9604644775390625E-8</v>
      </c>
      <c r="R250" s="409">
        <f>'main page'!G254+'main page'!$K$29*M249</f>
        <v>0</v>
      </c>
      <c r="S250" s="409">
        <f t="shared" ca="1" si="33"/>
        <v>5.9604644775390625E-8</v>
      </c>
      <c r="T250" s="79">
        <f ca="1">IF(controls!$B$10=1,T249,IF(SUM(controls!$B$44:$B$46)=2,U250-'main page'!$K$29*'normal case'!L250-(1-'main page'!$K$29)*'main page'!$K$32,U250-'main page'!$K$29*'normal case'!L250-(1-'main page'!$K$29)*controls!$B$9))</f>
        <v>3.4999999701976776</v>
      </c>
      <c r="U250" s="164">
        <f ca="1">IF(controls!$B$45=1,IF(controls!$B$46=1,'main page'!$K$24+'main page'!$K$11+'main page'!$U$8,'main page'!$K$24+'main page'!$K$11+'main page'!$K$32),IF(controls!$B$44=1,IF(V250&lt;0,0,V250),IF(V250+'main page'!$K$11&lt;0,0,V250+'main page'!$K$11)))</f>
        <v>5.4999998509883881</v>
      </c>
      <c r="V250" s="63">
        <f ca="1">IF(controls!$B$10=1,'normal case'!T250+'normal case'!L250,'normal case'!W250)</f>
        <v>5.4999998509883881</v>
      </c>
      <c r="W250" s="61">
        <f t="shared" ca="1" si="29"/>
        <v>5.4999998509883881</v>
      </c>
      <c r="X250" s="166">
        <f ca="1">IF(controls!$B$44=0,Y250+'main page'!$K$29*L250+(1-'main page'!$K$29)*controls!$B$9+(('main page'!$K$25*'main page'!$U$13*'main page'!$K$29)/('main page'!$K$27*(1+('main page'!$K$25^2)*'main page'!$U$13)))*(L250-controls!$B$9),Y250+'main page'!$K$29*L250+(1-'main page'!$K$29)*controls!$B$9+(('main page'!$K$25*'main page'!$U$13*'normal case'!$AV$3)/'normal case'!$AV$4)*('normal case'!L250-controls!$B$9))</f>
        <v>5.4999998509883881</v>
      </c>
      <c r="Y250" s="81">
        <f ca="1">IF(controls!$B$44=1,'main page'!$K$24+'main page'!$K$11,IF(controls!$B$33=1,((I251-D250*AD251-B251+B250*AC251)/'main page'!$K$27)-'main page'!$K$11,((H251-D250*AD251-B251+B250*AC251)/'main page'!$K$27)-'main page'!$K$11))</f>
        <v>3.5</v>
      </c>
      <c r="AA250" s="58">
        <f>IF(controls!$B$6=1,$AS$3*(1+('main page'!$K$35/100))^AB250-$AS$3*(1+('main page'!$K$35/100))^AB249,$AS$3*(1+('main page'!$G$8/100))*(1+('main page'!$K$35/100))^AB250-$AS$3*(1+('main page'!$G$8/100))*(1+('main page'!$K$35/100))^AB249)</f>
        <v>0</v>
      </c>
      <c r="AB250" s="60">
        <v>243</v>
      </c>
      <c r="AC250" s="125">
        <v>0</v>
      </c>
      <c r="AD250" s="36">
        <v>0</v>
      </c>
      <c r="AE250" s="44">
        <f ca="1">IF(controls!$B$33=1,D250-($I$3-'main page'!$K$27*2)*(1+('main page'!$K$35/100))^A249,D250-$AS$4)</f>
        <v>1.0000000596046448</v>
      </c>
      <c r="AF250" s="44">
        <f ca="1">ABS(L250-(controls!$B$9/100)*100)</f>
        <v>1.1920928955078125E-7</v>
      </c>
      <c r="AH250" s="44">
        <f ca="1">IF(controls!$B$33=1,(B251-B250*AC251-I251+D250*AD251+'main page'!$K$27*('main page'!$K$24+'main page'!$K$11))/'main page'!$K$31,(B251-B250*AC251+D250*AD251-H251+'main page'!$K$27*('main page'!$K$24+'main page'!$K$11))/'main page'!$K$31)</f>
        <v>1</v>
      </c>
      <c r="AI250" s="44">
        <f ca="1">IF(controls!$B$45=1,LOG(AM250,1.01)+LOG(AL250,1.01)-LOG(AK250,1.01),-((T250-('main page'!$K$24+'main page'!$K$11))/(1-'normal case'!$AV$3))+'normal case'!AH250)</f>
        <v>2.0000000596046448</v>
      </c>
      <c r="AJ250" s="80">
        <f t="shared" ca="1" si="30"/>
        <v>1.0506250015463039</v>
      </c>
      <c r="AK250" s="44">
        <f t="shared" ca="1" si="31"/>
        <v>130.5265172825905</v>
      </c>
      <c r="AL250" s="44">
        <f>AL249*(1+'main page'!$K$32/100)</f>
        <v>1</v>
      </c>
      <c r="AM250" s="44">
        <f ca="1">IF(ABS(IF(controls!$B$45=1,$AS$13,AK250*AJ250/AL250)-AM249)&lt;0.00001,AM249,IF(controls!$B$45=1,$AS$13,AK250*AJ250/AL250))</f>
        <v>137.13442242185531</v>
      </c>
      <c r="AN250" s="44">
        <f>IF(controls!$B$46=0,0,IF(controls!$B$33=2,B251-B250*AC251-('normal case'!H251-D250*AD251-'main page'!$K$27*'normal case'!T250+'main page'!$K$31*'normal case'!AI250)-(('main page'!$K$25*'main page'!$U$13*'main page'!$K$29)/(1+('main page'!$K$25^2)*'main page'!$U$13))*('normal case'!L250-'main page'!$U$8),B251-B250*AC251-('normal case'!I251-D250*AD251-'main page'!$K$27*'normal case'!T250+'main page'!$K$31*'normal case'!AI250)-(('main page'!$K$25*'main page'!$U$13*'main page'!$K$29)/(1+('main page'!$K$25^2)*'main page'!$U$13))*('normal case'!L250-'main page'!$U$8)))</f>
        <v>0</v>
      </c>
      <c r="AU250" s="36"/>
      <c r="AV250" s="36"/>
    </row>
    <row r="251" spans="1:48">
      <c r="A251" s="43">
        <v>249</v>
      </c>
      <c r="B251" s="62">
        <f ca="1">IF(controls!$B$33=1,B250*(1+AC251)+AA251,B250*(1+AC251))</f>
        <v>101</v>
      </c>
      <c r="C251" s="67">
        <f t="shared" ca="1" si="32"/>
        <v>-1.5107707374006907E-7</v>
      </c>
      <c r="D251" s="64">
        <f t="shared" ca="1" si="28"/>
        <v>101.00000005960464</v>
      </c>
      <c r="E251" s="64">
        <f ca="1">AN250+IF(controls!$B$33=1,G251,F251)</f>
        <v>101.00000005960464</v>
      </c>
      <c r="F251" s="78">
        <f ca="1">IF(controls!$B$44=0,H251-'main page'!$K$27*T250,H251-'main page'!$K$27*T250+'main page'!$K$31*AI250)</f>
        <v>101.00000005960464</v>
      </c>
      <c r="G251" s="62">
        <f ca="1">IF(controls!$B$44=0,I251-'main page'!$K$27*T250,I251-'main page'!$K$27*T250+'main page'!$K$31*'normal case'!AI250)</f>
        <v>101.00000005960464</v>
      </c>
      <c r="H251" s="62">
        <f t="shared" ca="1" si="34"/>
        <v>108</v>
      </c>
      <c r="I251" s="62">
        <f t="shared" ca="1" si="35"/>
        <v>108</v>
      </c>
      <c r="L251" s="62">
        <f ca="1">IF(ABS('main page'!$K$29*L250+(1-'main page'!$K$29)*(controls!$B$9/100)*100+'main page'!$K$25*(D251-B251)-L250)&lt;0.0000001,L250,'main page'!$K$29*L250+(1-'main page'!$K$29)*(controls!$B$9/100)*100+'main page'!$K$25*(D251-B251))</f>
        <v>1.9999998807907104</v>
      </c>
      <c r="Q251" s="409">
        <f ca="1">(1-'main page'!$K$29)*($AS$11/100)*100+'main page'!$K$25*(D251-B251)</f>
        <v>5.9604644775390625E-8</v>
      </c>
      <c r="R251" s="409">
        <f>'main page'!G255+'main page'!$K$29*M250</f>
        <v>0</v>
      </c>
      <c r="S251" s="409">
        <f t="shared" ca="1" si="33"/>
        <v>5.9604644775390625E-8</v>
      </c>
      <c r="T251" s="79">
        <f ca="1">IF(controls!$B$10=1,T250,IF(SUM(controls!$B$44:$B$46)=2,U251-'main page'!$K$29*'normal case'!L251-(1-'main page'!$K$29)*'main page'!$K$32,U251-'main page'!$K$29*'normal case'!L251-(1-'main page'!$K$29)*controls!$B$9))</f>
        <v>3.4999999701976776</v>
      </c>
      <c r="U251" s="164">
        <f ca="1">IF(controls!$B$45=1,IF(controls!$B$46=1,'main page'!$K$24+'main page'!$K$11+'main page'!$U$8,'main page'!$K$24+'main page'!$K$11+'main page'!$K$32),IF(controls!$B$44=1,IF(V251&lt;0,0,V251),IF(V251+'main page'!$K$11&lt;0,0,V251+'main page'!$K$11)))</f>
        <v>5.4999998509883881</v>
      </c>
      <c r="V251" s="63">
        <f ca="1">IF(controls!$B$10=1,'normal case'!T251+'normal case'!L251,'normal case'!W251)</f>
        <v>5.4999998509883881</v>
      </c>
      <c r="W251" s="61">
        <f t="shared" ca="1" si="29"/>
        <v>5.4999998509883881</v>
      </c>
      <c r="X251" s="166">
        <f ca="1">IF(controls!$B$44=0,Y251+'main page'!$K$29*L251+(1-'main page'!$K$29)*controls!$B$9+(('main page'!$K$25*'main page'!$U$13*'main page'!$K$29)/('main page'!$K$27*(1+('main page'!$K$25^2)*'main page'!$U$13)))*(L251-controls!$B$9),Y251+'main page'!$K$29*L251+(1-'main page'!$K$29)*controls!$B$9+(('main page'!$K$25*'main page'!$U$13*'normal case'!$AV$3)/'normal case'!$AV$4)*('normal case'!L251-controls!$B$9))</f>
        <v>5.4999998509883881</v>
      </c>
      <c r="Y251" s="81">
        <f ca="1">IF(controls!$B$44=1,'main page'!$K$24+'main page'!$K$11,IF(controls!$B$33=1,((I252-D251*AD252-B252+B251*AC252)/'main page'!$K$27)-'main page'!$K$11,((H252-D251*AD252-B252+B251*AC252)/'main page'!$K$27)-'main page'!$K$11))</f>
        <v>3.5</v>
      </c>
      <c r="AA251" s="58">
        <f>IF(controls!$B$6=1,$AS$3*(1+('main page'!$K$35/100))^AB251-$AS$3*(1+('main page'!$K$35/100))^AB250,$AS$3*(1+('main page'!$G$8/100))*(1+('main page'!$K$35/100))^AB251-$AS$3*(1+('main page'!$G$8/100))*(1+('main page'!$K$35/100))^AB250)</f>
        <v>0</v>
      </c>
      <c r="AB251" s="60">
        <v>244</v>
      </c>
      <c r="AC251" s="125">
        <f ca="1">IF(controls!$B$4=1,IF(controls!$H250=1,controls!$B$34*AC250+RAND()*('main page'!$K$16/100)-RAND()*('main page'!$K$16/100),0),0)</f>
        <v>0</v>
      </c>
      <c r="AD251" s="36">
        <f ca="1">IF(controls!$B$4=1,IF(controls!$I250=1,controls!$B$34*AD250+RAND()*('main page'!$K$16/100)-RAND()*('main page'!$K$16/100),0),0)</f>
        <v>0</v>
      </c>
      <c r="AE251" s="44">
        <f ca="1">IF(controls!$B$33=1,D251-($I$3-'main page'!$K$27*2)*(1+('main page'!$K$35/100))^A250,D251-$AS$4)</f>
        <v>1.0000000596046448</v>
      </c>
      <c r="AF251" s="44">
        <f ca="1">ABS(L251-(controls!$B$9/100)*100)</f>
        <v>1.1920928955078125E-7</v>
      </c>
      <c r="AH251" s="44">
        <f ca="1">IF(controls!$B$33=1,(B252-B251*AC252-I252+D251*AD252+'main page'!$K$27*('main page'!$K$24+'main page'!$K$11))/'main page'!$K$31,(B252-B251*AC252+D251*AD252-H252+'main page'!$K$27*('main page'!$K$24+'main page'!$K$11))/'main page'!$K$31)</f>
        <v>1</v>
      </c>
      <c r="AI251" s="44">
        <f ca="1">IF(controls!$B$45=1,LOG(AM251,1.01)+LOG(AL251,1.01)-LOG(AK251,1.01),-((T251-('main page'!$K$24+'main page'!$K$11))/(1-'normal case'!$AV$3))+'normal case'!AH251)</f>
        <v>2.0000000596046448</v>
      </c>
      <c r="AJ251" s="80">
        <f t="shared" ca="1" si="30"/>
        <v>1.0506250015463039</v>
      </c>
      <c r="AK251" s="44">
        <f t="shared" ca="1" si="31"/>
        <v>133.13704747264259</v>
      </c>
      <c r="AL251" s="44">
        <f>AL250*(1+'main page'!$K$32/100)</f>
        <v>1</v>
      </c>
      <c r="AM251" s="44">
        <f ca="1">IF(ABS(IF(controls!$B$45=1,$AS$13,AK251*AJ251/AL251)-AM250)&lt;0.00001,AM250,IF(controls!$B$45=1,$AS$13,AK251*AJ251/AL251))</f>
        <v>139.87711070681547</v>
      </c>
      <c r="AN251" s="44">
        <f>IF(controls!$B$46=0,0,IF(controls!$B$33=2,B252-B251*AC252-('normal case'!H252-D251*AD252-'main page'!$K$27*'normal case'!T251+'main page'!$K$31*'normal case'!AI251)-(('main page'!$K$25*'main page'!$U$13*'main page'!$K$29)/(1+('main page'!$K$25^2)*'main page'!$U$13))*('normal case'!L251-'main page'!$U$8),B252-B251*AC252-('normal case'!I252-D251*AD252-'main page'!$K$27*'normal case'!T251+'main page'!$K$31*'normal case'!AI251)-(('main page'!$K$25*'main page'!$U$13*'main page'!$K$29)/(1+('main page'!$K$25^2)*'main page'!$U$13))*('normal case'!L251-'main page'!$U$8)))</f>
        <v>0</v>
      </c>
      <c r="AU251" s="36"/>
      <c r="AV251" s="36"/>
    </row>
    <row r="252" spans="1:48">
      <c r="A252" s="43">
        <v>250</v>
      </c>
      <c r="B252" s="62">
        <f ca="1">IF(controls!$B$33=1,B251*(1+AC252)+AA252,B251*(1+AC252))</f>
        <v>101</v>
      </c>
      <c r="C252" s="67">
        <f t="shared" ca="1" si="32"/>
        <v>-1.5107707374006907E-7</v>
      </c>
      <c r="D252" s="64">
        <f t="shared" ca="1" si="28"/>
        <v>101.00000005960464</v>
      </c>
      <c r="E252" s="64">
        <f ca="1">AN251+IF(controls!$B$33=1,G252,F252)</f>
        <v>101.00000005960464</v>
      </c>
      <c r="F252" s="78">
        <f ca="1">IF(controls!$B$44=0,H252-'main page'!$K$27*T251,H252-'main page'!$K$27*T251+'main page'!$K$31*AI251)</f>
        <v>101.00000005960464</v>
      </c>
      <c r="G252" s="62">
        <f ca="1">IF(controls!$B$44=0,I252-'main page'!$K$27*T251,I252-'main page'!$K$27*T251+'main page'!$K$31*'normal case'!AI251)</f>
        <v>101.00000005960464</v>
      </c>
      <c r="H252" s="62">
        <f t="shared" ca="1" si="34"/>
        <v>108</v>
      </c>
      <c r="I252" s="62">
        <f t="shared" ca="1" si="35"/>
        <v>108</v>
      </c>
      <c r="L252" s="62">
        <f ca="1">IF(ABS('main page'!$K$29*L251+(1-'main page'!$K$29)*(controls!$B$9/100)*100+'main page'!$K$25*(D252-B252)-L251)&lt;0.0000001,L251,'main page'!$K$29*L251+(1-'main page'!$K$29)*(controls!$B$9/100)*100+'main page'!$K$25*(D252-B252))</f>
        <v>1.9999998807907104</v>
      </c>
      <c r="Q252" s="409">
        <f ca="1">(1-'main page'!$K$29)*($AS$11/100)*100+'main page'!$K$25*(D252-B252)</f>
        <v>5.9604644775390625E-8</v>
      </c>
      <c r="R252" s="409">
        <f>'main page'!G256+'main page'!$K$29*M251</f>
        <v>0</v>
      </c>
      <c r="S252" s="409">
        <f t="shared" ca="1" si="33"/>
        <v>5.9604644775390625E-8</v>
      </c>
      <c r="T252" s="79">
        <f ca="1">IF(controls!$B$10=1,T251,IF(SUM(controls!$B$44:$B$46)=2,U252-'main page'!$K$29*'normal case'!L252-(1-'main page'!$K$29)*'main page'!$K$32,U252-'main page'!$K$29*'normal case'!L252-(1-'main page'!$K$29)*controls!$B$9))</f>
        <v>3.4999999701976776</v>
      </c>
      <c r="U252" s="164">
        <f ca="1">IF(controls!$B$45=1,IF(controls!$B$46=1,'main page'!$K$24+'main page'!$K$11+'main page'!$U$8,'main page'!$K$24+'main page'!$K$11+'main page'!$K$32),IF(controls!$B$44=1,IF(V252&lt;0,0,V252),IF(V252+'main page'!$K$11&lt;0,0,V252+'main page'!$K$11)))</f>
        <v>5.4999998509883881</v>
      </c>
      <c r="V252" s="63">
        <f ca="1">IF(controls!$B$10=1,'normal case'!T252+'normal case'!L252,'normal case'!W252)</f>
        <v>5.4999998509883881</v>
      </c>
      <c r="W252" s="61">
        <f t="shared" ca="1" si="29"/>
        <v>5.4999998509883881</v>
      </c>
      <c r="X252" s="166">
        <f ca="1">IF(controls!$B$44=0,Y252+'main page'!$K$29*L252+(1-'main page'!$K$29)*controls!$B$9+(('main page'!$K$25*'main page'!$U$13*'main page'!$K$29)/('main page'!$K$27*(1+('main page'!$K$25^2)*'main page'!$U$13)))*(L252-controls!$B$9),Y252+'main page'!$K$29*L252+(1-'main page'!$K$29)*controls!$B$9+(('main page'!$K$25*'main page'!$U$13*'normal case'!$AV$3)/'normal case'!$AV$4)*('normal case'!L252-controls!$B$9))</f>
        <v>5.4999998509883881</v>
      </c>
      <c r="Y252" s="81">
        <f ca="1">IF(controls!$B$44=1,'main page'!$K$24+'main page'!$K$11,IF(controls!$B$33=1,((I253-D252*AD253-B253+B252*AC253)/'main page'!$K$27)-'main page'!$K$11,((H253-D252*AD253-B253+B252*AC253)/'main page'!$K$27)-'main page'!$K$11))</f>
        <v>3.5</v>
      </c>
      <c r="AA252" s="58">
        <f>IF(controls!$B$6=1,$AS$3*(1+('main page'!$K$35/100))^AB252-$AS$3*(1+('main page'!$K$35/100))^AB251,$AS$3*(1+('main page'!$G$8/100))*(1+('main page'!$K$35/100))^AB252-$AS$3*(1+('main page'!$G$8/100))*(1+('main page'!$K$35/100))^AB251)</f>
        <v>0</v>
      </c>
      <c r="AB252" s="60">
        <v>245</v>
      </c>
      <c r="AC252" s="125">
        <v>0</v>
      </c>
      <c r="AD252" s="36">
        <v>0</v>
      </c>
      <c r="AE252" s="44">
        <f ca="1">IF(controls!$B$33=1,D252-($I$3-'main page'!$K$27*2)*(1+('main page'!$K$35/100))^A251,D252-$AS$4)</f>
        <v>1.0000000596046448</v>
      </c>
      <c r="AF252" s="44">
        <f ca="1">ABS(L252-(controls!$B$9/100)*100)</f>
        <v>1.1920928955078125E-7</v>
      </c>
      <c r="AH252" s="44">
        <f ca="1">IF(controls!$B$33=1,(B253-B252*AC253-I253+D252*AD253+'main page'!$K$27*('main page'!$K$24+'main page'!$K$11))/'main page'!$K$31,(B253-B252*AC253+D252*AD253-H253+'main page'!$K$27*('main page'!$K$24+'main page'!$K$11))/'main page'!$K$31)</f>
        <v>1</v>
      </c>
      <c r="AI252" s="44">
        <f ca="1">IF(controls!$B$45=1,LOG(AM252,1.01)+LOG(AL252,1.01)-LOG(AK252,1.01),-((T252-('main page'!$K$24+'main page'!$K$11))/(1-'normal case'!$AV$3))+'normal case'!AH252)</f>
        <v>2.0000000596046448</v>
      </c>
      <c r="AJ252" s="80">
        <f t="shared" ca="1" si="30"/>
        <v>1.0506250015463039</v>
      </c>
      <c r="AK252" s="44">
        <f t="shared" ca="1" si="31"/>
        <v>135.79978826338373</v>
      </c>
      <c r="AL252" s="44">
        <f>AL251*(1+'main page'!$K$32/100)</f>
        <v>1</v>
      </c>
      <c r="AM252" s="44">
        <f ca="1">IF(ABS(IF(controls!$B$45=1,$AS$13,AK252*AJ252/AL252)-AM251)&lt;0.00001,AM251,IF(controls!$B$45=1,$AS$13,AK252*AJ252/AL252))</f>
        <v>142.67465275420528</v>
      </c>
      <c r="AN252" s="44">
        <f>IF(controls!$B$46=0,0,IF(controls!$B$33=2,B253-B252*AC253-('normal case'!H253-D252*AD253-'main page'!$K$27*'normal case'!T252+'main page'!$K$31*'normal case'!AI252)-(('main page'!$K$25*'main page'!$U$13*'main page'!$K$29)/(1+('main page'!$K$25^2)*'main page'!$U$13))*('normal case'!L252-'main page'!$U$8),B253-B252*AC253-('normal case'!I253-D252*AD253-'main page'!$K$27*'normal case'!T252+'main page'!$K$31*'normal case'!AI252)-(('main page'!$K$25*'main page'!$U$13*'main page'!$K$29)/(1+('main page'!$K$25^2)*'main page'!$U$13))*('normal case'!L252-'main page'!$U$8)))</f>
        <v>0</v>
      </c>
      <c r="AU252" s="36"/>
      <c r="AV252" s="36"/>
    </row>
    <row r="253" spans="1:48">
      <c r="A253" s="43">
        <v>251</v>
      </c>
      <c r="B253" s="62">
        <f ca="1">IF(controls!$B$33=1,B252*(1+AC253)+AA253,B252*(1+AC253))</f>
        <v>101</v>
      </c>
      <c r="C253" s="67">
        <f t="shared" ca="1" si="32"/>
        <v>-1.5107707374006907E-7</v>
      </c>
      <c r="D253" s="64">
        <f t="shared" ca="1" si="28"/>
        <v>101.00000005960464</v>
      </c>
      <c r="E253" s="64">
        <f ca="1">AN252+IF(controls!$B$33=1,G253,F253)</f>
        <v>101.00000005960464</v>
      </c>
      <c r="F253" s="78">
        <f ca="1">IF(controls!$B$44=0,H253-'main page'!$K$27*T252,H253-'main page'!$K$27*T252+'main page'!$K$31*AI252)</f>
        <v>101.00000005960464</v>
      </c>
      <c r="G253" s="62">
        <f ca="1">IF(controls!$B$44=0,I253-'main page'!$K$27*T252,I253-'main page'!$K$27*T252+'main page'!$K$31*'normal case'!AI252)</f>
        <v>101.00000005960464</v>
      </c>
      <c r="H253" s="62">
        <f t="shared" ca="1" si="34"/>
        <v>108</v>
      </c>
      <c r="I253" s="62">
        <f t="shared" ca="1" si="35"/>
        <v>108</v>
      </c>
      <c r="L253" s="62">
        <f ca="1">IF(ABS('main page'!$K$29*L252+(1-'main page'!$K$29)*(controls!$B$9/100)*100+'main page'!$K$25*(D253-B253)-L252)&lt;0.0000001,L252,'main page'!$K$29*L252+(1-'main page'!$K$29)*(controls!$B$9/100)*100+'main page'!$K$25*(D253-B253))</f>
        <v>1.9999998807907104</v>
      </c>
      <c r="Q253" s="409">
        <f ca="1">(1-'main page'!$K$29)*($AS$11/100)*100+'main page'!$K$25*(D253-B253)</f>
        <v>5.9604644775390625E-8</v>
      </c>
      <c r="R253" s="409">
        <f>'main page'!G257+'main page'!$K$29*M252</f>
        <v>0</v>
      </c>
      <c r="S253" s="409">
        <f t="shared" ca="1" si="33"/>
        <v>5.9604644775390625E-8</v>
      </c>
      <c r="T253" s="79">
        <f ca="1">IF(controls!$B$10=1,T252,IF(SUM(controls!$B$44:$B$46)=2,U253-'main page'!$K$29*'normal case'!L253-(1-'main page'!$K$29)*'main page'!$K$32,U253-'main page'!$K$29*'normal case'!L253-(1-'main page'!$K$29)*controls!$B$9))</f>
        <v>3.4999999701976776</v>
      </c>
      <c r="U253" s="164">
        <f ca="1">IF(controls!$B$45=1,IF(controls!$B$46=1,'main page'!$K$24+'main page'!$K$11+'main page'!$U$8,'main page'!$K$24+'main page'!$K$11+'main page'!$K$32),IF(controls!$B$44=1,IF(V253&lt;0,0,V253),IF(V253+'main page'!$K$11&lt;0,0,V253+'main page'!$K$11)))</f>
        <v>5.4999998509883881</v>
      </c>
      <c r="V253" s="63">
        <f ca="1">IF(controls!$B$10=1,'normal case'!T253+'normal case'!L253,'normal case'!W253)</f>
        <v>5.4999998509883881</v>
      </c>
      <c r="W253" s="61">
        <f t="shared" ca="1" si="29"/>
        <v>5.4999998509883881</v>
      </c>
      <c r="X253" s="166">
        <f ca="1">IF(controls!$B$44=0,Y253+'main page'!$K$29*L253+(1-'main page'!$K$29)*controls!$B$9+(('main page'!$K$25*'main page'!$U$13*'main page'!$K$29)/('main page'!$K$27*(1+('main page'!$K$25^2)*'main page'!$U$13)))*(L253-controls!$B$9),Y253+'main page'!$K$29*L253+(1-'main page'!$K$29)*controls!$B$9+(('main page'!$K$25*'main page'!$U$13*'normal case'!$AV$3)/'normal case'!$AV$4)*('normal case'!L253-controls!$B$9))</f>
        <v>5.4999998509883881</v>
      </c>
      <c r="Y253" s="81">
        <f ca="1">IF(controls!$B$44=1,'main page'!$K$24+'main page'!$K$11,IF(controls!$B$33=1,((I254-D253*AD254-B254+B253*AC254)/'main page'!$K$27)-'main page'!$K$11,((H254-D253*AD254-B254+B253*AC254)/'main page'!$K$27)-'main page'!$K$11))</f>
        <v>3.5</v>
      </c>
      <c r="AA253" s="58">
        <f>IF(controls!$B$6=1,$AS$3*(1+('main page'!$K$35/100))^AB253-$AS$3*(1+('main page'!$K$35/100))^AB252,$AS$3*(1+('main page'!$G$8/100))*(1+('main page'!$K$35/100))^AB253-$AS$3*(1+('main page'!$G$8/100))*(1+('main page'!$K$35/100))^AB252)</f>
        <v>0</v>
      </c>
      <c r="AB253" s="60">
        <v>246</v>
      </c>
      <c r="AC253" s="125">
        <v>0</v>
      </c>
      <c r="AD253" s="36">
        <v>0</v>
      </c>
      <c r="AE253" s="44">
        <f ca="1">IF(controls!$B$33=1,D253-($I$3-'main page'!$K$27*2)*(1+('main page'!$K$35/100))^A252,D253-$AS$4)</f>
        <v>1.0000000596046448</v>
      </c>
      <c r="AF253" s="44">
        <f ca="1">ABS(L253-(controls!$B$9/100)*100)</f>
        <v>1.1920928955078125E-7</v>
      </c>
      <c r="AH253" s="44">
        <f ca="1">IF(controls!$B$33=1,(B254-B253*AC254-I254+D253*AD254+'main page'!$K$27*('main page'!$K$24+'main page'!$K$11))/'main page'!$K$31,(B254-B253*AC254+D253*AD254-H254+'main page'!$K$27*('main page'!$K$24+'main page'!$K$11))/'main page'!$K$31)</f>
        <v>1</v>
      </c>
      <c r="AI253" s="44">
        <f ca="1">IF(controls!$B$45=1,LOG(AM253,1.01)+LOG(AL253,1.01)-LOG(AK253,1.01),-((T253-('main page'!$K$24+'main page'!$K$11))/(1-'normal case'!$AV$3))+'normal case'!AH253)</f>
        <v>2.0000000596046448</v>
      </c>
      <c r="AJ253" s="80">
        <f t="shared" ca="1" si="30"/>
        <v>1.0506250015463039</v>
      </c>
      <c r="AK253" s="44">
        <f t="shared" ca="1" si="31"/>
        <v>138.51578386676545</v>
      </c>
      <c r="AL253" s="44">
        <f>AL252*(1+'main page'!$K$32/100)</f>
        <v>1</v>
      </c>
      <c r="AM253" s="44">
        <f ca="1">IF(ABS(IF(controls!$B$45=1,$AS$13,AK253*AJ253/AL253)-AM252)&lt;0.00001,AM252,IF(controls!$B$45=1,$AS$13,AK253*AJ253/AL253))</f>
        <v>145.52814563920793</v>
      </c>
      <c r="AN253" s="44">
        <f>IF(controls!$B$46=0,0,IF(controls!$B$33=2,B254-B253*AC254-('normal case'!H254-D253*AD254-'main page'!$K$27*'normal case'!T253+'main page'!$K$31*'normal case'!AI253)-(('main page'!$K$25*'main page'!$U$13*'main page'!$K$29)/(1+('main page'!$K$25^2)*'main page'!$U$13))*('normal case'!L253-'main page'!$U$8),B254-B253*AC254-('normal case'!I254-D253*AD254-'main page'!$K$27*'normal case'!T253+'main page'!$K$31*'normal case'!AI253)-(('main page'!$K$25*'main page'!$U$13*'main page'!$K$29)/(1+('main page'!$K$25^2)*'main page'!$U$13))*('normal case'!L253-'main page'!$U$8)))</f>
        <v>0</v>
      </c>
      <c r="AU253" s="36"/>
      <c r="AV253" s="36"/>
    </row>
    <row r="254" spans="1:48">
      <c r="A254" s="43">
        <v>252</v>
      </c>
      <c r="B254" s="62">
        <f ca="1">IF(controls!$B$33=1,B253*(1+AC254)+AA254,B253*(1+AC254))</f>
        <v>101</v>
      </c>
      <c r="C254" s="67">
        <f t="shared" ca="1" si="32"/>
        <v>-1.5107707374006907E-7</v>
      </c>
      <c r="D254" s="64">
        <f t="shared" ca="1" si="28"/>
        <v>101.00000005960464</v>
      </c>
      <c r="E254" s="64">
        <f ca="1">AN253+IF(controls!$B$33=1,G254,F254)</f>
        <v>101.00000005960464</v>
      </c>
      <c r="F254" s="78">
        <f ca="1">IF(controls!$B$44=0,H254-'main page'!$K$27*T253,H254-'main page'!$K$27*T253+'main page'!$K$31*AI253)</f>
        <v>101.00000005960464</v>
      </c>
      <c r="G254" s="62">
        <f ca="1">IF(controls!$B$44=0,I254-'main page'!$K$27*T253,I254-'main page'!$K$27*T253+'main page'!$K$31*'normal case'!AI253)</f>
        <v>101.00000005960464</v>
      </c>
      <c r="H254" s="62">
        <f t="shared" ca="1" si="34"/>
        <v>108</v>
      </c>
      <c r="I254" s="62">
        <f t="shared" ca="1" si="35"/>
        <v>108</v>
      </c>
      <c r="L254" s="62">
        <f ca="1">IF(ABS('main page'!$K$29*L253+(1-'main page'!$K$29)*(controls!$B$9/100)*100+'main page'!$K$25*(D254-B254)-L253)&lt;0.0000001,L253,'main page'!$K$29*L253+(1-'main page'!$K$29)*(controls!$B$9/100)*100+'main page'!$K$25*(D254-B254))</f>
        <v>1.9999998807907104</v>
      </c>
      <c r="Q254" s="409">
        <f ca="1">(1-'main page'!$K$29)*($AS$11/100)*100+'main page'!$K$25*(D254-B254)</f>
        <v>5.9604644775390625E-8</v>
      </c>
      <c r="R254" s="409">
        <f>'main page'!G258+'main page'!$K$29*M253</f>
        <v>0</v>
      </c>
      <c r="S254" s="409">
        <f t="shared" ca="1" si="33"/>
        <v>5.9604644775390625E-8</v>
      </c>
      <c r="T254" s="79">
        <f ca="1">IF(controls!$B$10=1,T253,IF(SUM(controls!$B$44:$B$46)=2,U254-'main page'!$K$29*'normal case'!L254-(1-'main page'!$K$29)*'main page'!$K$32,U254-'main page'!$K$29*'normal case'!L254-(1-'main page'!$K$29)*controls!$B$9))</f>
        <v>3.4999999701976776</v>
      </c>
      <c r="U254" s="164">
        <f ca="1">IF(controls!$B$45=1,IF(controls!$B$46=1,'main page'!$K$24+'main page'!$K$11+'main page'!$U$8,'main page'!$K$24+'main page'!$K$11+'main page'!$K$32),IF(controls!$B$44=1,IF(V254&lt;0,0,V254),IF(V254+'main page'!$K$11&lt;0,0,V254+'main page'!$K$11)))</f>
        <v>5.4999998509883881</v>
      </c>
      <c r="V254" s="63">
        <f ca="1">IF(controls!$B$10=1,'normal case'!T254+'normal case'!L254,'normal case'!W254)</f>
        <v>5.4999998509883881</v>
      </c>
      <c r="W254" s="61">
        <f t="shared" ca="1" si="29"/>
        <v>5.4999998509883881</v>
      </c>
      <c r="X254" s="166">
        <f ca="1">IF(controls!$B$44=0,Y254+'main page'!$K$29*L254+(1-'main page'!$K$29)*controls!$B$9+(('main page'!$K$25*'main page'!$U$13*'main page'!$K$29)/('main page'!$K$27*(1+('main page'!$K$25^2)*'main page'!$U$13)))*(L254-controls!$B$9),Y254+'main page'!$K$29*L254+(1-'main page'!$K$29)*controls!$B$9+(('main page'!$K$25*'main page'!$U$13*'normal case'!$AV$3)/'normal case'!$AV$4)*('normal case'!L254-controls!$B$9))</f>
        <v>5.4999998509883881</v>
      </c>
      <c r="Y254" s="81">
        <f ca="1">IF(controls!$B$44=1,'main page'!$K$24+'main page'!$K$11,IF(controls!$B$33=1,((I255-D254*AD255-B255+B254*AC255)/'main page'!$K$27)-'main page'!$K$11,((H255-D254*AD255-B255+B254*AC255)/'main page'!$K$27)-'main page'!$K$11))</f>
        <v>3.5</v>
      </c>
      <c r="AA254" s="58">
        <f>IF(controls!$B$6=1,$AS$3*(1+('main page'!$K$35/100))^AB254-$AS$3*(1+('main page'!$K$35/100))^AB253,$AS$3*(1+('main page'!$G$8/100))*(1+('main page'!$K$35/100))^AB254-$AS$3*(1+('main page'!$G$8/100))*(1+('main page'!$K$35/100))^AB253)</f>
        <v>0</v>
      </c>
      <c r="AB254" s="60">
        <v>247</v>
      </c>
      <c r="AC254" s="125">
        <f ca="1">IF(controls!$B$4=1,IF(controls!$H253=1,controls!$B$34*AC253+RAND()*('main page'!$K$16/100)-RAND()*('main page'!$K$16/100),0),0)</f>
        <v>0</v>
      </c>
      <c r="AD254" s="36">
        <f ca="1">IF(controls!$B$4=1,IF(controls!$I253=1,controls!$B$34*AD253+RAND()*('main page'!$K$16/100)-RAND()*('main page'!$K$16/100),0),0)</f>
        <v>0</v>
      </c>
      <c r="AE254" s="44">
        <f ca="1">IF(controls!$B$33=1,D254-($I$3-'main page'!$K$27*2)*(1+('main page'!$K$35/100))^A253,D254-$AS$4)</f>
        <v>1.0000000596046448</v>
      </c>
      <c r="AF254" s="44">
        <f ca="1">ABS(L254-(controls!$B$9/100)*100)</f>
        <v>1.1920928955078125E-7</v>
      </c>
      <c r="AH254" s="44">
        <f ca="1">IF(controls!$B$33=1,(B255-B254*AC255-I255+D254*AD255+'main page'!$K$27*('main page'!$K$24+'main page'!$K$11))/'main page'!$K$31,(B255-B254*AC255+D254*AD255-H255+'main page'!$K$27*('main page'!$K$24+'main page'!$K$11))/'main page'!$K$31)</f>
        <v>1</v>
      </c>
      <c r="AI254" s="44">
        <f ca="1">IF(controls!$B$45=1,LOG(AM254,1.01)+LOG(AL254,1.01)-LOG(AK254,1.01),-((T254-('main page'!$K$24+'main page'!$K$11))/(1-'normal case'!$AV$3))+'normal case'!AH254)</f>
        <v>2.0000000596046448</v>
      </c>
      <c r="AJ254" s="80">
        <f t="shared" ca="1" si="30"/>
        <v>1.0506250015463039</v>
      </c>
      <c r="AK254" s="44">
        <f t="shared" ca="1" si="31"/>
        <v>141.28609937897707</v>
      </c>
      <c r="AL254" s="44">
        <f>AL253*(1+'main page'!$K$32/100)</f>
        <v>1</v>
      </c>
      <c r="AM254" s="44">
        <f ca="1">IF(ABS(IF(controls!$B$45=1,$AS$13,AK254*AJ254/AL254)-AM253)&lt;0.00001,AM253,IF(controls!$B$45=1,$AS$13,AK254*AJ254/AL254))</f>
        <v>148.43870837850903</v>
      </c>
      <c r="AN254" s="44">
        <f>IF(controls!$B$46=0,0,IF(controls!$B$33=2,B255-B254*AC255-('normal case'!H255-D254*AD255-'main page'!$K$27*'normal case'!T254+'main page'!$K$31*'normal case'!AI254)-(('main page'!$K$25*'main page'!$U$13*'main page'!$K$29)/(1+('main page'!$K$25^2)*'main page'!$U$13))*('normal case'!L254-'main page'!$U$8),B255-B254*AC255-('normal case'!I255-D254*AD255-'main page'!$K$27*'normal case'!T254+'main page'!$K$31*'normal case'!AI254)-(('main page'!$K$25*'main page'!$U$13*'main page'!$K$29)/(1+('main page'!$K$25^2)*'main page'!$U$13))*('normal case'!L254-'main page'!$U$8)))</f>
        <v>0</v>
      </c>
      <c r="AU254" s="36"/>
      <c r="AV254" s="36"/>
    </row>
    <row r="255" spans="1:48">
      <c r="A255" s="43">
        <v>253</v>
      </c>
      <c r="B255" s="62">
        <f ca="1">IF(controls!$B$33=1,B254*(1+AC255)+AA255,B254*(1+AC255))</f>
        <v>101</v>
      </c>
      <c r="C255" s="67">
        <f t="shared" ca="1" si="32"/>
        <v>-1.5107707374006907E-7</v>
      </c>
      <c r="D255" s="64">
        <f t="shared" ca="1" si="28"/>
        <v>101.00000005960464</v>
      </c>
      <c r="E255" s="64">
        <f ca="1">AN254+IF(controls!$B$33=1,G255,F255)</f>
        <v>101.00000005960464</v>
      </c>
      <c r="F255" s="78">
        <f ca="1">IF(controls!$B$44=0,H255-'main page'!$K$27*T254,H255-'main page'!$K$27*T254+'main page'!$K$31*AI254)</f>
        <v>101.00000005960464</v>
      </c>
      <c r="G255" s="62">
        <f ca="1">IF(controls!$B$44=0,I255-'main page'!$K$27*T254,I255-'main page'!$K$27*T254+'main page'!$K$31*'normal case'!AI254)</f>
        <v>101.00000005960464</v>
      </c>
      <c r="H255" s="62">
        <f t="shared" ca="1" si="34"/>
        <v>108</v>
      </c>
      <c r="I255" s="62">
        <f t="shared" ca="1" si="35"/>
        <v>108</v>
      </c>
      <c r="L255" s="62">
        <f ca="1">IF(ABS('main page'!$K$29*L254+(1-'main page'!$K$29)*(controls!$B$9/100)*100+'main page'!$K$25*(D255-B255)-L254)&lt;0.0000001,L254,'main page'!$K$29*L254+(1-'main page'!$K$29)*(controls!$B$9/100)*100+'main page'!$K$25*(D255-B255))</f>
        <v>1.9999998807907104</v>
      </c>
      <c r="Q255" s="409">
        <f ca="1">(1-'main page'!$K$29)*($AS$11/100)*100+'main page'!$K$25*(D255-B255)</f>
        <v>5.9604644775390625E-8</v>
      </c>
      <c r="R255" s="409">
        <f>'main page'!G259+'main page'!$K$29*M254</f>
        <v>0</v>
      </c>
      <c r="S255" s="409">
        <f t="shared" ca="1" si="33"/>
        <v>5.9604644775390625E-8</v>
      </c>
      <c r="T255" s="79">
        <f ca="1">IF(controls!$B$10=1,T254,IF(SUM(controls!$B$44:$B$46)=2,U255-'main page'!$K$29*'normal case'!L255-(1-'main page'!$K$29)*'main page'!$K$32,U255-'main page'!$K$29*'normal case'!L255-(1-'main page'!$K$29)*controls!$B$9))</f>
        <v>3.4999999701976776</v>
      </c>
      <c r="U255" s="164">
        <f ca="1">IF(controls!$B$45=1,IF(controls!$B$46=1,'main page'!$K$24+'main page'!$K$11+'main page'!$U$8,'main page'!$K$24+'main page'!$K$11+'main page'!$K$32),IF(controls!$B$44=1,IF(V255&lt;0,0,V255),IF(V255+'main page'!$K$11&lt;0,0,V255+'main page'!$K$11)))</f>
        <v>5.4999998509883881</v>
      </c>
      <c r="V255" s="63">
        <f ca="1">IF(controls!$B$10=1,'normal case'!T255+'normal case'!L255,'normal case'!W255)</f>
        <v>5.4999998509883881</v>
      </c>
      <c r="W255" s="61">
        <f t="shared" ca="1" si="29"/>
        <v>5.4999998509883881</v>
      </c>
      <c r="X255" s="166">
        <f ca="1">IF(controls!$B$44=0,Y255+'main page'!$K$29*L255+(1-'main page'!$K$29)*controls!$B$9+(('main page'!$K$25*'main page'!$U$13*'main page'!$K$29)/('main page'!$K$27*(1+('main page'!$K$25^2)*'main page'!$U$13)))*(L255-controls!$B$9),Y255+'main page'!$K$29*L255+(1-'main page'!$K$29)*controls!$B$9+(('main page'!$K$25*'main page'!$U$13*'normal case'!$AV$3)/'normal case'!$AV$4)*('normal case'!L255-controls!$B$9))</f>
        <v>5.4999998509883881</v>
      </c>
      <c r="Y255" s="81">
        <f ca="1">IF(controls!$B$44=1,'main page'!$K$24+'main page'!$K$11,IF(controls!$B$33=1,((I256-D255*AD256-B256+B255*AC256)/'main page'!$K$27)-'main page'!$K$11,((H256-D255*AD256-B256+B255*AC256)/'main page'!$K$27)-'main page'!$K$11))</f>
        <v>3.5</v>
      </c>
      <c r="AA255" s="58">
        <f>IF(controls!$B$6=1,$AS$3*(1+('main page'!$K$35/100))^AB255-$AS$3*(1+('main page'!$K$35/100))^AB254,$AS$3*(1+('main page'!$G$8/100))*(1+('main page'!$K$35/100))^AB255-$AS$3*(1+('main page'!$G$8/100))*(1+('main page'!$K$35/100))^AB254)</f>
        <v>0</v>
      </c>
      <c r="AB255" s="60">
        <v>248</v>
      </c>
      <c r="AC255" s="125">
        <v>0</v>
      </c>
      <c r="AD255" s="36">
        <v>0</v>
      </c>
      <c r="AE255" s="44">
        <f ca="1">IF(controls!$B$33=1,D255-($I$3-'main page'!$K$27*2)*(1+('main page'!$K$35/100))^A254,D255-$AS$4)</f>
        <v>1.0000000596046448</v>
      </c>
      <c r="AF255" s="44">
        <f ca="1">ABS(L255-(controls!$B$9/100)*100)</f>
        <v>1.1920928955078125E-7</v>
      </c>
      <c r="AH255" s="44">
        <f ca="1">IF(controls!$B$33=1,(B256-B255*AC256-I256+D255*AD256+'main page'!$K$27*('main page'!$K$24+'main page'!$K$11))/'main page'!$K$31,(B256-B255*AC256+D255*AD256-H256+'main page'!$K$27*('main page'!$K$24+'main page'!$K$11))/'main page'!$K$31)</f>
        <v>1</v>
      </c>
      <c r="AI255" s="44">
        <f ca="1">IF(controls!$B$45=1,LOG(AM255,1.01)+LOG(AL255,1.01)-LOG(AK255,1.01),-((T255-('main page'!$K$24+'main page'!$K$11))/(1-'normal case'!$AV$3))+'normal case'!AH255)</f>
        <v>2.0000000596046448</v>
      </c>
      <c r="AJ255" s="80">
        <f t="shared" ca="1" si="30"/>
        <v>1.0506250015463039</v>
      </c>
      <c r="AK255" s="44">
        <f t="shared" ca="1" si="31"/>
        <v>144.11182119813046</v>
      </c>
      <c r="AL255" s="44">
        <f>AL254*(1+'main page'!$K$32/100)</f>
        <v>1</v>
      </c>
      <c r="AM255" s="44">
        <f ca="1">IF(ABS(IF(controls!$B$45=1,$AS$13,AK255*AJ255/AL255)-AM254)&lt;0.00001,AM254,IF(controls!$B$45=1,$AS$13,AK255*AJ255/AL255))</f>
        <v>151.40748236912648</v>
      </c>
      <c r="AN255" s="44">
        <f>IF(controls!$B$46=0,0,IF(controls!$B$33=2,B256-B255*AC256-('normal case'!H256-D255*AD256-'main page'!$K$27*'normal case'!T255+'main page'!$K$31*'normal case'!AI255)-(('main page'!$K$25*'main page'!$U$13*'main page'!$K$29)/(1+('main page'!$K$25^2)*'main page'!$U$13))*('normal case'!L255-'main page'!$U$8),B256-B255*AC256-('normal case'!I256-D255*AD256-'main page'!$K$27*'normal case'!T255+'main page'!$K$31*'normal case'!AI255)-(('main page'!$K$25*'main page'!$U$13*'main page'!$K$29)/(1+('main page'!$K$25^2)*'main page'!$U$13))*('normal case'!L255-'main page'!$U$8)))</f>
        <v>0</v>
      </c>
      <c r="AU255" s="36"/>
      <c r="AV255" s="36"/>
    </row>
    <row r="256" spans="1:48">
      <c r="A256" s="43">
        <v>254</v>
      </c>
      <c r="B256" s="62">
        <f ca="1">IF(controls!$B$33=1,B255*(1+AC256)+AA256,B255*(1+AC256))</f>
        <v>101</v>
      </c>
      <c r="C256" s="67">
        <f t="shared" ca="1" si="32"/>
        <v>-1.5107707374006907E-7</v>
      </c>
      <c r="D256" s="64">
        <f t="shared" ca="1" si="28"/>
        <v>101.00000005960464</v>
      </c>
      <c r="E256" s="64">
        <f ca="1">AN255+IF(controls!$B$33=1,G256,F256)</f>
        <v>101.00000005960464</v>
      </c>
      <c r="F256" s="78">
        <f ca="1">IF(controls!$B$44=0,H256-'main page'!$K$27*T255,H256-'main page'!$K$27*T255+'main page'!$K$31*AI255)</f>
        <v>101.00000005960464</v>
      </c>
      <c r="G256" s="62">
        <f ca="1">IF(controls!$B$44=0,I256-'main page'!$K$27*T255,I256-'main page'!$K$27*T255+'main page'!$K$31*'normal case'!AI255)</f>
        <v>101.00000005960464</v>
      </c>
      <c r="H256" s="62">
        <f t="shared" ca="1" si="34"/>
        <v>108</v>
      </c>
      <c r="I256" s="62">
        <f t="shared" ca="1" si="35"/>
        <v>108</v>
      </c>
      <c r="L256" s="62">
        <f ca="1">IF(ABS('main page'!$K$29*L255+(1-'main page'!$K$29)*(controls!$B$9/100)*100+'main page'!$K$25*(D256-B256)-L255)&lt;0.0000001,L255,'main page'!$K$29*L255+(1-'main page'!$K$29)*(controls!$B$9/100)*100+'main page'!$K$25*(D256-B256))</f>
        <v>1.9999998807907104</v>
      </c>
      <c r="Q256" s="409">
        <f ca="1">(1-'main page'!$K$29)*($AS$11/100)*100+'main page'!$K$25*(D256-B256)</f>
        <v>5.9604644775390625E-8</v>
      </c>
      <c r="R256" s="409">
        <f>'main page'!G260+'main page'!$K$29*M255</f>
        <v>0</v>
      </c>
      <c r="S256" s="409">
        <f t="shared" ca="1" si="33"/>
        <v>5.9604644775390625E-8</v>
      </c>
      <c r="T256" s="79">
        <f ca="1">IF(controls!$B$10=1,T255,IF(SUM(controls!$B$44:$B$46)=2,U256-'main page'!$K$29*'normal case'!L256-(1-'main page'!$K$29)*'main page'!$K$32,U256-'main page'!$K$29*'normal case'!L256-(1-'main page'!$K$29)*controls!$B$9))</f>
        <v>3.4999999701976776</v>
      </c>
      <c r="U256" s="164">
        <f ca="1">IF(controls!$B$45=1,IF(controls!$B$46=1,'main page'!$K$24+'main page'!$K$11+'main page'!$U$8,'main page'!$K$24+'main page'!$K$11+'main page'!$K$32),IF(controls!$B$44=1,IF(V256&lt;0,0,V256),IF(V256+'main page'!$K$11&lt;0,0,V256+'main page'!$K$11)))</f>
        <v>5.4999998509883881</v>
      </c>
      <c r="V256" s="63">
        <f ca="1">IF(controls!$B$10=1,'normal case'!T256+'normal case'!L256,'normal case'!W256)</f>
        <v>5.4999998509883881</v>
      </c>
      <c r="W256" s="61">
        <f t="shared" ca="1" si="29"/>
        <v>5.4999998509883881</v>
      </c>
      <c r="X256" s="166">
        <f ca="1">IF(controls!$B$44=0,Y256+'main page'!$K$29*L256+(1-'main page'!$K$29)*controls!$B$9+(('main page'!$K$25*'main page'!$U$13*'main page'!$K$29)/('main page'!$K$27*(1+('main page'!$K$25^2)*'main page'!$U$13)))*(L256-controls!$B$9),Y256+'main page'!$K$29*L256+(1-'main page'!$K$29)*controls!$B$9+(('main page'!$K$25*'main page'!$U$13*'normal case'!$AV$3)/'normal case'!$AV$4)*('normal case'!L256-controls!$B$9))</f>
        <v>5.4999998509883881</v>
      </c>
      <c r="Y256" s="81">
        <f ca="1">IF(controls!$B$44=1,'main page'!$K$24+'main page'!$K$11,IF(controls!$B$33=1,((I257-D256*AD257-B257+B256*AC257)/'main page'!$K$27)-'main page'!$K$11,((H257-D256*AD257-B257+B256*AC257)/'main page'!$K$27)-'main page'!$K$11))</f>
        <v>3.5</v>
      </c>
      <c r="AA256" s="58">
        <f>IF(controls!$B$6=1,$AS$3*(1+('main page'!$K$35/100))^AB256-$AS$3*(1+('main page'!$K$35/100))^AB255,$AS$3*(1+('main page'!$G$8/100))*(1+('main page'!$K$35/100))^AB256-$AS$3*(1+('main page'!$G$8/100))*(1+('main page'!$K$35/100))^AB255)</f>
        <v>0</v>
      </c>
      <c r="AB256" s="60">
        <v>249</v>
      </c>
      <c r="AC256" s="125">
        <v>0</v>
      </c>
      <c r="AD256" s="36">
        <v>0</v>
      </c>
      <c r="AE256" s="44">
        <f ca="1">IF(controls!$B$33=1,D256-($I$3-'main page'!$K$27*2)*(1+('main page'!$K$35/100))^A255,D256-$AS$4)</f>
        <v>1.0000000596046448</v>
      </c>
      <c r="AF256" s="44">
        <f ca="1">ABS(L256-(controls!$B$9/100)*100)</f>
        <v>1.1920928955078125E-7</v>
      </c>
      <c r="AH256" s="44">
        <f ca="1">IF(controls!$B$33=1,(B257-B256*AC257-I257+D256*AD257+'main page'!$K$27*('main page'!$K$24+'main page'!$K$11))/'main page'!$K$31,(B257-B256*AC257+D256*AD257-H257+'main page'!$K$27*('main page'!$K$24+'main page'!$K$11))/'main page'!$K$31)</f>
        <v>1</v>
      </c>
      <c r="AI256" s="44">
        <f ca="1">IF(controls!$B$45=1,LOG(AM256,1.01)+LOG(AL256,1.01)-LOG(AK256,1.01),-((T256-('main page'!$K$24+'main page'!$K$11))/(1-'normal case'!$AV$3))+'normal case'!AH256)</f>
        <v>2.0000000596046448</v>
      </c>
      <c r="AJ256" s="80">
        <f t="shared" ca="1" si="30"/>
        <v>1.0506250015463039</v>
      </c>
      <c r="AK256" s="44">
        <f t="shared" ca="1" si="31"/>
        <v>146.99405745029838</v>
      </c>
      <c r="AL256" s="44">
        <f>AL255*(1+'main page'!$K$32/100)</f>
        <v>1</v>
      </c>
      <c r="AM256" s="44">
        <f ca="1">IF(ABS(IF(controls!$B$45=1,$AS$13,AK256*AJ256/AL256)-AM255)&lt;0.00001,AM255,IF(controls!$B$45=1,$AS$13,AK256*AJ256/AL256))</f>
        <v>154.43563183601722</v>
      </c>
      <c r="AN256" s="44">
        <f>IF(controls!$B$46=0,0,IF(controls!$B$33=2,B257-B256*AC257-('normal case'!H257-D256*AD257-'main page'!$K$27*'normal case'!T256+'main page'!$K$31*'normal case'!AI256)-(('main page'!$K$25*'main page'!$U$13*'main page'!$K$29)/(1+('main page'!$K$25^2)*'main page'!$U$13))*('normal case'!L256-'main page'!$U$8),B257-B256*AC257-('normal case'!I257-D256*AD257-'main page'!$K$27*'normal case'!T256+'main page'!$K$31*'normal case'!AI256)-(('main page'!$K$25*'main page'!$U$13*'main page'!$K$29)/(1+('main page'!$K$25^2)*'main page'!$U$13))*('normal case'!L256-'main page'!$U$8)))</f>
        <v>0</v>
      </c>
      <c r="AU256" s="36"/>
      <c r="AV256" s="36"/>
    </row>
    <row r="257" spans="1:48">
      <c r="A257" s="43">
        <v>255</v>
      </c>
      <c r="B257" s="62">
        <f ca="1">IF(controls!$B$33=1,B256*(1+AC257)+AA257,B256*(1+AC257))</f>
        <v>101</v>
      </c>
      <c r="C257" s="67">
        <f t="shared" ca="1" si="32"/>
        <v>-1.5107707374006907E-7</v>
      </c>
      <c r="D257" s="64">
        <f t="shared" ca="1" si="28"/>
        <v>101.00000005960464</v>
      </c>
      <c r="E257" s="64">
        <f ca="1">AN256+IF(controls!$B$33=1,G257,F257)</f>
        <v>101.00000005960464</v>
      </c>
      <c r="F257" s="78">
        <f ca="1">IF(controls!$B$44=0,H257-'main page'!$K$27*T256,H257-'main page'!$K$27*T256+'main page'!$K$31*AI256)</f>
        <v>101.00000005960464</v>
      </c>
      <c r="G257" s="62">
        <f ca="1">IF(controls!$B$44=0,I257-'main page'!$K$27*T256,I257-'main page'!$K$27*T256+'main page'!$K$31*'normal case'!AI256)</f>
        <v>101.00000005960464</v>
      </c>
      <c r="H257" s="62">
        <f t="shared" ca="1" si="34"/>
        <v>108</v>
      </c>
      <c r="I257" s="62">
        <f t="shared" ca="1" si="35"/>
        <v>108</v>
      </c>
      <c r="L257" s="62">
        <f ca="1">IF(ABS('main page'!$K$29*L256+(1-'main page'!$K$29)*(controls!$B$9/100)*100+'main page'!$K$25*(D257-B257)-L256)&lt;0.0000001,L256,'main page'!$K$29*L256+(1-'main page'!$K$29)*(controls!$B$9/100)*100+'main page'!$K$25*(D257-B257))</f>
        <v>1.9999998807907104</v>
      </c>
      <c r="Q257" s="409">
        <f ca="1">(1-'main page'!$K$29)*($AS$11/100)*100+'main page'!$K$25*(D257-B257)</f>
        <v>5.9604644775390625E-8</v>
      </c>
      <c r="R257" s="409">
        <f>'main page'!G261+'main page'!$K$29*M256</f>
        <v>0</v>
      </c>
      <c r="S257" s="409">
        <f t="shared" ca="1" si="33"/>
        <v>5.9604644775390625E-8</v>
      </c>
      <c r="T257" s="79">
        <f ca="1">IF(controls!$B$10=1,T256,IF(SUM(controls!$B$44:$B$46)=2,U257-'main page'!$K$29*'normal case'!L257-(1-'main page'!$K$29)*'main page'!$K$32,U257-'main page'!$K$29*'normal case'!L257-(1-'main page'!$K$29)*controls!$B$9))</f>
        <v>3.4999999701976776</v>
      </c>
      <c r="U257" s="164">
        <f ca="1">IF(controls!$B$45=1,IF(controls!$B$46=1,'main page'!$K$24+'main page'!$K$11+'main page'!$U$8,'main page'!$K$24+'main page'!$K$11+'main page'!$K$32),IF(controls!$B$44=1,IF(V257&lt;0,0,V257),IF(V257+'main page'!$K$11&lt;0,0,V257+'main page'!$K$11)))</f>
        <v>5.4999998509883881</v>
      </c>
      <c r="V257" s="63">
        <f ca="1">IF(controls!$B$10=1,'normal case'!T257+'normal case'!L257,'normal case'!W257)</f>
        <v>5.4999998509883881</v>
      </c>
      <c r="W257" s="61">
        <f t="shared" ca="1" si="29"/>
        <v>5.4999998509883881</v>
      </c>
      <c r="X257" s="166">
        <f ca="1">IF(controls!$B$44=0,Y257+'main page'!$K$29*L257+(1-'main page'!$K$29)*controls!$B$9+(('main page'!$K$25*'main page'!$U$13*'main page'!$K$29)/('main page'!$K$27*(1+('main page'!$K$25^2)*'main page'!$U$13)))*(L257-controls!$B$9),Y257+'main page'!$K$29*L257+(1-'main page'!$K$29)*controls!$B$9+(('main page'!$K$25*'main page'!$U$13*'normal case'!$AV$3)/'normal case'!$AV$4)*('normal case'!L257-controls!$B$9))</f>
        <v>5.4999998509883881</v>
      </c>
      <c r="Y257" s="81">
        <f ca="1">IF(controls!$B$44=1,'main page'!$K$24+'main page'!$K$11,IF(controls!$B$33=1,((I258-D257*AD258-B258+B257*AC258)/'main page'!$K$27)-'main page'!$K$11,((H258-D257*AD258-B258+B257*AC258)/'main page'!$K$27)-'main page'!$K$11))</f>
        <v>3.5</v>
      </c>
      <c r="AA257" s="58">
        <f>IF(controls!$B$6=1,$AS$3*(1+('main page'!$K$35/100))^AB257-$AS$3*(1+('main page'!$K$35/100))^AB256,$AS$3*(1+('main page'!$G$8/100))*(1+('main page'!$K$35/100))^AB257-$AS$3*(1+('main page'!$G$8/100))*(1+('main page'!$K$35/100))^AB256)</f>
        <v>0</v>
      </c>
      <c r="AB257" s="60">
        <v>250</v>
      </c>
      <c r="AC257" s="125">
        <f ca="1">IF(controls!$B$4=1,IF(controls!$H256=1,controls!$B$34*AC256+RAND()*('main page'!$K$16/100)-RAND()*('main page'!$K$16/100),0),0)</f>
        <v>0</v>
      </c>
      <c r="AD257" s="36">
        <f ca="1">IF(controls!$B$4=1,IF(controls!$I256=1,controls!$B$34*AD256+RAND()*('main page'!$K$16/100)-RAND()*('main page'!$K$16/100),0),0)</f>
        <v>0</v>
      </c>
      <c r="AE257" s="44">
        <f ca="1">IF(controls!$B$33=1,D257-($I$3-'main page'!$K$27*2)*(1+('main page'!$K$35/100))^A256,D257-$AS$4)</f>
        <v>1.0000000596046448</v>
      </c>
      <c r="AF257" s="44">
        <f ca="1">ABS(L257-(controls!$B$9/100)*100)</f>
        <v>1.1920928955078125E-7</v>
      </c>
      <c r="AH257" s="44">
        <f ca="1">IF(controls!$B$33=1,(B258-B257*AC258-I258+D257*AD258+'main page'!$K$27*('main page'!$K$24+'main page'!$K$11))/'main page'!$K$31,(B258-B257*AC258+D257*AD258-H258+'main page'!$K$27*('main page'!$K$24+'main page'!$K$11))/'main page'!$K$31)</f>
        <v>1</v>
      </c>
      <c r="AI257" s="44">
        <f ca="1">IF(controls!$B$45=1,LOG(AM257,1.01)+LOG(AL257,1.01)-LOG(AK257,1.01),-((T257-('main page'!$K$24+'main page'!$K$11))/(1-'normal case'!$AV$3))+'normal case'!AH257)</f>
        <v>2.0000000596046448</v>
      </c>
      <c r="AJ257" s="80">
        <f t="shared" ca="1" si="30"/>
        <v>1.0506250015463039</v>
      </c>
      <c r="AK257" s="44">
        <f t="shared" ca="1" si="31"/>
        <v>149.9339384240738</v>
      </c>
      <c r="AL257" s="44">
        <f>AL256*(1+'main page'!$K$32/100)</f>
        <v>1</v>
      </c>
      <c r="AM257" s="44">
        <f ca="1">IF(ABS(IF(controls!$B$45=1,$AS$13,AK257*AJ257/AL257)-AM256)&lt;0.00001,AM256,IF(controls!$B$45=1,$AS$13,AK257*AJ257/AL257))</f>
        <v>157.52434428863597</v>
      </c>
      <c r="AN257" s="44">
        <f>IF(controls!$B$46=0,0,IF(controls!$B$33=2,B258-B257*AC258-('normal case'!H258-D257*AD258-'main page'!$K$27*'normal case'!T257+'main page'!$K$31*'normal case'!AI257)-(('main page'!$K$25*'main page'!$U$13*'main page'!$K$29)/(1+('main page'!$K$25^2)*'main page'!$U$13))*('normal case'!L257-'main page'!$U$8),B258-B257*AC258-('normal case'!I258-D257*AD258-'main page'!$K$27*'normal case'!T257+'main page'!$K$31*'normal case'!AI257)-(('main page'!$K$25*'main page'!$U$13*'main page'!$K$29)/(1+('main page'!$K$25^2)*'main page'!$U$13))*('normal case'!L257-'main page'!$U$8)))</f>
        <v>0</v>
      </c>
      <c r="AU257" s="36"/>
      <c r="AV257" s="36"/>
    </row>
    <row r="258" spans="1:48">
      <c r="A258" s="43">
        <v>256</v>
      </c>
      <c r="B258" s="62">
        <f ca="1">IF(controls!$B$33=1,B257*(1+AC258)+AA258,B257*(1+AC258))</f>
        <v>101</v>
      </c>
      <c r="C258" s="67">
        <f t="shared" ca="1" si="32"/>
        <v>-1.5107707374006907E-7</v>
      </c>
      <c r="D258" s="64">
        <f t="shared" ca="1" si="28"/>
        <v>101.00000005960464</v>
      </c>
      <c r="E258" s="64">
        <f ca="1">AN257+IF(controls!$B$33=1,G258,F258)</f>
        <v>101.00000005960464</v>
      </c>
      <c r="F258" s="78">
        <f ca="1">IF(controls!$B$44=0,H258-'main page'!$K$27*T257,H258-'main page'!$K$27*T257+'main page'!$K$31*AI257)</f>
        <v>101.00000005960464</v>
      </c>
      <c r="G258" s="62">
        <f ca="1">IF(controls!$B$44=0,I258-'main page'!$K$27*T257,I258-'main page'!$K$27*T257+'main page'!$K$31*'normal case'!AI257)</f>
        <v>101.00000005960464</v>
      </c>
      <c r="H258" s="62">
        <f t="shared" ca="1" si="34"/>
        <v>108</v>
      </c>
      <c r="I258" s="62">
        <f t="shared" ca="1" si="35"/>
        <v>108</v>
      </c>
      <c r="L258" s="62">
        <f ca="1">IF(ABS('main page'!$K$29*L257+(1-'main page'!$K$29)*(controls!$B$9/100)*100+'main page'!$K$25*(D258-B258)-L257)&lt;0.0000001,L257,'main page'!$K$29*L257+(1-'main page'!$K$29)*(controls!$B$9/100)*100+'main page'!$K$25*(D258-B258))</f>
        <v>1.9999998807907104</v>
      </c>
      <c r="Q258" s="409">
        <f ca="1">(1-'main page'!$K$29)*($AS$11/100)*100+'main page'!$K$25*(D258-B258)</f>
        <v>5.9604644775390625E-8</v>
      </c>
      <c r="R258" s="409">
        <f>'main page'!G262+'main page'!$K$29*M257</f>
        <v>0</v>
      </c>
      <c r="S258" s="409">
        <f t="shared" ca="1" si="33"/>
        <v>5.9604644775390625E-8</v>
      </c>
      <c r="T258" s="79">
        <f ca="1">IF(controls!$B$10=1,T257,IF(SUM(controls!$B$44:$B$46)=2,U258-'main page'!$K$29*'normal case'!L258-(1-'main page'!$K$29)*'main page'!$K$32,U258-'main page'!$K$29*'normal case'!L258-(1-'main page'!$K$29)*controls!$B$9))</f>
        <v>3.4999999701976776</v>
      </c>
      <c r="U258" s="164">
        <f ca="1">IF(controls!$B$45=1,IF(controls!$B$46=1,'main page'!$K$24+'main page'!$K$11+'main page'!$U$8,'main page'!$K$24+'main page'!$K$11+'main page'!$K$32),IF(controls!$B$44=1,IF(V258&lt;0,0,V258),IF(V258+'main page'!$K$11&lt;0,0,V258+'main page'!$K$11)))</f>
        <v>5.4999998509883881</v>
      </c>
      <c r="V258" s="63">
        <f ca="1">IF(controls!$B$10=1,'normal case'!T258+'normal case'!L258,'normal case'!W258)</f>
        <v>5.4999998509883881</v>
      </c>
      <c r="W258" s="61">
        <f t="shared" ca="1" si="29"/>
        <v>5.4999998509883881</v>
      </c>
      <c r="X258" s="166">
        <f ca="1">IF(controls!$B$44=0,Y258+'main page'!$K$29*L258+(1-'main page'!$K$29)*controls!$B$9+(('main page'!$K$25*'main page'!$U$13*'main page'!$K$29)/('main page'!$K$27*(1+('main page'!$K$25^2)*'main page'!$U$13)))*(L258-controls!$B$9),Y258+'main page'!$K$29*L258+(1-'main page'!$K$29)*controls!$B$9+(('main page'!$K$25*'main page'!$U$13*'normal case'!$AV$3)/'normal case'!$AV$4)*('normal case'!L258-controls!$B$9))</f>
        <v>5.4999998509883881</v>
      </c>
      <c r="Y258" s="81">
        <f ca="1">IF(controls!$B$44=1,'main page'!$K$24+'main page'!$K$11,IF(controls!$B$33=1,((I259-D258*AD259-B259+B258*AC259)/'main page'!$K$27)-'main page'!$K$11,((H259-D258*AD259-B259+B258*AC259)/'main page'!$K$27)-'main page'!$K$11))</f>
        <v>3.5</v>
      </c>
      <c r="AA258" s="58">
        <f>IF(controls!$B$6=1,$AS$3*(1+('main page'!$K$35/100))^AB258-$AS$3*(1+('main page'!$K$35/100))^AB257,$AS$3*(1+('main page'!$G$8/100))*(1+('main page'!$K$35/100))^AB258-$AS$3*(1+('main page'!$G$8/100))*(1+('main page'!$K$35/100))^AB257)</f>
        <v>0</v>
      </c>
      <c r="AB258" s="60">
        <v>251</v>
      </c>
      <c r="AC258" s="125">
        <v>0</v>
      </c>
      <c r="AD258" s="36">
        <v>0</v>
      </c>
      <c r="AE258" s="44">
        <f ca="1">IF(controls!$B$33=1,D258-($I$3-'main page'!$K$27*2)*(1+('main page'!$K$35/100))^A257,D258-$AS$4)</f>
        <v>1.0000000596046448</v>
      </c>
      <c r="AF258" s="44">
        <f ca="1">ABS(L258-(controls!$B$9/100)*100)</f>
        <v>1.1920928955078125E-7</v>
      </c>
      <c r="AH258" s="44">
        <f ca="1">IF(controls!$B$33=1,(B259-B258*AC259-I259+D258*AD259+'main page'!$K$27*('main page'!$K$24+'main page'!$K$11))/'main page'!$K$31,(B259-B258*AC259+D258*AD259-H259+'main page'!$K$27*('main page'!$K$24+'main page'!$K$11))/'main page'!$K$31)</f>
        <v>1</v>
      </c>
      <c r="AI258" s="44">
        <f ca="1">IF(controls!$B$45=1,LOG(AM258,1.01)+LOG(AL258,1.01)-LOG(AK258,1.01),-((T258-('main page'!$K$24+'main page'!$K$11))/(1-'normal case'!$AV$3))+'normal case'!AH258)</f>
        <v>2.0000000596046448</v>
      </c>
      <c r="AJ258" s="80">
        <f t="shared" ca="1" si="30"/>
        <v>1.0506250015463039</v>
      </c>
      <c r="AK258" s="44">
        <f t="shared" ca="1" si="31"/>
        <v>152.93261701382011</v>
      </c>
      <c r="AL258" s="44">
        <f>AL257*(1+'main page'!$K$32/100)</f>
        <v>1</v>
      </c>
      <c r="AM258" s="44">
        <f ca="1">IF(ABS(IF(controls!$B$45=1,$AS$13,AK258*AJ258/AL258)-AM257)&lt;0.00001,AM257,IF(controls!$B$45=1,$AS$13,AK258*AJ258/AL258))</f>
        <v>160.67483098662504</v>
      </c>
      <c r="AN258" s="44">
        <f>IF(controls!$B$46=0,0,IF(controls!$B$33=2,B259-B258*AC259-('normal case'!H259-D258*AD259-'main page'!$K$27*'normal case'!T258+'main page'!$K$31*'normal case'!AI258)-(('main page'!$K$25*'main page'!$U$13*'main page'!$K$29)/(1+('main page'!$K$25^2)*'main page'!$U$13))*('normal case'!L258-'main page'!$U$8),B259-B258*AC259-('normal case'!I259-D258*AD259-'main page'!$K$27*'normal case'!T258+'main page'!$K$31*'normal case'!AI258)-(('main page'!$K$25*'main page'!$U$13*'main page'!$K$29)/(1+('main page'!$K$25^2)*'main page'!$U$13))*('normal case'!L258-'main page'!$U$8)))</f>
        <v>0</v>
      </c>
      <c r="AU258" s="36"/>
      <c r="AV258" s="36"/>
    </row>
    <row r="259" spans="1:48">
      <c r="A259" s="43">
        <v>257</v>
      </c>
      <c r="B259" s="62">
        <f ca="1">IF(controls!$B$33=1,B258*(1+AC259)+AA259,B258*(1+AC259))</f>
        <v>101</v>
      </c>
      <c r="C259" s="67">
        <f t="shared" ca="1" si="32"/>
        <v>-1.5107707374006907E-7</v>
      </c>
      <c r="D259" s="64">
        <f t="shared" ca="1" si="28"/>
        <v>101.00000005960464</v>
      </c>
      <c r="E259" s="64">
        <f ca="1">AN258+IF(controls!$B$33=1,G259,F259)</f>
        <v>101.00000005960464</v>
      </c>
      <c r="F259" s="78">
        <f ca="1">IF(controls!$B$44=0,H259-'main page'!$K$27*T258,H259-'main page'!$K$27*T258+'main page'!$K$31*AI258)</f>
        <v>101.00000005960464</v>
      </c>
      <c r="G259" s="62">
        <f ca="1">IF(controls!$B$44=0,I259-'main page'!$K$27*T258,I259-'main page'!$K$27*T258+'main page'!$K$31*'normal case'!AI258)</f>
        <v>101.00000005960464</v>
      </c>
      <c r="H259" s="62">
        <f t="shared" ca="1" si="34"/>
        <v>108</v>
      </c>
      <c r="I259" s="62">
        <f t="shared" ca="1" si="35"/>
        <v>108</v>
      </c>
      <c r="L259" s="62">
        <f ca="1">IF(ABS('main page'!$K$29*L258+(1-'main page'!$K$29)*(controls!$B$9/100)*100+'main page'!$K$25*(D259-B259)-L258)&lt;0.0000001,L258,'main page'!$K$29*L258+(1-'main page'!$K$29)*(controls!$B$9/100)*100+'main page'!$K$25*(D259-B259))</f>
        <v>1.9999998807907104</v>
      </c>
      <c r="Q259" s="409">
        <f ca="1">(1-'main page'!$K$29)*($AS$11/100)*100+'main page'!$K$25*(D259-B259)</f>
        <v>5.9604644775390625E-8</v>
      </c>
      <c r="R259" s="409">
        <f>'main page'!G263+'main page'!$K$29*M258</f>
        <v>0</v>
      </c>
      <c r="S259" s="409">
        <f t="shared" ca="1" si="33"/>
        <v>5.9604644775390625E-8</v>
      </c>
      <c r="T259" s="79">
        <f ca="1">IF(controls!$B$10=1,T258,IF(SUM(controls!$B$44:$B$46)=2,U259-'main page'!$K$29*'normal case'!L259-(1-'main page'!$K$29)*'main page'!$K$32,U259-'main page'!$K$29*'normal case'!L259-(1-'main page'!$K$29)*controls!$B$9))</f>
        <v>3.4999999701976776</v>
      </c>
      <c r="U259" s="164">
        <f ca="1">IF(controls!$B$45=1,IF(controls!$B$46=1,'main page'!$K$24+'main page'!$K$11+'main page'!$U$8,'main page'!$K$24+'main page'!$K$11+'main page'!$K$32),IF(controls!$B$44=1,IF(V259&lt;0,0,V259),IF(V259+'main page'!$K$11&lt;0,0,V259+'main page'!$K$11)))</f>
        <v>5.4999998509883881</v>
      </c>
      <c r="V259" s="63">
        <f ca="1">IF(controls!$B$10=1,'normal case'!T259+'normal case'!L259,'normal case'!W259)</f>
        <v>5.4999998509883881</v>
      </c>
      <c r="W259" s="61">
        <f t="shared" ca="1" si="29"/>
        <v>5.4999998509883881</v>
      </c>
      <c r="X259" s="166">
        <f ca="1">IF(controls!$B$44=0,Y259+'main page'!$K$29*L259+(1-'main page'!$K$29)*controls!$B$9+(('main page'!$K$25*'main page'!$U$13*'main page'!$K$29)/('main page'!$K$27*(1+('main page'!$K$25^2)*'main page'!$U$13)))*(L259-controls!$B$9),Y259+'main page'!$K$29*L259+(1-'main page'!$K$29)*controls!$B$9+(('main page'!$K$25*'main page'!$U$13*'normal case'!$AV$3)/'normal case'!$AV$4)*('normal case'!L259-controls!$B$9))</f>
        <v>5.4999998509883881</v>
      </c>
      <c r="Y259" s="81">
        <f ca="1">IF(controls!$B$44=1,'main page'!$K$24+'main page'!$K$11,IF(controls!$B$33=1,((I260-D259*AD260-B260+B259*AC260)/'main page'!$K$27)-'main page'!$K$11,((H260-D259*AD260-B260+B259*AC260)/'main page'!$K$27)-'main page'!$K$11))</f>
        <v>3.5</v>
      </c>
      <c r="AA259" s="58">
        <f>IF(controls!$B$6=1,$AS$3*(1+('main page'!$K$35/100))^AB259-$AS$3*(1+('main page'!$K$35/100))^AB258,$AS$3*(1+('main page'!$G$8/100))*(1+('main page'!$K$35/100))^AB259-$AS$3*(1+('main page'!$G$8/100))*(1+('main page'!$K$35/100))^AB258)</f>
        <v>0</v>
      </c>
      <c r="AB259" s="60">
        <v>252</v>
      </c>
      <c r="AC259" s="125">
        <v>0</v>
      </c>
      <c r="AD259" s="36">
        <v>0</v>
      </c>
      <c r="AE259" s="44">
        <f ca="1">IF(controls!$B$33=1,D259-($I$3-'main page'!$K$27*2)*(1+('main page'!$K$35/100))^A258,D259-$AS$4)</f>
        <v>1.0000000596046448</v>
      </c>
      <c r="AF259" s="44">
        <f ca="1">ABS(L259-(controls!$B$9/100)*100)</f>
        <v>1.1920928955078125E-7</v>
      </c>
      <c r="AH259" s="44">
        <f ca="1">IF(controls!$B$33=1,(B260-B259*AC260-I260+D259*AD260+'main page'!$K$27*('main page'!$K$24+'main page'!$K$11))/'main page'!$K$31,(B260-B259*AC260+D259*AD260-H260+'main page'!$K$27*('main page'!$K$24+'main page'!$K$11))/'main page'!$K$31)</f>
        <v>1</v>
      </c>
      <c r="AI259" s="44">
        <f ca="1">IF(controls!$B$45=1,LOG(AM259,1.01)+LOG(AL259,1.01)-LOG(AK259,1.01),-((T259-('main page'!$K$24+'main page'!$K$11))/(1-'normal case'!$AV$3))+'normal case'!AH259)</f>
        <v>2.0000000596046448</v>
      </c>
      <c r="AJ259" s="80">
        <f t="shared" ca="1" si="30"/>
        <v>1.0506250015463039</v>
      </c>
      <c r="AK259" s="44">
        <f t="shared" ca="1" si="31"/>
        <v>155.99126917178663</v>
      </c>
      <c r="AL259" s="44">
        <f>AL258*(1+'main page'!$K$32/100)</f>
        <v>1</v>
      </c>
      <c r="AM259" s="44">
        <f ca="1">IF(ABS(IF(controls!$B$45=1,$AS$13,AK259*AJ259/AL259)-AM258)&lt;0.00001,AM258,IF(controls!$B$45=1,$AS$13,AK259*AJ259/AL259))</f>
        <v>163.88832741481824</v>
      </c>
      <c r="AN259" s="44">
        <f>IF(controls!$B$46=0,0,IF(controls!$B$33=2,B260-B259*AC260-('normal case'!H260-D259*AD260-'main page'!$K$27*'normal case'!T259+'main page'!$K$31*'normal case'!AI259)-(('main page'!$K$25*'main page'!$U$13*'main page'!$K$29)/(1+('main page'!$K$25^2)*'main page'!$U$13))*('normal case'!L259-'main page'!$U$8),B260-B259*AC260-('normal case'!I260-D259*AD260-'main page'!$K$27*'normal case'!T259+'main page'!$K$31*'normal case'!AI259)-(('main page'!$K$25*'main page'!$U$13*'main page'!$K$29)/(1+('main page'!$K$25^2)*'main page'!$U$13))*('normal case'!L259-'main page'!$U$8)))</f>
        <v>0</v>
      </c>
      <c r="AU259" s="36"/>
      <c r="AV259" s="36"/>
    </row>
    <row r="260" spans="1:48">
      <c r="A260" s="43">
        <v>258</v>
      </c>
      <c r="B260" s="62">
        <f ca="1">IF(controls!$B$33=1,B259*(1+AC260)+AA260,B259*(1+AC260))</f>
        <v>101</v>
      </c>
      <c r="C260" s="67">
        <f t="shared" ca="1" si="32"/>
        <v>-1.5107707374006907E-7</v>
      </c>
      <c r="D260" s="64">
        <f t="shared" ref="D260:D323" ca="1" si="36">IF(E260&gt;0,E260,0.1)</f>
        <v>101.00000005960464</v>
      </c>
      <c r="E260" s="64">
        <f ca="1">AN259+IF(controls!$B$33=1,G260,F260)</f>
        <v>101.00000005960464</v>
      </c>
      <c r="F260" s="78">
        <f ca="1">IF(controls!$B$44=0,H260-'main page'!$K$27*T259,H260-'main page'!$K$27*T259+'main page'!$K$31*AI259)</f>
        <v>101.00000005960464</v>
      </c>
      <c r="G260" s="62">
        <f ca="1">IF(controls!$B$44=0,I260-'main page'!$K$27*T259,I260-'main page'!$K$27*T259+'main page'!$K$31*'normal case'!AI259)</f>
        <v>101.00000005960464</v>
      </c>
      <c r="H260" s="62">
        <f t="shared" ca="1" si="34"/>
        <v>108</v>
      </c>
      <c r="I260" s="62">
        <f t="shared" ca="1" si="35"/>
        <v>108</v>
      </c>
      <c r="L260" s="62">
        <f ca="1">IF(ABS('main page'!$K$29*L259+(1-'main page'!$K$29)*(controls!$B$9/100)*100+'main page'!$K$25*(D260-B260)-L259)&lt;0.0000001,L259,'main page'!$K$29*L259+(1-'main page'!$K$29)*(controls!$B$9/100)*100+'main page'!$K$25*(D260-B260))</f>
        <v>1.9999998807907104</v>
      </c>
      <c r="Q260" s="409">
        <f ca="1">(1-'main page'!$K$29)*($AS$11/100)*100+'main page'!$K$25*(D260-B260)</f>
        <v>5.9604644775390625E-8</v>
      </c>
      <c r="R260" s="409">
        <f>'main page'!G264+'main page'!$K$29*M259</f>
        <v>0</v>
      </c>
      <c r="S260" s="409">
        <f t="shared" ca="1" si="33"/>
        <v>5.9604644775390625E-8</v>
      </c>
      <c r="T260" s="79">
        <f ca="1">IF(controls!$B$10=1,T259,IF(SUM(controls!$B$44:$B$46)=2,U260-'main page'!$K$29*'normal case'!L260-(1-'main page'!$K$29)*'main page'!$K$32,U260-'main page'!$K$29*'normal case'!L260-(1-'main page'!$K$29)*controls!$B$9))</f>
        <v>3.4999999701976776</v>
      </c>
      <c r="U260" s="164">
        <f ca="1">IF(controls!$B$45=1,IF(controls!$B$46=1,'main page'!$K$24+'main page'!$K$11+'main page'!$U$8,'main page'!$K$24+'main page'!$K$11+'main page'!$K$32),IF(controls!$B$44=1,IF(V260&lt;0,0,V260),IF(V260+'main page'!$K$11&lt;0,0,V260+'main page'!$K$11)))</f>
        <v>5.4999998509883881</v>
      </c>
      <c r="V260" s="63">
        <f ca="1">IF(controls!$B$10=1,'normal case'!T260+'normal case'!L260,'normal case'!W260)</f>
        <v>5.4999998509883881</v>
      </c>
      <c r="W260" s="61">
        <f t="shared" ref="W260:W323" ca="1" si="37">IF(X260&lt;0,0,X260)</f>
        <v>5.4999998509883881</v>
      </c>
      <c r="X260" s="166">
        <f ca="1">IF(controls!$B$44=0,Y260+'main page'!$K$29*L260+(1-'main page'!$K$29)*controls!$B$9+(('main page'!$K$25*'main page'!$U$13*'main page'!$K$29)/('main page'!$K$27*(1+('main page'!$K$25^2)*'main page'!$U$13)))*(L260-controls!$B$9),Y260+'main page'!$K$29*L260+(1-'main page'!$K$29)*controls!$B$9+(('main page'!$K$25*'main page'!$U$13*'normal case'!$AV$3)/'normal case'!$AV$4)*('normal case'!L260-controls!$B$9))</f>
        <v>5.4999998509883881</v>
      </c>
      <c r="Y260" s="81">
        <f ca="1">IF(controls!$B$44=1,'main page'!$K$24+'main page'!$K$11,IF(controls!$B$33=1,((I261-D260*AD261-B261+B260*AC261)/'main page'!$K$27)-'main page'!$K$11,((H261-D260*AD261-B261+B260*AC261)/'main page'!$K$27)-'main page'!$K$11))</f>
        <v>3.5</v>
      </c>
      <c r="AA260" s="58">
        <f>IF(controls!$B$6=1,$AS$3*(1+('main page'!$K$35/100))^AB260-$AS$3*(1+('main page'!$K$35/100))^AB259,$AS$3*(1+('main page'!$G$8/100))*(1+('main page'!$K$35/100))^AB260-$AS$3*(1+('main page'!$G$8/100))*(1+('main page'!$K$35/100))^AB259)</f>
        <v>0</v>
      </c>
      <c r="AB260" s="60">
        <v>253</v>
      </c>
      <c r="AC260" s="125">
        <f ca="1">IF(controls!$B$4=1,IF(controls!$H259=1,controls!$B$34*AC259+RAND()*('main page'!$K$16/100)-RAND()*('main page'!$K$16/100),0),0)</f>
        <v>0</v>
      </c>
      <c r="AD260" s="36">
        <f ca="1">IF(controls!$B$4=1,IF(controls!$I259=1,controls!$B$34*AD259+RAND()*('main page'!$K$16/100)-RAND()*('main page'!$K$16/100),0),0)</f>
        <v>0</v>
      </c>
      <c r="AE260" s="44">
        <f ca="1">IF(controls!$B$33=1,D260-($I$3-'main page'!$K$27*2)*(1+('main page'!$K$35/100))^A259,D260-$AS$4)</f>
        <v>1.0000000596046448</v>
      </c>
      <c r="AF260" s="44">
        <f ca="1">ABS(L260-(controls!$B$9/100)*100)</f>
        <v>1.1920928955078125E-7</v>
      </c>
      <c r="AH260" s="44">
        <f ca="1">IF(controls!$B$33=1,(B261-B260*AC261-I261+D260*AD261+'main page'!$K$27*('main page'!$K$24+'main page'!$K$11))/'main page'!$K$31,(B261-B260*AC261+D260*AD261-H261+'main page'!$K$27*('main page'!$K$24+'main page'!$K$11))/'main page'!$K$31)</f>
        <v>1</v>
      </c>
      <c r="AI260" s="44">
        <f ca="1">IF(controls!$B$45=1,LOG(AM260,1.01)+LOG(AL260,1.01)-LOG(AK260,1.01),-((T260-('main page'!$K$24+'main page'!$K$11))/(1-'normal case'!$AV$3))+'normal case'!AH260)</f>
        <v>2.0000000596046448</v>
      </c>
      <c r="AJ260" s="80">
        <f t="shared" ref="AJ260:AJ323" ca="1" si="38">IF(ABS(1.025^AI260-1)&lt;0.000000000001,1,1.025^AI260)</f>
        <v>1.0506250015463039</v>
      </c>
      <c r="AK260" s="44">
        <f t="shared" ref="AK260:AK323" ca="1" si="39">AK259*(1+L260/100)</f>
        <v>159.11109436926628</v>
      </c>
      <c r="AL260" s="44">
        <f>AL259*(1+'main page'!$K$32/100)</f>
        <v>1</v>
      </c>
      <c r="AM260" s="44">
        <f ca="1">IF(ABS(IF(controls!$B$45=1,$AS$13,AK260*AJ260/AL260)-AM259)&lt;0.00001,AM259,IF(controls!$B$45=1,$AS$13,AK260*AJ260/AL260))</f>
        <v>167.16609376774448</v>
      </c>
      <c r="AN260" s="44">
        <f>IF(controls!$B$46=0,0,IF(controls!$B$33=2,B261-B260*AC261-('normal case'!H261-D260*AD261-'main page'!$K$27*'normal case'!T260+'main page'!$K$31*'normal case'!AI260)-(('main page'!$K$25*'main page'!$U$13*'main page'!$K$29)/(1+('main page'!$K$25^2)*'main page'!$U$13))*('normal case'!L260-'main page'!$U$8),B261-B260*AC261-('normal case'!I261-D260*AD261-'main page'!$K$27*'normal case'!T260+'main page'!$K$31*'normal case'!AI260)-(('main page'!$K$25*'main page'!$U$13*'main page'!$K$29)/(1+('main page'!$K$25^2)*'main page'!$U$13))*('normal case'!L260-'main page'!$U$8)))</f>
        <v>0</v>
      </c>
      <c r="AU260" s="36"/>
      <c r="AV260" s="36"/>
    </row>
    <row r="261" spans="1:48">
      <c r="A261" s="43">
        <v>259</v>
      </c>
      <c r="B261" s="62">
        <f ca="1">IF(controls!$B$33=1,B260*(1+AC261)+AA261,B260*(1+AC261))</f>
        <v>101</v>
      </c>
      <c r="C261" s="67">
        <f t="shared" ca="1" si="32"/>
        <v>-1.5107707374006907E-7</v>
      </c>
      <c r="D261" s="64">
        <f t="shared" ca="1" si="36"/>
        <v>101.00000005960464</v>
      </c>
      <c r="E261" s="64">
        <f ca="1">AN260+IF(controls!$B$33=1,G261,F261)</f>
        <v>101.00000005960464</v>
      </c>
      <c r="F261" s="78">
        <f ca="1">IF(controls!$B$44=0,H261-'main page'!$K$27*T260,H261-'main page'!$K$27*T260+'main page'!$K$31*AI260)</f>
        <v>101.00000005960464</v>
      </c>
      <c r="G261" s="62">
        <f ca="1">IF(controls!$B$44=0,I261-'main page'!$K$27*T260,I261-'main page'!$K$27*T260+'main page'!$K$31*'normal case'!AI260)</f>
        <v>101.00000005960464</v>
      </c>
      <c r="H261" s="62">
        <f t="shared" ca="1" si="34"/>
        <v>108</v>
      </c>
      <c r="I261" s="62">
        <f t="shared" ca="1" si="35"/>
        <v>108</v>
      </c>
      <c r="L261" s="62">
        <f ca="1">IF(ABS('main page'!$K$29*L260+(1-'main page'!$K$29)*(controls!$B$9/100)*100+'main page'!$K$25*(D261-B261)-L260)&lt;0.0000001,L260,'main page'!$K$29*L260+(1-'main page'!$K$29)*(controls!$B$9/100)*100+'main page'!$K$25*(D261-B261))</f>
        <v>1.9999998807907104</v>
      </c>
      <c r="Q261" s="409">
        <f ca="1">(1-'main page'!$K$29)*($AS$11/100)*100+'main page'!$K$25*(D261-B261)</f>
        <v>5.9604644775390625E-8</v>
      </c>
      <c r="R261" s="409">
        <f>'main page'!G265+'main page'!$K$29*M260</f>
        <v>0</v>
      </c>
      <c r="S261" s="409">
        <f t="shared" ca="1" si="33"/>
        <v>5.9604644775390625E-8</v>
      </c>
      <c r="T261" s="79">
        <f ca="1">IF(controls!$B$10=1,T260,IF(SUM(controls!$B$44:$B$46)=2,U261-'main page'!$K$29*'normal case'!L261-(1-'main page'!$K$29)*'main page'!$K$32,U261-'main page'!$K$29*'normal case'!L261-(1-'main page'!$K$29)*controls!$B$9))</f>
        <v>3.4999999701976776</v>
      </c>
      <c r="U261" s="164">
        <f ca="1">IF(controls!$B$45=1,IF(controls!$B$46=1,'main page'!$K$24+'main page'!$K$11+'main page'!$U$8,'main page'!$K$24+'main page'!$K$11+'main page'!$K$32),IF(controls!$B$44=1,IF(V261&lt;0,0,V261),IF(V261+'main page'!$K$11&lt;0,0,V261+'main page'!$K$11)))</f>
        <v>5.4999998509883881</v>
      </c>
      <c r="V261" s="63">
        <f ca="1">IF(controls!$B$10=1,'normal case'!T261+'normal case'!L261,'normal case'!W261)</f>
        <v>5.4999998509883881</v>
      </c>
      <c r="W261" s="61">
        <f t="shared" ca="1" si="37"/>
        <v>5.4999998509883881</v>
      </c>
      <c r="X261" s="166">
        <f ca="1">IF(controls!$B$44=0,Y261+'main page'!$K$29*L261+(1-'main page'!$K$29)*controls!$B$9+(('main page'!$K$25*'main page'!$U$13*'main page'!$K$29)/('main page'!$K$27*(1+('main page'!$K$25^2)*'main page'!$U$13)))*(L261-controls!$B$9),Y261+'main page'!$K$29*L261+(1-'main page'!$K$29)*controls!$B$9+(('main page'!$K$25*'main page'!$U$13*'normal case'!$AV$3)/'normal case'!$AV$4)*('normal case'!L261-controls!$B$9))</f>
        <v>5.4999998509883881</v>
      </c>
      <c r="Y261" s="81">
        <f ca="1">IF(controls!$B$44=1,'main page'!$K$24+'main page'!$K$11,IF(controls!$B$33=1,((I262-D261*AD262-B262+B261*AC262)/'main page'!$K$27)-'main page'!$K$11,((H262-D261*AD262-B262+B261*AC262)/'main page'!$K$27)-'main page'!$K$11))</f>
        <v>3.5</v>
      </c>
      <c r="AA261" s="58">
        <f>IF(controls!$B$6=1,$AS$3*(1+('main page'!$K$35/100))^AB261-$AS$3*(1+('main page'!$K$35/100))^AB260,$AS$3*(1+('main page'!$G$8/100))*(1+('main page'!$K$35/100))^AB261-$AS$3*(1+('main page'!$G$8/100))*(1+('main page'!$K$35/100))^AB260)</f>
        <v>0</v>
      </c>
      <c r="AB261" s="60">
        <v>254</v>
      </c>
      <c r="AC261" s="125">
        <v>0</v>
      </c>
      <c r="AD261" s="36">
        <v>0</v>
      </c>
      <c r="AE261" s="44">
        <f ca="1">IF(controls!$B$33=1,D261-($I$3-'main page'!$K$27*2)*(1+('main page'!$K$35/100))^A260,D261-$AS$4)</f>
        <v>1.0000000596046448</v>
      </c>
      <c r="AF261" s="44">
        <f ca="1">ABS(L261-(controls!$B$9/100)*100)</f>
        <v>1.1920928955078125E-7</v>
      </c>
      <c r="AH261" s="44">
        <f ca="1">IF(controls!$B$33=1,(B262-B261*AC262-I262+D261*AD262+'main page'!$K$27*('main page'!$K$24+'main page'!$K$11))/'main page'!$K$31,(B262-B261*AC262+D261*AD262-H262+'main page'!$K$27*('main page'!$K$24+'main page'!$K$11))/'main page'!$K$31)</f>
        <v>1</v>
      </c>
      <c r="AI261" s="44">
        <f ca="1">IF(controls!$B$45=1,LOG(AM261,1.01)+LOG(AL261,1.01)-LOG(AK261,1.01),-((T261-('main page'!$K$24+'main page'!$K$11))/(1-'normal case'!$AV$3))+'normal case'!AH261)</f>
        <v>2.0000000596046448</v>
      </c>
      <c r="AJ261" s="80">
        <f t="shared" ca="1" si="38"/>
        <v>1.0506250015463039</v>
      </c>
      <c r="AK261" s="44">
        <f t="shared" ca="1" si="39"/>
        <v>162.29331606697642</v>
      </c>
      <c r="AL261" s="44">
        <f>AL260*(1+'main page'!$K$32/100)</f>
        <v>1</v>
      </c>
      <c r="AM261" s="44">
        <f ca="1">IF(ABS(IF(controls!$B$45=1,$AS$13,AK261*AJ261/AL261)-AM260)&lt;0.00001,AM260,IF(controls!$B$45=1,$AS$13,AK261*AJ261/AL261))</f>
        <v>170.50941544382189</v>
      </c>
      <c r="AN261" s="44">
        <f>IF(controls!$B$46=0,0,IF(controls!$B$33=2,B262-B261*AC262-('normal case'!H262-D261*AD262-'main page'!$K$27*'normal case'!T261+'main page'!$K$31*'normal case'!AI261)-(('main page'!$K$25*'main page'!$U$13*'main page'!$K$29)/(1+('main page'!$K$25^2)*'main page'!$U$13))*('normal case'!L261-'main page'!$U$8),B262-B261*AC262-('normal case'!I262-D261*AD262-'main page'!$K$27*'normal case'!T261+'main page'!$K$31*'normal case'!AI261)-(('main page'!$K$25*'main page'!$U$13*'main page'!$K$29)/(1+('main page'!$K$25^2)*'main page'!$U$13))*('normal case'!L261-'main page'!$U$8)))</f>
        <v>0</v>
      </c>
      <c r="AU261" s="36"/>
      <c r="AV261" s="36"/>
    </row>
    <row r="262" spans="1:48">
      <c r="A262" s="43">
        <v>260</v>
      </c>
      <c r="B262" s="62">
        <f ca="1">IF(controls!$B$33=1,B261*(1+AC262)+AA262,B261*(1+AC262))</f>
        <v>101</v>
      </c>
      <c r="C262" s="67">
        <f t="shared" ref="C262:C325" ca="1" si="40">IF(ABS((D262/D261-1)-C261)&lt;0.000001,C261,D262/D261-1)</f>
        <v>-1.5107707374006907E-7</v>
      </c>
      <c r="D262" s="64">
        <f t="shared" ca="1" si="36"/>
        <v>101.00000005960464</v>
      </c>
      <c r="E262" s="64">
        <f ca="1">AN261+IF(controls!$B$33=1,G262,F262)</f>
        <v>101.00000005960464</v>
      </c>
      <c r="F262" s="78">
        <f ca="1">IF(controls!$B$44=0,H262-'main page'!$K$27*T261,H262-'main page'!$K$27*T261+'main page'!$K$31*AI261)</f>
        <v>101.00000005960464</v>
      </c>
      <c r="G262" s="62">
        <f ca="1">IF(controls!$B$44=0,I262-'main page'!$K$27*T261,I262-'main page'!$K$27*T261+'main page'!$K$31*'normal case'!AI261)</f>
        <v>101.00000005960464</v>
      </c>
      <c r="H262" s="62">
        <f t="shared" ca="1" si="34"/>
        <v>108</v>
      </c>
      <c r="I262" s="62">
        <f t="shared" ca="1" si="35"/>
        <v>108</v>
      </c>
      <c r="L262" s="62">
        <f ca="1">IF(ABS('main page'!$K$29*L261+(1-'main page'!$K$29)*(controls!$B$9/100)*100+'main page'!$K$25*(D262-B262)-L261)&lt;0.0000001,L261,'main page'!$K$29*L261+(1-'main page'!$K$29)*(controls!$B$9/100)*100+'main page'!$K$25*(D262-B262))</f>
        <v>1.9999998807907104</v>
      </c>
      <c r="Q262" s="409">
        <f ca="1">(1-'main page'!$K$29)*($AS$11/100)*100+'main page'!$K$25*(D262-B262)</f>
        <v>5.9604644775390625E-8</v>
      </c>
      <c r="R262" s="409">
        <f>'main page'!G266+'main page'!$K$29*M261</f>
        <v>0</v>
      </c>
      <c r="S262" s="409">
        <f t="shared" ca="1" si="33"/>
        <v>5.9604644775390625E-8</v>
      </c>
      <c r="T262" s="79">
        <f ca="1">IF(controls!$B$10=1,T261,IF(SUM(controls!$B$44:$B$46)=2,U262-'main page'!$K$29*'normal case'!L262-(1-'main page'!$K$29)*'main page'!$K$32,U262-'main page'!$K$29*'normal case'!L262-(1-'main page'!$K$29)*controls!$B$9))</f>
        <v>3.4999999701976776</v>
      </c>
      <c r="U262" s="164">
        <f ca="1">IF(controls!$B$45=1,IF(controls!$B$46=1,'main page'!$K$24+'main page'!$K$11+'main page'!$U$8,'main page'!$K$24+'main page'!$K$11+'main page'!$K$32),IF(controls!$B$44=1,IF(V262&lt;0,0,V262),IF(V262+'main page'!$K$11&lt;0,0,V262+'main page'!$K$11)))</f>
        <v>5.4999998509883881</v>
      </c>
      <c r="V262" s="63">
        <f ca="1">IF(controls!$B$10=1,'normal case'!T262+'normal case'!L262,'normal case'!W262)</f>
        <v>5.4999998509883881</v>
      </c>
      <c r="W262" s="61">
        <f t="shared" ca="1" si="37"/>
        <v>5.4999998509883881</v>
      </c>
      <c r="X262" s="166">
        <f ca="1">IF(controls!$B$44=0,Y262+'main page'!$K$29*L262+(1-'main page'!$K$29)*controls!$B$9+(('main page'!$K$25*'main page'!$U$13*'main page'!$K$29)/('main page'!$K$27*(1+('main page'!$K$25^2)*'main page'!$U$13)))*(L262-controls!$B$9),Y262+'main page'!$K$29*L262+(1-'main page'!$K$29)*controls!$B$9+(('main page'!$K$25*'main page'!$U$13*'normal case'!$AV$3)/'normal case'!$AV$4)*('normal case'!L262-controls!$B$9))</f>
        <v>5.4999998509883881</v>
      </c>
      <c r="Y262" s="81">
        <f ca="1">IF(controls!$B$44=1,'main page'!$K$24+'main page'!$K$11,IF(controls!$B$33=1,((I263-D262*AD263-B263+B262*AC263)/'main page'!$K$27)-'main page'!$K$11,((H263-D262*AD263-B263+B262*AC263)/'main page'!$K$27)-'main page'!$K$11))</f>
        <v>3.5</v>
      </c>
      <c r="AA262" s="58">
        <f>IF(controls!$B$6=1,$AS$3*(1+('main page'!$K$35/100))^AB262-$AS$3*(1+('main page'!$K$35/100))^AB261,$AS$3*(1+('main page'!$G$8/100))*(1+('main page'!$K$35/100))^AB262-$AS$3*(1+('main page'!$G$8/100))*(1+('main page'!$K$35/100))^AB261)</f>
        <v>0</v>
      </c>
      <c r="AB262" s="60">
        <v>255</v>
      </c>
      <c r="AC262" s="125">
        <v>0</v>
      </c>
      <c r="AD262" s="36">
        <v>0</v>
      </c>
      <c r="AE262" s="44">
        <f ca="1">IF(controls!$B$33=1,D262-($I$3-'main page'!$K$27*2)*(1+('main page'!$K$35/100))^A261,D262-$AS$4)</f>
        <v>1.0000000596046448</v>
      </c>
      <c r="AF262" s="44">
        <f ca="1">ABS(L262-(controls!$B$9/100)*100)</f>
        <v>1.1920928955078125E-7</v>
      </c>
      <c r="AH262" s="44">
        <f ca="1">IF(controls!$B$33=1,(B263-B262*AC263-I263+D262*AD263+'main page'!$K$27*('main page'!$K$24+'main page'!$K$11))/'main page'!$K$31,(B263-B262*AC263+D262*AD263-H263+'main page'!$K$27*('main page'!$K$24+'main page'!$K$11))/'main page'!$K$31)</f>
        <v>1</v>
      </c>
      <c r="AI262" s="44">
        <f ca="1">IF(controls!$B$45=1,LOG(AM262,1.01)+LOG(AL262,1.01)-LOG(AK262,1.01),-((T262-('main page'!$K$24+'main page'!$K$11))/(1-'normal case'!$AV$3))+'normal case'!AH262)</f>
        <v>2.0000000596046448</v>
      </c>
      <c r="AJ262" s="80">
        <f t="shared" ca="1" si="38"/>
        <v>1.0506250015463039</v>
      </c>
      <c r="AK262" s="44">
        <f t="shared" ca="1" si="39"/>
        <v>165.53918219484726</v>
      </c>
      <c r="AL262" s="44">
        <f>AL261*(1+'main page'!$K$32/100)</f>
        <v>1</v>
      </c>
      <c r="AM262" s="44">
        <f ca="1">IF(ABS(IF(controls!$B$45=1,$AS$13,AK262*AJ262/AL262)-AM261)&lt;0.00001,AM261,IF(controls!$B$45=1,$AS$13,AK262*AJ262/AL262))</f>
        <v>173.91960354943529</v>
      </c>
      <c r="AN262" s="44">
        <f>IF(controls!$B$46=0,0,IF(controls!$B$33=2,B263-B262*AC263-('normal case'!H263-D262*AD263-'main page'!$K$27*'normal case'!T262+'main page'!$K$31*'normal case'!AI262)-(('main page'!$K$25*'main page'!$U$13*'main page'!$K$29)/(1+('main page'!$K$25^2)*'main page'!$U$13))*('normal case'!L262-'main page'!$U$8),B263-B262*AC263-('normal case'!I263-D262*AD263-'main page'!$K$27*'normal case'!T262+'main page'!$K$31*'normal case'!AI262)-(('main page'!$K$25*'main page'!$U$13*'main page'!$K$29)/(1+('main page'!$K$25^2)*'main page'!$U$13))*('normal case'!L262-'main page'!$U$8)))</f>
        <v>0</v>
      </c>
      <c r="AU262" s="36"/>
      <c r="AV262" s="36"/>
    </row>
    <row r="263" spans="1:48">
      <c r="A263" s="43">
        <v>261</v>
      </c>
      <c r="B263" s="62">
        <f ca="1">IF(controls!$B$33=1,B262*(1+AC263)+AA263,B262*(1+AC263))</f>
        <v>101</v>
      </c>
      <c r="C263" s="67">
        <f t="shared" ca="1" si="40"/>
        <v>-1.5107707374006907E-7</v>
      </c>
      <c r="D263" s="64">
        <f t="shared" ca="1" si="36"/>
        <v>101.00000005960464</v>
      </c>
      <c r="E263" s="64">
        <f ca="1">AN262+IF(controls!$B$33=1,G263,F263)</f>
        <v>101.00000005960464</v>
      </c>
      <c r="F263" s="78">
        <f ca="1">IF(controls!$B$44=0,H263-'main page'!$K$27*T262,H263-'main page'!$K$27*T262+'main page'!$K$31*AI262)</f>
        <v>101.00000005960464</v>
      </c>
      <c r="G263" s="62">
        <f ca="1">IF(controls!$B$44=0,I263-'main page'!$K$27*T262,I263-'main page'!$K$27*T262+'main page'!$K$31*'normal case'!AI262)</f>
        <v>101.00000005960464</v>
      </c>
      <c r="H263" s="62">
        <f t="shared" ca="1" si="34"/>
        <v>108</v>
      </c>
      <c r="I263" s="62">
        <f t="shared" ca="1" si="35"/>
        <v>108</v>
      </c>
      <c r="L263" s="62">
        <f ca="1">IF(ABS('main page'!$K$29*L262+(1-'main page'!$K$29)*(controls!$B$9/100)*100+'main page'!$K$25*(D263-B263)-L262)&lt;0.0000001,L262,'main page'!$K$29*L262+(1-'main page'!$K$29)*(controls!$B$9/100)*100+'main page'!$K$25*(D263-B263))</f>
        <v>1.9999998807907104</v>
      </c>
      <c r="Q263" s="409">
        <f ca="1">(1-'main page'!$K$29)*($AS$11/100)*100+'main page'!$K$25*(D263-B263)</f>
        <v>5.9604644775390625E-8</v>
      </c>
      <c r="R263" s="409">
        <f>'main page'!G267+'main page'!$K$29*M262</f>
        <v>0</v>
      </c>
      <c r="S263" s="409">
        <f t="shared" ca="1" si="33"/>
        <v>5.9604644775390625E-8</v>
      </c>
      <c r="T263" s="79">
        <f ca="1">IF(controls!$B$10=1,T262,IF(SUM(controls!$B$44:$B$46)=2,U263-'main page'!$K$29*'normal case'!L263-(1-'main page'!$K$29)*'main page'!$K$32,U263-'main page'!$K$29*'normal case'!L263-(1-'main page'!$K$29)*controls!$B$9))</f>
        <v>3.4999999701976776</v>
      </c>
      <c r="U263" s="164">
        <f ca="1">IF(controls!$B$45=1,IF(controls!$B$46=1,'main page'!$K$24+'main page'!$K$11+'main page'!$U$8,'main page'!$K$24+'main page'!$K$11+'main page'!$K$32),IF(controls!$B$44=1,IF(V263&lt;0,0,V263),IF(V263+'main page'!$K$11&lt;0,0,V263+'main page'!$K$11)))</f>
        <v>5.4999998509883881</v>
      </c>
      <c r="V263" s="63">
        <f ca="1">IF(controls!$B$10=1,'normal case'!T263+'normal case'!L263,'normal case'!W263)</f>
        <v>5.4999998509883881</v>
      </c>
      <c r="W263" s="61">
        <f t="shared" ca="1" si="37"/>
        <v>5.4999998509883881</v>
      </c>
      <c r="X263" s="166">
        <f ca="1">IF(controls!$B$44=0,Y263+'main page'!$K$29*L263+(1-'main page'!$K$29)*controls!$B$9+(('main page'!$K$25*'main page'!$U$13*'main page'!$K$29)/('main page'!$K$27*(1+('main page'!$K$25^2)*'main page'!$U$13)))*(L263-controls!$B$9),Y263+'main page'!$K$29*L263+(1-'main page'!$K$29)*controls!$B$9+(('main page'!$K$25*'main page'!$U$13*'normal case'!$AV$3)/'normal case'!$AV$4)*('normal case'!L263-controls!$B$9))</f>
        <v>5.4999998509883881</v>
      </c>
      <c r="Y263" s="81">
        <f ca="1">IF(controls!$B$44=1,'main page'!$K$24+'main page'!$K$11,IF(controls!$B$33=1,((I264-D263*AD264-B264+B263*AC264)/'main page'!$K$27)-'main page'!$K$11,((H264-D263*AD264-B264+B263*AC264)/'main page'!$K$27)-'main page'!$K$11))</f>
        <v>3.5</v>
      </c>
      <c r="AA263" s="58">
        <f>IF(controls!$B$6=1,$AS$3*(1+('main page'!$K$35/100))^AB263-$AS$3*(1+('main page'!$K$35/100))^AB262,$AS$3*(1+('main page'!$G$8/100))*(1+('main page'!$K$35/100))^AB263-$AS$3*(1+('main page'!$G$8/100))*(1+('main page'!$K$35/100))^AB262)</f>
        <v>0</v>
      </c>
      <c r="AB263" s="60">
        <v>256</v>
      </c>
      <c r="AC263" s="125">
        <f ca="1">IF(controls!$B$4=1,IF(controls!$H262=1,controls!$B$34*AC262+RAND()*('main page'!$K$16/100)-RAND()*('main page'!$K$16/100),0),0)</f>
        <v>0</v>
      </c>
      <c r="AD263" s="36">
        <f ca="1">IF(controls!$B$4=1,IF(controls!$I262=1,controls!$B$34*AD262+RAND()*('main page'!$K$16/100)-RAND()*('main page'!$K$16/100),0),0)</f>
        <v>0</v>
      </c>
      <c r="AE263" s="44">
        <f ca="1">IF(controls!$B$33=1,D263-($I$3-'main page'!$K$27*2)*(1+('main page'!$K$35/100))^A262,D263-$AS$4)</f>
        <v>1.0000000596046448</v>
      </c>
      <c r="AF263" s="44">
        <f ca="1">ABS(L263-(controls!$B$9/100)*100)</f>
        <v>1.1920928955078125E-7</v>
      </c>
      <c r="AH263" s="44">
        <f ca="1">IF(controls!$B$33=1,(B264-B263*AC264-I264+D263*AD264+'main page'!$K$27*('main page'!$K$24+'main page'!$K$11))/'main page'!$K$31,(B264-B263*AC264+D263*AD264-H264+'main page'!$K$27*('main page'!$K$24+'main page'!$K$11))/'main page'!$K$31)</f>
        <v>1</v>
      </c>
      <c r="AI263" s="44">
        <f ca="1">IF(controls!$B$45=1,LOG(AM263,1.01)+LOG(AL263,1.01)-LOG(AK263,1.01),-((T263-('main page'!$K$24+'main page'!$K$11))/(1-'normal case'!$AV$3))+'normal case'!AH263)</f>
        <v>2.0000000596046448</v>
      </c>
      <c r="AJ263" s="80">
        <f t="shared" ca="1" si="38"/>
        <v>1.0506250015463039</v>
      </c>
      <c r="AK263" s="44">
        <f t="shared" ca="1" si="39"/>
        <v>168.84996564140613</v>
      </c>
      <c r="AL263" s="44">
        <f>AL262*(1+'main page'!$K$32/100)</f>
        <v>1</v>
      </c>
      <c r="AM263" s="44">
        <f ca="1">IF(ABS(IF(controls!$B$45=1,$AS$13,AK263*AJ263/AL263)-AM262)&lt;0.00001,AM262,IF(controls!$B$45=1,$AS$13,AK263*AJ263/AL263))</f>
        <v>177.39799541309569</v>
      </c>
      <c r="AN263" s="44">
        <f>IF(controls!$B$46=0,0,IF(controls!$B$33=2,B264-B263*AC264-('normal case'!H264-D263*AD264-'main page'!$K$27*'normal case'!T263+'main page'!$K$31*'normal case'!AI263)-(('main page'!$K$25*'main page'!$U$13*'main page'!$K$29)/(1+('main page'!$K$25^2)*'main page'!$U$13))*('normal case'!L263-'main page'!$U$8),B264-B263*AC264-('normal case'!I264-D263*AD264-'main page'!$K$27*'normal case'!T263+'main page'!$K$31*'normal case'!AI263)-(('main page'!$K$25*'main page'!$U$13*'main page'!$K$29)/(1+('main page'!$K$25^2)*'main page'!$U$13))*('normal case'!L263-'main page'!$U$8)))</f>
        <v>0</v>
      </c>
      <c r="AU263" s="36"/>
      <c r="AV263" s="36"/>
    </row>
    <row r="264" spans="1:48">
      <c r="A264" s="43">
        <v>262</v>
      </c>
      <c r="B264" s="62">
        <f ca="1">IF(controls!$B$33=1,B263*(1+AC264)+AA264,B263*(1+AC264))</f>
        <v>101</v>
      </c>
      <c r="C264" s="67">
        <f t="shared" ca="1" si="40"/>
        <v>-1.5107707374006907E-7</v>
      </c>
      <c r="D264" s="64">
        <f t="shared" ca="1" si="36"/>
        <v>101.00000005960464</v>
      </c>
      <c r="E264" s="64">
        <f ca="1">AN263+IF(controls!$B$33=1,G264,F264)</f>
        <v>101.00000005960464</v>
      </c>
      <c r="F264" s="78">
        <f ca="1">IF(controls!$B$44=0,H264-'main page'!$K$27*T263,H264-'main page'!$K$27*T263+'main page'!$K$31*AI263)</f>
        <v>101.00000005960464</v>
      </c>
      <c r="G264" s="62">
        <f ca="1">IF(controls!$B$44=0,I264-'main page'!$K$27*T263,I264-'main page'!$K$27*T263+'main page'!$K$31*'normal case'!AI263)</f>
        <v>101.00000005960464</v>
      </c>
      <c r="H264" s="62">
        <f t="shared" ca="1" si="34"/>
        <v>108</v>
      </c>
      <c r="I264" s="62">
        <f t="shared" ca="1" si="35"/>
        <v>108</v>
      </c>
      <c r="L264" s="62">
        <f ca="1">IF(ABS('main page'!$K$29*L263+(1-'main page'!$K$29)*(controls!$B$9/100)*100+'main page'!$K$25*(D264-B264)-L263)&lt;0.0000001,L263,'main page'!$K$29*L263+(1-'main page'!$K$29)*(controls!$B$9/100)*100+'main page'!$K$25*(D264-B264))</f>
        <v>1.9999998807907104</v>
      </c>
      <c r="Q264" s="409">
        <f ca="1">(1-'main page'!$K$29)*($AS$11/100)*100+'main page'!$K$25*(D264-B264)</f>
        <v>5.9604644775390625E-8</v>
      </c>
      <c r="R264" s="409">
        <f>'main page'!G268+'main page'!$K$29*M263</f>
        <v>0</v>
      </c>
      <c r="S264" s="409">
        <f t="shared" ref="S264:S327" ca="1" si="41">Q264+R264</f>
        <v>5.9604644775390625E-8</v>
      </c>
      <c r="T264" s="79">
        <f ca="1">IF(controls!$B$10=1,T263,IF(SUM(controls!$B$44:$B$46)=2,U264-'main page'!$K$29*'normal case'!L264-(1-'main page'!$K$29)*'main page'!$K$32,U264-'main page'!$K$29*'normal case'!L264-(1-'main page'!$K$29)*controls!$B$9))</f>
        <v>3.4999999701976776</v>
      </c>
      <c r="U264" s="164">
        <f ca="1">IF(controls!$B$45=1,IF(controls!$B$46=1,'main page'!$K$24+'main page'!$K$11+'main page'!$U$8,'main page'!$K$24+'main page'!$K$11+'main page'!$K$32),IF(controls!$B$44=1,IF(V264&lt;0,0,V264),IF(V264+'main page'!$K$11&lt;0,0,V264+'main page'!$K$11)))</f>
        <v>5.4999998509883881</v>
      </c>
      <c r="V264" s="63">
        <f ca="1">IF(controls!$B$10=1,'normal case'!T264+'normal case'!L264,'normal case'!W264)</f>
        <v>5.4999998509883881</v>
      </c>
      <c r="W264" s="61">
        <f t="shared" ca="1" si="37"/>
        <v>5.4999998509883881</v>
      </c>
      <c r="X264" s="166">
        <f ca="1">IF(controls!$B$44=0,Y264+'main page'!$K$29*L264+(1-'main page'!$K$29)*controls!$B$9+(('main page'!$K$25*'main page'!$U$13*'main page'!$K$29)/('main page'!$K$27*(1+('main page'!$K$25^2)*'main page'!$U$13)))*(L264-controls!$B$9),Y264+'main page'!$K$29*L264+(1-'main page'!$K$29)*controls!$B$9+(('main page'!$K$25*'main page'!$U$13*'normal case'!$AV$3)/'normal case'!$AV$4)*('normal case'!L264-controls!$B$9))</f>
        <v>5.4999998509883881</v>
      </c>
      <c r="Y264" s="81">
        <f ca="1">IF(controls!$B$44=1,'main page'!$K$24+'main page'!$K$11,IF(controls!$B$33=1,((I265-D264*AD265-B265+B264*AC265)/'main page'!$K$27)-'main page'!$K$11,((H265-D264*AD265-B265+B264*AC265)/'main page'!$K$27)-'main page'!$K$11))</f>
        <v>3.5</v>
      </c>
      <c r="AA264" s="58">
        <f>IF(controls!$B$6=1,$AS$3*(1+('main page'!$K$35/100))^AB264-$AS$3*(1+('main page'!$K$35/100))^AB263,$AS$3*(1+('main page'!$G$8/100))*(1+('main page'!$K$35/100))^AB264-$AS$3*(1+('main page'!$G$8/100))*(1+('main page'!$K$35/100))^AB263)</f>
        <v>0</v>
      </c>
      <c r="AB264" s="60">
        <v>257</v>
      </c>
      <c r="AC264" s="125">
        <v>0</v>
      </c>
      <c r="AD264" s="36">
        <v>0</v>
      </c>
      <c r="AE264" s="44">
        <f ca="1">IF(controls!$B$33=1,D264-($I$3-'main page'!$K$27*2)*(1+('main page'!$K$35/100))^A263,D264-$AS$4)</f>
        <v>1.0000000596046448</v>
      </c>
      <c r="AF264" s="44">
        <f ca="1">ABS(L264-(controls!$B$9/100)*100)</f>
        <v>1.1920928955078125E-7</v>
      </c>
      <c r="AH264" s="44">
        <f ca="1">IF(controls!$B$33=1,(B265-B264*AC265-I265+D264*AD265+'main page'!$K$27*('main page'!$K$24+'main page'!$K$11))/'main page'!$K$31,(B265-B264*AC265+D264*AD265-H265+'main page'!$K$27*('main page'!$K$24+'main page'!$K$11))/'main page'!$K$31)</f>
        <v>1</v>
      </c>
      <c r="AI264" s="44">
        <f ca="1">IF(controls!$B$45=1,LOG(AM264,1.01)+LOG(AL264,1.01)-LOG(AK264,1.01),-((T264-('main page'!$K$24+'main page'!$K$11))/(1-'normal case'!$AV$3))+'normal case'!AH264)</f>
        <v>2.0000000596046448</v>
      </c>
      <c r="AJ264" s="80">
        <f t="shared" ca="1" si="38"/>
        <v>1.0506250015463039</v>
      </c>
      <c r="AK264" s="44">
        <f t="shared" ca="1" si="39"/>
        <v>172.22696475294941</v>
      </c>
      <c r="AL264" s="44">
        <f>AL263*(1+'main page'!$K$32/100)</f>
        <v>1</v>
      </c>
      <c r="AM264" s="44">
        <f ca="1">IF(ABS(IF(controls!$B$45=1,$AS$13,AK264*AJ264/AL264)-AM263)&lt;0.00001,AM263,IF(controls!$B$45=1,$AS$13,AK264*AJ264/AL264))</f>
        <v>180.9459551098827</v>
      </c>
      <c r="AN264" s="44">
        <f>IF(controls!$B$46=0,0,IF(controls!$B$33=2,B265-B264*AC265-('normal case'!H265-D264*AD265-'main page'!$K$27*'normal case'!T264+'main page'!$K$31*'normal case'!AI264)-(('main page'!$K$25*'main page'!$U$13*'main page'!$K$29)/(1+('main page'!$K$25^2)*'main page'!$U$13))*('normal case'!L264-'main page'!$U$8),B265-B264*AC265-('normal case'!I265-D264*AD265-'main page'!$K$27*'normal case'!T264+'main page'!$K$31*'normal case'!AI264)-(('main page'!$K$25*'main page'!$U$13*'main page'!$K$29)/(1+('main page'!$K$25^2)*'main page'!$U$13))*('normal case'!L264-'main page'!$U$8)))</f>
        <v>0</v>
      </c>
      <c r="AU264" s="36"/>
      <c r="AV264" s="36"/>
    </row>
    <row r="265" spans="1:48">
      <c r="A265" s="43">
        <v>263</v>
      </c>
      <c r="B265" s="62">
        <f ca="1">IF(controls!$B$33=1,B264*(1+AC265)+AA265,B264*(1+AC265))</f>
        <v>101</v>
      </c>
      <c r="C265" s="67">
        <f t="shared" ca="1" si="40"/>
        <v>-1.5107707374006907E-7</v>
      </c>
      <c r="D265" s="64">
        <f t="shared" ca="1" si="36"/>
        <v>101.00000005960464</v>
      </c>
      <c r="E265" s="64">
        <f ca="1">AN264+IF(controls!$B$33=1,G265,F265)</f>
        <v>101.00000005960464</v>
      </c>
      <c r="F265" s="78">
        <f ca="1">IF(controls!$B$44=0,H265-'main page'!$K$27*T264,H265-'main page'!$K$27*T264+'main page'!$K$31*AI264)</f>
        <v>101.00000005960464</v>
      </c>
      <c r="G265" s="62">
        <f ca="1">IF(controls!$B$44=0,I265-'main page'!$K$27*T264,I265-'main page'!$K$27*T264+'main page'!$K$31*'normal case'!AI264)</f>
        <v>101.00000005960464</v>
      </c>
      <c r="H265" s="62">
        <f t="shared" ca="1" si="34"/>
        <v>108</v>
      </c>
      <c r="I265" s="62">
        <f t="shared" ca="1" si="35"/>
        <v>108</v>
      </c>
      <c r="L265" s="62">
        <f ca="1">IF(ABS('main page'!$K$29*L264+(1-'main page'!$K$29)*(controls!$B$9/100)*100+'main page'!$K$25*(D265-B265)-L264)&lt;0.0000001,L264,'main page'!$K$29*L264+(1-'main page'!$K$29)*(controls!$B$9/100)*100+'main page'!$K$25*(D265-B265))</f>
        <v>1.9999998807907104</v>
      </c>
      <c r="Q265" s="409">
        <f ca="1">(1-'main page'!$K$29)*($AS$11/100)*100+'main page'!$K$25*(D265-B265)</f>
        <v>5.9604644775390625E-8</v>
      </c>
      <c r="R265" s="409">
        <f>'main page'!G269+'main page'!$K$29*M264</f>
        <v>0</v>
      </c>
      <c r="S265" s="409">
        <f t="shared" ca="1" si="41"/>
        <v>5.9604644775390625E-8</v>
      </c>
      <c r="T265" s="79">
        <f ca="1">IF(controls!$B$10=1,T264,IF(SUM(controls!$B$44:$B$46)=2,U265-'main page'!$K$29*'normal case'!L265-(1-'main page'!$K$29)*'main page'!$K$32,U265-'main page'!$K$29*'normal case'!L265-(1-'main page'!$K$29)*controls!$B$9))</f>
        <v>3.4999999701976776</v>
      </c>
      <c r="U265" s="164">
        <f ca="1">IF(controls!$B$45=1,IF(controls!$B$46=1,'main page'!$K$24+'main page'!$K$11+'main page'!$U$8,'main page'!$K$24+'main page'!$K$11+'main page'!$K$32),IF(controls!$B$44=1,IF(V265&lt;0,0,V265),IF(V265+'main page'!$K$11&lt;0,0,V265+'main page'!$K$11)))</f>
        <v>5.4999998509883881</v>
      </c>
      <c r="V265" s="63">
        <f ca="1">IF(controls!$B$10=1,'normal case'!T265+'normal case'!L265,'normal case'!W265)</f>
        <v>5.4999998509883881</v>
      </c>
      <c r="W265" s="61">
        <f t="shared" ca="1" si="37"/>
        <v>5.4999998509883881</v>
      </c>
      <c r="X265" s="166">
        <f ca="1">IF(controls!$B$44=0,Y265+'main page'!$K$29*L265+(1-'main page'!$K$29)*controls!$B$9+(('main page'!$K$25*'main page'!$U$13*'main page'!$K$29)/('main page'!$K$27*(1+('main page'!$K$25^2)*'main page'!$U$13)))*(L265-controls!$B$9),Y265+'main page'!$K$29*L265+(1-'main page'!$K$29)*controls!$B$9+(('main page'!$K$25*'main page'!$U$13*'normal case'!$AV$3)/'normal case'!$AV$4)*('normal case'!L265-controls!$B$9))</f>
        <v>5.4999998509883881</v>
      </c>
      <c r="Y265" s="81">
        <f ca="1">IF(controls!$B$44=1,'main page'!$K$24+'main page'!$K$11,IF(controls!$B$33=1,((I266-D265*AD266-B266+B265*AC266)/'main page'!$K$27)-'main page'!$K$11,((H266-D265*AD266-B266+B265*AC266)/'main page'!$K$27)-'main page'!$K$11))</f>
        <v>3.5</v>
      </c>
      <c r="AA265" s="58">
        <f>IF(controls!$B$6=1,$AS$3*(1+('main page'!$K$35/100))^AB265-$AS$3*(1+('main page'!$K$35/100))^AB264,$AS$3*(1+('main page'!$G$8/100))*(1+('main page'!$K$35/100))^AB265-$AS$3*(1+('main page'!$G$8/100))*(1+('main page'!$K$35/100))^AB264)</f>
        <v>0</v>
      </c>
      <c r="AB265" s="60">
        <v>258</v>
      </c>
      <c r="AC265" s="125">
        <v>0</v>
      </c>
      <c r="AD265" s="36">
        <v>0</v>
      </c>
      <c r="AE265" s="44">
        <f ca="1">IF(controls!$B$33=1,D265-($I$3-'main page'!$K$27*2)*(1+('main page'!$K$35/100))^A264,D265-$AS$4)</f>
        <v>1.0000000596046448</v>
      </c>
      <c r="AF265" s="44">
        <f ca="1">ABS(L265-(controls!$B$9/100)*100)</f>
        <v>1.1920928955078125E-7</v>
      </c>
      <c r="AH265" s="44">
        <f ca="1">IF(controls!$B$33=1,(B266-B265*AC266-I266+D265*AD266+'main page'!$K$27*('main page'!$K$24+'main page'!$K$11))/'main page'!$K$31,(B266-B265*AC266+D265*AD266-H266+'main page'!$K$27*('main page'!$K$24+'main page'!$K$11))/'main page'!$K$31)</f>
        <v>1</v>
      </c>
      <c r="AI265" s="44">
        <f ca="1">IF(controls!$B$45=1,LOG(AM265,1.01)+LOG(AL265,1.01)-LOG(AK265,1.01),-((T265-('main page'!$K$24+'main page'!$K$11))/(1-'normal case'!$AV$3))+'normal case'!AH265)</f>
        <v>2.0000000596046448</v>
      </c>
      <c r="AJ265" s="80">
        <f t="shared" ca="1" si="38"/>
        <v>1.0506250015463039</v>
      </c>
      <c r="AK265" s="44">
        <f t="shared" ca="1" si="39"/>
        <v>175.67150384269786</v>
      </c>
      <c r="AL265" s="44">
        <f>AL264*(1+'main page'!$K$32/100)</f>
        <v>1</v>
      </c>
      <c r="AM265" s="44">
        <f ca="1">IF(ABS(IF(controls!$B$45=1,$AS$13,AK265*AJ265/AL265)-AM264)&lt;0.00001,AM264,IF(controls!$B$45=1,$AS$13,AK265*AJ265/AL265))</f>
        <v>184.56487399637598</v>
      </c>
      <c r="AN265" s="44">
        <f>IF(controls!$B$46=0,0,IF(controls!$B$33=2,B266-B265*AC266-('normal case'!H266-D265*AD266-'main page'!$K$27*'normal case'!T265+'main page'!$K$31*'normal case'!AI265)-(('main page'!$K$25*'main page'!$U$13*'main page'!$K$29)/(1+('main page'!$K$25^2)*'main page'!$U$13))*('normal case'!L265-'main page'!$U$8),B266-B265*AC266-('normal case'!I266-D265*AD266-'main page'!$K$27*'normal case'!T265+'main page'!$K$31*'normal case'!AI265)-(('main page'!$K$25*'main page'!$U$13*'main page'!$K$29)/(1+('main page'!$K$25^2)*'main page'!$U$13))*('normal case'!L265-'main page'!$U$8)))</f>
        <v>0</v>
      </c>
      <c r="AU265" s="36"/>
      <c r="AV265" s="36"/>
    </row>
    <row r="266" spans="1:48">
      <c r="A266" s="43">
        <v>264</v>
      </c>
      <c r="B266" s="62">
        <f ca="1">IF(controls!$B$33=1,B265*(1+AC266)+AA266,B265*(1+AC266))</f>
        <v>101</v>
      </c>
      <c r="C266" s="67">
        <f t="shared" ca="1" si="40"/>
        <v>-1.5107707374006907E-7</v>
      </c>
      <c r="D266" s="64">
        <f t="shared" ca="1" si="36"/>
        <v>101.00000005960464</v>
      </c>
      <c r="E266" s="64">
        <f ca="1">AN265+IF(controls!$B$33=1,G266,F266)</f>
        <v>101.00000005960464</v>
      </c>
      <c r="F266" s="78">
        <f ca="1">IF(controls!$B$44=0,H266-'main page'!$K$27*T265,H266-'main page'!$K$27*T265+'main page'!$K$31*AI265)</f>
        <v>101.00000005960464</v>
      </c>
      <c r="G266" s="62">
        <f ca="1">IF(controls!$B$44=0,I266-'main page'!$K$27*T265,I266-'main page'!$K$27*T265+'main page'!$K$31*'normal case'!AI265)</f>
        <v>101.00000005960464</v>
      </c>
      <c r="H266" s="62">
        <f t="shared" ca="1" si="34"/>
        <v>108</v>
      </c>
      <c r="I266" s="62">
        <f t="shared" ca="1" si="35"/>
        <v>108</v>
      </c>
      <c r="L266" s="62">
        <f ca="1">IF(ABS('main page'!$K$29*L265+(1-'main page'!$K$29)*(controls!$B$9/100)*100+'main page'!$K$25*(D266-B266)-L265)&lt;0.0000001,L265,'main page'!$K$29*L265+(1-'main page'!$K$29)*(controls!$B$9/100)*100+'main page'!$K$25*(D266-B266))</f>
        <v>1.9999998807907104</v>
      </c>
      <c r="Q266" s="409">
        <f ca="1">(1-'main page'!$K$29)*($AS$11/100)*100+'main page'!$K$25*(D266-B266)</f>
        <v>5.9604644775390625E-8</v>
      </c>
      <c r="R266" s="409">
        <f>'main page'!G270+'main page'!$K$29*M265</f>
        <v>0</v>
      </c>
      <c r="S266" s="409">
        <f t="shared" ca="1" si="41"/>
        <v>5.9604644775390625E-8</v>
      </c>
      <c r="T266" s="79">
        <f ca="1">IF(controls!$B$10=1,T265,IF(SUM(controls!$B$44:$B$46)=2,U266-'main page'!$K$29*'normal case'!L266-(1-'main page'!$K$29)*'main page'!$K$32,U266-'main page'!$K$29*'normal case'!L266-(1-'main page'!$K$29)*controls!$B$9))</f>
        <v>3.4999999701976776</v>
      </c>
      <c r="U266" s="164">
        <f ca="1">IF(controls!$B$45=1,IF(controls!$B$46=1,'main page'!$K$24+'main page'!$K$11+'main page'!$U$8,'main page'!$K$24+'main page'!$K$11+'main page'!$K$32),IF(controls!$B$44=1,IF(V266&lt;0,0,V266),IF(V266+'main page'!$K$11&lt;0,0,V266+'main page'!$K$11)))</f>
        <v>5.4999998509883881</v>
      </c>
      <c r="V266" s="63">
        <f ca="1">IF(controls!$B$10=1,'normal case'!T266+'normal case'!L266,'normal case'!W266)</f>
        <v>5.4999998509883881</v>
      </c>
      <c r="W266" s="61">
        <f t="shared" ca="1" si="37"/>
        <v>5.4999998509883881</v>
      </c>
      <c r="X266" s="166">
        <f ca="1">IF(controls!$B$44=0,Y266+'main page'!$K$29*L266+(1-'main page'!$K$29)*controls!$B$9+(('main page'!$K$25*'main page'!$U$13*'main page'!$K$29)/('main page'!$K$27*(1+('main page'!$K$25^2)*'main page'!$U$13)))*(L266-controls!$B$9),Y266+'main page'!$K$29*L266+(1-'main page'!$K$29)*controls!$B$9+(('main page'!$K$25*'main page'!$U$13*'normal case'!$AV$3)/'normal case'!$AV$4)*('normal case'!L266-controls!$B$9))</f>
        <v>5.4999998509883881</v>
      </c>
      <c r="Y266" s="81">
        <f ca="1">IF(controls!$B$44=1,'main page'!$K$24+'main page'!$K$11,IF(controls!$B$33=1,((I267-D266*AD267-B267+B266*AC267)/'main page'!$K$27)-'main page'!$K$11,((H267-D266*AD267-B267+B266*AC267)/'main page'!$K$27)-'main page'!$K$11))</f>
        <v>3.5</v>
      </c>
      <c r="AA266" s="58">
        <f>IF(controls!$B$6=1,$AS$3*(1+('main page'!$K$35/100))^AB266-$AS$3*(1+('main page'!$K$35/100))^AB265,$AS$3*(1+('main page'!$G$8/100))*(1+('main page'!$K$35/100))^AB266-$AS$3*(1+('main page'!$G$8/100))*(1+('main page'!$K$35/100))^AB265)</f>
        <v>0</v>
      </c>
      <c r="AB266" s="60">
        <v>259</v>
      </c>
      <c r="AC266" s="125">
        <f ca="1">IF(controls!$B$4=1,IF(controls!$H265=1,controls!$B$34*AC265+RAND()*('main page'!$K$16/100)-RAND()*('main page'!$K$16/100),0),0)</f>
        <v>0</v>
      </c>
      <c r="AD266" s="36">
        <f ca="1">IF(controls!$B$4=1,IF(controls!$I265=1,controls!$B$34*AD265+RAND()*('main page'!$K$16/100)-RAND()*('main page'!$K$16/100),0),0)</f>
        <v>0</v>
      </c>
      <c r="AE266" s="44">
        <f ca="1">IF(controls!$B$33=1,D266-($I$3-'main page'!$K$27*2)*(1+('main page'!$K$35/100))^A265,D266-$AS$4)</f>
        <v>1.0000000596046448</v>
      </c>
      <c r="AF266" s="44">
        <f ca="1">ABS(L266-(controls!$B$9/100)*100)</f>
        <v>1.1920928955078125E-7</v>
      </c>
      <c r="AH266" s="44">
        <f ca="1">IF(controls!$B$33=1,(B267-B266*AC267-I267+D266*AD267+'main page'!$K$27*('main page'!$K$24+'main page'!$K$11))/'main page'!$K$31,(B267-B266*AC267+D266*AD267-H267+'main page'!$K$27*('main page'!$K$24+'main page'!$K$11))/'main page'!$K$31)</f>
        <v>1</v>
      </c>
      <c r="AI266" s="44">
        <f ca="1">IF(controls!$B$45=1,LOG(AM266,1.01)+LOG(AL266,1.01)-LOG(AK266,1.01),-((T266-('main page'!$K$24+'main page'!$K$11))/(1-'normal case'!$AV$3))+'normal case'!AH266)</f>
        <v>2.0000000596046448</v>
      </c>
      <c r="AJ266" s="80">
        <f t="shared" ca="1" si="38"/>
        <v>1.0506250015463039</v>
      </c>
      <c r="AK266" s="44">
        <f t="shared" ca="1" si="39"/>
        <v>179.18493371013508</v>
      </c>
      <c r="AL266" s="44">
        <f>AL265*(1+'main page'!$K$32/100)</f>
        <v>1</v>
      </c>
      <c r="AM266" s="44">
        <f ca="1">IF(ABS(IF(controls!$B$45=1,$AS$13,AK266*AJ266/AL266)-AM265)&lt;0.00001,AM265,IF(controls!$B$45=1,$AS$13,AK266*AJ266/AL266))</f>
        <v>188.25617125628503</v>
      </c>
      <c r="AN266" s="44">
        <f>IF(controls!$B$46=0,0,IF(controls!$B$33=2,B267-B266*AC267-('normal case'!H267-D266*AD267-'main page'!$K$27*'normal case'!T266+'main page'!$K$31*'normal case'!AI266)-(('main page'!$K$25*'main page'!$U$13*'main page'!$K$29)/(1+('main page'!$K$25^2)*'main page'!$U$13))*('normal case'!L266-'main page'!$U$8),B267-B266*AC267-('normal case'!I267-D266*AD267-'main page'!$K$27*'normal case'!T266+'main page'!$K$31*'normal case'!AI266)-(('main page'!$K$25*'main page'!$U$13*'main page'!$K$29)/(1+('main page'!$K$25^2)*'main page'!$U$13))*('normal case'!L266-'main page'!$U$8)))</f>
        <v>0</v>
      </c>
      <c r="AU266" s="36"/>
      <c r="AV266" s="36"/>
    </row>
    <row r="267" spans="1:48">
      <c r="A267" s="43">
        <v>265</v>
      </c>
      <c r="B267" s="62">
        <f ca="1">IF(controls!$B$33=1,B266*(1+AC267)+AA267,B266*(1+AC267))</f>
        <v>101</v>
      </c>
      <c r="C267" s="67">
        <f t="shared" ca="1" si="40"/>
        <v>-1.5107707374006907E-7</v>
      </c>
      <c r="D267" s="64">
        <f t="shared" ca="1" si="36"/>
        <v>101.00000005960464</v>
      </c>
      <c r="E267" s="64">
        <f ca="1">AN266+IF(controls!$B$33=1,G267,F267)</f>
        <v>101.00000005960464</v>
      </c>
      <c r="F267" s="78">
        <f ca="1">IF(controls!$B$44=0,H267-'main page'!$K$27*T266,H267-'main page'!$K$27*T266+'main page'!$K$31*AI266)</f>
        <v>101.00000005960464</v>
      </c>
      <c r="G267" s="62">
        <f ca="1">IF(controls!$B$44=0,I267-'main page'!$K$27*T266,I267-'main page'!$K$27*T266+'main page'!$K$31*'normal case'!AI266)</f>
        <v>101.00000005960464</v>
      </c>
      <c r="H267" s="62">
        <f t="shared" ca="1" si="34"/>
        <v>108</v>
      </c>
      <c r="I267" s="62">
        <f t="shared" ca="1" si="35"/>
        <v>108</v>
      </c>
      <c r="L267" s="62">
        <f ca="1">IF(ABS('main page'!$K$29*L266+(1-'main page'!$K$29)*(controls!$B$9/100)*100+'main page'!$K$25*(D267-B267)-L266)&lt;0.0000001,L266,'main page'!$K$29*L266+(1-'main page'!$K$29)*(controls!$B$9/100)*100+'main page'!$K$25*(D267-B267))</f>
        <v>1.9999998807907104</v>
      </c>
      <c r="Q267" s="409">
        <f ca="1">(1-'main page'!$K$29)*($AS$11/100)*100+'main page'!$K$25*(D267-B267)</f>
        <v>5.9604644775390625E-8</v>
      </c>
      <c r="R267" s="409">
        <f>'main page'!G271+'main page'!$K$29*M266</f>
        <v>0</v>
      </c>
      <c r="S267" s="409">
        <f t="shared" ca="1" si="41"/>
        <v>5.9604644775390625E-8</v>
      </c>
      <c r="T267" s="79">
        <f ca="1">IF(controls!$B$10=1,T266,IF(SUM(controls!$B$44:$B$46)=2,U267-'main page'!$K$29*'normal case'!L267-(1-'main page'!$K$29)*'main page'!$K$32,U267-'main page'!$K$29*'normal case'!L267-(1-'main page'!$K$29)*controls!$B$9))</f>
        <v>3.4999999701976776</v>
      </c>
      <c r="U267" s="164">
        <f ca="1">IF(controls!$B$45=1,IF(controls!$B$46=1,'main page'!$K$24+'main page'!$K$11+'main page'!$U$8,'main page'!$K$24+'main page'!$K$11+'main page'!$K$32),IF(controls!$B$44=1,IF(V267&lt;0,0,V267),IF(V267+'main page'!$K$11&lt;0,0,V267+'main page'!$K$11)))</f>
        <v>5.4999998509883881</v>
      </c>
      <c r="V267" s="63">
        <f ca="1">IF(controls!$B$10=1,'normal case'!T267+'normal case'!L267,'normal case'!W267)</f>
        <v>5.4999998509883881</v>
      </c>
      <c r="W267" s="61">
        <f t="shared" ca="1" si="37"/>
        <v>5.4999998509883881</v>
      </c>
      <c r="X267" s="166">
        <f ca="1">IF(controls!$B$44=0,Y267+'main page'!$K$29*L267+(1-'main page'!$K$29)*controls!$B$9+(('main page'!$K$25*'main page'!$U$13*'main page'!$K$29)/('main page'!$K$27*(1+('main page'!$K$25^2)*'main page'!$U$13)))*(L267-controls!$B$9),Y267+'main page'!$K$29*L267+(1-'main page'!$K$29)*controls!$B$9+(('main page'!$K$25*'main page'!$U$13*'normal case'!$AV$3)/'normal case'!$AV$4)*('normal case'!L267-controls!$B$9))</f>
        <v>5.4999998509883881</v>
      </c>
      <c r="Y267" s="81">
        <f ca="1">IF(controls!$B$44=1,'main page'!$K$24+'main page'!$K$11,IF(controls!$B$33=1,((I268-D267*AD268-B268+B267*AC268)/'main page'!$K$27)-'main page'!$K$11,((H268-D267*AD268-B268+B267*AC268)/'main page'!$K$27)-'main page'!$K$11))</f>
        <v>3.5</v>
      </c>
      <c r="AA267" s="58">
        <f>IF(controls!$B$6=1,$AS$3*(1+('main page'!$K$35/100))^AB267-$AS$3*(1+('main page'!$K$35/100))^AB266,$AS$3*(1+('main page'!$G$8/100))*(1+('main page'!$K$35/100))^AB267-$AS$3*(1+('main page'!$G$8/100))*(1+('main page'!$K$35/100))^AB266)</f>
        <v>0</v>
      </c>
      <c r="AB267" s="60">
        <v>260</v>
      </c>
      <c r="AC267" s="125">
        <v>0</v>
      </c>
      <c r="AD267" s="36">
        <v>0</v>
      </c>
      <c r="AE267" s="44">
        <f ca="1">IF(controls!$B$33=1,D267-($I$3-'main page'!$K$27*2)*(1+('main page'!$K$35/100))^A266,D267-$AS$4)</f>
        <v>1.0000000596046448</v>
      </c>
      <c r="AF267" s="44">
        <f ca="1">ABS(L267-(controls!$B$9/100)*100)</f>
        <v>1.1920928955078125E-7</v>
      </c>
      <c r="AH267" s="44">
        <f ca="1">IF(controls!$B$33=1,(B268-B267*AC268-I268+D267*AD268+'main page'!$K$27*('main page'!$K$24+'main page'!$K$11))/'main page'!$K$31,(B268-B267*AC268+D267*AD268-H268+'main page'!$K$27*('main page'!$K$24+'main page'!$K$11))/'main page'!$K$31)</f>
        <v>1</v>
      </c>
      <c r="AI267" s="44">
        <f ca="1">IF(controls!$B$45=1,LOG(AM267,1.01)+LOG(AL267,1.01)-LOG(AK267,1.01),-((T267-('main page'!$K$24+'main page'!$K$11))/(1-'normal case'!$AV$3))+'normal case'!AH267)</f>
        <v>2.0000000596046448</v>
      </c>
      <c r="AJ267" s="80">
        <f t="shared" ca="1" si="38"/>
        <v>1.0506250015463039</v>
      </c>
      <c r="AK267" s="44">
        <f t="shared" ca="1" si="39"/>
        <v>182.7686321707327</v>
      </c>
      <c r="AL267" s="44">
        <f>AL266*(1+'main page'!$K$32/100)</f>
        <v>1</v>
      </c>
      <c r="AM267" s="44">
        <f ca="1">IF(ABS(IF(controls!$B$45=1,$AS$13,AK267*AJ267/AL267)-AM266)&lt;0.00001,AM266,IF(controls!$B$45=1,$AS$13,AK267*AJ267/AL267))</f>
        <v>192.02129445699188</v>
      </c>
      <c r="AN267" s="44">
        <f>IF(controls!$B$46=0,0,IF(controls!$B$33=2,B268-B267*AC268-('normal case'!H268-D267*AD268-'main page'!$K$27*'normal case'!T267+'main page'!$K$31*'normal case'!AI267)-(('main page'!$K$25*'main page'!$U$13*'main page'!$K$29)/(1+('main page'!$K$25^2)*'main page'!$U$13))*('normal case'!L267-'main page'!$U$8),B268-B267*AC268-('normal case'!I268-D267*AD268-'main page'!$K$27*'normal case'!T267+'main page'!$K$31*'normal case'!AI267)-(('main page'!$K$25*'main page'!$U$13*'main page'!$K$29)/(1+('main page'!$K$25^2)*'main page'!$U$13))*('normal case'!L267-'main page'!$U$8)))</f>
        <v>0</v>
      </c>
      <c r="AU267" s="36"/>
      <c r="AV267" s="36"/>
    </row>
    <row r="268" spans="1:48">
      <c r="A268" s="43">
        <v>266</v>
      </c>
      <c r="B268" s="62">
        <f ca="1">IF(controls!$B$33=1,B267*(1+AC268)+AA268,B267*(1+AC268))</f>
        <v>101</v>
      </c>
      <c r="C268" s="67">
        <f t="shared" ca="1" si="40"/>
        <v>-1.5107707374006907E-7</v>
      </c>
      <c r="D268" s="64">
        <f t="shared" ca="1" si="36"/>
        <v>101.00000005960464</v>
      </c>
      <c r="E268" s="64">
        <f ca="1">AN267+IF(controls!$B$33=1,G268,F268)</f>
        <v>101.00000005960464</v>
      </c>
      <c r="F268" s="78">
        <f ca="1">IF(controls!$B$44=0,H268-'main page'!$K$27*T267,H268-'main page'!$K$27*T267+'main page'!$K$31*AI267)</f>
        <v>101.00000005960464</v>
      </c>
      <c r="G268" s="62">
        <f ca="1">IF(controls!$B$44=0,I268-'main page'!$K$27*T267,I268-'main page'!$K$27*T267+'main page'!$K$31*'normal case'!AI267)</f>
        <v>101.00000005960464</v>
      </c>
      <c r="H268" s="62">
        <f t="shared" ca="1" si="34"/>
        <v>108</v>
      </c>
      <c r="I268" s="62">
        <f t="shared" ca="1" si="35"/>
        <v>108</v>
      </c>
      <c r="L268" s="62">
        <f ca="1">IF(ABS('main page'!$K$29*L267+(1-'main page'!$K$29)*(controls!$B$9/100)*100+'main page'!$K$25*(D268-B268)-L267)&lt;0.0000001,L267,'main page'!$K$29*L267+(1-'main page'!$K$29)*(controls!$B$9/100)*100+'main page'!$K$25*(D268-B268))</f>
        <v>1.9999998807907104</v>
      </c>
      <c r="Q268" s="409">
        <f ca="1">(1-'main page'!$K$29)*($AS$11/100)*100+'main page'!$K$25*(D268-B268)</f>
        <v>5.9604644775390625E-8</v>
      </c>
      <c r="R268" s="409">
        <f>'main page'!G272+'main page'!$K$29*M267</f>
        <v>0</v>
      </c>
      <c r="S268" s="409">
        <f t="shared" ca="1" si="41"/>
        <v>5.9604644775390625E-8</v>
      </c>
      <c r="T268" s="79">
        <f ca="1">IF(controls!$B$10=1,T267,IF(SUM(controls!$B$44:$B$46)=2,U268-'main page'!$K$29*'normal case'!L268-(1-'main page'!$K$29)*'main page'!$K$32,U268-'main page'!$K$29*'normal case'!L268-(1-'main page'!$K$29)*controls!$B$9))</f>
        <v>3.4999999701976776</v>
      </c>
      <c r="U268" s="164">
        <f ca="1">IF(controls!$B$45=1,IF(controls!$B$46=1,'main page'!$K$24+'main page'!$K$11+'main page'!$U$8,'main page'!$K$24+'main page'!$K$11+'main page'!$K$32),IF(controls!$B$44=1,IF(V268&lt;0,0,V268),IF(V268+'main page'!$K$11&lt;0,0,V268+'main page'!$K$11)))</f>
        <v>5.4999998509883881</v>
      </c>
      <c r="V268" s="63">
        <f ca="1">IF(controls!$B$10=1,'normal case'!T268+'normal case'!L268,'normal case'!W268)</f>
        <v>5.4999998509883881</v>
      </c>
      <c r="W268" s="61">
        <f t="shared" ca="1" si="37"/>
        <v>5.4999998509883881</v>
      </c>
      <c r="X268" s="166">
        <f ca="1">IF(controls!$B$44=0,Y268+'main page'!$K$29*L268+(1-'main page'!$K$29)*controls!$B$9+(('main page'!$K$25*'main page'!$U$13*'main page'!$K$29)/('main page'!$K$27*(1+('main page'!$K$25^2)*'main page'!$U$13)))*(L268-controls!$B$9),Y268+'main page'!$K$29*L268+(1-'main page'!$K$29)*controls!$B$9+(('main page'!$K$25*'main page'!$U$13*'normal case'!$AV$3)/'normal case'!$AV$4)*('normal case'!L268-controls!$B$9))</f>
        <v>5.4999998509883881</v>
      </c>
      <c r="Y268" s="81">
        <f ca="1">IF(controls!$B$44=1,'main page'!$K$24+'main page'!$K$11,IF(controls!$B$33=1,((I269-D268*AD269-B269+B268*AC269)/'main page'!$K$27)-'main page'!$K$11,((H269-D268*AD269-B269+B268*AC269)/'main page'!$K$27)-'main page'!$K$11))</f>
        <v>3.5</v>
      </c>
      <c r="AA268" s="58">
        <f>IF(controls!$B$6=1,$AS$3*(1+('main page'!$K$35/100))^AB268-$AS$3*(1+('main page'!$K$35/100))^AB267,$AS$3*(1+('main page'!$G$8/100))*(1+('main page'!$K$35/100))^AB268-$AS$3*(1+('main page'!$G$8/100))*(1+('main page'!$K$35/100))^AB267)</f>
        <v>0</v>
      </c>
      <c r="AB268" s="60">
        <v>261</v>
      </c>
      <c r="AC268" s="125">
        <v>0</v>
      </c>
      <c r="AD268" s="36">
        <v>0</v>
      </c>
      <c r="AE268" s="44">
        <f ca="1">IF(controls!$B$33=1,D268-($I$3-'main page'!$K$27*2)*(1+('main page'!$K$35/100))^A267,D268-$AS$4)</f>
        <v>1.0000000596046448</v>
      </c>
      <c r="AF268" s="44">
        <f ca="1">ABS(L268-(controls!$B$9/100)*100)</f>
        <v>1.1920928955078125E-7</v>
      </c>
      <c r="AH268" s="44">
        <f ca="1">IF(controls!$B$33=1,(B269-B268*AC269-I269+D268*AD269+'main page'!$K$27*('main page'!$K$24+'main page'!$K$11))/'main page'!$K$31,(B269-B268*AC269+D268*AD269-H269+'main page'!$K$27*('main page'!$K$24+'main page'!$K$11))/'main page'!$K$31)</f>
        <v>1</v>
      </c>
      <c r="AI268" s="44">
        <f ca="1">IF(controls!$B$45=1,LOG(AM268,1.01)+LOG(AL268,1.01)-LOG(AK268,1.01),-((T268-('main page'!$K$24+'main page'!$K$11))/(1-'normal case'!$AV$3))+'normal case'!AH268)</f>
        <v>2.0000000596046448</v>
      </c>
      <c r="AJ268" s="80">
        <f t="shared" ca="1" si="38"/>
        <v>1.0506250015463039</v>
      </c>
      <c r="AK268" s="44">
        <f t="shared" ca="1" si="39"/>
        <v>186.42400459627018</v>
      </c>
      <c r="AL268" s="44">
        <f>AL267*(1+'main page'!$K$32/100)</f>
        <v>1</v>
      </c>
      <c r="AM268" s="44">
        <f ca="1">IF(ABS(IF(controls!$B$45=1,$AS$13,AK268*AJ268/AL268)-AM267)&lt;0.00001,AM267,IF(controls!$B$45=1,$AS$13,AK268*AJ268/AL268))</f>
        <v>195.86172011722454</v>
      </c>
      <c r="AN268" s="44">
        <f>IF(controls!$B$46=0,0,IF(controls!$B$33=2,B269-B268*AC269-('normal case'!H269-D268*AD269-'main page'!$K$27*'normal case'!T268+'main page'!$K$31*'normal case'!AI268)-(('main page'!$K$25*'main page'!$U$13*'main page'!$K$29)/(1+('main page'!$K$25^2)*'main page'!$U$13))*('normal case'!L268-'main page'!$U$8),B269-B268*AC269-('normal case'!I269-D268*AD269-'main page'!$K$27*'normal case'!T268+'main page'!$K$31*'normal case'!AI268)-(('main page'!$K$25*'main page'!$U$13*'main page'!$K$29)/(1+('main page'!$K$25^2)*'main page'!$U$13))*('normal case'!L268-'main page'!$U$8)))</f>
        <v>0</v>
      </c>
      <c r="AU268" s="36"/>
      <c r="AV268" s="36"/>
    </row>
    <row r="269" spans="1:48">
      <c r="A269" s="43">
        <v>267</v>
      </c>
      <c r="B269" s="62">
        <f ca="1">IF(controls!$B$33=1,B268*(1+AC269)+AA269,B268*(1+AC269))</f>
        <v>101</v>
      </c>
      <c r="C269" s="67">
        <f t="shared" ca="1" si="40"/>
        <v>-1.5107707374006907E-7</v>
      </c>
      <c r="D269" s="64">
        <f t="shared" ca="1" si="36"/>
        <v>101.00000005960464</v>
      </c>
      <c r="E269" s="64">
        <f ca="1">AN268+IF(controls!$B$33=1,G269,F269)</f>
        <v>101.00000005960464</v>
      </c>
      <c r="F269" s="78">
        <f ca="1">IF(controls!$B$44=0,H269-'main page'!$K$27*T268,H269-'main page'!$K$27*T268+'main page'!$K$31*AI268)</f>
        <v>101.00000005960464</v>
      </c>
      <c r="G269" s="62">
        <f ca="1">IF(controls!$B$44=0,I269-'main page'!$K$27*T268,I269-'main page'!$K$27*T268+'main page'!$K$31*'normal case'!AI268)</f>
        <v>101.00000005960464</v>
      </c>
      <c r="H269" s="62">
        <f t="shared" ca="1" si="34"/>
        <v>108</v>
      </c>
      <c r="I269" s="62">
        <f t="shared" ca="1" si="35"/>
        <v>108</v>
      </c>
      <c r="L269" s="62">
        <f ca="1">IF(ABS('main page'!$K$29*L268+(1-'main page'!$K$29)*(controls!$B$9/100)*100+'main page'!$K$25*(D269-B269)-L268)&lt;0.0000001,L268,'main page'!$K$29*L268+(1-'main page'!$K$29)*(controls!$B$9/100)*100+'main page'!$K$25*(D269-B269))</f>
        <v>1.9999998807907104</v>
      </c>
      <c r="Q269" s="409">
        <f ca="1">(1-'main page'!$K$29)*($AS$11/100)*100+'main page'!$K$25*(D269-B269)</f>
        <v>5.9604644775390625E-8</v>
      </c>
      <c r="R269" s="409">
        <f>'main page'!G273+'main page'!$K$29*M268</f>
        <v>0</v>
      </c>
      <c r="S269" s="409">
        <f t="shared" ca="1" si="41"/>
        <v>5.9604644775390625E-8</v>
      </c>
      <c r="T269" s="79">
        <f ca="1">IF(controls!$B$10=1,T268,IF(SUM(controls!$B$44:$B$46)=2,U269-'main page'!$K$29*'normal case'!L269-(1-'main page'!$K$29)*'main page'!$K$32,U269-'main page'!$K$29*'normal case'!L269-(1-'main page'!$K$29)*controls!$B$9))</f>
        <v>3.4999999701976776</v>
      </c>
      <c r="U269" s="164">
        <f ca="1">IF(controls!$B$45=1,IF(controls!$B$46=1,'main page'!$K$24+'main page'!$K$11+'main page'!$U$8,'main page'!$K$24+'main page'!$K$11+'main page'!$K$32),IF(controls!$B$44=1,IF(V269&lt;0,0,V269),IF(V269+'main page'!$K$11&lt;0,0,V269+'main page'!$K$11)))</f>
        <v>5.4999998509883881</v>
      </c>
      <c r="V269" s="63">
        <f ca="1">IF(controls!$B$10=1,'normal case'!T269+'normal case'!L269,'normal case'!W269)</f>
        <v>5.4999998509883881</v>
      </c>
      <c r="W269" s="61">
        <f t="shared" ca="1" si="37"/>
        <v>5.4999998509883881</v>
      </c>
      <c r="X269" s="166">
        <f ca="1">IF(controls!$B$44=0,Y269+'main page'!$K$29*L269+(1-'main page'!$K$29)*controls!$B$9+(('main page'!$K$25*'main page'!$U$13*'main page'!$K$29)/('main page'!$K$27*(1+('main page'!$K$25^2)*'main page'!$U$13)))*(L269-controls!$B$9),Y269+'main page'!$K$29*L269+(1-'main page'!$K$29)*controls!$B$9+(('main page'!$K$25*'main page'!$U$13*'normal case'!$AV$3)/'normal case'!$AV$4)*('normal case'!L269-controls!$B$9))</f>
        <v>5.4999998509883881</v>
      </c>
      <c r="Y269" s="81">
        <f ca="1">IF(controls!$B$44=1,'main page'!$K$24+'main page'!$K$11,IF(controls!$B$33=1,((I270-D269*AD270-B270+B269*AC270)/'main page'!$K$27)-'main page'!$K$11,((H270-D269*AD270-B270+B269*AC270)/'main page'!$K$27)-'main page'!$K$11))</f>
        <v>3.5</v>
      </c>
      <c r="AA269" s="58">
        <f>IF(controls!$B$6=1,$AS$3*(1+('main page'!$K$35/100))^AB269-$AS$3*(1+('main page'!$K$35/100))^AB268,$AS$3*(1+('main page'!$G$8/100))*(1+('main page'!$K$35/100))^AB269-$AS$3*(1+('main page'!$G$8/100))*(1+('main page'!$K$35/100))^AB268)</f>
        <v>0</v>
      </c>
      <c r="AB269" s="60">
        <v>262</v>
      </c>
      <c r="AC269" s="125">
        <f ca="1">IF(controls!$B$4=1,IF(controls!$H268=1,controls!$B$34*AC268+RAND()*('main page'!$K$16/100)-RAND()*('main page'!$K$16/100),0),0)</f>
        <v>0</v>
      </c>
      <c r="AD269" s="36">
        <f ca="1">IF(controls!$B$4=1,IF(controls!$I268=1,controls!$B$34*AD268+RAND()*('main page'!$K$16/100)-RAND()*('main page'!$K$16/100),0),0)</f>
        <v>0</v>
      </c>
      <c r="AE269" s="44">
        <f ca="1">IF(controls!$B$33=1,D269-($I$3-'main page'!$K$27*2)*(1+('main page'!$K$35/100))^A268,D269-$AS$4)</f>
        <v>1.0000000596046448</v>
      </c>
      <c r="AF269" s="44">
        <f ca="1">ABS(L269-(controls!$B$9/100)*100)</f>
        <v>1.1920928955078125E-7</v>
      </c>
      <c r="AH269" s="44">
        <f ca="1">IF(controls!$B$33=1,(B270-B269*AC270-I270+D269*AD270+'main page'!$K$27*('main page'!$K$24+'main page'!$K$11))/'main page'!$K$31,(B270-B269*AC270+D269*AD270-H270+'main page'!$K$27*('main page'!$K$24+'main page'!$K$11))/'main page'!$K$31)</f>
        <v>1</v>
      </c>
      <c r="AI269" s="44">
        <f ca="1">IF(controls!$B$45=1,LOG(AM269,1.01)+LOG(AL269,1.01)-LOG(AK269,1.01),-((T269-('main page'!$K$24+'main page'!$K$11))/(1-'normal case'!$AV$3))+'normal case'!AH269)</f>
        <v>2.0000000596046448</v>
      </c>
      <c r="AJ269" s="80">
        <f t="shared" ca="1" si="38"/>
        <v>1.0506250015463039</v>
      </c>
      <c r="AK269" s="44">
        <f t="shared" ca="1" si="39"/>
        <v>190.15248446596087</v>
      </c>
      <c r="AL269" s="44">
        <f>AL268*(1+'main page'!$K$32/100)</f>
        <v>1</v>
      </c>
      <c r="AM269" s="44">
        <f ca="1">IF(ABS(IF(controls!$B$45=1,$AS$13,AK269*AJ269/AL269)-AM268)&lt;0.00001,AM268,IF(controls!$B$45=1,$AS$13,AK269*AJ269/AL269))</f>
        <v>199.77895428608366</v>
      </c>
      <c r="AN269" s="44">
        <f>IF(controls!$B$46=0,0,IF(controls!$B$33=2,B270-B269*AC270-('normal case'!H270-D269*AD270-'main page'!$K$27*'normal case'!T269+'main page'!$K$31*'normal case'!AI269)-(('main page'!$K$25*'main page'!$U$13*'main page'!$K$29)/(1+('main page'!$K$25^2)*'main page'!$U$13))*('normal case'!L269-'main page'!$U$8),B270-B269*AC270-('normal case'!I270-D269*AD270-'main page'!$K$27*'normal case'!T269+'main page'!$K$31*'normal case'!AI269)-(('main page'!$K$25*'main page'!$U$13*'main page'!$K$29)/(1+('main page'!$K$25^2)*'main page'!$U$13))*('normal case'!L269-'main page'!$U$8)))</f>
        <v>0</v>
      </c>
      <c r="AU269" s="36"/>
      <c r="AV269" s="36"/>
    </row>
    <row r="270" spans="1:48">
      <c r="A270" s="43">
        <v>268</v>
      </c>
      <c r="B270" s="62">
        <f ca="1">IF(controls!$B$33=1,B269*(1+AC270)+AA270,B269*(1+AC270))</f>
        <v>101</v>
      </c>
      <c r="C270" s="67">
        <f t="shared" ca="1" si="40"/>
        <v>-1.5107707374006907E-7</v>
      </c>
      <c r="D270" s="64">
        <f t="shared" ca="1" si="36"/>
        <v>101.00000005960464</v>
      </c>
      <c r="E270" s="64">
        <f ca="1">AN269+IF(controls!$B$33=1,G270,F270)</f>
        <v>101.00000005960464</v>
      </c>
      <c r="F270" s="78">
        <f ca="1">IF(controls!$B$44=0,H270-'main page'!$K$27*T269,H270-'main page'!$K$27*T269+'main page'!$K$31*AI269)</f>
        <v>101.00000005960464</v>
      </c>
      <c r="G270" s="62">
        <f ca="1">IF(controls!$B$44=0,I270-'main page'!$K$27*T269,I270-'main page'!$K$27*T269+'main page'!$K$31*'normal case'!AI269)</f>
        <v>101.00000005960464</v>
      </c>
      <c r="H270" s="62">
        <f t="shared" ca="1" si="34"/>
        <v>108</v>
      </c>
      <c r="I270" s="62">
        <f t="shared" ca="1" si="35"/>
        <v>108</v>
      </c>
      <c r="L270" s="62">
        <f ca="1">IF(ABS('main page'!$K$29*L269+(1-'main page'!$K$29)*(controls!$B$9/100)*100+'main page'!$K$25*(D270-B270)-L269)&lt;0.0000001,L269,'main page'!$K$29*L269+(1-'main page'!$K$29)*(controls!$B$9/100)*100+'main page'!$K$25*(D270-B270))</f>
        <v>1.9999998807907104</v>
      </c>
      <c r="Q270" s="409">
        <f ca="1">(1-'main page'!$K$29)*($AS$11/100)*100+'main page'!$K$25*(D270-B270)</f>
        <v>5.9604644775390625E-8</v>
      </c>
      <c r="R270" s="409">
        <f>'main page'!G274+'main page'!$K$29*M269</f>
        <v>0</v>
      </c>
      <c r="S270" s="409">
        <f t="shared" ca="1" si="41"/>
        <v>5.9604644775390625E-8</v>
      </c>
      <c r="T270" s="79">
        <f ca="1">IF(controls!$B$10=1,T269,IF(SUM(controls!$B$44:$B$46)=2,U270-'main page'!$K$29*'normal case'!L270-(1-'main page'!$K$29)*'main page'!$K$32,U270-'main page'!$K$29*'normal case'!L270-(1-'main page'!$K$29)*controls!$B$9))</f>
        <v>3.4999999701976776</v>
      </c>
      <c r="U270" s="164">
        <f ca="1">IF(controls!$B$45=1,IF(controls!$B$46=1,'main page'!$K$24+'main page'!$K$11+'main page'!$U$8,'main page'!$K$24+'main page'!$K$11+'main page'!$K$32),IF(controls!$B$44=1,IF(V270&lt;0,0,V270),IF(V270+'main page'!$K$11&lt;0,0,V270+'main page'!$K$11)))</f>
        <v>5.4999998509883881</v>
      </c>
      <c r="V270" s="63">
        <f ca="1">IF(controls!$B$10=1,'normal case'!T270+'normal case'!L270,'normal case'!W270)</f>
        <v>5.4999998509883881</v>
      </c>
      <c r="W270" s="61">
        <f t="shared" ca="1" si="37"/>
        <v>5.4999998509883881</v>
      </c>
      <c r="X270" s="166">
        <f ca="1">IF(controls!$B$44=0,Y270+'main page'!$K$29*L270+(1-'main page'!$K$29)*controls!$B$9+(('main page'!$K$25*'main page'!$U$13*'main page'!$K$29)/('main page'!$K$27*(1+('main page'!$K$25^2)*'main page'!$U$13)))*(L270-controls!$B$9),Y270+'main page'!$K$29*L270+(1-'main page'!$K$29)*controls!$B$9+(('main page'!$K$25*'main page'!$U$13*'normal case'!$AV$3)/'normal case'!$AV$4)*('normal case'!L270-controls!$B$9))</f>
        <v>5.4999998509883881</v>
      </c>
      <c r="Y270" s="81">
        <f ca="1">IF(controls!$B$44=1,'main page'!$K$24+'main page'!$K$11,IF(controls!$B$33=1,((I271-D270*AD271-B271+B270*AC271)/'main page'!$K$27)-'main page'!$K$11,((H271-D270*AD271-B271+B270*AC271)/'main page'!$K$27)-'main page'!$K$11))</f>
        <v>3.5</v>
      </c>
      <c r="AA270" s="58">
        <f>IF(controls!$B$6=1,$AS$3*(1+('main page'!$K$35/100))^AB270-$AS$3*(1+('main page'!$K$35/100))^AB269,$AS$3*(1+('main page'!$G$8/100))*(1+('main page'!$K$35/100))^AB270-$AS$3*(1+('main page'!$G$8/100))*(1+('main page'!$K$35/100))^AB269)</f>
        <v>0</v>
      </c>
      <c r="AB270" s="60">
        <v>263</v>
      </c>
      <c r="AC270" s="125">
        <v>0</v>
      </c>
      <c r="AD270" s="36">
        <v>0</v>
      </c>
      <c r="AE270" s="44">
        <f ca="1">IF(controls!$B$33=1,D270-($I$3-'main page'!$K$27*2)*(1+('main page'!$K$35/100))^A269,D270-$AS$4)</f>
        <v>1.0000000596046448</v>
      </c>
      <c r="AF270" s="44">
        <f ca="1">ABS(L270-(controls!$B$9/100)*100)</f>
        <v>1.1920928955078125E-7</v>
      </c>
      <c r="AH270" s="44">
        <f ca="1">IF(controls!$B$33=1,(B271-B270*AC271-I271+D270*AD271+'main page'!$K$27*('main page'!$K$24+'main page'!$K$11))/'main page'!$K$31,(B271-B270*AC271+D270*AD271-H271+'main page'!$K$27*('main page'!$K$24+'main page'!$K$11))/'main page'!$K$31)</f>
        <v>1</v>
      </c>
      <c r="AI270" s="44">
        <f ca="1">IF(controls!$B$45=1,LOG(AM270,1.01)+LOG(AL270,1.01)-LOG(AK270,1.01),-((T270-('main page'!$K$24+'main page'!$K$11))/(1-'normal case'!$AV$3))+'normal case'!AH270)</f>
        <v>2.0000000596046448</v>
      </c>
      <c r="AJ270" s="80">
        <f t="shared" ca="1" si="38"/>
        <v>1.0506250015463039</v>
      </c>
      <c r="AK270" s="44">
        <f t="shared" ca="1" si="39"/>
        <v>193.95553392860066</v>
      </c>
      <c r="AL270" s="44">
        <f>AL269*(1+'main page'!$K$32/100)</f>
        <v>1</v>
      </c>
      <c r="AM270" s="44">
        <f ca="1">IF(ABS(IF(controls!$B$45=1,$AS$13,AK270*AJ270/AL270)-AM269)&lt;0.00001,AM269,IF(controls!$B$45=1,$AS$13,AK270*AJ270/AL270))</f>
        <v>203.77453313365027</v>
      </c>
      <c r="AN270" s="44">
        <f>IF(controls!$B$46=0,0,IF(controls!$B$33=2,B271-B270*AC271-('normal case'!H271-D270*AD271-'main page'!$K$27*'normal case'!T270+'main page'!$K$31*'normal case'!AI270)-(('main page'!$K$25*'main page'!$U$13*'main page'!$K$29)/(1+('main page'!$K$25^2)*'main page'!$U$13))*('normal case'!L270-'main page'!$U$8),B271-B270*AC271-('normal case'!I271-D270*AD271-'main page'!$K$27*'normal case'!T270+'main page'!$K$31*'normal case'!AI270)-(('main page'!$K$25*'main page'!$U$13*'main page'!$K$29)/(1+('main page'!$K$25^2)*'main page'!$U$13))*('normal case'!L270-'main page'!$U$8)))</f>
        <v>0</v>
      </c>
      <c r="AU270" s="36"/>
      <c r="AV270" s="36"/>
    </row>
    <row r="271" spans="1:48">
      <c r="A271" s="43">
        <v>269</v>
      </c>
      <c r="B271" s="62">
        <f ca="1">IF(controls!$B$33=1,B270*(1+AC271)+AA271,B270*(1+AC271))</f>
        <v>101</v>
      </c>
      <c r="C271" s="67">
        <f t="shared" ca="1" si="40"/>
        <v>-1.5107707374006907E-7</v>
      </c>
      <c r="D271" s="64">
        <f t="shared" ca="1" si="36"/>
        <v>101.00000005960464</v>
      </c>
      <c r="E271" s="64">
        <f ca="1">AN270+IF(controls!$B$33=1,G271,F271)</f>
        <v>101.00000005960464</v>
      </c>
      <c r="F271" s="78">
        <f ca="1">IF(controls!$B$44=0,H271-'main page'!$K$27*T270,H271-'main page'!$K$27*T270+'main page'!$K$31*AI270)</f>
        <v>101.00000005960464</v>
      </c>
      <c r="G271" s="62">
        <f ca="1">IF(controls!$B$44=0,I271-'main page'!$K$27*T270,I271-'main page'!$K$27*T270+'main page'!$K$31*'normal case'!AI270)</f>
        <v>101.00000005960464</v>
      </c>
      <c r="H271" s="62">
        <f t="shared" ca="1" si="34"/>
        <v>108</v>
      </c>
      <c r="I271" s="62">
        <f t="shared" ca="1" si="35"/>
        <v>108</v>
      </c>
      <c r="L271" s="62">
        <f ca="1">IF(ABS('main page'!$K$29*L270+(1-'main page'!$K$29)*(controls!$B$9/100)*100+'main page'!$K$25*(D271-B271)-L270)&lt;0.0000001,L270,'main page'!$K$29*L270+(1-'main page'!$K$29)*(controls!$B$9/100)*100+'main page'!$K$25*(D271-B271))</f>
        <v>1.9999998807907104</v>
      </c>
      <c r="Q271" s="409">
        <f ca="1">(1-'main page'!$K$29)*($AS$11/100)*100+'main page'!$K$25*(D271-B271)</f>
        <v>5.9604644775390625E-8</v>
      </c>
      <c r="R271" s="409">
        <f>'main page'!G275+'main page'!$K$29*M270</f>
        <v>0</v>
      </c>
      <c r="S271" s="409">
        <f t="shared" ca="1" si="41"/>
        <v>5.9604644775390625E-8</v>
      </c>
      <c r="T271" s="79">
        <f ca="1">IF(controls!$B$10=1,T270,IF(SUM(controls!$B$44:$B$46)=2,U271-'main page'!$K$29*'normal case'!L271-(1-'main page'!$K$29)*'main page'!$K$32,U271-'main page'!$K$29*'normal case'!L271-(1-'main page'!$K$29)*controls!$B$9))</f>
        <v>3.4999999701976776</v>
      </c>
      <c r="U271" s="164">
        <f ca="1">IF(controls!$B$45=1,IF(controls!$B$46=1,'main page'!$K$24+'main page'!$K$11+'main page'!$U$8,'main page'!$K$24+'main page'!$K$11+'main page'!$K$32),IF(controls!$B$44=1,IF(V271&lt;0,0,V271),IF(V271+'main page'!$K$11&lt;0,0,V271+'main page'!$K$11)))</f>
        <v>5.4999998509883881</v>
      </c>
      <c r="V271" s="63">
        <f ca="1">IF(controls!$B$10=1,'normal case'!T271+'normal case'!L271,'normal case'!W271)</f>
        <v>5.4999998509883881</v>
      </c>
      <c r="W271" s="61">
        <f t="shared" ca="1" si="37"/>
        <v>5.4999998509883881</v>
      </c>
      <c r="X271" s="166">
        <f ca="1">IF(controls!$B$44=0,Y271+'main page'!$K$29*L271+(1-'main page'!$K$29)*controls!$B$9+(('main page'!$K$25*'main page'!$U$13*'main page'!$K$29)/('main page'!$K$27*(1+('main page'!$K$25^2)*'main page'!$U$13)))*(L271-controls!$B$9),Y271+'main page'!$K$29*L271+(1-'main page'!$K$29)*controls!$B$9+(('main page'!$K$25*'main page'!$U$13*'normal case'!$AV$3)/'normal case'!$AV$4)*('normal case'!L271-controls!$B$9))</f>
        <v>5.4999998509883881</v>
      </c>
      <c r="Y271" s="81">
        <f ca="1">IF(controls!$B$44=1,'main page'!$K$24+'main page'!$K$11,IF(controls!$B$33=1,((I272-D271*AD272-B272+B271*AC272)/'main page'!$K$27)-'main page'!$K$11,((H272-D271*AD272-B272+B271*AC272)/'main page'!$K$27)-'main page'!$K$11))</f>
        <v>3.5</v>
      </c>
      <c r="AA271" s="58">
        <f>IF(controls!$B$6=1,$AS$3*(1+('main page'!$K$35/100))^AB271-$AS$3*(1+('main page'!$K$35/100))^AB270,$AS$3*(1+('main page'!$G$8/100))*(1+('main page'!$K$35/100))^AB271-$AS$3*(1+('main page'!$G$8/100))*(1+('main page'!$K$35/100))^AB270)</f>
        <v>0</v>
      </c>
      <c r="AB271" s="60">
        <v>264</v>
      </c>
      <c r="AC271" s="125">
        <v>0</v>
      </c>
      <c r="AD271" s="36">
        <v>0</v>
      </c>
      <c r="AE271" s="44">
        <f ca="1">IF(controls!$B$33=1,D271-($I$3-'main page'!$K$27*2)*(1+('main page'!$K$35/100))^A270,D271-$AS$4)</f>
        <v>1.0000000596046448</v>
      </c>
      <c r="AF271" s="44">
        <f ca="1">ABS(L271-(controls!$B$9/100)*100)</f>
        <v>1.1920928955078125E-7</v>
      </c>
      <c r="AH271" s="44">
        <f ca="1">IF(controls!$B$33=1,(B272-B271*AC272-I272+D271*AD272+'main page'!$K$27*('main page'!$K$24+'main page'!$K$11))/'main page'!$K$31,(B272-B271*AC272+D271*AD272-H272+'main page'!$K$27*('main page'!$K$24+'main page'!$K$11))/'main page'!$K$31)</f>
        <v>1</v>
      </c>
      <c r="AI271" s="44">
        <f ca="1">IF(controls!$B$45=1,LOG(AM271,1.01)+LOG(AL271,1.01)-LOG(AK271,1.01),-((T271-('main page'!$K$24+'main page'!$K$11))/(1-'normal case'!$AV$3))+'normal case'!AH271)</f>
        <v>2.0000000596046448</v>
      </c>
      <c r="AJ271" s="80">
        <f t="shared" ca="1" si="38"/>
        <v>1.0506250015463039</v>
      </c>
      <c r="AK271" s="44">
        <f t="shared" ca="1" si="39"/>
        <v>197.83464437595967</v>
      </c>
      <c r="AL271" s="44">
        <f>AL270*(1+'main page'!$K$32/100)</f>
        <v>1</v>
      </c>
      <c r="AM271" s="44">
        <f ca="1">IF(ABS(IF(controls!$B$45=1,$AS$13,AK271*AJ271/AL271)-AM270)&lt;0.00001,AM270,IF(controls!$B$45=1,$AS$13,AK271*AJ271/AL271))</f>
        <v>207.85002355340512</v>
      </c>
      <c r="AN271" s="44">
        <f>IF(controls!$B$46=0,0,IF(controls!$B$33=2,B272-B271*AC272-('normal case'!H272-D271*AD272-'main page'!$K$27*'normal case'!T271+'main page'!$K$31*'normal case'!AI271)-(('main page'!$K$25*'main page'!$U$13*'main page'!$K$29)/(1+('main page'!$K$25^2)*'main page'!$U$13))*('normal case'!L271-'main page'!$U$8),B272-B271*AC272-('normal case'!I272-D271*AD272-'main page'!$K$27*'normal case'!T271+'main page'!$K$31*'normal case'!AI271)-(('main page'!$K$25*'main page'!$U$13*'main page'!$K$29)/(1+('main page'!$K$25^2)*'main page'!$U$13))*('normal case'!L271-'main page'!$U$8)))</f>
        <v>0</v>
      </c>
      <c r="AU271" s="36"/>
      <c r="AV271" s="36"/>
    </row>
    <row r="272" spans="1:48">
      <c r="A272" s="43">
        <v>270</v>
      </c>
      <c r="B272" s="62">
        <f ca="1">IF(controls!$B$33=1,B271*(1+AC272)+AA272,B271*(1+AC272))</f>
        <v>101</v>
      </c>
      <c r="C272" s="67">
        <f t="shared" ca="1" si="40"/>
        <v>-1.5107707374006907E-7</v>
      </c>
      <c r="D272" s="64">
        <f t="shared" ca="1" si="36"/>
        <v>101.00000005960464</v>
      </c>
      <c r="E272" s="64">
        <f ca="1">AN271+IF(controls!$B$33=1,G272,F272)</f>
        <v>101.00000005960464</v>
      </c>
      <c r="F272" s="78">
        <f ca="1">IF(controls!$B$44=0,H272-'main page'!$K$27*T271,H272-'main page'!$K$27*T271+'main page'!$K$31*AI271)</f>
        <v>101.00000005960464</v>
      </c>
      <c r="G272" s="62">
        <f ca="1">IF(controls!$B$44=0,I272-'main page'!$K$27*T271,I272-'main page'!$K$27*T271+'main page'!$K$31*'normal case'!AI271)</f>
        <v>101.00000005960464</v>
      </c>
      <c r="H272" s="62">
        <f t="shared" ca="1" si="34"/>
        <v>108</v>
      </c>
      <c r="I272" s="62">
        <f t="shared" ca="1" si="35"/>
        <v>108</v>
      </c>
      <c r="L272" s="62">
        <f ca="1">IF(ABS('main page'!$K$29*L271+(1-'main page'!$K$29)*(controls!$B$9/100)*100+'main page'!$K$25*(D272-B272)-L271)&lt;0.0000001,L271,'main page'!$K$29*L271+(1-'main page'!$K$29)*(controls!$B$9/100)*100+'main page'!$K$25*(D272-B272))</f>
        <v>1.9999998807907104</v>
      </c>
      <c r="Q272" s="409">
        <f ca="1">(1-'main page'!$K$29)*($AS$11/100)*100+'main page'!$K$25*(D272-B272)</f>
        <v>5.9604644775390625E-8</v>
      </c>
      <c r="R272" s="409">
        <f>'main page'!G276+'main page'!$K$29*M271</f>
        <v>0</v>
      </c>
      <c r="S272" s="409">
        <f t="shared" ca="1" si="41"/>
        <v>5.9604644775390625E-8</v>
      </c>
      <c r="T272" s="79">
        <f ca="1">IF(controls!$B$10=1,T271,IF(SUM(controls!$B$44:$B$46)=2,U272-'main page'!$K$29*'normal case'!L272-(1-'main page'!$K$29)*'main page'!$K$32,U272-'main page'!$K$29*'normal case'!L272-(1-'main page'!$K$29)*controls!$B$9))</f>
        <v>3.4999999701976776</v>
      </c>
      <c r="U272" s="164">
        <f ca="1">IF(controls!$B$45=1,IF(controls!$B$46=1,'main page'!$K$24+'main page'!$K$11+'main page'!$U$8,'main page'!$K$24+'main page'!$K$11+'main page'!$K$32),IF(controls!$B$44=1,IF(V272&lt;0,0,V272),IF(V272+'main page'!$K$11&lt;0,0,V272+'main page'!$K$11)))</f>
        <v>5.4999998509883881</v>
      </c>
      <c r="V272" s="63">
        <f ca="1">IF(controls!$B$10=1,'normal case'!T272+'normal case'!L272,'normal case'!W272)</f>
        <v>5.4999998509883881</v>
      </c>
      <c r="W272" s="61">
        <f t="shared" ca="1" si="37"/>
        <v>5.4999998509883881</v>
      </c>
      <c r="X272" s="166">
        <f ca="1">IF(controls!$B$44=0,Y272+'main page'!$K$29*L272+(1-'main page'!$K$29)*controls!$B$9+(('main page'!$K$25*'main page'!$U$13*'main page'!$K$29)/('main page'!$K$27*(1+('main page'!$K$25^2)*'main page'!$U$13)))*(L272-controls!$B$9),Y272+'main page'!$K$29*L272+(1-'main page'!$K$29)*controls!$B$9+(('main page'!$K$25*'main page'!$U$13*'normal case'!$AV$3)/'normal case'!$AV$4)*('normal case'!L272-controls!$B$9))</f>
        <v>5.4999998509883881</v>
      </c>
      <c r="Y272" s="81">
        <f ca="1">IF(controls!$B$44=1,'main page'!$K$24+'main page'!$K$11,IF(controls!$B$33=1,((I273-D272*AD273-B273+B272*AC273)/'main page'!$K$27)-'main page'!$K$11,((H273-D272*AD273-B273+B272*AC273)/'main page'!$K$27)-'main page'!$K$11))</f>
        <v>3.5</v>
      </c>
      <c r="AA272" s="58">
        <f>IF(controls!$B$6=1,$AS$3*(1+('main page'!$K$35/100))^AB272-$AS$3*(1+('main page'!$K$35/100))^AB271,$AS$3*(1+('main page'!$G$8/100))*(1+('main page'!$K$35/100))^AB272-$AS$3*(1+('main page'!$G$8/100))*(1+('main page'!$K$35/100))^AB271)</f>
        <v>0</v>
      </c>
      <c r="AB272" s="60">
        <v>265</v>
      </c>
      <c r="AC272" s="125">
        <f ca="1">IF(controls!$B$4=1,IF(controls!$H271=1,controls!$B$34*AC271+RAND()*('main page'!$K$16/100)-RAND()*('main page'!$K$16/100),0),0)</f>
        <v>0</v>
      </c>
      <c r="AD272" s="36">
        <f ca="1">IF(controls!$B$4=1,IF(controls!$I271=1,controls!$B$34*AD271+RAND()*('main page'!$K$16/100)-RAND()*('main page'!$K$16/100),0),0)</f>
        <v>0</v>
      </c>
      <c r="AE272" s="44">
        <f ca="1">IF(controls!$B$33=1,D272-($I$3-'main page'!$K$27*2)*(1+('main page'!$K$35/100))^A271,D272-$AS$4)</f>
        <v>1.0000000596046448</v>
      </c>
      <c r="AF272" s="44">
        <f ca="1">ABS(L272-(controls!$B$9/100)*100)</f>
        <v>1.1920928955078125E-7</v>
      </c>
      <c r="AH272" s="44">
        <f ca="1">IF(controls!$B$33=1,(B273-B272*AC273-I273+D272*AD273+'main page'!$K$27*('main page'!$K$24+'main page'!$K$11))/'main page'!$K$31,(B273-B272*AC273+D272*AD273-H273+'main page'!$K$27*('main page'!$K$24+'main page'!$K$11))/'main page'!$K$31)</f>
        <v>1</v>
      </c>
      <c r="AI272" s="44">
        <f ca="1">IF(controls!$B$45=1,LOG(AM272,1.01)+LOG(AL272,1.01)-LOG(AK272,1.01),-((T272-('main page'!$K$24+'main page'!$K$11))/(1-'normal case'!$AV$3))+'normal case'!AH272)</f>
        <v>2.0000000596046448</v>
      </c>
      <c r="AJ272" s="80">
        <f t="shared" ca="1" si="38"/>
        <v>1.0506250015463039</v>
      </c>
      <c r="AK272" s="44">
        <f t="shared" ca="1" si="39"/>
        <v>201.79133702764159</v>
      </c>
      <c r="AL272" s="44">
        <f>AL271*(1+'main page'!$K$32/100)</f>
        <v>1</v>
      </c>
      <c r="AM272" s="44">
        <f ca="1">IF(ABS(IF(controls!$B$45=1,$AS$13,AK272*AJ272/AL272)-AM271)&lt;0.00001,AM271,IF(controls!$B$45=1,$AS$13,AK272*AJ272/AL272))</f>
        <v>212.00702377669668</v>
      </c>
      <c r="AN272" s="44">
        <f>IF(controls!$B$46=0,0,IF(controls!$B$33=2,B273-B272*AC273-('normal case'!H273-D272*AD273-'main page'!$K$27*'normal case'!T272+'main page'!$K$31*'normal case'!AI272)-(('main page'!$K$25*'main page'!$U$13*'main page'!$K$29)/(1+('main page'!$K$25^2)*'main page'!$U$13))*('normal case'!L272-'main page'!$U$8),B273-B272*AC273-('normal case'!I273-D272*AD273-'main page'!$K$27*'normal case'!T272+'main page'!$K$31*'normal case'!AI272)-(('main page'!$K$25*'main page'!$U$13*'main page'!$K$29)/(1+('main page'!$K$25^2)*'main page'!$U$13))*('normal case'!L272-'main page'!$U$8)))</f>
        <v>0</v>
      </c>
      <c r="AU272" s="36"/>
      <c r="AV272" s="36"/>
    </row>
    <row r="273" spans="1:48">
      <c r="A273" s="43">
        <v>271</v>
      </c>
      <c r="B273" s="62">
        <f ca="1">IF(controls!$B$33=1,B272*(1+AC273)+AA273,B272*(1+AC273))</f>
        <v>101</v>
      </c>
      <c r="C273" s="67">
        <f t="shared" ca="1" si="40"/>
        <v>-1.5107707374006907E-7</v>
      </c>
      <c r="D273" s="64">
        <f t="shared" ca="1" si="36"/>
        <v>101.00000005960464</v>
      </c>
      <c r="E273" s="64">
        <f ca="1">AN272+IF(controls!$B$33=1,G273,F273)</f>
        <v>101.00000005960464</v>
      </c>
      <c r="F273" s="78">
        <f ca="1">IF(controls!$B$44=0,H273-'main page'!$K$27*T272,H273-'main page'!$K$27*T272+'main page'!$K$31*AI272)</f>
        <v>101.00000005960464</v>
      </c>
      <c r="G273" s="62">
        <f ca="1">IF(controls!$B$44=0,I273-'main page'!$K$27*T272,I273-'main page'!$K$27*T272+'main page'!$K$31*'normal case'!AI272)</f>
        <v>101.00000005960464</v>
      </c>
      <c r="H273" s="62">
        <f t="shared" ca="1" si="34"/>
        <v>108</v>
      </c>
      <c r="I273" s="62">
        <f t="shared" ca="1" si="35"/>
        <v>108</v>
      </c>
      <c r="L273" s="62">
        <f ca="1">IF(ABS('main page'!$K$29*L272+(1-'main page'!$K$29)*(controls!$B$9/100)*100+'main page'!$K$25*(D273-B273)-L272)&lt;0.0000001,L272,'main page'!$K$29*L272+(1-'main page'!$K$29)*(controls!$B$9/100)*100+'main page'!$K$25*(D273-B273))</f>
        <v>1.9999998807907104</v>
      </c>
      <c r="Q273" s="409">
        <f ca="1">(1-'main page'!$K$29)*($AS$11/100)*100+'main page'!$K$25*(D273-B273)</f>
        <v>5.9604644775390625E-8</v>
      </c>
      <c r="R273" s="409">
        <f>'main page'!G277+'main page'!$K$29*M272</f>
        <v>0</v>
      </c>
      <c r="S273" s="409">
        <f t="shared" ca="1" si="41"/>
        <v>5.9604644775390625E-8</v>
      </c>
      <c r="T273" s="79">
        <f ca="1">IF(controls!$B$10=1,T272,IF(SUM(controls!$B$44:$B$46)=2,U273-'main page'!$K$29*'normal case'!L273-(1-'main page'!$K$29)*'main page'!$K$32,U273-'main page'!$K$29*'normal case'!L273-(1-'main page'!$K$29)*controls!$B$9))</f>
        <v>3.4999999701976776</v>
      </c>
      <c r="U273" s="164">
        <f ca="1">IF(controls!$B$45=1,IF(controls!$B$46=1,'main page'!$K$24+'main page'!$K$11+'main page'!$U$8,'main page'!$K$24+'main page'!$K$11+'main page'!$K$32),IF(controls!$B$44=1,IF(V273&lt;0,0,V273),IF(V273+'main page'!$K$11&lt;0,0,V273+'main page'!$K$11)))</f>
        <v>5.4999998509883881</v>
      </c>
      <c r="V273" s="63">
        <f ca="1">IF(controls!$B$10=1,'normal case'!T273+'normal case'!L273,'normal case'!W273)</f>
        <v>5.4999998509883881</v>
      </c>
      <c r="W273" s="61">
        <f t="shared" ca="1" si="37"/>
        <v>5.4999998509883881</v>
      </c>
      <c r="X273" s="166">
        <f ca="1">IF(controls!$B$44=0,Y273+'main page'!$K$29*L273+(1-'main page'!$K$29)*controls!$B$9+(('main page'!$K$25*'main page'!$U$13*'main page'!$K$29)/('main page'!$K$27*(1+('main page'!$K$25^2)*'main page'!$U$13)))*(L273-controls!$B$9),Y273+'main page'!$K$29*L273+(1-'main page'!$K$29)*controls!$B$9+(('main page'!$K$25*'main page'!$U$13*'normal case'!$AV$3)/'normal case'!$AV$4)*('normal case'!L273-controls!$B$9))</f>
        <v>5.4999998509883881</v>
      </c>
      <c r="Y273" s="81">
        <f ca="1">IF(controls!$B$44=1,'main page'!$K$24+'main page'!$K$11,IF(controls!$B$33=1,((I274-D273*AD274-B274+B273*AC274)/'main page'!$K$27)-'main page'!$K$11,((H274-D273*AD274-B274+B273*AC274)/'main page'!$K$27)-'main page'!$K$11))</f>
        <v>3.5</v>
      </c>
      <c r="AA273" s="58">
        <f>IF(controls!$B$6=1,$AS$3*(1+('main page'!$K$35/100))^AB273-$AS$3*(1+('main page'!$K$35/100))^AB272,$AS$3*(1+('main page'!$G$8/100))*(1+('main page'!$K$35/100))^AB273-$AS$3*(1+('main page'!$G$8/100))*(1+('main page'!$K$35/100))^AB272)</f>
        <v>0</v>
      </c>
      <c r="AB273" s="60">
        <v>266</v>
      </c>
      <c r="AC273" s="125">
        <v>0</v>
      </c>
      <c r="AD273" s="36">
        <v>0</v>
      </c>
      <c r="AE273" s="44">
        <f ca="1">IF(controls!$B$33=1,D273-($I$3-'main page'!$K$27*2)*(1+('main page'!$K$35/100))^A272,D273-$AS$4)</f>
        <v>1.0000000596046448</v>
      </c>
      <c r="AF273" s="44">
        <f ca="1">ABS(L273-(controls!$B$9/100)*100)</f>
        <v>1.1920928955078125E-7</v>
      </c>
      <c r="AH273" s="44">
        <f ca="1">IF(controls!$B$33=1,(B274-B273*AC274-I274+D273*AD274+'main page'!$K$27*('main page'!$K$24+'main page'!$K$11))/'main page'!$K$31,(B274-B273*AC274+D273*AD274-H274+'main page'!$K$27*('main page'!$K$24+'main page'!$K$11))/'main page'!$K$31)</f>
        <v>1</v>
      </c>
      <c r="AI273" s="44">
        <f ca="1">IF(controls!$B$45=1,LOG(AM273,1.01)+LOG(AL273,1.01)-LOG(AK273,1.01),-((T273-('main page'!$K$24+'main page'!$K$11))/(1-'normal case'!$AV$3))+'normal case'!AH273)</f>
        <v>2.0000000596046448</v>
      </c>
      <c r="AJ273" s="80">
        <f t="shared" ca="1" si="38"/>
        <v>1.0506250015463039</v>
      </c>
      <c r="AK273" s="44">
        <f t="shared" ca="1" si="39"/>
        <v>205.82716352764041</v>
      </c>
      <c r="AL273" s="44">
        <f>AL272*(1+'main page'!$K$32/100)</f>
        <v>1</v>
      </c>
      <c r="AM273" s="44">
        <f ca="1">IF(ABS(IF(controls!$B$45=1,$AS$13,AK273*AJ273/AL273)-AM272)&lt;0.00001,AM272,IF(controls!$B$45=1,$AS$13,AK273*AJ273/AL273))</f>
        <v>216.24716399949855</v>
      </c>
      <c r="AN273" s="44">
        <f>IF(controls!$B$46=0,0,IF(controls!$B$33=2,B274-B273*AC274-('normal case'!H274-D273*AD274-'main page'!$K$27*'normal case'!T273+'main page'!$K$31*'normal case'!AI273)-(('main page'!$K$25*'main page'!$U$13*'main page'!$K$29)/(1+('main page'!$K$25^2)*'main page'!$U$13))*('normal case'!L273-'main page'!$U$8),B274-B273*AC274-('normal case'!I274-D273*AD274-'main page'!$K$27*'normal case'!T273+'main page'!$K$31*'normal case'!AI273)-(('main page'!$K$25*'main page'!$U$13*'main page'!$K$29)/(1+('main page'!$K$25^2)*'main page'!$U$13))*('normal case'!L273-'main page'!$U$8)))</f>
        <v>0</v>
      </c>
      <c r="AU273" s="36"/>
      <c r="AV273" s="36"/>
    </row>
    <row r="274" spans="1:48">
      <c r="A274" s="43">
        <v>272</v>
      </c>
      <c r="B274" s="62">
        <f ca="1">IF(controls!$B$33=1,B273*(1+AC274)+AA274,B273*(1+AC274))</f>
        <v>101</v>
      </c>
      <c r="C274" s="67">
        <f t="shared" ca="1" si="40"/>
        <v>-1.5107707374006907E-7</v>
      </c>
      <c r="D274" s="64">
        <f t="shared" ca="1" si="36"/>
        <v>101.00000005960464</v>
      </c>
      <c r="E274" s="64">
        <f ca="1">AN273+IF(controls!$B$33=1,G274,F274)</f>
        <v>101.00000005960464</v>
      </c>
      <c r="F274" s="78">
        <f ca="1">IF(controls!$B$44=0,H274-'main page'!$K$27*T273,H274-'main page'!$K$27*T273+'main page'!$K$31*AI273)</f>
        <v>101.00000005960464</v>
      </c>
      <c r="G274" s="62">
        <f ca="1">IF(controls!$B$44=0,I274-'main page'!$K$27*T273,I274-'main page'!$K$27*T273+'main page'!$K$31*'normal case'!AI273)</f>
        <v>101.00000005960464</v>
      </c>
      <c r="H274" s="62">
        <f t="shared" ca="1" si="34"/>
        <v>108</v>
      </c>
      <c r="I274" s="62">
        <f t="shared" ca="1" si="35"/>
        <v>108</v>
      </c>
      <c r="L274" s="62">
        <f ca="1">IF(ABS('main page'!$K$29*L273+(1-'main page'!$K$29)*(controls!$B$9/100)*100+'main page'!$K$25*(D274-B274)-L273)&lt;0.0000001,L273,'main page'!$K$29*L273+(1-'main page'!$K$29)*(controls!$B$9/100)*100+'main page'!$K$25*(D274-B274))</f>
        <v>1.9999998807907104</v>
      </c>
      <c r="Q274" s="409">
        <f ca="1">(1-'main page'!$K$29)*($AS$11/100)*100+'main page'!$K$25*(D274-B274)</f>
        <v>5.9604644775390625E-8</v>
      </c>
      <c r="R274" s="409">
        <f>'main page'!G278+'main page'!$K$29*M273</f>
        <v>0</v>
      </c>
      <c r="S274" s="409">
        <f t="shared" ca="1" si="41"/>
        <v>5.9604644775390625E-8</v>
      </c>
      <c r="T274" s="79">
        <f ca="1">IF(controls!$B$10=1,T273,IF(SUM(controls!$B$44:$B$46)=2,U274-'main page'!$K$29*'normal case'!L274-(1-'main page'!$K$29)*'main page'!$K$32,U274-'main page'!$K$29*'normal case'!L274-(1-'main page'!$K$29)*controls!$B$9))</f>
        <v>3.4999999701976776</v>
      </c>
      <c r="U274" s="164">
        <f ca="1">IF(controls!$B$45=1,IF(controls!$B$46=1,'main page'!$K$24+'main page'!$K$11+'main page'!$U$8,'main page'!$K$24+'main page'!$K$11+'main page'!$K$32),IF(controls!$B$44=1,IF(V274&lt;0,0,V274),IF(V274+'main page'!$K$11&lt;0,0,V274+'main page'!$K$11)))</f>
        <v>5.4999998509883881</v>
      </c>
      <c r="V274" s="63">
        <f ca="1">IF(controls!$B$10=1,'normal case'!T274+'normal case'!L274,'normal case'!W274)</f>
        <v>5.4999998509883881</v>
      </c>
      <c r="W274" s="61">
        <f t="shared" ca="1" si="37"/>
        <v>5.4999998509883881</v>
      </c>
      <c r="X274" s="166">
        <f ca="1">IF(controls!$B$44=0,Y274+'main page'!$K$29*L274+(1-'main page'!$K$29)*controls!$B$9+(('main page'!$K$25*'main page'!$U$13*'main page'!$K$29)/('main page'!$K$27*(1+('main page'!$K$25^2)*'main page'!$U$13)))*(L274-controls!$B$9),Y274+'main page'!$K$29*L274+(1-'main page'!$K$29)*controls!$B$9+(('main page'!$K$25*'main page'!$U$13*'normal case'!$AV$3)/'normal case'!$AV$4)*('normal case'!L274-controls!$B$9))</f>
        <v>5.4999998509883881</v>
      </c>
      <c r="Y274" s="81">
        <f ca="1">IF(controls!$B$44=1,'main page'!$K$24+'main page'!$K$11,IF(controls!$B$33=1,((I275-D274*AD275-B275+B274*AC275)/'main page'!$K$27)-'main page'!$K$11,((H275-D274*AD275-B275+B274*AC275)/'main page'!$K$27)-'main page'!$K$11))</f>
        <v>3.5</v>
      </c>
      <c r="AA274" s="58">
        <f>IF(controls!$B$6=1,$AS$3*(1+('main page'!$K$35/100))^AB274-$AS$3*(1+('main page'!$K$35/100))^AB273,$AS$3*(1+('main page'!$G$8/100))*(1+('main page'!$K$35/100))^AB274-$AS$3*(1+('main page'!$G$8/100))*(1+('main page'!$K$35/100))^AB273)</f>
        <v>0</v>
      </c>
      <c r="AB274" s="60">
        <v>267</v>
      </c>
      <c r="AC274" s="125">
        <v>0</v>
      </c>
      <c r="AD274" s="36">
        <v>0</v>
      </c>
      <c r="AE274" s="44">
        <f ca="1">IF(controls!$B$33=1,D274-($I$3-'main page'!$K$27*2)*(1+('main page'!$K$35/100))^A273,D274-$AS$4)</f>
        <v>1.0000000596046448</v>
      </c>
      <c r="AF274" s="44">
        <f ca="1">ABS(L274-(controls!$B$9/100)*100)</f>
        <v>1.1920928955078125E-7</v>
      </c>
      <c r="AH274" s="44">
        <f ca="1">IF(controls!$B$33=1,(B275-B274*AC275-I275+D274*AD275+'main page'!$K$27*('main page'!$K$24+'main page'!$K$11))/'main page'!$K$31,(B275-B274*AC275+D274*AD275-H275+'main page'!$K$27*('main page'!$K$24+'main page'!$K$11))/'main page'!$K$31)</f>
        <v>1</v>
      </c>
      <c r="AI274" s="44">
        <f ca="1">IF(controls!$B$45=1,LOG(AM274,1.01)+LOG(AL274,1.01)-LOG(AK274,1.01),-((T274-('main page'!$K$24+'main page'!$K$11))/(1-'normal case'!$AV$3))+'normal case'!AH274)</f>
        <v>2.0000000596046448</v>
      </c>
      <c r="AJ274" s="80">
        <f t="shared" ca="1" si="38"/>
        <v>1.0506250015463039</v>
      </c>
      <c r="AK274" s="44">
        <f t="shared" ca="1" si="39"/>
        <v>209.94370655282813</v>
      </c>
      <c r="AL274" s="44">
        <f>AL273*(1+'main page'!$K$32/100)</f>
        <v>1</v>
      </c>
      <c r="AM274" s="44">
        <f ca="1">IF(ABS(IF(controls!$B$45=1,$AS$13,AK274*AJ274/AL274)-AM273)&lt;0.00001,AM273,IF(controls!$B$45=1,$AS$13,AK274*AJ274/AL274))</f>
        <v>220.57210702170184</v>
      </c>
      <c r="AN274" s="44">
        <f>IF(controls!$B$46=0,0,IF(controls!$B$33=2,B275-B274*AC275-('normal case'!H275-D274*AD275-'main page'!$K$27*'normal case'!T274+'main page'!$K$31*'normal case'!AI274)-(('main page'!$K$25*'main page'!$U$13*'main page'!$K$29)/(1+('main page'!$K$25^2)*'main page'!$U$13))*('normal case'!L274-'main page'!$U$8),B275-B274*AC275-('normal case'!I275-D274*AD275-'main page'!$K$27*'normal case'!T274+'main page'!$K$31*'normal case'!AI274)-(('main page'!$K$25*'main page'!$U$13*'main page'!$K$29)/(1+('main page'!$K$25^2)*'main page'!$U$13))*('normal case'!L274-'main page'!$U$8)))</f>
        <v>0</v>
      </c>
      <c r="AU274" s="36"/>
      <c r="AV274" s="36"/>
    </row>
    <row r="275" spans="1:48">
      <c r="A275" s="43">
        <v>273</v>
      </c>
      <c r="B275" s="62">
        <f ca="1">IF(controls!$B$33=1,B274*(1+AC275)+AA275,B274*(1+AC275))</f>
        <v>101</v>
      </c>
      <c r="C275" s="67">
        <f t="shared" ca="1" si="40"/>
        <v>-1.5107707374006907E-7</v>
      </c>
      <c r="D275" s="64">
        <f t="shared" ca="1" si="36"/>
        <v>101.00000005960464</v>
      </c>
      <c r="E275" s="64">
        <f ca="1">AN274+IF(controls!$B$33=1,G275,F275)</f>
        <v>101.00000005960464</v>
      </c>
      <c r="F275" s="78">
        <f ca="1">IF(controls!$B$44=0,H275-'main page'!$K$27*T274,H275-'main page'!$K$27*T274+'main page'!$K$31*AI274)</f>
        <v>101.00000005960464</v>
      </c>
      <c r="G275" s="62">
        <f ca="1">IF(controls!$B$44=0,I275-'main page'!$K$27*T274,I275-'main page'!$K$27*T274+'main page'!$K$31*'normal case'!AI274)</f>
        <v>101.00000005960464</v>
      </c>
      <c r="H275" s="62">
        <f t="shared" ca="1" si="34"/>
        <v>108</v>
      </c>
      <c r="I275" s="62">
        <f t="shared" ca="1" si="35"/>
        <v>108</v>
      </c>
      <c r="L275" s="62">
        <f ca="1">IF(ABS('main page'!$K$29*L274+(1-'main page'!$K$29)*(controls!$B$9/100)*100+'main page'!$K$25*(D275-B275)-L274)&lt;0.0000001,L274,'main page'!$K$29*L274+(1-'main page'!$K$29)*(controls!$B$9/100)*100+'main page'!$K$25*(D275-B275))</f>
        <v>1.9999998807907104</v>
      </c>
      <c r="Q275" s="409">
        <f ca="1">(1-'main page'!$K$29)*($AS$11/100)*100+'main page'!$K$25*(D275-B275)</f>
        <v>5.9604644775390625E-8</v>
      </c>
      <c r="R275" s="409">
        <f>'main page'!G279+'main page'!$K$29*M274</f>
        <v>0</v>
      </c>
      <c r="S275" s="409">
        <f t="shared" ca="1" si="41"/>
        <v>5.9604644775390625E-8</v>
      </c>
      <c r="T275" s="79">
        <f ca="1">IF(controls!$B$10=1,T274,IF(SUM(controls!$B$44:$B$46)=2,U275-'main page'!$K$29*'normal case'!L275-(1-'main page'!$K$29)*'main page'!$K$32,U275-'main page'!$K$29*'normal case'!L275-(1-'main page'!$K$29)*controls!$B$9))</f>
        <v>3.4999999701976776</v>
      </c>
      <c r="U275" s="164">
        <f ca="1">IF(controls!$B$45=1,IF(controls!$B$46=1,'main page'!$K$24+'main page'!$K$11+'main page'!$U$8,'main page'!$K$24+'main page'!$K$11+'main page'!$K$32),IF(controls!$B$44=1,IF(V275&lt;0,0,V275),IF(V275+'main page'!$K$11&lt;0,0,V275+'main page'!$K$11)))</f>
        <v>5.4999998509883881</v>
      </c>
      <c r="V275" s="63">
        <f ca="1">IF(controls!$B$10=1,'normal case'!T275+'normal case'!L275,'normal case'!W275)</f>
        <v>5.4999998509883881</v>
      </c>
      <c r="W275" s="61">
        <f t="shared" ca="1" si="37"/>
        <v>5.4999998509883881</v>
      </c>
      <c r="X275" s="166">
        <f ca="1">IF(controls!$B$44=0,Y275+'main page'!$K$29*L275+(1-'main page'!$K$29)*controls!$B$9+(('main page'!$K$25*'main page'!$U$13*'main page'!$K$29)/('main page'!$K$27*(1+('main page'!$K$25^2)*'main page'!$U$13)))*(L275-controls!$B$9),Y275+'main page'!$K$29*L275+(1-'main page'!$K$29)*controls!$B$9+(('main page'!$K$25*'main page'!$U$13*'normal case'!$AV$3)/'normal case'!$AV$4)*('normal case'!L275-controls!$B$9))</f>
        <v>5.4999998509883881</v>
      </c>
      <c r="Y275" s="81">
        <f ca="1">IF(controls!$B$44=1,'main page'!$K$24+'main page'!$K$11,IF(controls!$B$33=1,((I276-D275*AD276-B276+B275*AC276)/'main page'!$K$27)-'main page'!$K$11,((H276-D275*AD276-B276+B275*AC276)/'main page'!$K$27)-'main page'!$K$11))</f>
        <v>3.5</v>
      </c>
      <c r="AA275" s="58">
        <f>IF(controls!$B$6=1,$AS$3*(1+('main page'!$K$35/100))^AB275-$AS$3*(1+('main page'!$K$35/100))^AB274,$AS$3*(1+('main page'!$G$8/100))*(1+('main page'!$K$35/100))^AB275-$AS$3*(1+('main page'!$G$8/100))*(1+('main page'!$K$35/100))^AB274)</f>
        <v>0</v>
      </c>
      <c r="AB275" s="60">
        <v>268</v>
      </c>
      <c r="AC275" s="125">
        <f ca="1">IF(controls!$B$4=1,IF(controls!$H274=1,controls!$B$34*AC274+RAND()*('main page'!$K$16/100)-RAND()*('main page'!$K$16/100),0),0)</f>
        <v>0</v>
      </c>
      <c r="AD275" s="36">
        <f ca="1">IF(controls!$B$4=1,IF(controls!$I274=1,controls!$B$34*AD274+RAND()*('main page'!$K$16/100)-RAND()*('main page'!$K$16/100),0),0)</f>
        <v>0</v>
      </c>
      <c r="AE275" s="44">
        <f ca="1">IF(controls!$B$33=1,D275-($I$3-'main page'!$K$27*2)*(1+('main page'!$K$35/100))^A274,D275-$AS$4)</f>
        <v>1.0000000596046448</v>
      </c>
      <c r="AF275" s="44">
        <f ca="1">ABS(L275-(controls!$B$9/100)*100)</f>
        <v>1.1920928955078125E-7</v>
      </c>
      <c r="AH275" s="44">
        <f ca="1">IF(controls!$B$33=1,(B276-B275*AC276-I276+D275*AD276+'main page'!$K$27*('main page'!$K$24+'main page'!$K$11))/'main page'!$K$31,(B276-B275*AC276+D275*AD276-H276+'main page'!$K$27*('main page'!$K$24+'main page'!$K$11))/'main page'!$K$31)</f>
        <v>1</v>
      </c>
      <c r="AI275" s="44">
        <f ca="1">IF(controls!$B$45=1,LOG(AM275,1.01)+LOG(AL275,1.01)-LOG(AK275,1.01),-((T275-('main page'!$K$24+'main page'!$K$11))/(1-'normal case'!$AV$3))+'normal case'!AH275)</f>
        <v>2.0000000596046448</v>
      </c>
      <c r="AJ275" s="80">
        <f t="shared" ca="1" si="38"/>
        <v>1.0506250015463039</v>
      </c>
      <c r="AK275" s="44">
        <f t="shared" ca="1" si="39"/>
        <v>214.1425804336123</v>
      </c>
      <c r="AL275" s="44">
        <f>AL274*(1+'main page'!$K$32/100)</f>
        <v>1</v>
      </c>
      <c r="AM275" s="44">
        <f ca="1">IF(ABS(IF(controls!$B$45=1,$AS$13,AK275*AJ275/AL275)-AM274)&lt;0.00001,AM274,IF(controls!$B$45=1,$AS$13,AK275*AJ275/AL275))</f>
        <v>224.98354889919344</v>
      </c>
      <c r="AN275" s="44">
        <f>IF(controls!$B$46=0,0,IF(controls!$B$33=2,B276-B275*AC276-('normal case'!H276-D275*AD276-'main page'!$K$27*'normal case'!T275+'main page'!$K$31*'normal case'!AI275)-(('main page'!$K$25*'main page'!$U$13*'main page'!$K$29)/(1+('main page'!$K$25^2)*'main page'!$U$13))*('normal case'!L275-'main page'!$U$8),B276-B275*AC276-('normal case'!I276-D275*AD276-'main page'!$K$27*'normal case'!T275+'main page'!$K$31*'normal case'!AI275)-(('main page'!$K$25*'main page'!$U$13*'main page'!$K$29)/(1+('main page'!$K$25^2)*'main page'!$U$13))*('normal case'!L275-'main page'!$U$8)))</f>
        <v>0</v>
      </c>
      <c r="AU275" s="36"/>
      <c r="AV275" s="36"/>
    </row>
    <row r="276" spans="1:48">
      <c r="A276" s="43">
        <v>274</v>
      </c>
      <c r="B276" s="62">
        <f ca="1">IF(controls!$B$33=1,B275*(1+AC276)+AA276,B275*(1+AC276))</f>
        <v>101</v>
      </c>
      <c r="C276" s="67">
        <f t="shared" ca="1" si="40"/>
        <v>-1.5107707374006907E-7</v>
      </c>
      <c r="D276" s="64">
        <f t="shared" ca="1" si="36"/>
        <v>101.00000005960464</v>
      </c>
      <c r="E276" s="64">
        <f ca="1">AN275+IF(controls!$B$33=1,G276,F276)</f>
        <v>101.00000005960464</v>
      </c>
      <c r="F276" s="78">
        <f ca="1">IF(controls!$B$44=0,H276-'main page'!$K$27*T275,H276-'main page'!$K$27*T275+'main page'!$K$31*AI275)</f>
        <v>101.00000005960464</v>
      </c>
      <c r="G276" s="62">
        <f ca="1">IF(controls!$B$44=0,I276-'main page'!$K$27*T275,I276-'main page'!$K$27*T275+'main page'!$K$31*'normal case'!AI275)</f>
        <v>101.00000005960464</v>
      </c>
      <c r="H276" s="62">
        <f t="shared" ca="1" si="34"/>
        <v>108</v>
      </c>
      <c r="I276" s="62">
        <f t="shared" ca="1" si="35"/>
        <v>108</v>
      </c>
      <c r="L276" s="62">
        <f ca="1">IF(ABS('main page'!$K$29*L275+(1-'main page'!$K$29)*(controls!$B$9/100)*100+'main page'!$K$25*(D276-B276)-L275)&lt;0.0000001,L275,'main page'!$K$29*L275+(1-'main page'!$K$29)*(controls!$B$9/100)*100+'main page'!$K$25*(D276-B276))</f>
        <v>1.9999998807907104</v>
      </c>
      <c r="Q276" s="409">
        <f ca="1">(1-'main page'!$K$29)*($AS$11/100)*100+'main page'!$K$25*(D276-B276)</f>
        <v>5.9604644775390625E-8</v>
      </c>
      <c r="R276" s="409">
        <f>'main page'!G280+'main page'!$K$29*M275</f>
        <v>0</v>
      </c>
      <c r="S276" s="409">
        <f t="shared" ca="1" si="41"/>
        <v>5.9604644775390625E-8</v>
      </c>
      <c r="T276" s="79">
        <f ca="1">IF(controls!$B$10=1,T275,IF(SUM(controls!$B$44:$B$46)=2,U276-'main page'!$K$29*'normal case'!L276-(1-'main page'!$K$29)*'main page'!$K$32,U276-'main page'!$K$29*'normal case'!L276-(1-'main page'!$K$29)*controls!$B$9))</f>
        <v>3.4999999701976776</v>
      </c>
      <c r="U276" s="164">
        <f ca="1">IF(controls!$B$45=1,IF(controls!$B$46=1,'main page'!$K$24+'main page'!$K$11+'main page'!$U$8,'main page'!$K$24+'main page'!$K$11+'main page'!$K$32),IF(controls!$B$44=1,IF(V276&lt;0,0,V276),IF(V276+'main page'!$K$11&lt;0,0,V276+'main page'!$K$11)))</f>
        <v>5.4999998509883881</v>
      </c>
      <c r="V276" s="63">
        <f ca="1">IF(controls!$B$10=1,'normal case'!T276+'normal case'!L276,'normal case'!W276)</f>
        <v>5.4999998509883881</v>
      </c>
      <c r="W276" s="61">
        <f t="shared" ca="1" si="37"/>
        <v>5.4999998509883881</v>
      </c>
      <c r="X276" s="166">
        <f ca="1">IF(controls!$B$44=0,Y276+'main page'!$K$29*L276+(1-'main page'!$K$29)*controls!$B$9+(('main page'!$K$25*'main page'!$U$13*'main page'!$K$29)/('main page'!$K$27*(1+('main page'!$K$25^2)*'main page'!$U$13)))*(L276-controls!$B$9),Y276+'main page'!$K$29*L276+(1-'main page'!$K$29)*controls!$B$9+(('main page'!$K$25*'main page'!$U$13*'normal case'!$AV$3)/'normal case'!$AV$4)*('normal case'!L276-controls!$B$9))</f>
        <v>5.4999998509883881</v>
      </c>
      <c r="Y276" s="81">
        <f ca="1">IF(controls!$B$44=1,'main page'!$K$24+'main page'!$K$11,IF(controls!$B$33=1,((I277-D276*AD277-B277+B276*AC277)/'main page'!$K$27)-'main page'!$K$11,((H277-D276*AD277-B277+B276*AC277)/'main page'!$K$27)-'main page'!$K$11))</f>
        <v>3.5</v>
      </c>
      <c r="AA276" s="58">
        <f>IF(controls!$B$6=1,$AS$3*(1+('main page'!$K$35/100))^AB276-$AS$3*(1+('main page'!$K$35/100))^AB275,$AS$3*(1+('main page'!$G$8/100))*(1+('main page'!$K$35/100))^AB276-$AS$3*(1+('main page'!$G$8/100))*(1+('main page'!$K$35/100))^AB275)</f>
        <v>0</v>
      </c>
      <c r="AB276" s="60">
        <v>269</v>
      </c>
      <c r="AC276" s="125">
        <v>0</v>
      </c>
      <c r="AD276" s="36">
        <v>0</v>
      </c>
      <c r="AE276" s="44">
        <f ca="1">IF(controls!$B$33=1,D276-($I$3-'main page'!$K$27*2)*(1+('main page'!$K$35/100))^A275,D276-$AS$4)</f>
        <v>1.0000000596046448</v>
      </c>
      <c r="AF276" s="44">
        <f ca="1">ABS(L276-(controls!$B$9/100)*100)</f>
        <v>1.1920928955078125E-7</v>
      </c>
      <c r="AH276" s="44">
        <f ca="1">IF(controls!$B$33=1,(B277-B276*AC277-I277+D276*AD277+'main page'!$K$27*('main page'!$K$24+'main page'!$K$11))/'main page'!$K$31,(B277-B276*AC277+D276*AD277-H277+'main page'!$K$27*('main page'!$K$24+'main page'!$K$11))/'main page'!$K$31)</f>
        <v>1</v>
      </c>
      <c r="AI276" s="44">
        <f ca="1">IF(controls!$B$45=1,LOG(AM276,1.01)+LOG(AL276,1.01)-LOG(AK276,1.01),-((T276-('main page'!$K$24+'main page'!$K$11))/(1-'normal case'!$AV$3))+'normal case'!AH276)</f>
        <v>2.0000000596046448</v>
      </c>
      <c r="AJ276" s="80">
        <f t="shared" ca="1" si="38"/>
        <v>1.0506250015463039</v>
      </c>
      <c r="AK276" s="44">
        <f t="shared" ca="1" si="39"/>
        <v>218.42543178700672</v>
      </c>
      <c r="AL276" s="44">
        <f>AL275*(1+'main page'!$K$32/100)</f>
        <v>1</v>
      </c>
      <c r="AM276" s="44">
        <f ca="1">IF(ABS(IF(controls!$B$45=1,$AS$13,AK276*AJ276/AL276)-AM275)&lt;0.00001,AM275,IF(controls!$B$45=1,$AS$13,AK276*AJ276/AL276))</f>
        <v>229.48321960897601</v>
      </c>
      <c r="AN276" s="44">
        <f>IF(controls!$B$46=0,0,IF(controls!$B$33=2,B277-B276*AC277-('normal case'!H277-D276*AD277-'main page'!$K$27*'normal case'!T276+'main page'!$K$31*'normal case'!AI276)-(('main page'!$K$25*'main page'!$U$13*'main page'!$K$29)/(1+('main page'!$K$25^2)*'main page'!$U$13))*('normal case'!L276-'main page'!$U$8),B277-B276*AC277-('normal case'!I277-D276*AD277-'main page'!$K$27*'normal case'!T276+'main page'!$K$31*'normal case'!AI276)-(('main page'!$K$25*'main page'!$U$13*'main page'!$K$29)/(1+('main page'!$K$25^2)*'main page'!$U$13))*('normal case'!L276-'main page'!$U$8)))</f>
        <v>0</v>
      </c>
      <c r="AU276" s="36"/>
      <c r="AV276" s="36"/>
    </row>
    <row r="277" spans="1:48">
      <c r="A277" s="43">
        <v>275</v>
      </c>
      <c r="B277" s="62">
        <f ca="1">IF(controls!$B$33=1,B276*(1+AC277)+AA277,B276*(1+AC277))</f>
        <v>101</v>
      </c>
      <c r="C277" s="67">
        <f t="shared" ca="1" si="40"/>
        <v>-1.5107707374006907E-7</v>
      </c>
      <c r="D277" s="64">
        <f t="shared" ca="1" si="36"/>
        <v>101.00000005960464</v>
      </c>
      <c r="E277" s="64">
        <f ca="1">AN276+IF(controls!$B$33=1,G277,F277)</f>
        <v>101.00000005960464</v>
      </c>
      <c r="F277" s="78">
        <f ca="1">IF(controls!$B$44=0,H277-'main page'!$K$27*T276,H277-'main page'!$K$27*T276+'main page'!$K$31*AI276)</f>
        <v>101.00000005960464</v>
      </c>
      <c r="G277" s="62">
        <f ca="1">IF(controls!$B$44=0,I277-'main page'!$K$27*T276,I277-'main page'!$K$27*T276+'main page'!$K$31*'normal case'!AI276)</f>
        <v>101.00000005960464</v>
      </c>
      <c r="H277" s="62">
        <f t="shared" ca="1" si="34"/>
        <v>108</v>
      </c>
      <c r="I277" s="62">
        <f t="shared" ca="1" si="35"/>
        <v>108</v>
      </c>
      <c r="L277" s="62">
        <f ca="1">IF(ABS('main page'!$K$29*L276+(1-'main page'!$K$29)*(controls!$B$9/100)*100+'main page'!$K$25*(D277-B277)-L276)&lt;0.0000001,L276,'main page'!$K$29*L276+(1-'main page'!$K$29)*(controls!$B$9/100)*100+'main page'!$K$25*(D277-B277))</f>
        <v>1.9999998807907104</v>
      </c>
      <c r="Q277" s="409">
        <f ca="1">(1-'main page'!$K$29)*($AS$11/100)*100+'main page'!$K$25*(D277-B277)</f>
        <v>5.9604644775390625E-8</v>
      </c>
      <c r="R277" s="409">
        <f>'main page'!G281+'main page'!$K$29*M276</f>
        <v>0</v>
      </c>
      <c r="S277" s="409">
        <f t="shared" ca="1" si="41"/>
        <v>5.9604644775390625E-8</v>
      </c>
      <c r="T277" s="79">
        <f ca="1">IF(controls!$B$10=1,T276,IF(SUM(controls!$B$44:$B$46)=2,U277-'main page'!$K$29*'normal case'!L277-(1-'main page'!$K$29)*'main page'!$K$32,U277-'main page'!$K$29*'normal case'!L277-(1-'main page'!$K$29)*controls!$B$9))</f>
        <v>3.4999999701976776</v>
      </c>
      <c r="U277" s="164">
        <f ca="1">IF(controls!$B$45=1,IF(controls!$B$46=1,'main page'!$K$24+'main page'!$K$11+'main page'!$U$8,'main page'!$K$24+'main page'!$K$11+'main page'!$K$32),IF(controls!$B$44=1,IF(V277&lt;0,0,V277),IF(V277+'main page'!$K$11&lt;0,0,V277+'main page'!$K$11)))</f>
        <v>5.4999998509883881</v>
      </c>
      <c r="V277" s="63">
        <f ca="1">IF(controls!$B$10=1,'normal case'!T277+'normal case'!L277,'normal case'!W277)</f>
        <v>5.4999998509883881</v>
      </c>
      <c r="W277" s="61">
        <f t="shared" ca="1" si="37"/>
        <v>5.4999998509883881</v>
      </c>
      <c r="X277" s="166">
        <f ca="1">IF(controls!$B$44=0,Y277+'main page'!$K$29*L277+(1-'main page'!$K$29)*controls!$B$9+(('main page'!$K$25*'main page'!$U$13*'main page'!$K$29)/('main page'!$K$27*(1+('main page'!$K$25^2)*'main page'!$U$13)))*(L277-controls!$B$9),Y277+'main page'!$K$29*L277+(1-'main page'!$K$29)*controls!$B$9+(('main page'!$K$25*'main page'!$U$13*'normal case'!$AV$3)/'normal case'!$AV$4)*('normal case'!L277-controls!$B$9))</f>
        <v>5.4999998509883881</v>
      </c>
      <c r="Y277" s="81">
        <f ca="1">IF(controls!$B$44=1,'main page'!$K$24+'main page'!$K$11,IF(controls!$B$33=1,((I278-D277*AD278-B278+B277*AC278)/'main page'!$K$27)-'main page'!$K$11,((H278-D277*AD278-B278+B277*AC278)/'main page'!$K$27)-'main page'!$K$11))</f>
        <v>3.5</v>
      </c>
      <c r="AA277" s="58">
        <f>IF(controls!$B$6=1,$AS$3*(1+('main page'!$K$35/100))^AB277-$AS$3*(1+('main page'!$K$35/100))^AB276,$AS$3*(1+('main page'!$G$8/100))*(1+('main page'!$K$35/100))^AB277-$AS$3*(1+('main page'!$G$8/100))*(1+('main page'!$K$35/100))^AB276)</f>
        <v>0</v>
      </c>
      <c r="AB277" s="60">
        <v>270</v>
      </c>
      <c r="AC277" s="125">
        <v>0</v>
      </c>
      <c r="AD277" s="36">
        <v>0</v>
      </c>
      <c r="AE277" s="44">
        <f ca="1">IF(controls!$B$33=1,D277-($I$3-'main page'!$K$27*2)*(1+('main page'!$K$35/100))^A276,D277-$AS$4)</f>
        <v>1.0000000596046448</v>
      </c>
      <c r="AF277" s="44">
        <f ca="1">ABS(L277-(controls!$B$9/100)*100)</f>
        <v>1.1920928955078125E-7</v>
      </c>
      <c r="AH277" s="44">
        <f ca="1">IF(controls!$B$33=1,(B278-B277*AC278-I278+D277*AD278+'main page'!$K$27*('main page'!$K$24+'main page'!$K$11))/'main page'!$K$31,(B278-B277*AC278+D277*AD278-H278+'main page'!$K$27*('main page'!$K$24+'main page'!$K$11))/'main page'!$K$31)</f>
        <v>1</v>
      </c>
      <c r="AI277" s="44">
        <f ca="1">IF(controls!$B$45=1,LOG(AM277,1.01)+LOG(AL277,1.01)-LOG(AK277,1.01),-((T277-('main page'!$K$24+'main page'!$K$11))/(1-'normal case'!$AV$3))+'normal case'!AH277)</f>
        <v>2.0000000596046448</v>
      </c>
      <c r="AJ277" s="80">
        <f t="shared" ca="1" si="38"/>
        <v>1.0506250015463039</v>
      </c>
      <c r="AK277" s="44">
        <f t="shared" ca="1" si="39"/>
        <v>222.79394016236344</v>
      </c>
      <c r="AL277" s="44">
        <f>AL276*(1+'main page'!$K$32/100)</f>
        <v>1</v>
      </c>
      <c r="AM277" s="44">
        <f ca="1">IF(ABS(IF(controls!$B$45=1,$AS$13,AK277*AJ277/AL277)-AM276)&lt;0.00001,AM276,IF(controls!$B$45=1,$AS$13,AK277*AJ277/AL277))</f>
        <v>234.07288372759024</v>
      </c>
      <c r="AN277" s="44">
        <f>IF(controls!$B$46=0,0,IF(controls!$B$33=2,B278-B277*AC278-('normal case'!H278-D277*AD278-'main page'!$K$27*'normal case'!T277+'main page'!$K$31*'normal case'!AI277)-(('main page'!$K$25*'main page'!$U$13*'main page'!$K$29)/(1+('main page'!$K$25^2)*'main page'!$U$13))*('normal case'!L277-'main page'!$U$8),B278-B277*AC278-('normal case'!I278-D277*AD278-'main page'!$K$27*'normal case'!T277+'main page'!$K$31*'normal case'!AI277)-(('main page'!$K$25*'main page'!$U$13*'main page'!$K$29)/(1+('main page'!$K$25^2)*'main page'!$U$13))*('normal case'!L277-'main page'!$U$8)))</f>
        <v>0</v>
      </c>
      <c r="AU277" s="36"/>
      <c r="AV277" s="36"/>
    </row>
    <row r="278" spans="1:48">
      <c r="A278" s="43">
        <v>276</v>
      </c>
      <c r="B278" s="62">
        <f ca="1">IF(controls!$B$33=1,B277*(1+AC278)+AA278,B277*(1+AC278))</f>
        <v>101</v>
      </c>
      <c r="C278" s="67">
        <f t="shared" ca="1" si="40"/>
        <v>-1.5107707374006907E-7</v>
      </c>
      <c r="D278" s="64">
        <f t="shared" ca="1" si="36"/>
        <v>101.00000005960464</v>
      </c>
      <c r="E278" s="64">
        <f ca="1">AN277+IF(controls!$B$33=1,G278,F278)</f>
        <v>101.00000005960464</v>
      </c>
      <c r="F278" s="78">
        <f ca="1">IF(controls!$B$44=0,H278-'main page'!$K$27*T277,H278-'main page'!$K$27*T277+'main page'!$K$31*AI277)</f>
        <v>101.00000005960464</v>
      </c>
      <c r="G278" s="62">
        <f ca="1">IF(controls!$B$44=0,I278-'main page'!$K$27*T277,I278-'main page'!$K$27*T277+'main page'!$K$31*'normal case'!AI277)</f>
        <v>101.00000005960464</v>
      </c>
      <c r="H278" s="62">
        <f t="shared" ca="1" si="34"/>
        <v>108</v>
      </c>
      <c r="I278" s="62">
        <f t="shared" ca="1" si="35"/>
        <v>108</v>
      </c>
      <c r="L278" s="62">
        <f ca="1">IF(ABS('main page'!$K$29*L277+(1-'main page'!$K$29)*(controls!$B$9/100)*100+'main page'!$K$25*(D278-B278)-L277)&lt;0.0000001,L277,'main page'!$K$29*L277+(1-'main page'!$K$29)*(controls!$B$9/100)*100+'main page'!$K$25*(D278-B278))</f>
        <v>1.9999998807907104</v>
      </c>
      <c r="Q278" s="409">
        <f ca="1">(1-'main page'!$K$29)*($AS$11/100)*100+'main page'!$K$25*(D278-B278)</f>
        <v>5.9604644775390625E-8</v>
      </c>
      <c r="R278" s="409">
        <f>'main page'!G282+'main page'!$K$29*M277</f>
        <v>0</v>
      </c>
      <c r="S278" s="409">
        <f t="shared" ca="1" si="41"/>
        <v>5.9604644775390625E-8</v>
      </c>
      <c r="T278" s="79">
        <f ca="1">IF(controls!$B$10=1,T277,IF(SUM(controls!$B$44:$B$46)=2,U278-'main page'!$K$29*'normal case'!L278-(1-'main page'!$K$29)*'main page'!$K$32,U278-'main page'!$K$29*'normal case'!L278-(1-'main page'!$K$29)*controls!$B$9))</f>
        <v>3.4999999701976776</v>
      </c>
      <c r="U278" s="164">
        <f ca="1">IF(controls!$B$45=1,IF(controls!$B$46=1,'main page'!$K$24+'main page'!$K$11+'main page'!$U$8,'main page'!$K$24+'main page'!$K$11+'main page'!$K$32),IF(controls!$B$44=1,IF(V278&lt;0,0,V278),IF(V278+'main page'!$K$11&lt;0,0,V278+'main page'!$K$11)))</f>
        <v>5.4999998509883881</v>
      </c>
      <c r="V278" s="63">
        <f ca="1">IF(controls!$B$10=1,'normal case'!T278+'normal case'!L278,'normal case'!W278)</f>
        <v>5.4999998509883881</v>
      </c>
      <c r="W278" s="61">
        <f t="shared" ca="1" si="37"/>
        <v>5.4999998509883881</v>
      </c>
      <c r="X278" s="166">
        <f ca="1">IF(controls!$B$44=0,Y278+'main page'!$K$29*L278+(1-'main page'!$K$29)*controls!$B$9+(('main page'!$K$25*'main page'!$U$13*'main page'!$K$29)/('main page'!$K$27*(1+('main page'!$K$25^2)*'main page'!$U$13)))*(L278-controls!$B$9),Y278+'main page'!$K$29*L278+(1-'main page'!$K$29)*controls!$B$9+(('main page'!$K$25*'main page'!$U$13*'normal case'!$AV$3)/'normal case'!$AV$4)*('normal case'!L278-controls!$B$9))</f>
        <v>5.4999998509883881</v>
      </c>
      <c r="Y278" s="81">
        <f ca="1">IF(controls!$B$44=1,'main page'!$K$24+'main page'!$K$11,IF(controls!$B$33=1,((I279-D278*AD279-B279+B278*AC279)/'main page'!$K$27)-'main page'!$K$11,((H279-D278*AD279-B279+B278*AC279)/'main page'!$K$27)-'main page'!$K$11))</f>
        <v>3.5</v>
      </c>
      <c r="AA278" s="58">
        <f>IF(controls!$B$6=1,$AS$3*(1+('main page'!$K$35/100))^AB278-$AS$3*(1+('main page'!$K$35/100))^AB277,$AS$3*(1+('main page'!$G$8/100))*(1+('main page'!$K$35/100))^AB278-$AS$3*(1+('main page'!$G$8/100))*(1+('main page'!$K$35/100))^AB277)</f>
        <v>0</v>
      </c>
      <c r="AB278" s="60">
        <v>271</v>
      </c>
      <c r="AC278" s="125">
        <f ca="1">IF(controls!$B$4=1,IF(controls!$H277=1,controls!$B$34*AC277+RAND()*('main page'!$K$16/100)-RAND()*('main page'!$K$16/100),0),0)</f>
        <v>0</v>
      </c>
      <c r="AD278" s="36">
        <f ca="1">IF(controls!$B$4=1,IF(controls!$I277=1,controls!$B$34*AD277+RAND()*('main page'!$K$16/100)-RAND()*('main page'!$K$16/100),0),0)</f>
        <v>0</v>
      </c>
      <c r="AE278" s="44">
        <f ca="1">IF(controls!$B$33=1,D278-($I$3-'main page'!$K$27*2)*(1+('main page'!$K$35/100))^A277,D278-$AS$4)</f>
        <v>1.0000000596046448</v>
      </c>
      <c r="AF278" s="44">
        <f ca="1">ABS(L278-(controls!$B$9/100)*100)</f>
        <v>1.1920928955078125E-7</v>
      </c>
      <c r="AH278" s="44">
        <f ca="1">IF(controls!$B$33=1,(B279-B278*AC279-I279+D278*AD279+'main page'!$K$27*('main page'!$K$24+'main page'!$K$11))/'main page'!$K$31,(B279-B278*AC279+D278*AD279-H279+'main page'!$K$27*('main page'!$K$24+'main page'!$K$11))/'main page'!$K$31)</f>
        <v>1</v>
      </c>
      <c r="AI278" s="44">
        <f ca="1">IF(controls!$B$45=1,LOG(AM278,1.01)+LOG(AL278,1.01)-LOG(AK278,1.01),-((T278-('main page'!$K$24+'main page'!$K$11))/(1-'normal case'!$AV$3))+'normal case'!AH278)</f>
        <v>2.0000000596046448</v>
      </c>
      <c r="AJ278" s="80">
        <f t="shared" ca="1" si="38"/>
        <v>1.0506250015463039</v>
      </c>
      <c r="AK278" s="44">
        <f t="shared" ca="1" si="39"/>
        <v>227.24981870001966</v>
      </c>
      <c r="AL278" s="44">
        <f>AL277*(1+'main page'!$K$32/100)</f>
        <v>1</v>
      </c>
      <c r="AM278" s="44">
        <f ca="1">IF(ABS(IF(controls!$B$45=1,$AS$13,AK278*AJ278/AL278)-AM277)&lt;0.00001,AM277,IF(controls!$B$45=1,$AS$13,AK278*AJ278/AL278))</f>
        <v>238.75434112310543</v>
      </c>
      <c r="AN278" s="44">
        <f>IF(controls!$B$46=0,0,IF(controls!$B$33=2,B279-B278*AC279-('normal case'!H279-D278*AD279-'main page'!$K$27*'normal case'!T278+'main page'!$K$31*'normal case'!AI278)-(('main page'!$K$25*'main page'!$U$13*'main page'!$K$29)/(1+('main page'!$K$25^2)*'main page'!$U$13))*('normal case'!L278-'main page'!$U$8),B279-B278*AC279-('normal case'!I279-D278*AD279-'main page'!$K$27*'normal case'!T278+'main page'!$K$31*'normal case'!AI278)-(('main page'!$K$25*'main page'!$U$13*'main page'!$K$29)/(1+('main page'!$K$25^2)*'main page'!$U$13))*('normal case'!L278-'main page'!$U$8)))</f>
        <v>0</v>
      </c>
      <c r="AU278" s="36"/>
      <c r="AV278" s="36"/>
    </row>
    <row r="279" spans="1:48">
      <c r="A279" s="43">
        <v>277</v>
      </c>
      <c r="B279" s="62">
        <f ca="1">IF(controls!$B$33=1,B278*(1+AC279)+AA279,B278*(1+AC279))</f>
        <v>101</v>
      </c>
      <c r="C279" s="67">
        <f t="shared" ca="1" si="40"/>
        <v>-1.5107707374006907E-7</v>
      </c>
      <c r="D279" s="64">
        <f t="shared" ca="1" si="36"/>
        <v>101.00000005960464</v>
      </c>
      <c r="E279" s="64">
        <f ca="1">AN278+IF(controls!$B$33=1,G279,F279)</f>
        <v>101.00000005960464</v>
      </c>
      <c r="F279" s="78">
        <f ca="1">IF(controls!$B$44=0,H279-'main page'!$K$27*T278,H279-'main page'!$K$27*T278+'main page'!$K$31*AI278)</f>
        <v>101.00000005960464</v>
      </c>
      <c r="G279" s="62">
        <f ca="1">IF(controls!$B$44=0,I279-'main page'!$K$27*T278,I279-'main page'!$K$27*T278+'main page'!$K$31*'normal case'!AI278)</f>
        <v>101.00000005960464</v>
      </c>
      <c r="H279" s="62">
        <f t="shared" ca="1" si="34"/>
        <v>108</v>
      </c>
      <c r="I279" s="62">
        <f t="shared" ca="1" si="35"/>
        <v>108</v>
      </c>
      <c r="L279" s="62">
        <f ca="1">IF(ABS('main page'!$K$29*L278+(1-'main page'!$K$29)*(controls!$B$9/100)*100+'main page'!$K$25*(D279-B279)-L278)&lt;0.0000001,L278,'main page'!$K$29*L278+(1-'main page'!$K$29)*(controls!$B$9/100)*100+'main page'!$K$25*(D279-B279))</f>
        <v>1.9999998807907104</v>
      </c>
      <c r="Q279" s="409">
        <f ca="1">(1-'main page'!$K$29)*($AS$11/100)*100+'main page'!$K$25*(D279-B279)</f>
        <v>5.9604644775390625E-8</v>
      </c>
      <c r="R279" s="409">
        <f>'main page'!G283+'main page'!$K$29*M278</f>
        <v>0</v>
      </c>
      <c r="S279" s="409">
        <f t="shared" ca="1" si="41"/>
        <v>5.9604644775390625E-8</v>
      </c>
      <c r="T279" s="79">
        <f ca="1">IF(controls!$B$10=1,T278,IF(SUM(controls!$B$44:$B$46)=2,U279-'main page'!$K$29*'normal case'!L279-(1-'main page'!$K$29)*'main page'!$K$32,U279-'main page'!$K$29*'normal case'!L279-(1-'main page'!$K$29)*controls!$B$9))</f>
        <v>3.4999999701976776</v>
      </c>
      <c r="U279" s="164">
        <f ca="1">IF(controls!$B$45=1,IF(controls!$B$46=1,'main page'!$K$24+'main page'!$K$11+'main page'!$U$8,'main page'!$K$24+'main page'!$K$11+'main page'!$K$32),IF(controls!$B$44=1,IF(V279&lt;0,0,V279),IF(V279+'main page'!$K$11&lt;0,0,V279+'main page'!$K$11)))</f>
        <v>5.4999998509883881</v>
      </c>
      <c r="V279" s="63">
        <f ca="1">IF(controls!$B$10=1,'normal case'!T279+'normal case'!L279,'normal case'!W279)</f>
        <v>5.4999998509883881</v>
      </c>
      <c r="W279" s="61">
        <f t="shared" ca="1" si="37"/>
        <v>5.4999998509883881</v>
      </c>
      <c r="X279" s="166">
        <f ca="1">IF(controls!$B$44=0,Y279+'main page'!$K$29*L279+(1-'main page'!$K$29)*controls!$B$9+(('main page'!$K$25*'main page'!$U$13*'main page'!$K$29)/('main page'!$K$27*(1+('main page'!$K$25^2)*'main page'!$U$13)))*(L279-controls!$B$9),Y279+'main page'!$K$29*L279+(1-'main page'!$K$29)*controls!$B$9+(('main page'!$K$25*'main page'!$U$13*'normal case'!$AV$3)/'normal case'!$AV$4)*('normal case'!L279-controls!$B$9))</f>
        <v>5.4999998509883881</v>
      </c>
      <c r="Y279" s="81">
        <f ca="1">IF(controls!$B$44=1,'main page'!$K$24+'main page'!$K$11,IF(controls!$B$33=1,((I280-D279*AD280-B280+B279*AC280)/'main page'!$K$27)-'main page'!$K$11,((H280-D279*AD280-B280+B279*AC280)/'main page'!$K$27)-'main page'!$K$11))</f>
        <v>3.5</v>
      </c>
      <c r="AA279" s="58">
        <f>IF(controls!$B$6=1,$AS$3*(1+('main page'!$K$35/100))^AB279-$AS$3*(1+('main page'!$K$35/100))^AB278,$AS$3*(1+('main page'!$G$8/100))*(1+('main page'!$K$35/100))^AB279-$AS$3*(1+('main page'!$G$8/100))*(1+('main page'!$K$35/100))^AB278)</f>
        <v>0</v>
      </c>
      <c r="AB279" s="60">
        <v>272</v>
      </c>
      <c r="AC279" s="125">
        <v>0</v>
      </c>
      <c r="AD279" s="36">
        <v>0</v>
      </c>
      <c r="AE279" s="44">
        <f ca="1">IF(controls!$B$33=1,D279-($I$3-'main page'!$K$27*2)*(1+('main page'!$K$35/100))^A278,D279-$AS$4)</f>
        <v>1.0000000596046448</v>
      </c>
      <c r="AF279" s="44">
        <f ca="1">ABS(L279-(controls!$B$9/100)*100)</f>
        <v>1.1920928955078125E-7</v>
      </c>
      <c r="AH279" s="44">
        <f ca="1">IF(controls!$B$33=1,(B280-B279*AC280-I280+D279*AD280+'main page'!$K$27*('main page'!$K$24+'main page'!$K$11))/'main page'!$K$31,(B280-B279*AC280+D279*AD280-H280+'main page'!$K$27*('main page'!$K$24+'main page'!$K$11))/'main page'!$K$31)</f>
        <v>1</v>
      </c>
      <c r="AI279" s="44">
        <f ca="1">IF(controls!$B$45=1,LOG(AM279,1.01)+LOG(AL279,1.01)-LOG(AK279,1.01),-((T279-('main page'!$K$24+'main page'!$K$11))/(1-'normal case'!$AV$3))+'normal case'!AH279)</f>
        <v>2.0000000596046448</v>
      </c>
      <c r="AJ279" s="80">
        <f t="shared" ca="1" si="38"/>
        <v>1.0506250015463039</v>
      </c>
      <c r="AK279" s="44">
        <f t="shared" ca="1" si="39"/>
        <v>231.79481480311716</v>
      </c>
      <c r="AL279" s="44">
        <f>AL278*(1+'main page'!$K$32/100)</f>
        <v>1</v>
      </c>
      <c r="AM279" s="44">
        <f ca="1">IF(ABS(IF(controls!$B$45=1,$AS$13,AK279*AJ279/AL279)-AM278)&lt;0.00001,AM278,IF(controls!$B$45=1,$AS$13,AK279*AJ279/AL279))</f>
        <v>243.5294276609502</v>
      </c>
      <c r="AN279" s="44">
        <f>IF(controls!$B$46=0,0,IF(controls!$B$33=2,B280-B279*AC280-('normal case'!H280-D279*AD280-'main page'!$K$27*'normal case'!T279+'main page'!$K$31*'normal case'!AI279)-(('main page'!$K$25*'main page'!$U$13*'main page'!$K$29)/(1+('main page'!$K$25^2)*'main page'!$U$13))*('normal case'!L279-'main page'!$U$8),B280-B279*AC280-('normal case'!I280-D279*AD280-'main page'!$K$27*'normal case'!T279+'main page'!$K$31*'normal case'!AI279)-(('main page'!$K$25*'main page'!$U$13*'main page'!$K$29)/(1+('main page'!$K$25^2)*'main page'!$U$13))*('normal case'!L279-'main page'!$U$8)))</f>
        <v>0</v>
      </c>
      <c r="AU279" s="36"/>
      <c r="AV279" s="36"/>
    </row>
    <row r="280" spans="1:48">
      <c r="A280" s="43">
        <v>278</v>
      </c>
      <c r="B280" s="62">
        <f ca="1">IF(controls!$B$33=1,B279*(1+AC280)+AA280,B279*(1+AC280))</f>
        <v>101</v>
      </c>
      <c r="C280" s="67">
        <f t="shared" ca="1" si="40"/>
        <v>-1.5107707374006907E-7</v>
      </c>
      <c r="D280" s="64">
        <f t="shared" ca="1" si="36"/>
        <v>101.00000005960464</v>
      </c>
      <c r="E280" s="64">
        <f ca="1">AN279+IF(controls!$B$33=1,G280,F280)</f>
        <v>101.00000005960464</v>
      </c>
      <c r="F280" s="78">
        <f ca="1">IF(controls!$B$44=0,H280-'main page'!$K$27*T279,H280-'main page'!$K$27*T279+'main page'!$K$31*AI279)</f>
        <v>101.00000005960464</v>
      </c>
      <c r="G280" s="62">
        <f ca="1">IF(controls!$B$44=0,I280-'main page'!$K$27*T279,I280-'main page'!$K$27*T279+'main page'!$K$31*'normal case'!AI279)</f>
        <v>101.00000005960464</v>
      </c>
      <c r="H280" s="62">
        <f t="shared" ref="H280:H343" ca="1" si="42">H279+D279*AD280</f>
        <v>108</v>
      </c>
      <c r="I280" s="62">
        <f t="shared" ref="I280:I343" ca="1" si="43">I279+D279*AD280+AA280</f>
        <v>108</v>
      </c>
      <c r="L280" s="62">
        <f ca="1">IF(ABS('main page'!$K$29*L279+(1-'main page'!$K$29)*(controls!$B$9/100)*100+'main page'!$K$25*(D280-B280)-L279)&lt;0.0000001,L279,'main page'!$K$29*L279+(1-'main page'!$K$29)*(controls!$B$9/100)*100+'main page'!$K$25*(D280-B280))</f>
        <v>1.9999998807907104</v>
      </c>
      <c r="Q280" s="409">
        <f ca="1">(1-'main page'!$K$29)*($AS$11/100)*100+'main page'!$K$25*(D280-B280)</f>
        <v>5.9604644775390625E-8</v>
      </c>
      <c r="R280" s="409">
        <f>'main page'!G284+'main page'!$K$29*M279</f>
        <v>0</v>
      </c>
      <c r="S280" s="409">
        <f t="shared" ca="1" si="41"/>
        <v>5.9604644775390625E-8</v>
      </c>
      <c r="T280" s="79">
        <f ca="1">IF(controls!$B$10=1,T279,IF(SUM(controls!$B$44:$B$46)=2,U280-'main page'!$K$29*'normal case'!L280-(1-'main page'!$K$29)*'main page'!$K$32,U280-'main page'!$K$29*'normal case'!L280-(1-'main page'!$K$29)*controls!$B$9))</f>
        <v>3.4999999701976776</v>
      </c>
      <c r="U280" s="164">
        <f ca="1">IF(controls!$B$45=1,IF(controls!$B$46=1,'main page'!$K$24+'main page'!$K$11+'main page'!$U$8,'main page'!$K$24+'main page'!$K$11+'main page'!$K$32),IF(controls!$B$44=1,IF(V280&lt;0,0,V280),IF(V280+'main page'!$K$11&lt;0,0,V280+'main page'!$K$11)))</f>
        <v>5.4999998509883881</v>
      </c>
      <c r="V280" s="63">
        <f ca="1">IF(controls!$B$10=1,'normal case'!T280+'normal case'!L280,'normal case'!W280)</f>
        <v>5.4999998509883881</v>
      </c>
      <c r="W280" s="61">
        <f t="shared" ca="1" si="37"/>
        <v>5.4999998509883881</v>
      </c>
      <c r="X280" s="166">
        <f ca="1">IF(controls!$B$44=0,Y280+'main page'!$K$29*L280+(1-'main page'!$K$29)*controls!$B$9+(('main page'!$K$25*'main page'!$U$13*'main page'!$K$29)/('main page'!$K$27*(1+('main page'!$K$25^2)*'main page'!$U$13)))*(L280-controls!$B$9),Y280+'main page'!$K$29*L280+(1-'main page'!$K$29)*controls!$B$9+(('main page'!$K$25*'main page'!$U$13*'normal case'!$AV$3)/'normal case'!$AV$4)*('normal case'!L280-controls!$B$9))</f>
        <v>5.4999998509883881</v>
      </c>
      <c r="Y280" s="81">
        <f ca="1">IF(controls!$B$44=1,'main page'!$K$24+'main page'!$K$11,IF(controls!$B$33=1,((I281-D280*AD281-B281+B280*AC281)/'main page'!$K$27)-'main page'!$K$11,((H281-D280*AD281-B281+B280*AC281)/'main page'!$K$27)-'main page'!$K$11))</f>
        <v>3.5</v>
      </c>
      <c r="AA280" s="58">
        <f>IF(controls!$B$6=1,$AS$3*(1+('main page'!$K$35/100))^AB280-$AS$3*(1+('main page'!$K$35/100))^AB279,$AS$3*(1+('main page'!$G$8/100))*(1+('main page'!$K$35/100))^AB280-$AS$3*(1+('main page'!$G$8/100))*(1+('main page'!$K$35/100))^AB279)</f>
        <v>0</v>
      </c>
      <c r="AB280" s="60">
        <v>273</v>
      </c>
      <c r="AC280" s="125">
        <v>0</v>
      </c>
      <c r="AD280" s="36">
        <v>0</v>
      </c>
      <c r="AE280" s="44">
        <f ca="1">IF(controls!$B$33=1,D280-($I$3-'main page'!$K$27*2)*(1+('main page'!$K$35/100))^A279,D280-$AS$4)</f>
        <v>1.0000000596046448</v>
      </c>
      <c r="AF280" s="44">
        <f ca="1">ABS(L280-(controls!$B$9/100)*100)</f>
        <v>1.1920928955078125E-7</v>
      </c>
      <c r="AH280" s="44">
        <f ca="1">IF(controls!$B$33=1,(B281-B280*AC281-I281+D280*AD281+'main page'!$K$27*('main page'!$K$24+'main page'!$K$11))/'main page'!$K$31,(B281-B280*AC281+D280*AD281-H281+'main page'!$K$27*('main page'!$K$24+'main page'!$K$11))/'main page'!$K$31)</f>
        <v>1</v>
      </c>
      <c r="AI280" s="44">
        <f ca="1">IF(controls!$B$45=1,LOG(AM280,1.01)+LOG(AL280,1.01)-LOG(AK280,1.01),-((T280-('main page'!$K$24+'main page'!$K$11))/(1-'normal case'!$AV$3))+'normal case'!AH280)</f>
        <v>2.0000000596046448</v>
      </c>
      <c r="AJ280" s="80">
        <f t="shared" ca="1" si="38"/>
        <v>1.0506250015463039</v>
      </c>
      <c r="AK280" s="44">
        <f t="shared" ca="1" si="39"/>
        <v>236.43071082285857</v>
      </c>
      <c r="AL280" s="44">
        <f>AL279*(1+'main page'!$K$32/100)</f>
        <v>1</v>
      </c>
      <c r="AM280" s="44">
        <f ca="1">IF(ABS(IF(controls!$B$45=1,$AS$13,AK280*AJ280/AL280)-AM279)&lt;0.00001,AM279,IF(controls!$B$45=1,$AS$13,AK280*AJ280/AL280))</f>
        <v>248.40001592385951</v>
      </c>
      <c r="AN280" s="44">
        <f>IF(controls!$B$46=0,0,IF(controls!$B$33=2,B281-B280*AC281-('normal case'!H281-D280*AD281-'main page'!$K$27*'normal case'!T280+'main page'!$K$31*'normal case'!AI280)-(('main page'!$K$25*'main page'!$U$13*'main page'!$K$29)/(1+('main page'!$K$25^2)*'main page'!$U$13))*('normal case'!L280-'main page'!$U$8),B281-B280*AC281-('normal case'!I281-D280*AD281-'main page'!$K$27*'normal case'!T280+'main page'!$K$31*'normal case'!AI280)-(('main page'!$K$25*'main page'!$U$13*'main page'!$K$29)/(1+('main page'!$K$25^2)*'main page'!$U$13))*('normal case'!L280-'main page'!$U$8)))</f>
        <v>0</v>
      </c>
      <c r="AU280" s="36"/>
      <c r="AV280" s="36"/>
    </row>
    <row r="281" spans="1:48">
      <c r="A281" s="43">
        <v>279</v>
      </c>
      <c r="B281" s="62">
        <f ca="1">IF(controls!$B$33=1,B280*(1+AC281)+AA281,B280*(1+AC281))</f>
        <v>101</v>
      </c>
      <c r="C281" s="67">
        <f t="shared" ca="1" si="40"/>
        <v>-1.5107707374006907E-7</v>
      </c>
      <c r="D281" s="64">
        <f t="shared" ca="1" si="36"/>
        <v>101.00000005960464</v>
      </c>
      <c r="E281" s="64">
        <f ca="1">AN280+IF(controls!$B$33=1,G281,F281)</f>
        <v>101.00000005960464</v>
      </c>
      <c r="F281" s="78">
        <f ca="1">IF(controls!$B$44=0,H281-'main page'!$K$27*T280,H281-'main page'!$K$27*T280+'main page'!$K$31*AI280)</f>
        <v>101.00000005960464</v>
      </c>
      <c r="G281" s="62">
        <f ca="1">IF(controls!$B$44=0,I281-'main page'!$K$27*T280,I281-'main page'!$K$27*T280+'main page'!$K$31*'normal case'!AI280)</f>
        <v>101.00000005960464</v>
      </c>
      <c r="H281" s="62">
        <f t="shared" ca="1" si="42"/>
        <v>108</v>
      </c>
      <c r="I281" s="62">
        <f t="shared" ca="1" si="43"/>
        <v>108</v>
      </c>
      <c r="L281" s="62">
        <f ca="1">IF(ABS('main page'!$K$29*L280+(1-'main page'!$K$29)*(controls!$B$9/100)*100+'main page'!$K$25*(D281-B281)-L280)&lt;0.0000001,L280,'main page'!$K$29*L280+(1-'main page'!$K$29)*(controls!$B$9/100)*100+'main page'!$K$25*(D281-B281))</f>
        <v>1.9999998807907104</v>
      </c>
      <c r="Q281" s="409">
        <f ca="1">(1-'main page'!$K$29)*($AS$11/100)*100+'main page'!$K$25*(D281-B281)</f>
        <v>5.9604644775390625E-8</v>
      </c>
      <c r="R281" s="409">
        <f>'main page'!G285+'main page'!$K$29*M280</f>
        <v>0</v>
      </c>
      <c r="S281" s="409">
        <f t="shared" ca="1" si="41"/>
        <v>5.9604644775390625E-8</v>
      </c>
      <c r="T281" s="79">
        <f ca="1">IF(controls!$B$10=1,T280,IF(SUM(controls!$B$44:$B$46)=2,U281-'main page'!$K$29*'normal case'!L281-(1-'main page'!$K$29)*'main page'!$K$32,U281-'main page'!$K$29*'normal case'!L281-(1-'main page'!$K$29)*controls!$B$9))</f>
        <v>3.4999999701976776</v>
      </c>
      <c r="U281" s="164">
        <f ca="1">IF(controls!$B$45=1,IF(controls!$B$46=1,'main page'!$K$24+'main page'!$K$11+'main page'!$U$8,'main page'!$K$24+'main page'!$K$11+'main page'!$K$32),IF(controls!$B$44=1,IF(V281&lt;0,0,V281),IF(V281+'main page'!$K$11&lt;0,0,V281+'main page'!$K$11)))</f>
        <v>5.4999998509883881</v>
      </c>
      <c r="V281" s="63">
        <f ca="1">IF(controls!$B$10=1,'normal case'!T281+'normal case'!L281,'normal case'!W281)</f>
        <v>5.4999998509883881</v>
      </c>
      <c r="W281" s="61">
        <f t="shared" ca="1" si="37"/>
        <v>5.4999998509883881</v>
      </c>
      <c r="X281" s="166">
        <f ca="1">IF(controls!$B$44=0,Y281+'main page'!$K$29*L281+(1-'main page'!$K$29)*controls!$B$9+(('main page'!$K$25*'main page'!$U$13*'main page'!$K$29)/('main page'!$K$27*(1+('main page'!$K$25^2)*'main page'!$U$13)))*(L281-controls!$B$9),Y281+'main page'!$K$29*L281+(1-'main page'!$K$29)*controls!$B$9+(('main page'!$K$25*'main page'!$U$13*'normal case'!$AV$3)/'normal case'!$AV$4)*('normal case'!L281-controls!$B$9))</f>
        <v>5.4999998509883881</v>
      </c>
      <c r="Y281" s="81">
        <f ca="1">IF(controls!$B$44=1,'main page'!$K$24+'main page'!$K$11,IF(controls!$B$33=1,((I282-D281*AD282-B282+B281*AC282)/'main page'!$K$27)-'main page'!$K$11,((H282-D281*AD282-B282+B281*AC282)/'main page'!$K$27)-'main page'!$K$11))</f>
        <v>3.5</v>
      </c>
      <c r="AA281" s="58">
        <f>IF(controls!$B$6=1,$AS$3*(1+('main page'!$K$35/100))^AB281-$AS$3*(1+('main page'!$K$35/100))^AB280,$AS$3*(1+('main page'!$G$8/100))*(1+('main page'!$K$35/100))^AB281-$AS$3*(1+('main page'!$G$8/100))*(1+('main page'!$K$35/100))^AB280)</f>
        <v>0</v>
      </c>
      <c r="AB281" s="60">
        <v>274</v>
      </c>
      <c r="AC281" s="125">
        <f ca="1">IF(controls!$B$4=1,IF(controls!$H280=1,controls!$B$34*AC280+RAND()*('main page'!$K$16/100)-RAND()*('main page'!$K$16/100),0),0)</f>
        <v>0</v>
      </c>
      <c r="AD281" s="36">
        <f ca="1">IF(controls!$B$4=1,IF(controls!$I280=1,controls!$B$34*AD280+RAND()*('main page'!$K$16/100)-RAND()*('main page'!$K$16/100),0),0)</f>
        <v>0</v>
      </c>
      <c r="AE281" s="44">
        <f ca="1">IF(controls!$B$33=1,D281-($I$3-'main page'!$K$27*2)*(1+('main page'!$K$35/100))^A280,D281-$AS$4)</f>
        <v>1.0000000596046448</v>
      </c>
      <c r="AF281" s="44">
        <f ca="1">ABS(L281-(controls!$B$9/100)*100)</f>
        <v>1.1920928955078125E-7</v>
      </c>
      <c r="AH281" s="44">
        <f ca="1">IF(controls!$B$33=1,(B282-B281*AC282-I282+D281*AD282+'main page'!$K$27*('main page'!$K$24+'main page'!$K$11))/'main page'!$K$31,(B282-B281*AC282+D281*AD282-H282+'main page'!$K$27*('main page'!$K$24+'main page'!$K$11))/'main page'!$K$31)</f>
        <v>1</v>
      </c>
      <c r="AI281" s="44">
        <f ca="1">IF(controls!$B$45=1,LOG(AM281,1.01)+LOG(AL281,1.01)-LOG(AK281,1.01),-((T281-('main page'!$K$24+'main page'!$K$11))/(1-'normal case'!$AV$3))+'normal case'!AH281)</f>
        <v>2.0000000596046448</v>
      </c>
      <c r="AJ281" s="80">
        <f t="shared" ca="1" si="38"/>
        <v>1.0506250015463039</v>
      </c>
      <c r="AK281" s="44">
        <f t="shared" ca="1" si="39"/>
        <v>241.1593247574684</v>
      </c>
      <c r="AL281" s="44">
        <f>AL280*(1+'main page'!$K$32/100)</f>
        <v>1</v>
      </c>
      <c r="AM281" s="44">
        <f ca="1">IF(ABS(IF(controls!$B$45=1,$AS$13,AK281*AJ281/AL281)-AM280)&lt;0.00001,AM280,IF(controls!$B$45=1,$AS$13,AK281*AJ281/AL281))</f>
        <v>253.36801594622085</v>
      </c>
      <c r="AN281" s="44">
        <f>IF(controls!$B$46=0,0,IF(controls!$B$33=2,B282-B281*AC282-('normal case'!H282-D281*AD282-'main page'!$K$27*'normal case'!T281+'main page'!$K$31*'normal case'!AI281)-(('main page'!$K$25*'main page'!$U$13*'main page'!$K$29)/(1+('main page'!$K$25^2)*'main page'!$U$13))*('normal case'!L281-'main page'!$U$8),B282-B281*AC282-('normal case'!I282-D281*AD282-'main page'!$K$27*'normal case'!T281+'main page'!$K$31*'normal case'!AI281)-(('main page'!$K$25*'main page'!$U$13*'main page'!$K$29)/(1+('main page'!$K$25^2)*'main page'!$U$13))*('normal case'!L281-'main page'!$U$8)))</f>
        <v>0</v>
      </c>
      <c r="AU281" s="36"/>
      <c r="AV281" s="36"/>
    </row>
    <row r="282" spans="1:48">
      <c r="A282" s="43">
        <v>280</v>
      </c>
      <c r="B282" s="62">
        <f ca="1">IF(controls!$B$33=1,B281*(1+AC282)+AA282,B281*(1+AC282))</f>
        <v>101</v>
      </c>
      <c r="C282" s="67">
        <f t="shared" ca="1" si="40"/>
        <v>-1.5107707374006907E-7</v>
      </c>
      <c r="D282" s="64">
        <f t="shared" ca="1" si="36"/>
        <v>101.00000005960464</v>
      </c>
      <c r="E282" s="64">
        <f ca="1">AN281+IF(controls!$B$33=1,G282,F282)</f>
        <v>101.00000005960464</v>
      </c>
      <c r="F282" s="78">
        <f ca="1">IF(controls!$B$44=0,H282-'main page'!$K$27*T281,H282-'main page'!$K$27*T281+'main page'!$K$31*AI281)</f>
        <v>101.00000005960464</v>
      </c>
      <c r="G282" s="62">
        <f ca="1">IF(controls!$B$44=0,I282-'main page'!$K$27*T281,I282-'main page'!$K$27*T281+'main page'!$K$31*'normal case'!AI281)</f>
        <v>101.00000005960464</v>
      </c>
      <c r="H282" s="62">
        <f t="shared" ca="1" si="42"/>
        <v>108</v>
      </c>
      <c r="I282" s="62">
        <f t="shared" ca="1" si="43"/>
        <v>108</v>
      </c>
      <c r="L282" s="62">
        <f ca="1">IF(ABS('main page'!$K$29*L281+(1-'main page'!$K$29)*(controls!$B$9/100)*100+'main page'!$K$25*(D282-B282)-L281)&lt;0.0000001,L281,'main page'!$K$29*L281+(1-'main page'!$K$29)*(controls!$B$9/100)*100+'main page'!$K$25*(D282-B282))</f>
        <v>1.9999998807907104</v>
      </c>
      <c r="Q282" s="409">
        <f ca="1">(1-'main page'!$K$29)*($AS$11/100)*100+'main page'!$K$25*(D282-B282)</f>
        <v>5.9604644775390625E-8</v>
      </c>
      <c r="R282" s="409">
        <f>'main page'!G286+'main page'!$K$29*M281</f>
        <v>0</v>
      </c>
      <c r="S282" s="409">
        <f t="shared" ca="1" si="41"/>
        <v>5.9604644775390625E-8</v>
      </c>
      <c r="T282" s="79">
        <f ca="1">IF(controls!$B$10=1,T281,IF(SUM(controls!$B$44:$B$46)=2,U282-'main page'!$K$29*'normal case'!L282-(1-'main page'!$K$29)*'main page'!$K$32,U282-'main page'!$K$29*'normal case'!L282-(1-'main page'!$K$29)*controls!$B$9))</f>
        <v>3.4999999701976776</v>
      </c>
      <c r="U282" s="164">
        <f ca="1">IF(controls!$B$45=1,IF(controls!$B$46=1,'main page'!$K$24+'main page'!$K$11+'main page'!$U$8,'main page'!$K$24+'main page'!$K$11+'main page'!$K$32),IF(controls!$B$44=1,IF(V282&lt;0,0,V282),IF(V282+'main page'!$K$11&lt;0,0,V282+'main page'!$K$11)))</f>
        <v>5.4999998509883881</v>
      </c>
      <c r="V282" s="63">
        <f ca="1">IF(controls!$B$10=1,'normal case'!T282+'normal case'!L282,'normal case'!W282)</f>
        <v>5.4999998509883881</v>
      </c>
      <c r="W282" s="61">
        <f t="shared" ca="1" si="37"/>
        <v>5.4999998509883881</v>
      </c>
      <c r="X282" s="166">
        <f ca="1">IF(controls!$B$44=0,Y282+'main page'!$K$29*L282+(1-'main page'!$K$29)*controls!$B$9+(('main page'!$K$25*'main page'!$U$13*'main page'!$K$29)/('main page'!$K$27*(1+('main page'!$K$25^2)*'main page'!$U$13)))*(L282-controls!$B$9),Y282+'main page'!$K$29*L282+(1-'main page'!$K$29)*controls!$B$9+(('main page'!$K$25*'main page'!$U$13*'normal case'!$AV$3)/'normal case'!$AV$4)*('normal case'!L282-controls!$B$9))</f>
        <v>5.4999998509883881</v>
      </c>
      <c r="Y282" s="81">
        <f ca="1">IF(controls!$B$44=1,'main page'!$K$24+'main page'!$K$11,IF(controls!$B$33=1,((I283-D282*AD283-B283+B282*AC283)/'main page'!$K$27)-'main page'!$K$11,((H283-D282*AD283-B283+B282*AC283)/'main page'!$K$27)-'main page'!$K$11))</f>
        <v>3.5</v>
      </c>
      <c r="AA282" s="58">
        <f>IF(controls!$B$6=1,$AS$3*(1+('main page'!$K$35/100))^AB282-$AS$3*(1+('main page'!$K$35/100))^AB281,$AS$3*(1+('main page'!$G$8/100))*(1+('main page'!$K$35/100))^AB282-$AS$3*(1+('main page'!$G$8/100))*(1+('main page'!$K$35/100))^AB281)</f>
        <v>0</v>
      </c>
      <c r="AB282" s="60">
        <v>275</v>
      </c>
      <c r="AC282" s="125">
        <v>0</v>
      </c>
      <c r="AD282" s="36">
        <v>0</v>
      </c>
      <c r="AE282" s="44">
        <f ca="1">IF(controls!$B$33=1,D282-($I$3-'main page'!$K$27*2)*(1+('main page'!$K$35/100))^A281,D282-$AS$4)</f>
        <v>1.0000000596046448</v>
      </c>
      <c r="AF282" s="44">
        <f ca="1">ABS(L282-(controls!$B$9/100)*100)</f>
        <v>1.1920928955078125E-7</v>
      </c>
      <c r="AH282" s="44">
        <f ca="1">IF(controls!$B$33=1,(B283-B282*AC283-I283+D282*AD283+'main page'!$K$27*('main page'!$K$24+'main page'!$K$11))/'main page'!$K$31,(B283-B282*AC283+D282*AD283-H283+'main page'!$K$27*('main page'!$K$24+'main page'!$K$11))/'main page'!$K$31)</f>
        <v>1</v>
      </c>
      <c r="AI282" s="44">
        <f ca="1">IF(controls!$B$45=1,LOG(AM282,1.01)+LOG(AL282,1.01)-LOG(AK282,1.01),-((T282-('main page'!$K$24+'main page'!$K$11))/(1-'normal case'!$AV$3))+'normal case'!AH282)</f>
        <v>2.0000000596046448</v>
      </c>
      <c r="AJ282" s="80">
        <f t="shared" ca="1" si="38"/>
        <v>1.0506250015463039</v>
      </c>
      <c r="AK282" s="44">
        <f t="shared" ca="1" si="39"/>
        <v>245.98251096513346</v>
      </c>
      <c r="AL282" s="44">
        <f>AL281*(1+'main page'!$K$32/100)</f>
        <v>1</v>
      </c>
      <c r="AM282" s="44">
        <f ca="1">IF(ABS(IF(controls!$B$45=1,$AS$13,AK282*AJ282/AL282)-AM281)&lt;0.00001,AM281,IF(controls!$B$45=1,$AS$13,AK282*AJ282/AL282))</f>
        <v>258.43537596310705</v>
      </c>
      <c r="AN282" s="44">
        <f>IF(controls!$B$46=0,0,IF(controls!$B$33=2,B283-B282*AC283-('normal case'!H283-D282*AD283-'main page'!$K$27*'normal case'!T282+'main page'!$K$31*'normal case'!AI282)-(('main page'!$K$25*'main page'!$U$13*'main page'!$K$29)/(1+('main page'!$K$25^2)*'main page'!$U$13))*('normal case'!L282-'main page'!$U$8),B283-B282*AC283-('normal case'!I283-D282*AD283-'main page'!$K$27*'normal case'!T282+'main page'!$K$31*'normal case'!AI282)-(('main page'!$K$25*'main page'!$U$13*'main page'!$K$29)/(1+('main page'!$K$25^2)*'main page'!$U$13))*('normal case'!L282-'main page'!$U$8)))</f>
        <v>0</v>
      </c>
      <c r="AU282" s="36"/>
      <c r="AV282" s="36"/>
    </row>
    <row r="283" spans="1:48">
      <c r="A283" s="43">
        <v>281</v>
      </c>
      <c r="B283" s="62">
        <f ca="1">IF(controls!$B$33=1,B282*(1+AC283)+AA283,B282*(1+AC283))</f>
        <v>101</v>
      </c>
      <c r="C283" s="67">
        <f t="shared" ca="1" si="40"/>
        <v>-1.5107707374006907E-7</v>
      </c>
      <c r="D283" s="64">
        <f t="shared" ca="1" si="36"/>
        <v>101.00000005960464</v>
      </c>
      <c r="E283" s="64">
        <f ca="1">AN282+IF(controls!$B$33=1,G283,F283)</f>
        <v>101.00000005960464</v>
      </c>
      <c r="F283" s="78">
        <f ca="1">IF(controls!$B$44=0,H283-'main page'!$K$27*T282,H283-'main page'!$K$27*T282+'main page'!$K$31*AI282)</f>
        <v>101.00000005960464</v>
      </c>
      <c r="G283" s="62">
        <f ca="1">IF(controls!$B$44=0,I283-'main page'!$K$27*T282,I283-'main page'!$K$27*T282+'main page'!$K$31*'normal case'!AI282)</f>
        <v>101.00000005960464</v>
      </c>
      <c r="H283" s="62">
        <f t="shared" ca="1" si="42"/>
        <v>108</v>
      </c>
      <c r="I283" s="62">
        <f t="shared" ca="1" si="43"/>
        <v>108</v>
      </c>
      <c r="L283" s="62">
        <f ca="1">IF(ABS('main page'!$K$29*L282+(1-'main page'!$K$29)*(controls!$B$9/100)*100+'main page'!$K$25*(D283-B283)-L282)&lt;0.0000001,L282,'main page'!$K$29*L282+(1-'main page'!$K$29)*(controls!$B$9/100)*100+'main page'!$K$25*(D283-B283))</f>
        <v>1.9999998807907104</v>
      </c>
      <c r="Q283" s="409">
        <f ca="1">(1-'main page'!$K$29)*($AS$11/100)*100+'main page'!$K$25*(D283-B283)</f>
        <v>5.9604644775390625E-8</v>
      </c>
      <c r="R283" s="409">
        <f>'main page'!G287+'main page'!$K$29*M282</f>
        <v>0</v>
      </c>
      <c r="S283" s="409">
        <f t="shared" ca="1" si="41"/>
        <v>5.9604644775390625E-8</v>
      </c>
      <c r="T283" s="79">
        <f ca="1">IF(controls!$B$10=1,T282,IF(SUM(controls!$B$44:$B$46)=2,U283-'main page'!$K$29*'normal case'!L283-(1-'main page'!$K$29)*'main page'!$K$32,U283-'main page'!$K$29*'normal case'!L283-(1-'main page'!$K$29)*controls!$B$9))</f>
        <v>3.4999999701976776</v>
      </c>
      <c r="U283" s="164">
        <f ca="1">IF(controls!$B$45=1,IF(controls!$B$46=1,'main page'!$K$24+'main page'!$K$11+'main page'!$U$8,'main page'!$K$24+'main page'!$K$11+'main page'!$K$32),IF(controls!$B$44=1,IF(V283&lt;0,0,V283),IF(V283+'main page'!$K$11&lt;0,0,V283+'main page'!$K$11)))</f>
        <v>5.4999998509883881</v>
      </c>
      <c r="V283" s="63">
        <f ca="1">IF(controls!$B$10=1,'normal case'!T283+'normal case'!L283,'normal case'!W283)</f>
        <v>5.4999998509883881</v>
      </c>
      <c r="W283" s="61">
        <f t="shared" ca="1" si="37"/>
        <v>5.4999998509883881</v>
      </c>
      <c r="X283" s="166">
        <f ca="1">IF(controls!$B$44=0,Y283+'main page'!$K$29*L283+(1-'main page'!$K$29)*controls!$B$9+(('main page'!$K$25*'main page'!$U$13*'main page'!$K$29)/('main page'!$K$27*(1+('main page'!$K$25^2)*'main page'!$U$13)))*(L283-controls!$B$9),Y283+'main page'!$K$29*L283+(1-'main page'!$K$29)*controls!$B$9+(('main page'!$K$25*'main page'!$U$13*'normal case'!$AV$3)/'normal case'!$AV$4)*('normal case'!L283-controls!$B$9))</f>
        <v>5.4999998509883881</v>
      </c>
      <c r="Y283" s="81">
        <f ca="1">IF(controls!$B$44=1,'main page'!$K$24+'main page'!$K$11,IF(controls!$B$33=1,((I284-D283*AD284-B284+B283*AC284)/'main page'!$K$27)-'main page'!$K$11,((H284-D283*AD284-B284+B283*AC284)/'main page'!$K$27)-'main page'!$K$11))</f>
        <v>3.5</v>
      </c>
      <c r="AA283" s="58">
        <f>IF(controls!$B$6=1,$AS$3*(1+('main page'!$K$35/100))^AB283-$AS$3*(1+('main page'!$K$35/100))^AB282,$AS$3*(1+('main page'!$G$8/100))*(1+('main page'!$K$35/100))^AB283-$AS$3*(1+('main page'!$G$8/100))*(1+('main page'!$K$35/100))^AB282)</f>
        <v>0</v>
      </c>
      <c r="AB283" s="60">
        <v>276</v>
      </c>
      <c r="AC283" s="125">
        <v>0</v>
      </c>
      <c r="AD283" s="36">
        <v>0</v>
      </c>
      <c r="AE283" s="44">
        <f ca="1">IF(controls!$B$33=1,D283-($I$3-'main page'!$K$27*2)*(1+('main page'!$K$35/100))^A282,D283-$AS$4)</f>
        <v>1.0000000596046448</v>
      </c>
      <c r="AF283" s="44">
        <f ca="1">ABS(L283-(controls!$B$9/100)*100)</f>
        <v>1.1920928955078125E-7</v>
      </c>
      <c r="AH283" s="44">
        <f ca="1">IF(controls!$B$33=1,(B284-B283*AC284-I284+D283*AD284+'main page'!$K$27*('main page'!$K$24+'main page'!$K$11))/'main page'!$K$31,(B284-B283*AC284+D283*AD284-H284+'main page'!$K$27*('main page'!$K$24+'main page'!$K$11))/'main page'!$K$31)</f>
        <v>1</v>
      </c>
      <c r="AI283" s="44">
        <f ca="1">IF(controls!$B$45=1,LOG(AM283,1.01)+LOG(AL283,1.01)-LOG(AK283,1.01),-((T283-('main page'!$K$24+'main page'!$K$11))/(1-'normal case'!$AV$3))+'normal case'!AH283)</f>
        <v>2.0000000596046448</v>
      </c>
      <c r="AJ283" s="80">
        <f t="shared" ca="1" si="38"/>
        <v>1.0506250015463039</v>
      </c>
      <c r="AK283" s="44">
        <f t="shared" ca="1" si="39"/>
        <v>250.90216089120213</v>
      </c>
      <c r="AL283" s="44">
        <f>AL282*(1+'main page'!$K$32/100)</f>
        <v>1</v>
      </c>
      <c r="AM283" s="44">
        <f ca="1">IF(ABS(IF(controls!$B$45=1,$AS$13,AK283*AJ283/AL283)-AM282)&lt;0.00001,AM282,IF(controls!$B$45=1,$AS$13,AK283*AJ283/AL283))</f>
        <v>263.60408317429022</v>
      </c>
      <c r="AN283" s="44">
        <f>IF(controls!$B$46=0,0,IF(controls!$B$33=2,B284-B283*AC284-('normal case'!H284-D283*AD284-'main page'!$K$27*'normal case'!T283+'main page'!$K$31*'normal case'!AI283)-(('main page'!$K$25*'main page'!$U$13*'main page'!$K$29)/(1+('main page'!$K$25^2)*'main page'!$U$13))*('normal case'!L283-'main page'!$U$8),B284-B283*AC284-('normal case'!I284-D283*AD284-'main page'!$K$27*'normal case'!T283+'main page'!$K$31*'normal case'!AI283)-(('main page'!$K$25*'main page'!$U$13*'main page'!$K$29)/(1+('main page'!$K$25^2)*'main page'!$U$13))*('normal case'!L283-'main page'!$U$8)))</f>
        <v>0</v>
      </c>
      <c r="AU283" s="36"/>
      <c r="AV283" s="36"/>
    </row>
    <row r="284" spans="1:48">
      <c r="A284" s="43">
        <v>282</v>
      </c>
      <c r="B284" s="62">
        <f ca="1">IF(controls!$B$33=1,B283*(1+AC284)+AA284,B283*(1+AC284))</f>
        <v>101</v>
      </c>
      <c r="C284" s="67">
        <f t="shared" ca="1" si="40"/>
        <v>-1.5107707374006907E-7</v>
      </c>
      <c r="D284" s="64">
        <f t="shared" ca="1" si="36"/>
        <v>101.00000005960464</v>
      </c>
      <c r="E284" s="64">
        <f ca="1">AN283+IF(controls!$B$33=1,G284,F284)</f>
        <v>101.00000005960464</v>
      </c>
      <c r="F284" s="78">
        <f ca="1">IF(controls!$B$44=0,H284-'main page'!$K$27*T283,H284-'main page'!$K$27*T283+'main page'!$K$31*AI283)</f>
        <v>101.00000005960464</v>
      </c>
      <c r="G284" s="62">
        <f ca="1">IF(controls!$B$44=0,I284-'main page'!$K$27*T283,I284-'main page'!$K$27*T283+'main page'!$K$31*'normal case'!AI283)</f>
        <v>101.00000005960464</v>
      </c>
      <c r="H284" s="62">
        <f t="shared" ca="1" si="42"/>
        <v>108</v>
      </c>
      <c r="I284" s="62">
        <f t="shared" ca="1" si="43"/>
        <v>108</v>
      </c>
      <c r="L284" s="62">
        <f ca="1">IF(ABS('main page'!$K$29*L283+(1-'main page'!$K$29)*(controls!$B$9/100)*100+'main page'!$K$25*(D284-B284)-L283)&lt;0.0000001,L283,'main page'!$K$29*L283+(1-'main page'!$K$29)*(controls!$B$9/100)*100+'main page'!$K$25*(D284-B284))</f>
        <v>1.9999998807907104</v>
      </c>
      <c r="Q284" s="409">
        <f ca="1">(1-'main page'!$K$29)*($AS$11/100)*100+'main page'!$K$25*(D284-B284)</f>
        <v>5.9604644775390625E-8</v>
      </c>
      <c r="R284" s="409">
        <f>'main page'!G288+'main page'!$K$29*M283</f>
        <v>0</v>
      </c>
      <c r="S284" s="409">
        <f t="shared" ca="1" si="41"/>
        <v>5.9604644775390625E-8</v>
      </c>
      <c r="T284" s="79">
        <f ca="1">IF(controls!$B$10=1,T283,IF(SUM(controls!$B$44:$B$46)=2,U284-'main page'!$K$29*'normal case'!L284-(1-'main page'!$K$29)*'main page'!$K$32,U284-'main page'!$K$29*'normal case'!L284-(1-'main page'!$K$29)*controls!$B$9))</f>
        <v>3.4999999701976776</v>
      </c>
      <c r="U284" s="164">
        <f ca="1">IF(controls!$B$45=1,IF(controls!$B$46=1,'main page'!$K$24+'main page'!$K$11+'main page'!$U$8,'main page'!$K$24+'main page'!$K$11+'main page'!$K$32),IF(controls!$B$44=1,IF(V284&lt;0,0,V284),IF(V284+'main page'!$K$11&lt;0,0,V284+'main page'!$K$11)))</f>
        <v>5.4999998509883881</v>
      </c>
      <c r="V284" s="63">
        <f ca="1">IF(controls!$B$10=1,'normal case'!T284+'normal case'!L284,'normal case'!W284)</f>
        <v>5.4999998509883881</v>
      </c>
      <c r="W284" s="61">
        <f t="shared" ca="1" si="37"/>
        <v>5.4999998509883881</v>
      </c>
      <c r="X284" s="166">
        <f ca="1">IF(controls!$B$44=0,Y284+'main page'!$K$29*L284+(1-'main page'!$K$29)*controls!$B$9+(('main page'!$K$25*'main page'!$U$13*'main page'!$K$29)/('main page'!$K$27*(1+('main page'!$K$25^2)*'main page'!$U$13)))*(L284-controls!$B$9),Y284+'main page'!$K$29*L284+(1-'main page'!$K$29)*controls!$B$9+(('main page'!$K$25*'main page'!$U$13*'normal case'!$AV$3)/'normal case'!$AV$4)*('normal case'!L284-controls!$B$9))</f>
        <v>5.4999998509883881</v>
      </c>
      <c r="Y284" s="81">
        <f ca="1">IF(controls!$B$44=1,'main page'!$K$24+'main page'!$K$11,IF(controls!$B$33=1,((I285-D284*AD285-B285+B284*AC285)/'main page'!$K$27)-'main page'!$K$11,((H285-D284*AD285-B285+B284*AC285)/'main page'!$K$27)-'main page'!$K$11))</f>
        <v>3.5</v>
      </c>
      <c r="AA284" s="58">
        <f>IF(controls!$B$6=1,$AS$3*(1+('main page'!$K$35/100))^AB284-$AS$3*(1+('main page'!$K$35/100))^AB283,$AS$3*(1+('main page'!$G$8/100))*(1+('main page'!$K$35/100))^AB284-$AS$3*(1+('main page'!$G$8/100))*(1+('main page'!$K$35/100))^AB283)</f>
        <v>0</v>
      </c>
      <c r="AB284" s="60">
        <v>277</v>
      </c>
      <c r="AC284" s="125">
        <f ca="1">IF(controls!$B$4=1,IF(controls!$H283=1,controls!$B$34*AC283+RAND()*('main page'!$K$16/100)-RAND()*('main page'!$K$16/100),0),0)</f>
        <v>0</v>
      </c>
      <c r="AD284" s="36">
        <f ca="1">IF(controls!$B$4=1,IF(controls!$I283=1,controls!$B$34*AD283+RAND()*('main page'!$K$16/100)-RAND()*('main page'!$K$16/100),0),0)</f>
        <v>0</v>
      </c>
      <c r="AE284" s="44">
        <f ca="1">IF(controls!$B$33=1,D284-($I$3-'main page'!$K$27*2)*(1+('main page'!$K$35/100))^A283,D284-$AS$4)</f>
        <v>1.0000000596046448</v>
      </c>
      <c r="AF284" s="44">
        <f ca="1">ABS(L284-(controls!$B$9/100)*100)</f>
        <v>1.1920928955078125E-7</v>
      </c>
      <c r="AH284" s="44">
        <f ca="1">IF(controls!$B$33=1,(B285-B284*AC285-I285+D284*AD285+'main page'!$K$27*('main page'!$K$24+'main page'!$K$11))/'main page'!$K$31,(B285-B284*AC285+D284*AD285-H285+'main page'!$K$27*('main page'!$K$24+'main page'!$K$11))/'main page'!$K$31)</f>
        <v>1</v>
      </c>
      <c r="AI284" s="44">
        <f ca="1">IF(controls!$B$45=1,LOG(AM284,1.01)+LOG(AL284,1.01)-LOG(AK284,1.01),-((T284-('main page'!$K$24+'main page'!$K$11))/(1-'normal case'!$AV$3))+'normal case'!AH284)</f>
        <v>2.0000000596046448</v>
      </c>
      <c r="AJ284" s="80">
        <f t="shared" ca="1" si="38"/>
        <v>1.0506250015463039</v>
      </c>
      <c r="AK284" s="44">
        <f t="shared" ca="1" si="39"/>
        <v>255.9202038099275</v>
      </c>
      <c r="AL284" s="44">
        <f>AL283*(1+'main page'!$K$32/100)</f>
        <v>1</v>
      </c>
      <c r="AM284" s="44">
        <f ca="1">IF(ABS(IF(controls!$B$45=1,$AS$13,AK284*AJ284/AL284)-AM283)&lt;0.00001,AM283,IF(controls!$B$45=1,$AS$13,AK284*AJ284/AL284))</f>
        <v>268.87616452353546</v>
      </c>
      <c r="AN284" s="44">
        <f>IF(controls!$B$46=0,0,IF(controls!$B$33=2,B285-B284*AC285-('normal case'!H285-D284*AD285-'main page'!$K$27*'normal case'!T284+'main page'!$K$31*'normal case'!AI284)-(('main page'!$K$25*'main page'!$U$13*'main page'!$K$29)/(1+('main page'!$K$25^2)*'main page'!$U$13))*('normal case'!L284-'main page'!$U$8),B285-B284*AC285-('normal case'!I285-D284*AD285-'main page'!$K$27*'normal case'!T284+'main page'!$K$31*'normal case'!AI284)-(('main page'!$K$25*'main page'!$U$13*'main page'!$K$29)/(1+('main page'!$K$25^2)*'main page'!$U$13))*('normal case'!L284-'main page'!$U$8)))</f>
        <v>0</v>
      </c>
      <c r="AU284" s="36"/>
      <c r="AV284" s="36"/>
    </row>
    <row r="285" spans="1:48">
      <c r="A285" s="43">
        <v>283</v>
      </c>
      <c r="B285" s="62">
        <f ca="1">IF(controls!$B$33=1,B284*(1+AC285)+AA285,B284*(1+AC285))</f>
        <v>101</v>
      </c>
      <c r="C285" s="67">
        <f t="shared" ca="1" si="40"/>
        <v>-1.5107707374006907E-7</v>
      </c>
      <c r="D285" s="64">
        <f t="shared" ca="1" si="36"/>
        <v>101.00000005960464</v>
      </c>
      <c r="E285" s="64">
        <f ca="1">AN284+IF(controls!$B$33=1,G285,F285)</f>
        <v>101.00000005960464</v>
      </c>
      <c r="F285" s="78">
        <f ca="1">IF(controls!$B$44=0,H285-'main page'!$K$27*T284,H285-'main page'!$K$27*T284+'main page'!$K$31*AI284)</f>
        <v>101.00000005960464</v>
      </c>
      <c r="G285" s="62">
        <f ca="1">IF(controls!$B$44=0,I285-'main page'!$K$27*T284,I285-'main page'!$K$27*T284+'main page'!$K$31*'normal case'!AI284)</f>
        <v>101.00000005960464</v>
      </c>
      <c r="H285" s="62">
        <f t="shared" ca="1" si="42"/>
        <v>108</v>
      </c>
      <c r="I285" s="62">
        <f t="shared" ca="1" si="43"/>
        <v>108</v>
      </c>
      <c r="L285" s="62">
        <f ca="1">IF(ABS('main page'!$K$29*L284+(1-'main page'!$K$29)*(controls!$B$9/100)*100+'main page'!$K$25*(D285-B285)-L284)&lt;0.0000001,L284,'main page'!$K$29*L284+(1-'main page'!$K$29)*(controls!$B$9/100)*100+'main page'!$K$25*(D285-B285))</f>
        <v>1.9999998807907104</v>
      </c>
      <c r="Q285" s="409">
        <f ca="1">(1-'main page'!$K$29)*($AS$11/100)*100+'main page'!$K$25*(D285-B285)</f>
        <v>5.9604644775390625E-8</v>
      </c>
      <c r="R285" s="409">
        <f>'main page'!G289+'main page'!$K$29*M284</f>
        <v>0</v>
      </c>
      <c r="S285" s="409">
        <f t="shared" ca="1" si="41"/>
        <v>5.9604644775390625E-8</v>
      </c>
      <c r="T285" s="79">
        <f ca="1">IF(controls!$B$10=1,T284,IF(SUM(controls!$B$44:$B$46)=2,U285-'main page'!$K$29*'normal case'!L285-(1-'main page'!$K$29)*'main page'!$K$32,U285-'main page'!$K$29*'normal case'!L285-(1-'main page'!$K$29)*controls!$B$9))</f>
        <v>3.4999999701976776</v>
      </c>
      <c r="U285" s="164">
        <f ca="1">IF(controls!$B$45=1,IF(controls!$B$46=1,'main page'!$K$24+'main page'!$K$11+'main page'!$U$8,'main page'!$K$24+'main page'!$K$11+'main page'!$K$32),IF(controls!$B$44=1,IF(V285&lt;0,0,V285),IF(V285+'main page'!$K$11&lt;0,0,V285+'main page'!$K$11)))</f>
        <v>5.4999998509883881</v>
      </c>
      <c r="V285" s="63">
        <f ca="1">IF(controls!$B$10=1,'normal case'!T285+'normal case'!L285,'normal case'!W285)</f>
        <v>5.4999998509883881</v>
      </c>
      <c r="W285" s="61">
        <f t="shared" ca="1" si="37"/>
        <v>5.4999998509883881</v>
      </c>
      <c r="X285" s="166">
        <f ca="1">IF(controls!$B$44=0,Y285+'main page'!$K$29*L285+(1-'main page'!$K$29)*controls!$B$9+(('main page'!$K$25*'main page'!$U$13*'main page'!$K$29)/('main page'!$K$27*(1+('main page'!$K$25^2)*'main page'!$U$13)))*(L285-controls!$B$9),Y285+'main page'!$K$29*L285+(1-'main page'!$K$29)*controls!$B$9+(('main page'!$K$25*'main page'!$U$13*'normal case'!$AV$3)/'normal case'!$AV$4)*('normal case'!L285-controls!$B$9))</f>
        <v>5.4999998509883881</v>
      </c>
      <c r="Y285" s="81">
        <f ca="1">IF(controls!$B$44=1,'main page'!$K$24+'main page'!$K$11,IF(controls!$B$33=1,((I286-D285*AD286-B286+B285*AC286)/'main page'!$K$27)-'main page'!$K$11,((H286-D285*AD286-B286+B285*AC286)/'main page'!$K$27)-'main page'!$K$11))</f>
        <v>3.5</v>
      </c>
      <c r="AA285" s="58">
        <f>IF(controls!$B$6=1,$AS$3*(1+('main page'!$K$35/100))^AB285-$AS$3*(1+('main page'!$K$35/100))^AB284,$AS$3*(1+('main page'!$G$8/100))*(1+('main page'!$K$35/100))^AB285-$AS$3*(1+('main page'!$G$8/100))*(1+('main page'!$K$35/100))^AB284)</f>
        <v>0</v>
      </c>
      <c r="AB285" s="60">
        <v>278</v>
      </c>
      <c r="AC285" s="125">
        <v>0</v>
      </c>
      <c r="AD285" s="36">
        <v>0</v>
      </c>
      <c r="AE285" s="44">
        <f ca="1">IF(controls!$B$33=1,D285-($I$3-'main page'!$K$27*2)*(1+('main page'!$K$35/100))^A284,D285-$AS$4)</f>
        <v>1.0000000596046448</v>
      </c>
      <c r="AF285" s="44">
        <f ca="1">ABS(L285-(controls!$B$9/100)*100)</f>
        <v>1.1920928955078125E-7</v>
      </c>
      <c r="AH285" s="44">
        <f ca="1">IF(controls!$B$33=1,(B286-B285*AC286-I286+D285*AD286+'main page'!$K$27*('main page'!$K$24+'main page'!$K$11))/'main page'!$K$31,(B286-B285*AC286+D285*AD286-H286+'main page'!$K$27*('main page'!$K$24+'main page'!$K$11))/'main page'!$K$31)</f>
        <v>1</v>
      </c>
      <c r="AI285" s="44">
        <f ca="1">IF(controls!$B$45=1,LOG(AM285,1.01)+LOG(AL285,1.01)-LOG(AK285,1.01),-((T285-('main page'!$K$24+'main page'!$K$11))/(1-'normal case'!$AV$3))+'normal case'!AH285)</f>
        <v>2.0000000596046448</v>
      </c>
      <c r="AJ285" s="80">
        <f t="shared" ca="1" si="38"/>
        <v>1.0506250015463039</v>
      </c>
      <c r="AK285" s="44">
        <f t="shared" ca="1" si="39"/>
        <v>261.03860758104543</v>
      </c>
      <c r="AL285" s="44">
        <f>AL284*(1+'main page'!$K$32/100)</f>
        <v>1</v>
      </c>
      <c r="AM285" s="44">
        <f ca="1">IF(ABS(IF(controls!$B$45=1,$AS$13,AK285*AJ285/AL285)-AM284)&lt;0.00001,AM284,IF(controls!$B$45=1,$AS$13,AK285*AJ285/AL285))</f>
        <v>274.25368749348087</v>
      </c>
      <c r="AN285" s="44">
        <f>IF(controls!$B$46=0,0,IF(controls!$B$33=2,B286-B285*AC286-('normal case'!H286-D285*AD286-'main page'!$K$27*'normal case'!T285+'main page'!$K$31*'normal case'!AI285)-(('main page'!$K$25*'main page'!$U$13*'main page'!$K$29)/(1+('main page'!$K$25^2)*'main page'!$U$13))*('normal case'!L285-'main page'!$U$8),B286-B285*AC286-('normal case'!I286-D285*AD286-'main page'!$K$27*'normal case'!T285+'main page'!$K$31*'normal case'!AI285)-(('main page'!$K$25*'main page'!$U$13*'main page'!$K$29)/(1+('main page'!$K$25^2)*'main page'!$U$13))*('normal case'!L285-'main page'!$U$8)))</f>
        <v>0</v>
      </c>
      <c r="AU285" s="36"/>
      <c r="AV285" s="36"/>
    </row>
    <row r="286" spans="1:48">
      <c r="A286" s="43">
        <v>284</v>
      </c>
      <c r="B286" s="62">
        <f ca="1">IF(controls!$B$33=1,B285*(1+AC286)+AA286,B285*(1+AC286))</f>
        <v>101</v>
      </c>
      <c r="C286" s="67">
        <f t="shared" ca="1" si="40"/>
        <v>-1.5107707374006907E-7</v>
      </c>
      <c r="D286" s="64">
        <f t="shared" ca="1" si="36"/>
        <v>101.00000005960464</v>
      </c>
      <c r="E286" s="64">
        <f ca="1">AN285+IF(controls!$B$33=1,G286,F286)</f>
        <v>101.00000005960464</v>
      </c>
      <c r="F286" s="78">
        <f ca="1">IF(controls!$B$44=0,H286-'main page'!$K$27*T285,H286-'main page'!$K$27*T285+'main page'!$K$31*AI285)</f>
        <v>101.00000005960464</v>
      </c>
      <c r="G286" s="62">
        <f ca="1">IF(controls!$B$44=0,I286-'main page'!$K$27*T285,I286-'main page'!$K$27*T285+'main page'!$K$31*'normal case'!AI285)</f>
        <v>101.00000005960464</v>
      </c>
      <c r="H286" s="62">
        <f t="shared" ca="1" si="42"/>
        <v>108</v>
      </c>
      <c r="I286" s="62">
        <f t="shared" ca="1" si="43"/>
        <v>108</v>
      </c>
      <c r="L286" s="62">
        <f ca="1">IF(ABS('main page'!$K$29*L285+(1-'main page'!$K$29)*(controls!$B$9/100)*100+'main page'!$K$25*(D286-B286)-L285)&lt;0.0000001,L285,'main page'!$K$29*L285+(1-'main page'!$K$29)*(controls!$B$9/100)*100+'main page'!$K$25*(D286-B286))</f>
        <v>1.9999998807907104</v>
      </c>
      <c r="Q286" s="409">
        <f ca="1">(1-'main page'!$K$29)*($AS$11/100)*100+'main page'!$K$25*(D286-B286)</f>
        <v>5.9604644775390625E-8</v>
      </c>
      <c r="R286" s="409">
        <f>'main page'!G290+'main page'!$K$29*M285</f>
        <v>0</v>
      </c>
      <c r="S286" s="409">
        <f t="shared" ca="1" si="41"/>
        <v>5.9604644775390625E-8</v>
      </c>
      <c r="T286" s="79">
        <f ca="1">IF(controls!$B$10=1,T285,IF(SUM(controls!$B$44:$B$46)=2,U286-'main page'!$K$29*'normal case'!L286-(1-'main page'!$K$29)*'main page'!$K$32,U286-'main page'!$K$29*'normal case'!L286-(1-'main page'!$K$29)*controls!$B$9))</f>
        <v>3.4999999701976776</v>
      </c>
      <c r="U286" s="164">
        <f ca="1">IF(controls!$B$45=1,IF(controls!$B$46=1,'main page'!$K$24+'main page'!$K$11+'main page'!$U$8,'main page'!$K$24+'main page'!$K$11+'main page'!$K$32),IF(controls!$B$44=1,IF(V286&lt;0,0,V286),IF(V286+'main page'!$K$11&lt;0,0,V286+'main page'!$K$11)))</f>
        <v>5.4999998509883881</v>
      </c>
      <c r="V286" s="63">
        <f ca="1">IF(controls!$B$10=1,'normal case'!T286+'normal case'!L286,'normal case'!W286)</f>
        <v>5.4999998509883881</v>
      </c>
      <c r="W286" s="61">
        <f t="shared" ca="1" si="37"/>
        <v>5.4999998509883881</v>
      </c>
      <c r="X286" s="166">
        <f ca="1">IF(controls!$B$44=0,Y286+'main page'!$K$29*L286+(1-'main page'!$K$29)*controls!$B$9+(('main page'!$K$25*'main page'!$U$13*'main page'!$K$29)/('main page'!$K$27*(1+('main page'!$K$25^2)*'main page'!$U$13)))*(L286-controls!$B$9),Y286+'main page'!$K$29*L286+(1-'main page'!$K$29)*controls!$B$9+(('main page'!$K$25*'main page'!$U$13*'normal case'!$AV$3)/'normal case'!$AV$4)*('normal case'!L286-controls!$B$9))</f>
        <v>5.4999998509883881</v>
      </c>
      <c r="Y286" s="81">
        <f ca="1">IF(controls!$B$44=1,'main page'!$K$24+'main page'!$K$11,IF(controls!$B$33=1,((I287-D286*AD287-B287+B286*AC287)/'main page'!$K$27)-'main page'!$K$11,((H287-D286*AD287-B287+B286*AC287)/'main page'!$K$27)-'main page'!$K$11))</f>
        <v>3.5</v>
      </c>
      <c r="AA286" s="58">
        <f>IF(controls!$B$6=1,$AS$3*(1+('main page'!$K$35/100))^AB286-$AS$3*(1+('main page'!$K$35/100))^AB285,$AS$3*(1+('main page'!$G$8/100))*(1+('main page'!$K$35/100))^AB286-$AS$3*(1+('main page'!$G$8/100))*(1+('main page'!$K$35/100))^AB285)</f>
        <v>0</v>
      </c>
      <c r="AB286" s="60">
        <v>279</v>
      </c>
      <c r="AC286" s="125">
        <v>0</v>
      </c>
      <c r="AD286" s="36">
        <v>0</v>
      </c>
      <c r="AE286" s="44">
        <f ca="1">IF(controls!$B$33=1,D286-($I$3-'main page'!$K$27*2)*(1+('main page'!$K$35/100))^A285,D286-$AS$4)</f>
        <v>1.0000000596046448</v>
      </c>
      <c r="AF286" s="44">
        <f ca="1">ABS(L286-(controls!$B$9/100)*100)</f>
        <v>1.1920928955078125E-7</v>
      </c>
      <c r="AH286" s="44">
        <f ca="1">IF(controls!$B$33=1,(B287-B286*AC287-I287+D286*AD287+'main page'!$K$27*('main page'!$K$24+'main page'!$K$11))/'main page'!$K$31,(B287-B286*AC287+D286*AD287-H287+'main page'!$K$27*('main page'!$K$24+'main page'!$K$11))/'main page'!$K$31)</f>
        <v>1</v>
      </c>
      <c r="AI286" s="44">
        <f ca="1">IF(controls!$B$45=1,LOG(AM286,1.01)+LOG(AL286,1.01)-LOG(AK286,1.01),-((T286-('main page'!$K$24+'main page'!$K$11))/(1-'normal case'!$AV$3))+'normal case'!AH286)</f>
        <v>2.0000000596046448</v>
      </c>
      <c r="AJ286" s="80">
        <f t="shared" ca="1" si="38"/>
        <v>1.0506250015463039</v>
      </c>
      <c r="AK286" s="44">
        <f t="shared" ca="1" si="39"/>
        <v>266.25937942148408</v>
      </c>
      <c r="AL286" s="44">
        <f>AL285*(1+'main page'!$K$32/100)</f>
        <v>1</v>
      </c>
      <c r="AM286" s="44">
        <f ca="1">IF(ABS(IF(controls!$B$45=1,$AS$13,AK286*AJ286/AL286)-AM285)&lt;0.00001,AM285,IF(controls!$B$45=1,$AS$13,AK286*AJ286/AL286))</f>
        <v>279.73876091641461</v>
      </c>
      <c r="AN286" s="44">
        <f>IF(controls!$B$46=0,0,IF(controls!$B$33=2,B287-B286*AC287-('normal case'!H287-D286*AD287-'main page'!$K$27*'normal case'!T286+'main page'!$K$31*'normal case'!AI286)-(('main page'!$K$25*'main page'!$U$13*'main page'!$K$29)/(1+('main page'!$K$25^2)*'main page'!$U$13))*('normal case'!L286-'main page'!$U$8),B287-B286*AC287-('normal case'!I287-D286*AD287-'main page'!$K$27*'normal case'!T286+'main page'!$K$31*'normal case'!AI286)-(('main page'!$K$25*'main page'!$U$13*'main page'!$K$29)/(1+('main page'!$K$25^2)*'main page'!$U$13))*('normal case'!L286-'main page'!$U$8)))</f>
        <v>0</v>
      </c>
      <c r="AU286" s="36"/>
      <c r="AV286" s="36"/>
    </row>
    <row r="287" spans="1:48">
      <c r="A287" s="43">
        <v>285</v>
      </c>
      <c r="B287" s="62">
        <f ca="1">IF(controls!$B$33=1,B286*(1+AC287)+AA287,B286*(1+AC287))</f>
        <v>101</v>
      </c>
      <c r="C287" s="67">
        <f t="shared" ca="1" si="40"/>
        <v>-1.5107707374006907E-7</v>
      </c>
      <c r="D287" s="64">
        <f t="shared" ca="1" si="36"/>
        <v>101.00000005960464</v>
      </c>
      <c r="E287" s="64">
        <f ca="1">AN286+IF(controls!$B$33=1,G287,F287)</f>
        <v>101.00000005960464</v>
      </c>
      <c r="F287" s="78">
        <f ca="1">IF(controls!$B$44=0,H287-'main page'!$K$27*T286,H287-'main page'!$K$27*T286+'main page'!$K$31*AI286)</f>
        <v>101.00000005960464</v>
      </c>
      <c r="G287" s="62">
        <f ca="1">IF(controls!$B$44=0,I287-'main page'!$K$27*T286,I287-'main page'!$K$27*T286+'main page'!$K$31*'normal case'!AI286)</f>
        <v>101.00000005960464</v>
      </c>
      <c r="H287" s="62">
        <f t="shared" ca="1" si="42"/>
        <v>108</v>
      </c>
      <c r="I287" s="62">
        <f t="shared" ca="1" si="43"/>
        <v>108</v>
      </c>
      <c r="L287" s="62">
        <f ca="1">IF(ABS('main page'!$K$29*L286+(1-'main page'!$K$29)*(controls!$B$9/100)*100+'main page'!$K$25*(D287-B287)-L286)&lt;0.0000001,L286,'main page'!$K$29*L286+(1-'main page'!$K$29)*(controls!$B$9/100)*100+'main page'!$K$25*(D287-B287))</f>
        <v>1.9999998807907104</v>
      </c>
      <c r="Q287" s="409">
        <f ca="1">(1-'main page'!$K$29)*($AS$11/100)*100+'main page'!$K$25*(D287-B287)</f>
        <v>5.9604644775390625E-8</v>
      </c>
      <c r="R287" s="409">
        <f>'main page'!G291+'main page'!$K$29*M286</f>
        <v>0</v>
      </c>
      <c r="S287" s="409">
        <f t="shared" ca="1" si="41"/>
        <v>5.9604644775390625E-8</v>
      </c>
      <c r="T287" s="79">
        <f ca="1">IF(controls!$B$10=1,T286,IF(SUM(controls!$B$44:$B$46)=2,U287-'main page'!$K$29*'normal case'!L287-(1-'main page'!$K$29)*'main page'!$K$32,U287-'main page'!$K$29*'normal case'!L287-(1-'main page'!$K$29)*controls!$B$9))</f>
        <v>3.4999999701976776</v>
      </c>
      <c r="U287" s="164">
        <f ca="1">IF(controls!$B$45=1,IF(controls!$B$46=1,'main page'!$K$24+'main page'!$K$11+'main page'!$U$8,'main page'!$K$24+'main page'!$K$11+'main page'!$K$32),IF(controls!$B$44=1,IF(V287&lt;0,0,V287),IF(V287+'main page'!$K$11&lt;0,0,V287+'main page'!$K$11)))</f>
        <v>5.4999998509883881</v>
      </c>
      <c r="V287" s="63">
        <f ca="1">IF(controls!$B$10=1,'normal case'!T287+'normal case'!L287,'normal case'!W287)</f>
        <v>5.4999998509883881</v>
      </c>
      <c r="W287" s="61">
        <f t="shared" ca="1" si="37"/>
        <v>5.4999998509883881</v>
      </c>
      <c r="X287" s="166">
        <f ca="1">IF(controls!$B$44=0,Y287+'main page'!$K$29*L287+(1-'main page'!$K$29)*controls!$B$9+(('main page'!$K$25*'main page'!$U$13*'main page'!$K$29)/('main page'!$K$27*(1+('main page'!$K$25^2)*'main page'!$U$13)))*(L287-controls!$B$9),Y287+'main page'!$K$29*L287+(1-'main page'!$K$29)*controls!$B$9+(('main page'!$K$25*'main page'!$U$13*'normal case'!$AV$3)/'normal case'!$AV$4)*('normal case'!L287-controls!$B$9))</f>
        <v>5.4999998509883881</v>
      </c>
      <c r="Y287" s="81">
        <f ca="1">IF(controls!$B$44=1,'main page'!$K$24+'main page'!$K$11,IF(controls!$B$33=1,((I288-D287*AD288-B288+B287*AC288)/'main page'!$K$27)-'main page'!$K$11,((H288-D287*AD288-B288+B287*AC288)/'main page'!$K$27)-'main page'!$K$11))</f>
        <v>3.5</v>
      </c>
      <c r="AA287" s="58">
        <f>IF(controls!$B$6=1,$AS$3*(1+('main page'!$K$35/100))^AB287-$AS$3*(1+('main page'!$K$35/100))^AB286,$AS$3*(1+('main page'!$G$8/100))*(1+('main page'!$K$35/100))^AB287-$AS$3*(1+('main page'!$G$8/100))*(1+('main page'!$K$35/100))^AB286)</f>
        <v>0</v>
      </c>
      <c r="AB287" s="60">
        <v>280</v>
      </c>
      <c r="AC287" s="125">
        <f ca="1">IF(controls!$B$4=1,IF(controls!$H286=1,controls!$B$34*AC286+RAND()*('main page'!$K$16/100)-RAND()*('main page'!$K$16/100),0),0)</f>
        <v>0</v>
      </c>
      <c r="AD287" s="36">
        <f ca="1">IF(controls!$B$4=1,IF(controls!$I286=1,controls!$B$34*AD286+RAND()*('main page'!$K$16/100)-RAND()*('main page'!$K$16/100),0),0)</f>
        <v>0</v>
      </c>
      <c r="AE287" s="44">
        <f ca="1">IF(controls!$B$33=1,D287-($I$3-'main page'!$K$27*2)*(1+('main page'!$K$35/100))^A286,D287-$AS$4)</f>
        <v>1.0000000596046448</v>
      </c>
      <c r="AF287" s="44">
        <f ca="1">ABS(L287-(controls!$B$9/100)*100)</f>
        <v>1.1920928955078125E-7</v>
      </c>
      <c r="AH287" s="44">
        <f ca="1">IF(controls!$B$33=1,(B288-B287*AC288-I288+D287*AD288+'main page'!$K$27*('main page'!$K$24+'main page'!$K$11))/'main page'!$K$31,(B288-B287*AC288+D287*AD288-H288+'main page'!$K$27*('main page'!$K$24+'main page'!$K$11))/'main page'!$K$31)</f>
        <v>1</v>
      </c>
      <c r="AI287" s="44">
        <f ca="1">IF(controls!$B$45=1,LOG(AM287,1.01)+LOG(AL287,1.01)-LOG(AK287,1.01),-((T287-('main page'!$K$24+'main page'!$K$11))/(1-'normal case'!$AV$3))+'normal case'!AH287)</f>
        <v>2.0000000596046448</v>
      </c>
      <c r="AJ287" s="80">
        <f t="shared" ca="1" si="38"/>
        <v>1.0506250015463039</v>
      </c>
      <c r="AK287" s="44">
        <f t="shared" ca="1" si="39"/>
        <v>271.58456669250785</v>
      </c>
      <c r="AL287" s="44">
        <f>AL286*(1+'main page'!$K$32/100)</f>
        <v>1</v>
      </c>
      <c r="AM287" s="44">
        <f ca="1">IF(ABS(IF(controls!$B$45=1,$AS$13,AK287*AJ287/AL287)-AM286)&lt;0.00001,AM286,IF(controls!$B$45=1,$AS$13,AK287*AJ287/AL287))</f>
        <v>285.33353580126834</v>
      </c>
      <c r="AN287" s="44">
        <f>IF(controls!$B$46=0,0,IF(controls!$B$33=2,B288-B287*AC288-('normal case'!H288-D287*AD288-'main page'!$K$27*'normal case'!T287+'main page'!$K$31*'normal case'!AI287)-(('main page'!$K$25*'main page'!$U$13*'main page'!$K$29)/(1+('main page'!$K$25^2)*'main page'!$U$13))*('normal case'!L287-'main page'!$U$8),B288-B287*AC288-('normal case'!I288-D287*AD288-'main page'!$K$27*'normal case'!T287+'main page'!$K$31*'normal case'!AI287)-(('main page'!$K$25*'main page'!$U$13*'main page'!$K$29)/(1+('main page'!$K$25^2)*'main page'!$U$13))*('normal case'!L287-'main page'!$U$8)))</f>
        <v>0</v>
      </c>
      <c r="AU287" s="36"/>
      <c r="AV287" s="36"/>
    </row>
    <row r="288" spans="1:48">
      <c r="A288" s="43">
        <v>286</v>
      </c>
      <c r="B288" s="62">
        <f ca="1">IF(controls!$B$33=1,B287*(1+AC288)+AA288,B287*(1+AC288))</f>
        <v>101</v>
      </c>
      <c r="C288" s="67">
        <f t="shared" ca="1" si="40"/>
        <v>-1.5107707374006907E-7</v>
      </c>
      <c r="D288" s="64">
        <f t="shared" ca="1" si="36"/>
        <v>101.00000005960464</v>
      </c>
      <c r="E288" s="64">
        <f ca="1">AN287+IF(controls!$B$33=1,G288,F288)</f>
        <v>101.00000005960464</v>
      </c>
      <c r="F288" s="78">
        <f ca="1">IF(controls!$B$44=0,H288-'main page'!$K$27*T287,H288-'main page'!$K$27*T287+'main page'!$K$31*AI287)</f>
        <v>101.00000005960464</v>
      </c>
      <c r="G288" s="62">
        <f ca="1">IF(controls!$B$44=0,I288-'main page'!$K$27*T287,I288-'main page'!$K$27*T287+'main page'!$K$31*'normal case'!AI287)</f>
        <v>101.00000005960464</v>
      </c>
      <c r="H288" s="62">
        <f t="shared" ca="1" si="42"/>
        <v>108</v>
      </c>
      <c r="I288" s="62">
        <f t="shared" ca="1" si="43"/>
        <v>108</v>
      </c>
      <c r="L288" s="62">
        <f ca="1">IF(ABS('main page'!$K$29*L287+(1-'main page'!$K$29)*(controls!$B$9/100)*100+'main page'!$K$25*(D288-B288)-L287)&lt;0.0000001,L287,'main page'!$K$29*L287+(1-'main page'!$K$29)*(controls!$B$9/100)*100+'main page'!$K$25*(D288-B288))</f>
        <v>1.9999998807907104</v>
      </c>
      <c r="Q288" s="409">
        <f ca="1">(1-'main page'!$K$29)*($AS$11/100)*100+'main page'!$K$25*(D288-B288)</f>
        <v>5.9604644775390625E-8</v>
      </c>
      <c r="R288" s="409">
        <f>'main page'!G292+'main page'!$K$29*M287</f>
        <v>0</v>
      </c>
      <c r="S288" s="409">
        <f t="shared" ca="1" si="41"/>
        <v>5.9604644775390625E-8</v>
      </c>
      <c r="T288" s="79">
        <f ca="1">IF(controls!$B$10=1,T287,IF(SUM(controls!$B$44:$B$46)=2,U288-'main page'!$K$29*'normal case'!L288-(1-'main page'!$K$29)*'main page'!$K$32,U288-'main page'!$K$29*'normal case'!L288-(1-'main page'!$K$29)*controls!$B$9))</f>
        <v>3.4999999701976776</v>
      </c>
      <c r="U288" s="164">
        <f ca="1">IF(controls!$B$45=1,IF(controls!$B$46=1,'main page'!$K$24+'main page'!$K$11+'main page'!$U$8,'main page'!$K$24+'main page'!$K$11+'main page'!$K$32),IF(controls!$B$44=1,IF(V288&lt;0,0,V288),IF(V288+'main page'!$K$11&lt;0,0,V288+'main page'!$K$11)))</f>
        <v>5.4999998509883881</v>
      </c>
      <c r="V288" s="63">
        <f ca="1">IF(controls!$B$10=1,'normal case'!T288+'normal case'!L288,'normal case'!W288)</f>
        <v>5.4999998509883881</v>
      </c>
      <c r="W288" s="61">
        <f t="shared" ca="1" si="37"/>
        <v>5.4999998509883881</v>
      </c>
      <c r="X288" s="166">
        <f ca="1">IF(controls!$B$44=0,Y288+'main page'!$K$29*L288+(1-'main page'!$K$29)*controls!$B$9+(('main page'!$K$25*'main page'!$U$13*'main page'!$K$29)/('main page'!$K$27*(1+('main page'!$K$25^2)*'main page'!$U$13)))*(L288-controls!$B$9),Y288+'main page'!$K$29*L288+(1-'main page'!$K$29)*controls!$B$9+(('main page'!$K$25*'main page'!$U$13*'normal case'!$AV$3)/'normal case'!$AV$4)*('normal case'!L288-controls!$B$9))</f>
        <v>5.4999998509883881</v>
      </c>
      <c r="Y288" s="81">
        <f ca="1">IF(controls!$B$44=1,'main page'!$K$24+'main page'!$K$11,IF(controls!$B$33=1,((I289-D288*AD289-B289+B288*AC289)/'main page'!$K$27)-'main page'!$K$11,((H289-D288*AD289-B289+B288*AC289)/'main page'!$K$27)-'main page'!$K$11))</f>
        <v>3.5</v>
      </c>
      <c r="AA288" s="58">
        <f>IF(controls!$B$6=1,$AS$3*(1+('main page'!$K$35/100))^AB288-$AS$3*(1+('main page'!$K$35/100))^AB287,$AS$3*(1+('main page'!$G$8/100))*(1+('main page'!$K$35/100))^AB288-$AS$3*(1+('main page'!$G$8/100))*(1+('main page'!$K$35/100))^AB287)</f>
        <v>0</v>
      </c>
      <c r="AB288" s="60">
        <v>281</v>
      </c>
      <c r="AC288" s="125">
        <v>0</v>
      </c>
      <c r="AD288" s="36">
        <v>0</v>
      </c>
      <c r="AE288" s="44">
        <f ca="1">IF(controls!$B$33=1,D288-($I$3-'main page'!$K$27*2)*(1+('main page'!$K$35/100))^A287,D288-$AS$4)</f>
        <v>1.0000000596046448</v>
      </c>
      <c r="AF288" s="44">
        <f ca="1">ABS(L288-(controls!$B$9/100)*100)</f>
        <v>1.1920928955078125E-7</v>
      </c>
      <c r="AH288" s="44">
        <f ca="1">IF(controls!$B$33=1,(B289-B288*AC289-I289+D288*AD289+'main page'!$K$27*('main page'!$K$24+'main page'!$K$11))/'main page'!$K$31,(B289-B288*AC289+D288*AD289-H289+'main page'!$K$27*('main page'!$K$24+'main page'!$K$11))/'main page'!$K$31)</f>
        <v>1</v>
      </c>
      <c r="AI288" s="44">
        <f ca="1">IF(controls!$B$45=1,LOG(AM288,1.01)+LOG(AL288,1.01)-LOG(AK288,1.01),-((T288-('main page'!$K$24+'main page'!$K$11))/(1-'normal case'!$AV$3))+'normal case'!AH288)</f>
        <v>2.0000000596046448</v>
      </c>
      <c r="AJ288" s="80">
        <f t="shared" ca="1" si="38"/>
        <v>1.0506250015463039</v>
      </c>
      <c r="AK288" s="44">
        <f t="shared" ca="1" si="39"/>
        <v>277.01625770260398</v>
      </c>
      <c r="AL288" s="44">
        <f>AL287*(1+'main page'!$K$32/100)</f>
        <v>1</v>
      </c>
      <c r="AM288" s="44">
        <f ca="1">IF(ABS(IF(controls!$B$45=1,$AS$13,AK288*AJ288/AL288)-AM287)&lt;0.00001,AM287,IF(controls!$B$45=1,$AS$13,AK288*AJ288/AL288))</f>
        <v>291.04020617714963</v>
      </c>
      <c r="AN288" s="44">
        <f>IF(controls!$B$46=0,0,IF(controls!$B$33=2,B289-B288*AC289-('normal case'!H289-D288*AD289-'main page'!$K$27*'normal case'!T288+'main page'!$K$31*'normal case'!AI288)-(('main page'!$K$25*'main page'!$U$13*'main page'!$K$29)/(1+('main page'!$K$25^2)*'main page'!$U$13))*('normal case'!L288-'main page'!$U$8),B289-B288*AC289-('normal case'!I289-D288*AD289-'main page'!$K$27*'normal case'!T288+'main page'!$K$31*'normal case'!AI288)-(('main page'!$K$25*'main page'!$U$13*'main page'!$K$29)/(1+('main page'!$K$25^2)*'main page'!$U$13))*('normal case'!L288-'main page'!$U$8)))</f>
        <v>0</v>
      </c>
      <c r="AU288" s="36"/>
      <c r="AV288" s="36"/>
    </row>
    <row r="289" spans="1:48">
      <c r="A289" s="43">
        <v>287</v>
      </c>
      <c r="B289" s="62">
        <f ca="1">IF(controls!$B$33=1,B288*(1+AC289)+AA289,B288*(1+AC289))</f>
        <v>101</v>
      </c>
      <c r="C289" s="67">
        <f t="shared" ca="1" si="40"/>
        <v>-1.5107707374006907E-7</v>
      </c>
      <c r="D289" s="64">
        <f t="shared" ca="1" si="36"/>
        <v>101.00000005960464</v>
      </c>
      <c r="E289" s="64">
        <f ca="1">AN288+IF(controls!$B$33=1,G289,F289)</f>
        <v>101.00000005960464</v>
      </c>
      <c r="F289" s="78">
        <f ca="1">IF(controls!$B$44=0,H289-'main page'!$K$27*T288,H289-'main page'!$K$27*T288+'main page'!$K$31*AI288)</f>
        <v>101.00000005960464</v>
      </c>
      <c r="G289" s="62">
        <f ca="1">IF(controls!$B$44=0,I289-'main page'!$K$27*T288,I289-'main page'!$K$27*T288+'main page'!$K$31*'normal case'!AI288)</f>
        <v>101.00000005960464</v>
      </c>
      <c r="H289" s="62">
        <f t="shared" ca="1" si="42"/>
        <v>108</v>
      </c>
      <c r="I289" s="62">
        <f t="shared" ca="1" si="43"/>
        <v>108</v>
      </c>
      <c r="L289" s="62">
        <f ca="1">IF(ABS('main page'!$K$29*L288+(1-'main page'!$K$29)*(controls!$B$9/100)*100+'main page'!$K$25*(D289-B289)-L288)&lt;0.0000001,L288,'main page'!$K$29*L288+(1-'main page'!$K$29)*(controls!$B$9/100)*100+'main page'!$K$25*(D289-B289))</f>
        <v>1.9999998807907104</v>
      </c>
      <c r="Q289" s="409">
        <f ca="1">(1-'main page'!$K$29)*($AS$11/100)*100+'main page'!$K$25*(D289-B289)</f>
        <v>5.9604644775390625E-8</v>
      </c>
      <c r="R289" s="409">
        <f>'main page'!G293+'main page'!$K$29*M288</f>
        <v>0</v>
      </c>
      <c r="S289" s="409">
        <f t="shared" ca="1" si="41"/>
        <v>5.9604644775390625E-8</v>
      </c>
      <c r="T289" s="79">
        <f ca="1">IF(controls!$B$10=1,T288,IF(SUM(controls!$B$44:$B$46)=2,U289-'main page'!$K$29*'normal case'!L289-(1-'main page'!$K$29)*'main page'!$K$32,U289-'main page'!$K$29*'normal case'!L289-(1-'main page'!$K$29)*controls!$B$9))</f>
        <v>3.4999999701976776</v>
      </c>
      <c r="U289" s="164">
        <f ca="1">IF(controls!$B$45=1,IF(controls!$B$46=1,'main page'!$K$24+'main page'!$K$11+'main page'!$U$8,'main page'!$K$24+'main page'!$K$11+'main page'!$K$32),IF(controls!$B$44=1,IF(V289&lt;0,0,V289),IF(V289+'main page'!$K$11&lt;0,0,V289+'main page'!$K$11)))</f>
        <v>5.4999998509883881</v>
      </c>
      <c r="V289" s="63">
        <f ca="1">IF(controls!$B$10=1,'normal case'!T289+'normal case'!L289,'normal case'!W289)</f>
        <v>5.4999998509883881</v>
      </c>
      <c r="W289" s="61">
        <f t="shared" ca="1" si="37"/>
        <v>5.4999998509883881</v>
      </c>
      <c r="X289" s="166">
        <f ca="1">IF(controls!$B$44=0,Y289+'main page'!$K$29*L289+(1-'main page'!$K$29)*controls!$B$9+(('main page'!$K$25*'main page'!$U$13*'main page'!$K$29)/('main page'!$K$27*(1+('main page'!$K$25^2)*'main page'!$U$13)))*(L289-controls!$B$9),Y289+'main page'!$K$29*L289+(1-'main page'!$K$29)*controls!$B$9+(('main page'!$K$25*'main page'!$U$13*'normal case'!$AV$3)/'normal case'!$AV$4)*('normal case'!L289-controls!$B$9))</f>
        <v>5.4999998509883881</v>
      </c>
      <c r="Y289" s="81">
        <f ca="1">IF(controls!$B$44=1,'main page'!$K$24+'main page'!$K$11,IF(controls!$B$33=1,((I290-D289*AD290-B290+B289*AC290)/'main page'!$K$27)-'main page'!$K$11,((H290-D289*AD290-B290+B289*AC290)/'main page'!$K$27)-'main page'!$K$11))</f>
        <v>3.5</v>
      </c>
      <c r="AA289" s="58">
        <f>IF(controls!$B$6=1,$AS$3*(1+('main page'!$K$35/100))^AB289-$AS$3*(1+('main page'!$K$35/100))^AB288,$AS$3*(1+('main page'!$G$8/100))*(1+('main page'!$K$35/100))^AB289-$AS$3*(1+('main page'!$G$8/100))*(1+('main page'!$K$35/100))^AB288)</f>
        <v>0</v>
      </c>
      <c r="AB289" s="60">
        <v>282</v>
      </c>
      <c r="AC289" s="125">
        <v>0</v>
      </c>
      <c r="AD289" s="36">
        <v>0</v>
      </c>
      <c r="AE289" s="44">
        <f ca="1">IF(controls!$B$33=1,D289-($I$3-'main page'!$K$27*2)*(1+('main page'!$K$35/100))^A288,D289-$AS$4)</f>
        <v>1.0000000596046448</v>
      </c>
      <c r="AF289" s="44">
        <f ca="1">ABS(L289-(controls!$B$9/100)*100)</f>
        <v>1.1920928955078125E-7</v>
      </c>
      <c r="AH289" s="44">
        <f ca="1">IF(controls!$B$33=1,(B290-B289*AC290-I290+D289*AD290+'main page'!$K$27*('main page'!$K$24+'main page'!$K$11))/'main page'!$K$31,(B290-B289*AC290+D289*AD290-H290+'main page'!$K$27*('main page'!$K$24+'main page'!$K$11))/'main page'!$K$31)</f>
        <v>1</v>
      </c>
      <c r="AI289" s="44">
        <f ca="1">IF(controls!$B$45=1,LOG(AM289,1.01)+LOG(AL289,1.01)-LOG(AK289,1.01),-((T289-('main page'!$K$24+'main page'!$K$11))/(1-'normal case'!$AV$3))+'normal case'!AH289)</f>
        <v>2.0000000596046448</v>
      </c>
      <c r="AJ289" s="80">
        <f t="shared" ca="1" si="38"/>
        <v>1.0506250015463039</v>
      </c>
      <c r="AK289" s="44">
        <f t="shared" ca="1" si="39"/>
        <v>282.55658252642695</v>
      </c>
      <c r="AL289" s="44">
        <f>AL288*(1+'main page'!$K$32/100)</f>
        <v>1</v>
      </c>
      <c r="AM289" s="44">
        <f ca="1">IF(ABS(IF(controls!$B$45=1,$AS$13,AK289*AJ289/AL289)-AM288)&lt;0.00001,AM288,IF(controls!$B$45=1,$AS$13,AK289*AJ289/AL289))</f>
        <v>296.86100995374568</v>
      </c>
      <c r="AN289" s="44">
        <f>IF(controls!$B$46=0,0,IF(controls!$B$33=2,B290-B289*AC290-('normal case'!H290-D289*AD290-'main page'!$K$27*'normal case'!T289+'main page'!$K$31*'normal case'!AI289)-(('main page'!$K$25*'main page'!$U$13*'main page'!$K$29)/(1+('main page'!$K$25^2)*'main page'!$U$13))*('normal case'!L289-'main page'!$U$8),B290-B289*AC290-('normal case'!I290-D289*AD290-'main page'!$K$27*'normal case'!T289+'main page'!$K$31*'normal case'!AI289)-(('main page'!$K$25*'main page'!$U$13*'main page'!$K$29)/(1+('main page'!$K$25^2)*'main page'!$U$13))*('normal case'!L289-'main page'!$U$8)))</f>
        <v>0</v>
      </c>
      <c r="AU289" s="36"/>
      <c r="AV289" s="36"/>
    </row>
    <row r="290" spans="1:48">
      <c r="A290" s="43">
        <v>288</v>
      </c>
      <c r="B290" s="62">
        <f ca="1">IF(controls!$B$33=1,B289*(1+AC290)+AA290,B289*(1+AC290))</f>
        <v>101</v>
      </c>
      <c r="C290" s="67">
        <f t="shared" ca="1" si="40"/>
        <v>-1.5107707374006907E-7</v>
      </c>
      <c r="D290" s="64">
        <f t="shared" ca="1" si="36"/>
        <v>101.00000005960464</v>
      </c>
      <c r="E290" s="64">
        <f ca="1">AN289+IF(controls!$B$33=1,G290,F290)</f>
        <v>101.00000005960464</v>
      </c>
      <c r="F290" s="78">
        <f ca="1">IF(controls!$B$44=0,H290-'main page'!$K$27*T289,H290-'main page'!$K$27*T289+'main page'!$K$31*AI289)</f>
        <v>101.00000005960464</v>
      </c>
      <c r="G290" s="62">
        <f ca="1">IF(controls!$B$44=0,I290-'main page'!$K$27*T289,I290-'main page'!$K$27*T289+'main page'!$K$31*'normal case'!AI289)</f>
        <v>101.00000005960464</v>
      </c>
      <c r="H290" s="62">
        <f t="shared" ca="1" si="42"/>
        <v>108</v>
      </c>
      <c r="I290" s="62">
        <f t="shared" ca="1" si="43"/>
        <v>108</v>
      </c>
      <c r="L290" s="62">
        <f ca="1">IF(ABS('main page'!$K$29*L289+(1-'main page'!$K$29)*(controls!$B$9/100)*100+'main page'!$K$25*(D290-B290)-L289)&lt;0.0000001,L289,'main page'!$K$29*L289+(1-'main page'!$K$29)*(controls!$B$9/100)*100+'main page'!$K$25*(D290-B290))</f>
        <v>1.9999998807907104</v>
      </c>
      <c r="Q290" s="409">
        <f ca="1">(1-'main page'!$K$29)*($AS$11/100)*100+'main page'!$K$25*(D290-B290)</f>
        <v>5.9604644775390625E-8</v>
      </c>
      <c r="R290" s="409">
        <f>'main page'!G294+'main page'!$K$29*M289</f>
        <v>0</v>
      </c>
      <c r="S290" s="409">
        <f t="shared" ca="1" si="41"/>
        <v>5.9604644775390625E-8</v>
      </c>
      <c r="T290" s="79">
        <f ca="1">IF(controls!$B$10=1,T289,IF(SUM(controls!$B$44:$B$46)=2,U290-'main page'!$K$29*'normal case'!L290-(1-'main page'!$K$29)*'main page'!$K$32,U290-'main page'!$K$29*'normal case'!L290-(1-'main page'!$K$29)*controls!$B$9))</f>
        <v>3.4999999701976776</v>
      </c>
      <c r="U290" s="164">
        <f ca="1">IF(controls!$B$45=1,IF(controls!$B$46=1,'main page'!$K$24+'main page'!$K$11+'main page'!$U$8,'main page'!$K$24+'main page'!$K$11+'main page'!$K$32),IF(controls!$B$44=1,IF(V290&lt;0,0,V290),IF(V290+'main page'!$K$11&lt;0,0,V290+'main page'!$K$11)))</f>
        <v>5.4999998509883881</v>
      </c>
      <c r="V290" s="63">
        <f ca="1">IF(controls!$B$10=1,'normal case'!T290+'normal case'!L290,'normal case'!W290)</f>
        <v>5.4999998509883881</v>
      </c>
      <c r="W290" s="61">
        <f t="shared" ca="1" si="37"/>
        <v>5.4999998509883881</v>
      </c>
      <c r="X290" s="166">
        <f ca="1">IF(controls!$B$44=0,Y290+'main page'!$K$29*L290+(1-'main page'!$K$29)*controls!$B$9+(('main page'!$K$25*'main page'!$U$13*'main page'!$K$29)/('main page'!$K$27*(1+('main page'!$K$25^2)*'main page'!$U$13)))*(L290-controls!$B$9),Y290+'main page'!$K$29*L290+(1-'main page'!$K$29)*controls!$B$9+(('main page'!$K$25*'main page'!$U$13*'normal case'!$AV$3)/'normal case'!$AV$4)*('normal case'!L290-controls!$B$9))</f>
        <v>5.4999998509883881</v>
      </c>
      <c r="Y290" s="81">
        <f ca="1">IF(controls!$B$44=1,'main page'!$K$24+'main page'!$K$11,IF(controls!$B$33=1,((I291-D290*AD291-B291+B290*AC291)/'main page'!$K$27)-'main page'!$K$11,((H291-D290*AD291-B291+B290*AC291)/'main page'!$K$27)-'main page'!$K$11))</f>
        <v>3.5</v>
      </c>
      <c r="AA290" s="58">
        <f>IF(controls!$B$6=1,$AS$3*(1+('main page'!$K$35/100))^AB290-$AS$3*(1+('main page'!$K$35/100))^AB289,$AS$3*(1+('main page'!$G$8/100))*(1+('main page'!$K$35/100))^AB290-$AS$3*(1+('main page'!$G$8/100))*(1+('main page'!$K$35/100))^AB289)</f>
        <v>0</v>
      </c>
      <c r="AB290" s="60">
        <v>283</v>
      </c>
      <c r="AC290" s="125">
        <f ca="1">IF(controls!$B$4=1,IF(controls!$H289=1,controls!$B$34*AC289+RAND()*('main page'!$K$16/100)-RAND()*('main page'!$K$16/100),0),0)</f>
        <v>0</v>
      </c>
      <c r="AD290" s="36">
        <f ca="1">IF(controls!$B$4=1,IF(controls!$I289=1,controls!$B$34*AD289+RAND()*('main page'!$K$16/100)-RAND()*('main page'!$K$16/100),0),0)</f>
        <v>0</v>
      </c>
      <c r="AE290" s="44">
        <f ca="1">IF(controls!$B$33=1,D290-($I$3-'main page'!$K$27*2)*(1+('main page'!$K$35/100))^A289,D290-$AS$4)</f>
        <v>1.0000000596046448</v>
      </c>
      <c r="AF290" s="44">
        <f ca="1">ABS(L290-(controls!$B$9/100)*100)</f>
        <v>1.1920928955078125E-7</v>
      </c>
      <c r="AH290" s="44">
        <f ca="1">IF(controls!$B$33=1,(B291-B290*AC291-I291+D290*AD291+'main page'!$K$27*('main page'!$K$24+'main page'!$K$11))/'main page'!$K$31,(B291-B290*AC291+D290*AD291-H291+'main page'!$K$27*('main page'!$K$24+'main page'!$K$11))/'main page'!$K$31)</f>
        <v>1</v>
      </c>
      <c r="AI290" s="44">
        <f ca="1">IF(controls!$B$45=1,LOG(AM290,1.01)+LOG(AL290,1.01)-LOG(AK290,1.01),-((T290-('main page'!$K$24+'main page'!$K$11))/(1-'normal case'!$AV$3))+'normal case'!AH290)</f>
        <v>2.0000000596046448</v>
      </c>
      <c r="AJ290" s="80">
        <f t="shared" ca="1" si="38"/>
        <v>1.0506250015463039</v>
      </c>
      <c r="AK290" s="44">
        <f t="shared" ca="1" si="39"/>
        <v>288.20771384012181</v>
      </c>
      <c r="AL290" s="44">
        <f>AL289*(1+'main page'!$K$32/100)</f>
        <v>1</v>
      </c>
      <c r="AM290" s="44">
        <f ca="1">IF(ABS(IF(controls!$B$45=1,$AS$13,AK290*AJ290/AL290)-AM289)&lt;0.00001,AM289,IF(controls!$B$45=1,$AS$13,AK290*AJ290/AL290))</f>
        <v>302.7982297989347</v>
      </c>
      <c r="AN290" s="44">
        <f>IF(controls!$B$46=0,0,IF(controls!$B$33=2,B291-B290*AC291-('normal case'!H291-D290*AD291-'main page'!$K$27*'normal case'!T290+'main page'!$K$31*'normal case'!AI290)-(('main page'!$K$25*'main page'!$U$13*'main page'!$K$29)/(1+('main page'!$K$25^2)*'main page'!$U$13))*('normal case'!L290-'main page'!$U$8),B291-B290*AC291-('normal case'!I291-D290*AD291-'main page'!$K$27*'normal case'!T290+'main page'!$K$31*'normal case'!AI290)-(('main page'!$K$25*'main page'!$U$13*'main page'!$K$29)/(1+('main page'!$K$25^2)*'main page'!$U$13))*('normal case'!L290-'main page'!$U$8)))</f>
        <v>0</v>
      </c>
      <c r="AU290" s="36"/>
      <c r="AV290" s="36"/>
    </row>
    <row r="291" spans="1:48">
      <c r="A291" s="43">
        <v>289</v>
      </c>
      <c r="B291" s="62">
        <f ca="1">IF(controls!$B$33=1,B290*(1+AC291)+AA291,B290*(1+AC291))</f>
        <v>101</v>
      </c>
      <c r="C291" s="67">
        <f t="shared" ca="1" si="40"/>
        <v>-1.5107707374006907E-7</v>
      </c>
      <c r="D291" s="64">
        <f t="shared" ca="1" si="36"/>
        <v>101.00000005960464</v>
      </c>
      <c r="E291" s="64">
        <f ca="1">AN290+IF(controls!$B$33=1,G291,F291)</f>
        <v>101.00000005960464</v>
      </c>
      <c r="F291" s="78">
        <f ca="1">IF(controls!$B$44=0,H291-'main page'!$K$27*T290,H291-'main page'!$K$27*T290+'main page'!$K$31*AI290)</f>
        <v>101.00000005960464</v>
      </c>
      <c r="G291" s="62">
        <f ca="1">IF(controls!$B$44=0,I291-'main page'!$K$27*T290,I291-'main page'!$K$27*T290+'main page'!$K$31*'normal case'!AI290)</f>
        <v>101.00000005960464</v>
      </c>
      <c r="H291" s="62">
        <f t="shared" ca="1" si="42"/>
        <v>108</v>
      </c>
      <c r="I291" s="62">
        <f t="shared" ca="1" si="43"/>
        <v>108</v>
      </c>
      <c r="L291" s="62">
        <f ca="1">IF(ABS('main page'!$K$29*L290+(1-'main page'!$K$29)*(controls!$B$9/100)*100+'main page'!$K$25*(D291-B291)-L290)&lt;0.0000001,L290,'main page'!$K$29*L290+(1-'main page'!$K$29)*(controls!$B$9/100)*100+'main page'!$K$25*(D291-B291))</f>
        <v>1.9999998807907104</v>
      </c>
      <c r="Q291" s="409">
        <f ca="1">(1-'main page'!$K$29)*($AS$11/100)*100+'main page'!$K$25*(D291-B291)</f>
        <v>5.9604644775390625E-8</v>
      </c>
      <c r="R291" s="409">
        <f>'main page'!G295+'main page'!$K$29*M290</f>
        <v>0</v>
      </c>
      <c r="S291" s="409">
        <f t="shared" ca="1" si="41"/>
        <v>5.9604644775390625E-8</v>
      </c>
      <c r="T291" s="79">
        <f ca="1">IF(controls!$B$10=1,T290,IF(SUM(controls!$B$44:$B$46)=2,U291-'main page'!$K$29*'normal case'!L291-(1-'main page'!$K$29)*'main page'!$K$32,U291-'main page'!$K$29*'normal case'!L291-(1-'main page'!$K$29)*controls!$B$9))</f>
        <v>3.4999999701976776</v>
      </c>
      <c r="U291" s="164">
        <f ca="1">IF(controls!$B$45=1,IF(controls!$B$46=1,'main page'!$K$24+'main page'!$K$11+'main page'!$U$8,'main page'!$K$24+'main page'!$K$11+'main page'!$K$32),IF(controls!$B$44=1,IF(V291&lt;0,0,V291),IF(V291+'main page'!$K$11&lt;0,0,V291+'main page'!$K$11)))</f>
        <v>5.4999998509883881</v>
      </c>
      <c r="V291" s="63">
        <f ca="1">IF(controls!$B$10=1,'normal case'!T291+'normal case'!L291,'normal case'!W291)</f>
        <v>5.4999998509883881</v>
      </c>
      <c r="W291" s="61">
        <f t="shared" ca="1" si="37"/>
        <v>5.4999998509883881</v>
      </c>
      <c r="X291" s="166">
        <f ca="1">IF(controls!$B$44=0,Y291+'main page'!$K$29*L291+(1-'main page'!$K$29)*controls!$B$9+(('main page'!$K$25*'main page'!$U$13*'main page'!$K$29)/('main page'!$K$27*(1+('main page'!$K$25^2)*'main page'!$U$13)))*(L291-controls!$B$9),Y291+'main page'!$K$29*L291+(1-'main page'!$K$29)*controls!$B$9+(('main page'!$K$25*'main page'!$U$13*'normal case'!$AV$3)/'normal case'!$AV$4)*('normal case'!L291-controls!$B$9))</f>
        <v>5.4999998509883881</v>
      </c>
      <c r="Y291" s="81">
        <f ca="1">IF(controls!$B$44=1,'main page'!$K$24+'main page'!$K$11,IF(controls!$B$33=1,((I292-D291*AD292-B292+B291*AC292)/'main page'!$K$27)-'main page'!$K$11,((H292-D291*AD292-B292+B291*AC292)/'main page'!$K$27)-'main page'!$K$11))</f>
        <v>3.5</v>
      </c>
      <c r="AA291" s="58">
        <f>IF(controls!$B$6=1,$AS$3*(1+('main page'!$K$35/100))^AB291-$AS$3*(1+('main page'!$K$35/100))^AB290,$AS$3*(1+('main page'!$G$8/100))*(1+('main page'!$K$35/100))^AB291-$AS$3*(1+('main page'!$G$8/100))*(1+('main page'!$K$35/100))^AB290)</f>
        <v>0</v>
      </c>
      <c r="AB291" s="60">
        <v>284</v>
      </c>
      <c r="AC291" s="125">
        <v>0</v>
      </c>
      <c r="AD291" s="36">
        <v>0</v>
      </c>
      <c r="AE291" s="44">
        <f ca="1">IF(controls!$B$33=1,D291-($I$3-'main page'!$K$27*2)*(1+('main page'!$K$35/100))^A290,D291-$AS$4)</f>
        <v>1.0000000596046448</v>
      </c>
      <c r="AF291" s="44">
        <f ca="1">ABS(L291-(controls!$B$9/100)*100)</f>
        <v>1.1920928955078125E-7</v>
      </c>
      <c r="AH291" s="44">
        <f ca="1">IF(controls!$B$33=1,(B292-B291*AC292-I292+D291*AD292+'main page'!$K$27*('main page'!$K$24+'main page'!$K$11))/'main page'!$K$31,(B292-B291*AC292+D291*AD292-H292+'main page'!$K$27*('main page'!$K$24+'main page'!$K$11))/'main page'!$K$31)</f>
        <v>1</v>
      </c>
      <c r="AI291" s="44">
        <f ca="1">IF(controls!$B$45=1,LOG(AM291,1.01)+LOG(AL291,1.01)-LOG(AK291,1.01),-((T291-('main page'!$K$24+'main page'!$K$11))/(1-'normal case'!$AV$3))+'normal case'!AH291)</f>
        <v>2.0000000596046448</v>
      </c>
      <c r="AJ291" s="80">
        <f t="shared" ca="1" si="38"/>
        <v>1.0506250015463039</v>
      </c>
      <c r="AK291" s="44">
        <f t="shared" ca="1" si="39"/>
        <v>293.97186777335389</v>
      </c>
      <c r="AL291" s="44">
        <f>AL290*(1+'main page'!$K$32/100)</f>
        <v>1</v>
      </c>
      <c r="AM291" s="44">
        <f ca="1">IF(ABS(IF(controls!$B$45=1,$AS$13,AK291*AJ291/AL291)-AM290)&lt;0.00001,AM290,IF(controls!$B$45=1,$AS$13,AK291*AJ291/AL291))</f>
        <v>308.8541940339498</v>
      </c>
      <c r="AN291" s="44">
        <f>IF(controls!$B$46=0,0,IF(controls!$B$33=2,B292-B291*AC292-('normal case'!H292-D291*AD292-'main page'!$K$27*'normal case'!T291+'main page'!$K$31*'normal case'!AI291)-(('main page'!$K$25*'main page'!$U$13*'main page'!$K$29)/(1+('main page'!$K$25^2)*'main page'!$U$13))*('normal case'!L291-'main page'!$U$8),B292-B291*AC292-('normal case'!I292-D291*AD292-'main page'!$K$27*'normal case'!T291+'main page'!$K$31*'normal case'!AI291)-(('main page'!$K$25*'main page'!$U$13*'main page'!$K$29)/(1+('main page'!$K$25^2)*'main page'!$U$13))*('normal case'!L291-'main page'!$U$8)))</f>
        <v>0</v>
      </c>
      <c r="AU291" s="36"/>
      <c r="AV291" s="36"/>
    </row>
    <row r="292" spans="1:48">
      <c r="A292" s="43">
        <v>290</v>
      </c>
      <c r="B292" s="62">
        <f ca="1">IF(controls!$B$33=1,B291*(1+AC292)+AA292,B291*(1+AC292))</f>
        <v>101</v>
      </c>
      <c r="C292" s="67">
        <f t="shared" ca="1" si="40"/>
        <v>-1.5107707374006907E-7</v>
      </c>
      <c r="D292" s="64">
        <f t="shared" ca="1" si="36"/>
        <v>101.00000005960464</v>
      </c>
      <c r="E292" s="64">
        <f ca="1">AN291+IF(controls!$B$33=1,G292,F292)</f>
        <v>101.00000005960464</v>
      </c>
      <c r="F292" s="78">
        <f ca="1">IF(controls!$B$44=0,H292-'main page'!$K$27*T291,H292-'main page'!$K$27*T291+'main page'!$K$31*AI291)</f>
        <v>101.00000005960464</v>
      </c>
      <c r="G292" s="62">
        <f ca="1">IF(controls!$B$44=0,I292-'main page'!$K$27*T291,I292-'main page'!$K$27*T291+'main page'!$K$31*'normal case'!AI291)</f>
        <v>101.00000005960464</v>
      </c>
      <c r="H292" s="62">
        <f t="shared" ca="1" si="42"/>
        <v>108</v>
      </c>
      <c r="I292" s="62">
        <f t="shared" ca="1" si="43"/>
        <v>108</v>
      </c>
      <c r="L292" s="62">
        <f ca="1">IF(ABS('main page'!$K$29*L291+(1-'main page'!$K$29)*(controls!$B$9/100)*100+'main page'!$K$25*(D292-B292)-L291)&lt;0.0000001,L291,'main page'!$K$29*L291+(1-'main page'!$K$29)*(controls!$B$9/100)*100+'main page'!$K$25*(D292-B292))</f>
        <v>1.9999998807907104</v>
      </c>
      <c r="Q292" s="409">
        <f ca="1">(1-'main page'!$K$29)*($AS$11/100)*100+'main page'!$K$25*(D292-B292)</f>
        <v>5.9604644775390625E-8</v>
      </c>
      <c r="R292" s="409">
        <f>'main page'!G296+'main page'!$K$29*M291</f>
        <v>0</v>
      </c>
      <c r="S292" s="409">
        <f t="shared" ca="1" si="41"/>
        <v>5.9604644775390625E-8</v>
      </c>
      <c r="T292" s="79">
        <f ca="1">IF(controls!$B$10=1,T291,IF(SUM(controls!$B$44:$B$46)=2,U292-'main page'!$K$29*'normal case'!L292-(1-'main page'!$K$29)*'main page'!$K$32,U292-'main page'!$K$29*'normal case'!L292-(1-'main page'!$K$29)*controls!$B$9))</f>
        <v>3.4999999701976776</v>
      </c>
      <c r="U292" s="164">
        <f ca="1">IF(controls!$B$45=1,IF(controls!$B$46=1,'main page'!$K$24+'main page'!$K$11+'main page'!$U$8,'main page'!$K$24+'main page'!$K$11+'main page'!$K$32),IF(controls!$B$44=1,IF(V292&lt;0,0,V292),IF(V292+'main page'!$K$11&lt;0,0,V292+'main page'!$K$11)))</f>
        <v>5.4999998509883881</v>
      </c>
      <c r="V292" s="63">
        <f ca="1">IF(controls!$B$10=1,'normal case'!T292+'normal case'!L292,'normal case'!W292)</f>
        <v>5.4999998509883881</v>
      </c>
      <c r="W292" s="61">
        <f t="shared" ca="1" si="37"/>
        <v>5.4999998509883881</v>
      </c>
      <c r="X292" s="166">
        <f ca="1">IF(controls!$B$44=0,Y292+'main page'!$K$29*L292+(1-'main page'!$K$29)*controls!$B$9+(('main page'!$K$25*'main page'!$U$13*'main page'!$K$29)/('main page'!$K$27*(1+('main page'!$K$25^2)*'main page'!$U$13)))*(L292-controls!$B$9),Y292+'main page'!$K$29*L292+(1-'main page'!$K$29)*controls!$B$9+(('main page'!$K$25*'main page'!$U$13*'normal case'!$AV$3)/'normal case'!$AV$4)*('normal case'!L292-controls!$B$9))</f>
        <v>5.4999998509883881</v>
      </c>
      <c r="Y292" s="81">
        <f ca="1">IF(controls!$B$44=1,'main page'!$K$24+'main page'!$K$11,IF(controls!$B$33=1,((I293-D292*AD293-B293+B292*AC293)/'main page'!$K$27)-'main page'!$K$11,((H293-D292*AD293-B293+B292*AC293)/'main page'!$K$27)-'main page'!$K$11))</f>
        <v>3.5</v>
      </c>
      <c r="AA292" s="58">
        <f>IF(controls!$B$6=1,$AS$3*(1+('main page'!$K$35/100))^AB292-$AS$3*(1+('main page'!$K$35/100))^AB291,$AS$3*(1+('main page'!$G$8/100))*(1+('main page'!$K$35/100))^AB292-$AS$3*(1+('main page'!$G$8/100))*(1+('main page'!$K$35/100))^AB291)</f>
        <v>0</v>
      </c>
      <c r="AB292" s="60">
        <v>285</v>
      </c>
      <c r="AC292" s="125">
        <v>0</v>
      </c>
      <c r="AD292" s="36">
        <v>0</v>
      </c>
      <c r="AE292" s="44">
        <f ca="1">IF(controls!$B$33=1,D292-($I$3-'main page'!$K$27*2)*(1+('main page'!$K$35/100))^A291,D292-$AS$4)</f>
        <v>1.0000000596046448</v>
      </c>
      <c r="AF292" s="44">
        <f ca="1">ABS(L292-(controls!$B$9/100)*100)</f>
        <v>1.1920928955078125E-7</v>
      </c>
      <c r="AH292" s="44">
        <f ca="1">IF(controls!$B$33=1,(B293-B292*AC293-I293+D292*AD293+'main page'!$K$27*('main page'!$K$24+'main page'!$K$11))/'main page'!$K$31,(B293-B292*AC293+D292*AD293-H293+'main page'!$K$27*('main page'!$K$24+'main page'!$K$11))/'main page'!$K$31)</f>
        <v>1</v>
      </c>
      <c r="AI292" s="44">
        <f ca="1">IF(controls!$B$45=1,LOG(AM292,1.01)+LOG(AL292,1.01)-LOG(AK292,1.01),-((T292-('main page'!$K$24+'main page'!$K$11))/(1-'normal case'!$AV$3))+'normal case'!AH292)</f>
        <v>2.0000000596046448</v>
      </c>
      <c r="AJ292" s="80">
        <f t="shared" ca="1" si="38"/>
        <v>1.0506250015463039</v>
      </c>
      <c r="AK292" s="44">
        <f t="shared" ca="1" si="39"/>
        <v>299.85130477837919</v>
      </c>
      <c r="AL292" s="44">
        <f>AL291*(1+'main page'!$K$32/100)</f>
        <v>1</v>
      </c>
      <c r="AM292" s="44">
        <f ca="1">IF(ABS(IF(controls!$B$45=1,$AS$13,AK292*AJ292/AL292)-AM291)&lt;0.00001,AM291,IF(controls!$B$45=1,$AS$13,AK292*AJ292/AL292))</f>
        <v>315.03127754644589</v>
      </c>
      <c r="AN292" s="44">
        <f>IF(controls!$B$46=0,0,IF(controls!$B$33=2,B293-B292*AC293-('normal case'!H293-D292*AD293-'main page'!$K$27*'normal case'!T292+'main page'!$K$31*'normal case'!AI292)-(('main page'!$K$25*'main page'!$U$13*'main page'!$K$29)/(1+('main page'!$K$25^2)*'main page'!$U$13))*('normal case'!L292-'main page'!$U$8),B293-B292*AC293-('normal case'!I293-D292*AD293-'main page'!$K$27*'normal case'!T292+'main page'!$K$31*'normal case'!AI292)-(('main page'!$K$25*'main page'!$U$13*'main page'!$K$29)/(1+('main page'!$K$25^2)*'main page'!$U$13))*('normal case'!L292-'main page'!$U$8)))</f>
        <v>0</v>
      </c>
      <c r="AU292" s="36"/>
      <c r="AV292" s="36"/>
    </row>
    <row r="293" spans="1:48">
      <c r="A293" s="43">
        <v>291</v>
      </c>
      <c r="B293" s="62">
        <f ca="1">IF(controls!$B$33=1,B292*(1+AC293)+AA293,B292*(1+AC293))</f>
        <v>101</v>
      </c>
      <c r="C293" s="67">
        <f t="shared" ca="1" si="40"/>
        <v>-1.5107707374006907E-7</v>
      </c>
      <c r="D293" s="64">
        <f t="shared" ca="1" si="36"/>
        <v>101.00000005960464</v>
      </c>
      <c r="E293" s="64">
        <f ca="1">AN292+IF(controls!$B$33=1,G293,F293)</f>
        <v>101.00000005960464</v>
      </c>
      <c r="F293" s="78">
        <f ca="1">IF(controls!$B$44=0,H293-'main page'!$K$27*T292,H293-'main page'!$K$27*T292+'main page'!$K$31*AI292)</f>
        <v>101.00000005960464</v>
      </c>
      <c r="G293" s="62">
        <f ca="1">IF(controls!$B$44=0,I293-'main page'!$K$27*T292,I293-'main page'!$K$27*T292+'main page'!$K$31*'normal case'!AI292)</f>
        <v>101.00000005960464</v>
      </c>
      <c r="H293" s="62">
        <f t="shared" ca="1" si="42"/>
        <v>108</v>
      </c>
      <c r="I293" s="62">
        <f t="shared" ca="1" si="43"/>
        <v>108</v>
      </c>
      <c r="L293" s="62">
        <f ca="1">IF(ABS('main page'!$K$29*L292+(1-'main page'!$K$29)*(controls!$B$9/100)*100+'main page'!$K$25*(D293-B293)-L292)&lt;0.0000001,L292,'main page'!$K$29*L292+(1-'main page'!$K$29)*(controls!$B$9/100)*100+'main page'!$K$25*(D293-B293))</f>
        <v>1.9999998807907104</v>
      </c>
      <c r="Q293" s="409">
        <f ca="1">(1-'main page'!$K$29)*($AS$11/100)*100+'main page'!$K$25*(D293-B293)</f>
        <v>5.9604644775390625E-8</v>
      </c>
      <c r="R293" s="409">
        <f>'main page'!G297+'main page'!$K$29*M292</f>
        <v>0</v>
      </c>
      <c r="S293" s="409">
        <f t="shared" ca="1" si="41"/>
        <v>5.9604644775390625E-8</v>
      </c>
      <c r="T293" s="79">
        <f ca="1">IF(controls!$B$10=1,T292,IF(SUM(controls!$B$44:$B$46)=2,U293-'main page'!$K$29*'normal case'!L293-(1-'main page'!$K$29)*'main page'!$K$32,U293-'main page'!$K$29*'normal case'!L293-(1-'main page'!$K$29)*controls!$B$9))</f>
        <v>3.4999999701976776</v>
      </c>
      <c r="U293" s="164">
        <f ca="1">IF(controls!$B$45=1,IF(controls!$B$46=1,'main page'!$K$24+'main page'!$K$11+'main page'!$U$8,'main page'!$K$24+'main page'!$K$11+'main page'!$K$32),IF(controls!$B$44=1,IF(V293&lt;0,0,V293),IF(V293+'main page'!$K$11&lt;0,0,V293+'main page'!$K$11)))</f>
        <v>5.4999998509883881</v>
      </c>
      <c r="V293" s="63">
        <f ca="1">IF(controls!$B$10=1,'normal case'!T293+'normal case'!L293,'normal case'!W293)</f>
        <v>5.4999998509883881</v>
      </c>
      <c r="W293" s="61">
        <f t="shared" ca="1" si="37"/>
        <v>5.4999998509883881</v>
      </c>
      <c r="X293" s="166">
        <f ca="1">IF(controls!$B$44=0,Y293+'main page'!$K$29*L293+(1-'main page'!$K$29)*controls!$B$9+(('main page'!$K$25*'main page'!$U$13*'main page'!$K$29)/('main page'!$K$27*(1+('main page'!$K$25^2)*'main page'!$U$13)))*(L293-controls!$B$9),Y293+'main page'!$K$29*L293+(1-'main page'!$K$29)*controls!$B$9+(('main page'!$K$25*'main page'!$U$13*'normal case'!$AV$3)/'normal case'!$AV$4)*('normal case'!L293-controls!$B$9))</f>
        <v>5.4999998509883881</v>
      </c>
      <c r="Y293" s="81">
        <f ca="1">IF(controls!$B$44=1,'main page'!$K$24+'main page'!$K$11,IF(controls!$B$33=1,((I294-D293*AD294-B294+B293*AC294)/'main page'!$K$27)-'main page'!$K$11,((H294-D293*AD294-B294+B293*AC294)/'main page'!$K$27)-'main page'!$K$11))</f>
        <v>3.5</v>
      </c>
      <c r="AA293" s="58">
        <f>IF(controls!$B$6=1,$AS$3*(1+('main page'!$K$35/100))^AB293-$AS$3*(1+('main page'!$K$35/100))^AB292,$AS$3*(1+('main page'!$G$8/100))*(1+('main page'!$K$35/100))^AB293-$AS$3*(1+('main page'!$G$8/100))*(1+('main page'!$K$35/100))^AB292)</f>
        <v>0</v>
      </c>
      <c r="AB293" s="60">
        <v>286</v>
      </c>
      <c r="AC293" s="125">
        <f ca="1">IF(controls!$B$4=1,IF(controls!$H292=1,controls!$B$34*AC292+RAND()*('main page'!$K$16/100)-RAND()*('main page'!$K$16/100),0),0)</f>
        <v>0</v>
      </c>
      <c r="AD293" s="36">
        <f ca="1">IF(controls!$B$4=1,IF(controls!$I292=1,controls!$B$34*AD292+RAND()*('main page'!$K$16/100)-RAND()*('main page'!$K$16/100),0),0)</f>
        <v>0</v>
      </c>
      <c r="AE293" s="44">
        <f ca="1">IF(controls!$B$33=1,D293-($I$3-'main page'!$K$27*2)*(1+('main page'!$K$35/100))^A292,D293-$AS$4)</f>
        <v>1.0000000596046448</v>
      </c>
      <c r="AF293" s="44">
        <f ca="1">ABS(L293-(controls!$B$9/100)*100)</f>
        <v>1.1920928955078125E-7</v>
      </c>
      <c r="AH293" s="44">
        <f ca="1">IF(controls!$B$33=1,(B294-B293*AC294-I294+D293*AD294+'main page'!$K$27*('main page'!$K$24+'main page'!$K$11))/'main page'!$K$31,(B294-B293*AC294+D293*AD294-H294+'main page'!$K$27*('main page'!$K$24+'main page'!$K$11))/'main page'!$K$31)</f>
        <v>1</v>
      </c>
      <c r="AI293" s="44">
        <f ca="1">IF(controls!$B$45=1,LOG(AM293,1.01)+LOG(AL293,1.01)-LOG(AK293,1.01),-((T293-('main page'!$K$24+'main page'!$K$11))/(1-'normal case'!$AV$3))+'normal case'!AH293)</f>
        <v>2.0000000596046448</v>
      </c>
      <c r="AJ293" s="80">
        <f t="shared" ca="1" si="38"/>
        <v>1.0506250015463039</v>
      </c>
      <c r="AK293" s="44">
        <f t="shared" ca="1" si="39"/>
        <v>305.84833051649616</v>
      </c>
      <c r="AL293" s="44">
        <f>AL292*(1+'main page'!$K$32/100)</f>
        <v>1</v>
      </c>
      <c r="AM293" s="44">
        <f ca="1">IF(ABS(IF(controls!$B$45=1,$AS$13,AK293*AJ293/AL293)-AM292)&lt;0.00001,AM292,IF(controls!$B$45=1,$AS$13,AK293*AJ293/AL293))</f>
        <v>321.33190272182827</v>
      </c>
      <c r="AN293" s="44">
        <f>IF(controls!$B$46=0,0,IF(controls!$B$33=2,B294-B293*AC294-('normal case'!H294-D293*AD294-'main page'!$K$27*'normal case'!T293+'main page'!$K$31*'normal case'!AI293)-(('main page'!$K$25*'main page'!$U$13*'main page'!$K$29)/(1+('main page'!$K$25^2)*'main page'!$U$13))*('normal case'!L293-'main page'!$U$8),B294-B293*AC294-('normal case'!I294-D293*AD294-'main page'!$K$27*'normal case'!T293+'main page'!$K$31*'normal case'!AI293)-(('main page'!$K$25*'main page'!$U$13*'main page'!$K$29)/(1+('main page'!$K$25^2)*'main page'!$U$13))*('normal case'!L293-'main page'!$U$8)))</f>
        <v>0</v>
      </c>
      <c r="AU293" s="36"/>
      <c r="AV293" s="36"/>
    </row>
    <row r="294" spans="1:48">
      <c r="A294" s="43">
        <v>292</v>
      </c>
      <c r="B294" s="62">
        <f ca="1">IF(controls!$B$33=1,B293*(1+AC294)+AA294,B293*(1+AC294))</f>
        <v>101</v>
      </c>
      <c r="C294" s="67">
        <f t="shared" ca="1" si="40"/>
        <v>-1.5107707374006907E-7</v>
      </c>
      <c r="D294" s="64">
        <f t="shared" ca="1" si="36"/>
        <v>101.00000005960464</v>
      </c>
      <c r="E294" s="64">
        <f ca="1">AN293+IF(controls!$B$33=1,G294,F294)</f>
        <v>101.00000005960464</v>
      </c>
      <c r="F294" s="78">
        <f ca="1">IF(controls!$B$44=0,H294-'main page'!$K$27*T293,H294-'main page'!$K$27*T293+'main page'!$K$31*AI293)</f>
        <v>101.00000005960464</v>
      </c>
      <c r="G294" s="62">
        <f ca="1">IF(controls!$B$44=0,I294-'main page'!$K$27*T293,I294-'main page'!$K$27*T293+'main page'!$K$31*'normal case'!AI293)</f>
        <v>101.00000005960464</v>
      </c>
      <c r="H294" s="62">
        <f t="shared" ca="1" si="42"/>
        <v>108</v>
      </c>
      <c r="I294" s="62">
        <f t="shared" ca="1" si="43"/>
        <v>108</v>
      </c>
      <c r="L294" s="62">
        <f ca="1">IF(ABS('main page'!$K$29*L293+(1-'main page'!$K$29)*(controls!$B$9/100)*100+'main page'!$K$25*(D294-B294)-L293)&lt;0.0000001,L293,'main page'!$K$29*L293+(1-'main page'!$K$29)*(controls!$B$9/100)*100+'main page'!$K$25*(D294-B294))</f>
        <v>1.9999998807907104</v>
      </c>
      <c r="Q294" s="409">
        <f ca="1">(1-'main page'!$K$29)*($AS$11/100)*100+'main page'!$K$25*(D294-B294)</f>
        <v>5.9604644775390625E-8</v>
      </c>
      <c r="R294" s="409">
        <f>'main page'!G298+'main page'!$K$29*M293</f>
        <v>0</v>
      </c>
      <c r="S294" s="409">
        <f t="shared" ca="1" si="41"/>
        <v>5.9604644775390625E-8</v>
      </c>
      <c r="T294" s="79">
        <f ca="1">IF(controls!$B$10=1,T293,IF(SUM(controls!$B$44:$B$46)=2,U294-'main page'!$K$29*'normal case'!L294-(1-'main page'!$K$29)*'main page'!$K$32,U294-'main page'!$K$29*'normal case'!L294-(1-'main page'!$K$29)*controls!$B$9))</f>
        <v>3.4999999701976776</v>
      </c>
      <c r="U294" s="164">
        <f ca="1">IF(controls!$B$45=1,IF(controls!$B$46=1,'main page'!$K$24+'main page'!$K$11+'main page'!$U$8,'main page'!$K$24+'main page'!$K$11+'main page'!$K$32),IF(controls!$B$44=1,IF(V294&lt;0,0,V294),IF(V294+'main page'!$K$11&lt;0,0,V294+'main page'!$K$11)))</f>
        <v>5.4999998509883881</v>
      </c>
      <c r="V294" s="63">
        <f ca="1">IF(controls!$B$10=1,'normal case'!T294+'normal case'!L294,'normal case'!W294)</f>
        <v>5.4999998509883881</v>
      </c>
      <c r="W294" s="61">
        <f t="shared" ca="1" si="37"/>
        <v>5.4999998509883881</v>
      </c>
      <c r="X294" s="166">
        <f ca="1">IF(controls!$B$44=0,Y294+'main page'!$K$29*L294+(1-'main page'!$K$29)*controls!$B$9+(('main page'!$K$25*'main page'!$U$13*'main page'!$K$29)/('main page'!$K$27*(1+('main page'!$K$25^2)*'main page'!$U$13)))*(L294-controls!$B$9),Y294+'main page'!$K$29*L294+(1-'main page'!$K$29)*controls!$B$9+(('main page'!$K$25*'main page'!$U$13*'normal case'!$AV$3)/'normal case'!$AV$4)*('normal case'!L294-controls!$B$9))</f>
        <v>5.4999998509883881</v>
      </c>
      <c r="Y294" s="81">
        <f ca="1">IF(controls!$B$44=1,'main page'!$K$24+'main page'!$K$11,IF(controls!$B$33=1,((I295-D294*AD295-B295+B294*AC295)/'main page'!$K$27)-'main page'!$K$11,((H295-D294*AD295-B295+B294*AC295)/'main page'!$K$27)-'main page'!$K$11))</f>
        <v>3.5</v>
      </c>
      <c r="AA294" s="58">
        <f>IF(controls!$B$6=1,$AS$3*(1+('main page'!$K$35/100))^AB294-$AS$3*(1+('main page'!$K$35/100))^AB293,$AS$3*(1+('main page'!$G$8/100))*(1+('main page'!$K$35/100))^AB294-$AS$3*(1+('main page'!$G$8/100))*(1+('main page'!$K$35/100))^AB293)</f>
        <v>0</v>
      </c>
      <c r="AB294" s="60">
        <v>287</v>
      </c>
      <c r="AC294" s="125">
        <v>0</v>
      </c>
      <c r="AD294" s="36">
        <v>0</v>
      </c>
      <c r="AE294" s="44">
        <f ca="1">IF(controls!$B$33=1,D294-($I$3-'main page'!$K$27*2)*(1+('main page'!$K$35/100))^A293,D294-$AS$4)</f>
        <v>1.0000000596046448</v>
      </c>
      <c r="AF294" s="44">
        <f ca="1">ABS(L294-(controls!$B$9/100)*100)</f>
        <v>1.1920928955078125E-7</v>
      </c>
      <c r="AH294" s="44">
        <f ca="1">IF(controls!$B$33=1,(B295-B294*AC295-I295+D294*AD295+'main page'!$K$27*('main page'!$K$24+'main page'!$K$11))/'main page'!$K$31,(B295-B294*AC295+D294*AD295-H295+'main page'!$K$27*('main page'!$K$24+'main page'!$K$11))/'main page'!$K$31)</f>
        <v>1</v>
      </c>
      <c r="AI294" s="44">
        <f ca="1">IF(controls!$B$45=1,LOG(AM294,1.01)+LOG(AL294,1.01)-LOG(AK294,1.01),-((T294-('main page'!$K$24+'main page'!$K$11))/(1-'normal case'!$AV$3))+'normal case'!AH294)</f>
        <v>2.0000000596046448</v>
      </c>
      <c r="AJ294" s="80">
        <f t="shared" ca="1" si="38"/>
        <v>1.0506250015463039</v>
      </c>
      <c r="AK294" s="44">
        <f t="shared" ca="1" si="39"/>
        <v>311.9652967622265</v>
      </c>
      <c r="AL294" s="44">
        <f>AL293*(1+'main page'!$K$32/100)</f>
        <v>1</v>
      </c>
      <c r="AM294" s="44">
        <f ca="1">IF(ABS(IF(controls!$B$45=1,$AS$13,AK294*AJ294/AL294)-AM293)&lt;0.00001,AM293,IF(controls!$B$45=1,$AS$13,AK294*AJ294/AL294))</f>
        <v>327.7585403932074</v>
      </c>
      <c r="AN294" s="44">
        <f>IF(controls!$B$46=0,0,IF(controls!$B$33=2,B295-B294*AC295-('normal case'!H295-D294*AD295-'main page'!$K$27*'normal case'!T294+'main page'!$K$31*'normal case'!AI294)-(('main page'!$K$25*'main page'!$U$13*'main page'!$K$29)/(1+('main page'!$K$25^2)*'main page'!$U$13))*('normal case'!L294-'main page'!$U$8),B295-B294*AC295-('normal case'!I295-D294*AD295-'main page'!$K$27*'normal case'!T294+'main page'!$K$31*'normal case'!AI294)-(('main page'!$K$25*'main page'!$U$13*'main page'!$K$29)/(1+('main page'!$K$25^2)*'main page'!$U$13))*('normal case'!L294-'main page'!$U$8)))</f>
        <v>0</v>
      </c>
      <c r="AU294" s="36"/>
      <c r="AV294" s="36"/>
    </row>
    <row r="295" spans="1:48">
      <c r="A295" s="43">
        <v>293</v>
      </c>
      <c r="B295" s="62">
        <f ca="1">IF(controls!$B$33=1,B294*(1+AC295)+AA295,B294*(1+AC295))</f>
        <v>101</v>
      </c>
      <c r="C295" s="67">
        <f t="shared" ca="1" si="40"/>
        <v>-1.5107707374006907E-7</v>
      </c>
      <c r="D295" s="64">
        <f t="shared" ca="1" si="36"/>
        <v>101.00000005960464</v>
      </c>
      <c r="E295" s="64">
        <f ca="1">AN294+IF(controls!$B$33=1,G295,F295)</f>
        <v>101.00000005960464</v>
      </c>
      <c r="F295" s="78">
        <f ca="1">IF(controls!$B$44=0,H295-'main page'!$K$27*T294,H295-'main page'!$K$27*T294+'main page'!$K$31*AI294)</f>
        <v>101.00000005960464</v>
      </c>
      <c r="G295" s="62">
        <f ca="1">IF(controls!$B$44=0,I295-'main page'!$K$27*T294,I295-'main page'!$K$27*T294+'main page'!$K$31*'normal case'!AI294)</f>
        <v>101.00000005960464</v>
      </c>
      <c r="H295" s="62">
        <f t="shared" ca="1" si="42"/>
        <v>108</v>
      </c>
      <c r="I295" s="62">
        <f t="shared" ca="1" si="43"/>
        <v>108</v>
      </c>
      <c r="L295" s="62">
        <f ca="1">IF(ABS('main page'!$K$29*L294+(1-'main page'!$K$29)*(controls!$B$9/100)*100+'main page'!$K$25*(D295-B295)-L294)&lt;0.0000001,L294,'main page'!$K$29*L294+(1-'main page'!$K$29)*(controls!$B$9/100)*100+'main page'!$K$25*(D295-B295))</f>
        <v>1.9999998807907104</v>
      </c>
      <c r="Q295" s="409">
        <f ca="1">(1-'main page'!$K$29)*($AS$11/100)*100+'main page'!$K$25*(D295-B295)</f>
        <v>5.9604644775390625E-8</v>
      </c>
      <c r="R295" s="409">
        <f>'main page'!G299+'main page'!$K$29*M294</f>
        <v>0</v>
      </c>
      <c r="S295" s="409">
        <f t="shared" ca="1" si="41"/>
        <v>5.9604644775390625E-8</v>
      </c>
      <c r="T295" s="79">
        <f ca="1">IF(controls!$B$10=1,T294,IF(SUM(controls!$B$44:$B$46)=2,U295-'main page'!$K$29*'normal case'!L295-(1-'main page'!$K$29)*'main page'!$K$32,U295-'main page'!$K$29*'normal case'!L295-(1-'main page'!$K$29)*controls!$B$9))</f>
        <v>3.4999999701976776</v>
      </c>
      <c r="U295" s="164">
        <f ca="1">IF(controls!$B$45=1,IF(controls!$B$46=1,'main page'!$K$24+'main page'!$K$11+'main page'!$U$8,'main page'!$K$24+'main page'!$K$11+'main page'!$K$32),IF(controls!$B$44=1,IF(V295&lt;0,0,V295),IF(V295+'main page'!$K$11&lt;0,0,V295+'main page'!$K$11)))</f>
        <v>5.4999998509883881</v>
      </c>
      <c r="V295" s="63">
        <f ca="1">IF(controls!$B$10=1,'normal case'!T295+'normal case'!L295,'normal case'!W295)</f>
        <v>5.4999998509883881</v>
      </c>
      <c r="W295" s="61">
        <f t="shared" ca="1" si="37"/>
        <v>5.4999998509883881</v>
      </c>
      <c r="X295" s="166">
        <f ca="1">IF(controls!$B$44=0,Y295+'main page'!$K$29*L295+(1-'main page'!$K$29)*controls!$B$9+(('main page'!$K$25*'main page'!$U$13*'main page'!$K$29)/('main page'!$K$27*(1+('main page'!$K$25^2)*'main page'!$U$13)))*(L295-controls!$B$9),Y295+'main page'!$K$29*L295+(1-'main page'!$K$29)*controls!$B$9+(('main page'!$K$25*'main page'!$U$13*'normal case'!$AV$3)/'normal case'!$AV$4)*('normal case'!L295-controls!$B$9))</f>
        <v>5.4999998509883881</v>
      </c>
      <c r="Y295" s="81">
        <f ca="1">IF(controls!$B$44=1,'main page'!$K$24+'main page'!$K$11,IF(controls!$B$33=1,((I296-D295*AD296-B296+B295*AC296)/'main page'!$K$27)-'main page'!$K$11,((H296-D295*AD296-B296+B295*AC296)/'main page'!$K$27)-'main page'!$K$11))</f>
        <v>3.5</v>
      </c>
      <c r="AA295" s="58">
        <f>IF(controls!$B$6=1,$AS$3*(1+('main page'!$K$35/100))^AB295-$AS$3*(1+('main page'!$K$35/100))^AB294,$AS$3*(1+('main page'!$G$8/100))*(1+('main page'!$K$35/100))^AB295-$AS$3*(1+('main page'!$G$8/100))*(1+('main page'!$K$35/100))^AB294)</f>
        <v>0</v>
      </c>
      <c r="AB295" s="60">
        <v>288</v>
      </c>
      <c r="AC295" s="125">
        <v>0</v>
      </c>
      <c r="AD295" s="36">
        <v>0</v>
      </c>
      <c r="AE295" s="44">
        <f ca="1">IF(controls!$B$33=1,D295-($I$3-'main page'!$K$27*2)*(1+('main page'!$K$35/100))^A294,D295-$AS$4)</f>
        <v>1.0000000596046448</v>
      </c>
      <c r="AF295" s="44">
        <f ca="1">ABS(L295-(controls!$B$9/100)*100)</f>
        <v>1.1920928955078125E-7</v>
      </c>
      <c r="AH295" s="44">
        <f ca="1">IF(controls!$B$33=1,(B296-B295*AC296-I296+D295*AD296+'main page'!$K$27*('main page'!$K$24+'main page'!$K$11))/'main page'!$K$31,(B296-B295*AC296+D295*AD296-H296+'main page'!$K$27*('main page'!$K$24+'main page'!$K$11))/'main page'!$K$31)</f>
        <v>1</v>
      </c>
      <c r="AI295" s="44">
        <f ca="1">IF(controls!$B$45=1,LOG(AM295,1.01)+LOG(AL295,1.01)-LOG(AK295,1.01),-((T295-('main page'!$K$24+'main page'!$K$11))/(1-'normal case'!$AV$3))+'normal case'!AH295)</f>
        <v>2.0000000596046448</v>
      </c>
      <c r="AJ295" s="80">
        <f t="shared" ca="1" si="38"/>
        <v>1.0506250015463039</v>
      </c>
      <c r="AK295" s="44">
        <f t="shared" ca="1" si="39"/>
        <v>318.20460232557946</v>
      </c>
      <c r="AL295" s="44">
        <f>AL294*(1+'main page'!$K$32/100)</f>
        <v>1</v>
      </c>
      <c r="AM295" s="44">
        <f ca="1">IF(ABS(IF(controls!$B$45=1,$AS$13,AK295*AJ295/AL295)-AM294)&lt;0.00001,AM294,IF(controls!$B$45=1,$AS$13,AK295*AJ295/AL295))</f>
        <v>334.31371081035292</v>
      </c>
      <c r="AN295" s="44">
        <f>IF(controls!$B$46=0,0,IF(controls!$B$33=2,B296-B295*AC296-('normal case'!H296-D295*AD296-'main page'!$K$27*'normal case'!T295+'main page'!$K$31*'normal case'!AI295)-(('main page'!$K$25*'main page'!$U$13*'main page'!$K$29)/(1+('main page'!$K$25^2)*'main page'!$U$13))*('normal case'!L295-'main page'!$U$8),B296-B295*AC296-('normal case'!I296-D295*AD296-'main page'!$K$27*'normal case'!T295+'main page'!$K$31*'normal case'!AI295)-(('main page'!$K$25*'main page'!$U$13*'main page'!$K$29)/(1+('main page'!$K$25^2)*'main page'!$U$13))*('normal case'!L295-'main page'!$U$8)))</f>
        <v>0</v>
      </c>
      <c r="AU295" s="36"/>
      <c r="AV295" s="36"/>
    </row>
    <row r="296" spans="1:48">
      <c r="A296" s="43">
        <v>294</v>
      </c>
      <c r="B296" s="62">
        <f ca="1">IF(controls!$B$33=1,B295*(1+AC296)+AA296,B295*(1+AC296))</f>
        <v>101</v>
      </c>
      <c r="C296" s="67">
        <f t="shared" ca="1" si="40"/>
        <v>-1.5107707374006907E-7</v>
      </c>
      <c r="D296" s="64">
        <f t="shared" ca="1" si="36"/>
        <v>101.00000005960464</v>
      </c>
      <c r="E296" s="64">
        <f ca="1">AN295+IF(controls!$B$33=1,G296,F296)</f>
        <v>101.00000005960464</v>
      </c>
      <c r="F296" s="78">
        <f ca="1">IF(controls!$B$44=0,H296-'main page'!$K$27*T295,H296-'main page'!$K$27*T295+'main page'!$K$31*AI295)</f>
        <v>101.00000005960464</v>
      </c>
      <c r="G296" s="62">
        <f ca="1">IF(controls!$B$44=0,I296-'main page'!$K$27*T295,I296-'main page'!$K$27*T295+'main page'!$K$31*'normal case'!AI295)</f>
        <v>101.00000005960464</v>
      </c>
      <c r="H296" s="62">
        <f t="shared" ca="1" si="42"/>
        <v>108</v>
      </c>
      <c r="I296" s="62">
        <f t="shared" ca="1" si="43"/>
        <v>108</v>
      </c>
      <c r="L296" s="62">
        <f ca="1">IF(ABS('main page'!$K$29*L295+(1-'main page'!$K$29)*(controls!$B$9/100)*100+'main page'!$K$25*(D296-B296)-L295)&lt;0.0000001,L295,'main page'!$K$29*L295+(1-'main page'!$K$29)*(controls!$B$9/100)*100+'main page'!$K$25*(D296-B296))</f>
        <v>1.9999998807907104</v>
      </c>
      <c r="Q296" s="409">
        <f ca="1">(1-'main page'!$K$29)*($AS$11/100)*100+'main page'!$K$25*(D296-B296)</f>
        <v>5.9604644775390625E-8</v>
      </c>
      <c r="R296" s="409">
        <f>'main page'!G300+'main page'!$K$29*M295</f>
        <v>0</v>
      </c>
      <c r="S296" s="409">
        <f t="shared" ca="1" si="41"/>
        <v>5.9604644775390625E-8</v>
      </c>
      <c r="T296" s="79">
        <f ca="1">IF(controls!$B$10=1,T295,IF(SUM(controls!$B$44:$B$46)=2,U296-'main page'!$K$29*'normal case'!L296-(1-'main page'!$K$29)*'main page'!$K$32,U296-'main page'!$K$29*'normal case'!L296-(1-'main page'!$K$29)*controls!$B$9))</f>
        <v>3.4999999701976776</v>
      </c>
      <c r="U296" s="164">
        <f ca="1">IF(controls!$B$45=1,IF(controls!$B$46=1,'main page'!$K$24+'main page'!$K$11+'main page'!$U$8,'main page'!$K$24+'main page'!$K$11+'main page'!$K$32),IF(controls!$B$44=1,IF(V296&lt;0,0,V296),IF(V296+'main page'!$K$11&lt;0,0,V296+'main page'!$K$11)))</f>
        <v>5.4999998509883881</v>
      </c>
      <c r="V296" s="63">
        <f ca="1">IF(controls!$B$10=1,'normal case'!T296+'normal case'!L296,'normal case'!W296)</f>
        <v>5.4999998509883881</v>
      </c>
      <c r="W296" s="61">
        <f t="shared" ca="1" si="37"/>
        <v>5.4999998509883881</v>
      </c>
      <c r="X296" s="166">
        <f ca="1">IF(controls!$B$44=0,Y296+'main page'!$K$29*L296+(1-'main page'!$K$29)*controls!$B$9+(('main page'!$K$25*'main page'!$U$13*'main page'!$K$29)/('main page'!$K$27*(1+('main page'!$K$25^2)*'main page'!$U$13)))*(L296-controls!$B$9),Y296+'main page'!$K$29*L296+(1-'main page'!$K$29)*controls!$B$9+(('main page'!$K$25*'main page'!$U$13*'normal case'!$AV$3)/'normal case'!$AV$4)*('normal case'!L296-controls!$B$9))</f>
        <v>5.4999998509883881</v>
      </c>
      <c r="Y296" s="81">
        <f ca="1">IF(controls!$B$44=1,'main page'!$K$24+'main page'!$K$11,IF(controls!$B$33=1,((I297-D296*AD297-B297+B296*AC297)/'main page'!$K$27)-'main page'!$K$11,((H297-D296*AD297-B297+B296*AC297)/'main page'!$K$27)-'main page'!$K$11))</f>
        <v>3.5</v>
      </c>
      <c r="AA296" s="58">
        <f>IF(controls!$B$6=1,$AS$3*(1+('main page'!$K$35/100))^AB296-$AS$3*(1+('main page'!$K$35/100))^AB295,$AS$3*(1+('main page'!$G$8/100))*(1+('main page'!$K$35/100))^AB296-$AS$3*(1+('main page'!$G$8/100))*(1+('main page'!$K$35/100))^AB295)</f>
        <v>0</v>
      </c>
      <c r="AB296" s="60">
        <v>289</v>
      </c>
      <c r="AC296" s="125">
        <f ca="1">IF(controls!$B$4=1,IF(controls!$H295=1,controls!$B$34*AC295+RAND()*('main page'!$K$16/100)-RAND()*('main page'!$K$16/100),0),0)</f>
        <v>0</v>
      </c>
      <c r="AD296" s="36">
        <f ca="1">IF(controls!$B$4=1,IF(controls!$I295=1,controls!$B$34*AD295+RAND()*('main page'!$K$16/100)-RAND()*('main page'!$K$16/100),0),0)</f>
        <v>0</v>
      </c>
      <c r="AE296" s="44">
        <f ca="1">IF(controls!$B$33=1,D296-($I$3-'main page'!$K$27*2)*(1+('main page'!$K$35/100))^A295,D296-$AS$4)</f>
        <v>1.0000000596046448</v>
      </c>
      <c r="AF296" s="44">
        <f ca="1">ABS(L296-(controls!$B$9/100)*100)</f>
        <v>1.1920928955078125E-7</v>
      </c>
      <c r="AH296" s="44">
        <f ca="1">IF(controls!$B$33=1,(B297-B296*AC297-I297+D296*AD297+'main page'!$K$27*('main page'!$K$24+'main page'!$K$11))/'main page'!$K$31,(B297-B296*AC297+D296*AD297-H297+'main page'!$K$27*('main page'!$K$24+'main page'!$K$11))/'main page'!$K$31)</f>
        <v>1</v>
      </c>
      <c r="AI296" s="44">
        <f ca="1">IF(controls!$B$45=1,LOG(AM296,1.01)+LOG(AL296,1.01)-LOG(AK296,1.01),-((T296-('main page'!$K$24+'main page'!$K$11))/(1-'normal case'!$AV$3))+'normal case'!AH296)</f>
        <v>2.0000000596046448</v>
      </c>
      <c r="AJ296" s="80">
        <f t="shared" ca="1" si="38"/>
        <v>1.0506250015463039</v>
      </c>
      <c r="AK296" s="44">
        <f t="shared" ca="1" si="39"/>
        <v>324.56869399276161</v>
      </c>
      <c r="AL296" s="44">
        <f>AL295*(1+'main page'!$K$32/100)</f>
        <v>1</v>
      </c>
      <c r="AM296" s="44">
        <f ca="1">IF(ABS(IF(controls!$B$45=1,$AS$13,AK296*AJ296/AL296)-AM295)&lt;0.00001,AM295,IF(controls!$B$45=1,$AS$13,AK296*AJ296/AL296))</f>
        <v>340.99998462802699</v>
      </c>
      <c r="AN296" s="44">
        <f>IF(controls!$B$46=0,0,IF(controls!$B$33=2,B297-B296*AC297-('normal case'!H297-D296*AD297-'main page'!$K$27*'normal case'!T296+'main page'!$K$31*'normal case'!AI296)-(('main page'!$K$25*'main page'!$U$13*'main page'!$K$29)/(1+('main page'!$K$25^2)*'main page'!$U$13))*('normal case'!L296-'main page'!$U$8),B297-B296*AC297-('normal case'!I297-D296*AD297-'main page'!$K$27*'normal case'!T296+'main page'!$K$31*'normal case'!AI296)-(('main page'!$K$25*'main page'!$U$13*'main page'!$K$29)/(1+('main page'!$K$25^2)*'main page'!$U$13))*('normal case'!L296-'main page'!$U$8)))</f>
        <v>0</v>
      </c>
      <c r="AU296" s="36"/>
      <c r="AV296" s="36"/>
    </row>
    <row r="297" spans="1:48">
      <c r="A297" s="43">
        <v>295</v>
      </c>
      <c r="B297" s="62">
        <f ca="1">IF(controls!$B$33=1,B296*(1+AC297)+AA297,B296*(1+AC297))</f>
        <v>101</v>
      </c>
      <c r="C297" s="67">
        <f t="shared" ca="1" si="40"/>
        <v>-1.5107707374006907E-7</v>
      </c>
      <c r="D297" s="64">
        <f t="shared" ca="1" si="36"/>
        <v>101.00000005960464</v>
      </c>
      <c r="E297" s="64">
        <f ca="1">AN296+IF(controls!$B$33=1,G297,F297)</f>
        <v>101.00000005960464</v>
      </c>
      <c r="F297" s="78">
        <f ca="1">IF(controls!$B$44=0,H297-'main page'!$K$27*T296,H297-'main page'!$K$27*T296+'main page'!$K$31*AI296)</f>
        <v>101.00000005960464</v>
      </c>
      <c r="G297" s="62">
        <f ca="1">IF(controls!$B$44=0,I297-'main page'!$K$27*T296,I297-'main page'!$K$27*T296+'main page'!$K$31*'normal case'!AI296)</f>
        <v>101.00000005960464</v>
      </c>
      <c r="H297" s="62">
        <f t="shared" ca="1" si="42"/>
        <v>108</v>
      </c>
      <c r="I297" s="62">
        <f t="shared" ca="1" si="43"/>
        <v>108</v>
      </c>
      <c r="L297" s="62">
        <f ca="1">IF(ABS('main page'!$K$29*L296+(1-'main page'!$K$29)*(controls!$B$9/100)*100+'main page'!$K$25*(D297-B297)-L296)&lt;0.0000001,L296,'main page'!$K$29*L296+(1-'main page'!$K$29)*(controls!$B$9/100)*100+'main page'!$K$25*(D297-B297))</f>
        <v>1.9999998807907104</v>
      </c>
      <c r="Q297" s="409">
        <f ca="1">(1-'main page'!$K$29)*($AS$11/100)*100+'main page'!$K$25*(D297-B297)</f>
        <v>5.9604644775390625E-8</v>
      </c>
      <c r="R297" s="409">
        <f>'main page'!G301+'main page'!$K$29*M296</f>
        <v>0</v>
      </c>
      <c r="S297" s="409">
        <f t="shared" ca="1" si="41"/>
        <v>5.9604644775390625E-8</v>
      </c>
      <c r="T297" s="79">
        <f ca="1">IF(controls!$B$10=1,T296,IF(SUM(controls!$B$44:$B$46)=2,U297-'main page'!$K$29*'normal case'!L297-(1-'main page'!$K$29)*'main page'!$K$32,U297-'main page'!$K$29*'normal case'!L297-(1-'main page'!$K$29)*controls!$B$9))</f>
        <v>3.4999999701976776</v>
      </c>
      <c r="U297" s="164">
        <f ca="1">IF(controls!$B$45=1,IF(controls!$B$46=1,'main page'!$K$24+'main page'!$K$11+'main page'!$U$8,'main page'!$K$24+'main page'!$K$11+'main page'!$K$32),IF(controls!$B$44=1,IF(V297&lt;0,0,V297),IF(V297+'main page'!$K$11&lt;0,0,V297+'main page'!$K$11)))</f>
        <v>5.4999998509883881</v>
      </c>
      <c r="V297" s="63">
        <f ca="1">IF(controls!$B$10=1,'normal case'!T297+'normal case'!L297,'normal case'!W297)</f>
        <v>5.4999998509883881</v>
      </c>
      <c r="W297" s="61">
        <f t="shared" ca="1" si="37"/>
        <v>5.4999998509883881</v>
      </c>
      <c r="X297" s="166">
        <f ca="1">IF(controls!$B$44=0,Y297+'main page'!$K$29*L297+(1-'main page'!$K$29)*controls!$B$9+(('main page'!$K$25*'main page'!$U$13*'main page'!$K$29)/('main page'!$K$27*(1+('main page'!$K$25^2)*'main page'!$U$13)))*(L297-controls!$B$9),Y297+'main page'!$K$29*L297+(1-'main page'!$K$29)*controls!$B$9+(('main page'!$K$25*'main page'!$U$13*'normal case'!$AV$3)/'normal case'!$AV$4)*('normal case'!L297-controls!$B$9))</f>
        <v>5.4999998509883881</v>
      </c>
      <c r="Y297" s="81">
        <f ca="1">IF(controls!$B$44=1,'main page'!$K$24+'main page'!$K$11,IF(controls!$B$33=1,((I298-D297*AD298-B298+B297*AC298)/'main page'!$K$27)-'main page'!$K$11,((H298-D297*AD298-B298+B297*AC298)/'main page'!$K$27)-'main page'!$K$11))</f>
        <v>3.5</v>
      </c>
      <c r="AA297" s="58">
        <f>IF(controls!$B$6=1,$AS$3*(1+('main page'!$K$35/100))^AB297-$AS$3*(1+('main page'!$K$35/100))^AB296,$AS$3*(1+('main page'!$G$8/100))*(1+('main page'!$K$35/100))^AB297-$AS$3*(1+('main page'!$G$8/100))*(1+('main page'!$K$35/100))^AB296)</f>
        <v>0</v>
      </c>
      <c r="AB297" s="60">
        <v>290</v>
      </c>
      <c r="AC297" s="125">
        <v>0</v>
      </c>
      <c r="AD297" s="36">
        <v>0</v>
      </c>
      <c r="AE297" s="44">
        <f ca="1">IF(controls!$B$33=1,D297-($I$3-'main page'!$K$27*2)*(1+('main page'!$K$35/100))^A296,D297-$AS$4)</f>
        <v>1.0000000596046448</v>
      </c>
      <c r="AF297" s="44">
        <f ca="1">ABS(L297-(controls!$B$9/100)*100)</f>
        <v>1.1920928955078125E-7</v>
      </c>
      <c r="AH297" s="44">
        <f ca="1">IF(controls!$B$33=1,(B298-B297*AC298-I298+D297*AD298+'main page'!$K$27*('main page'!$K$24+'main page'!$K$11))/'main page'!$K$31,(B298-B297*AC298+D297*AD298-H298+'main page'!$K$27*('main page'!$K$24+'main page'!$K$11))/'main page'!$K$31)</f>
        <v>1</v>
      </c>
      <c r="AI297" s="44">
        <f ca="1">IF(controls!$B$45=1,LOG(AM297,1.01)+LOG(AL297,1.01)-LOG(AK297,1.01),-((T297-('main page'!$K$24+'main page'!$K$11))/(1-'normal case'!$AV$3))+'normal case'!AH297)</f>
        <v>2.0000000596046448</v>
      </c>
      <c r="AJ297" s="80">
        <f t="shared" ca="1" si="38"/>
        <v>1.0506250015463039</v>
      </c>
      <c r="AK297" s="44">
        <f t="shared" ca="1" si="39"/>
        <v>331.06006748570081</v>
      </c>
      <c r="AL297" s="44">
        <f>AL296*(1+'main page'!$K$32/100)</f>
        <v>1</v>
      </c>
      <c r="AM297" s="44">
        <f ca="1">IF(ABS(IF(controls!$B$45=1,$AS$13,AK297*AJ297/AL297)-AM296)&lt;0.00001,AM296,IF(controls!$B$45=1,$AS$13,AK297*AJ297/AL297))</f>
        <v>347.81998391408388</v>
      </c>
      <c r="AN297" s="44">
        <f>IF(controls!$B$46=0,0,IF(controls!$B$33=2,B298-B297*AC298-('normal case'!H298-D297*AD298-'main page'!$K$27*'normal case'!T297+'main page'!$K$31*'normal case'!AI297)-(('main page'!$K$25*'main page'!$U$13*'main page'!$K$29)/(1+('main page'!$K$25^2)*'main page'!$U$13))*('normal case'!L297-'main page'!$U$8),B298-B297*AC298-('normal case'!I298-D297*AD298-'main page'!$K$27*'normal case'!T297+'main page'!$K$31*'normal case'!AI297)-(('main page'!$K$25*'main page'!$U$13*'main page'!$K$29)/(1+('main page'!$K$25^2)*'main page'!$U$13))*('normal case'!L297-'main page'!$U$8)))</f>
        <v>0</v>
      </c>
      <c r="AU297" s="36"/>
      <c r="AV297" s="36"/>
    </row>
    <row r="298" spans="1:48">
      <c r="A298" s="43">
        <v>296</v>
      </c>
      <c r="B298" s="62">
        <f ca="1">IF(controls!$B$33=1,B297*(1+AC298)+AA298,B297*(1+AC298))</f>
        <v>101</v>
      </c>
      <c r="C298" s="67">
        <f t="shared" ca="1" si="40"/>
        <v>-1.5107707374006907E-7</v>
      </c>
      <c r="D298" s="64">
        <f t="shared" ca="1" si="36"/>
        <v>101.00000005960464</v>
      </c>
      <c r="E298" s="64">
        <f ca="1">AN297+IF(controls!$B$33=1,G298,F298)</f>
        <v>101.00000005960464</v>
      </c>
      <c r="F298" s="78">
        <f ca="1">IF(controls!$B$44=0,H298-'main page'!$K$27*T297,H298-'main page'!$K$27*T297+'main page'!$K$31*AI297)</f>
        <v>101.00000005960464</v>
      </c>
      <c r="G298" s="62">
        <f ca="1">IF(controls!$B$44=0,I298-'main page'!$K$27*T297,I298-'main page'!$K$27*T297+'main page'!$K$31*'normal case'!AI297)</f>
        <v>101.00000005960464</v>
      </c>
      <c r="H298" s="62">
        <f t="shared" ca="1" si="42"/>
        <v>108</v>
      </c>
      <c r="I298" s="62">
        <f t="shared" ca="1" si="43"/>
        <v>108</v>
      </c>
      <c r="L298" s="62">
        <f ca="1">IF(ABS('main page'!$K$29*L297+(1-'main page'!$K$29)*(controls!$B$9/100)*100+'main page'!$K$25*(D298-B298)-L297)&lt;0.0000001,L297,'main page'!$K$29*L297+(1-'main page'!$K$29)*(controls!$B$9/100)*100+'main page'!$K$25*(D298-B298))</f>
        <v>1.9999998807907104</v>
      </c>
      <c r="Q298" s="409">
        <f ca="1">(1-'main page'!$K$29)*($AS$11/100)*100+'main page'!$K$25*(D298-B298)</f>
        <v>5.9604644775390625E-8</v>
      </c>
      <c r="R298" s="409">
        <f>'main page'!G302+'main page'!$K$29*M297</f>
        <v>0</v>
      </c>
      <c r="S298" s="409">
        <f t="shared" ca="1" si="41"/>
        <v>5.9604644775390625E-8</v>
      </c>
      <c r="T298" s="79">
        <f ca="1">IF(controls!$B$10=1,T297,IF(SUM(controls!$B$44:$B$46)=2,U298-'main page'!$K$29*'normal case'!L298-(1-'main page'!$K$29)*'main page'!$K$32,U298-'main page'!$K$29*'normal case'!L298-(1-'main page'!$K$29)*controls!$B$9))</f>
        <v>3.4999999701976776</v>
      </c>
      <c r="U298" s="164">
        <f ca="1">IF(controls!$B$45=1,IF(controls!$B$46=1,'main page'!$K$24+'main page'!$K$11+'main page'!$U$8,'main page'!$K$24+'main page'!$K$11+'main page'!$K$32),IF(controls!$B$44=1,IF(V298&lt;0,0,V298),IF(V298+'main page'!$K$11&lt;0,0,V298+'main page'!$K$11)))</f>
        <v>5.4999998509883881</v>
      </c>
      <c r="V298" s="63">
        <f ca="1">IF(controls!$B$10=1,'normal case'!T298+'normal case'!L298,'normal case'!W298)</f>
        <v>5.4999998509883881</v>
      </c>
      <c r="W298" s="61">
        <f t="shared" ca="1" si="37"/>
        <v>5.4999998509883881</v>
      </c>
      <c r="X298" s="166">
        <f ca="1">IF(controls!$B$44=0,Y298+'main page'!$K$29*L298+(1-'main page'!$K$29)*controls!$B$9+(('main page'!$K$25*'main page'!$U$13*'main page'!$K$29)/('main page'!$K$27*(1+('main page'!$K$25^2)*'main page'!$U$13)))*(L298-controls!$B$9),Y298+'main page'!$K$29*L298+(1-'main page'!$K$29)*controls!$B$9+(('main page'!$K$25*'main page'!$U$13*'normal case'!$AV$3)/'normal case'!$AV$4)*('normal case'!L298-controls!$B$9))</f>
        <v>5.4999998509883881</v>
      </c>
      <c r="Y298" s="81">
        <f ca="1">IF(controls!$B$44=1,'main page'!$K$24+'main page'!$K$11,IF(controls!$B$33=1,((I299-D298*AD299-B299+B298*AC299)/'main page'!$K$27)-'main page'!$K$11,((H299-D298*AD299-B299+B298*AC299)/'main page'!$K$27)-'main page'!$K$11))</f>
        <v>3.5</v>
      </c>
      <c r="AA298" s="58">
        <f>IF(controls!$B$6=1,$AS$3*(1+('main page'!$K$35/100))^AB298-$AS$3*(1+('main page'!$K$35/100))^AB297,$AS$3*(1+('main page'!$G$8/100))*(1+('main page'!$K$35/100))^AB298-$AS$3*(1+('main page'!$G$8/100))*(1+('main page'!$K$35/100))^AB297)</f>
        <v>0</v>
      </c>
      <c r="AB298" s="60">
        <v>291</v>
      </c>
      <c r="AC298" s="125">
        <v>0</v>
      </c>
      <c r="AD298" s="36">
        <v>0</v>
      </c>
      <c r="AE298" s="44">
        <f ca="1">IF(controls!$B$33=1,D298-($I$3-'main page'!$K$27*2)*(1+('main page'!$K$35/100))^A297,D298-$AS$4)</f>
        <v>1.0000000596046448</v>
      </c>
      <c r="AF298" s="44">
        <f ca="1">ABS(L298-(controls!$B$9/100)*100)</f>
        <v>1.1920928955078125E-7</v>
      </c>
      <c r="AH298" s="44">
        <f ca="1">IF(controls!$B$33=1,(B299-B298*AC299-I299+D298*AD299+'main page'!$K$27*('main page'!$K$24+'main page'!$K$11))/'main page'!$K$31,(B299-B298*AC299+D298*AD299-H299+'main page'!$K$27*('main page'!$K$24+'main page'!$K$11))/'main page'!$K$31)</f>
        <v>1</v>
      </c>
      <c r="AI298" s="44">
        <f ca="1">IF(controls!$B$45=1,LOG(AM298,1.01)+LOG(AL298,1.01)-LOG(AK298,1.01),-((T298-('main page'!$K$24+'main page'!$K$11))/(1-'normal case'!$AV$3))+'normal case'!AH298)</f>
        <v>2.0000000596046448</v>
      </c>
      <c r="AJ298" s="80">
        <f t="shared" ca="1" si="38"/>
        <v>1.0506250015463039</v>
      </c>
      <c r="AK298" s="44">
        <f t="shared" ca="1" si="39"/>
        <v>337.6812684407605</v>
      </c>
      <c r="AL298" s="44">
        <f>AL297*(1+'main page'!$K$32/100)</f>
        <v>1</v>
      </c>
      <c r="AM298" s="44">
        <f ca="1">IF(ABS(IF(controls!$B$45=1,$AS$13,AK298*AJ298/AL298)-AM297)&lt;0.00001,AM297,IF(controls!$B$45=1,$AS$13,AK298*AJ298/AL298))</f>
        <v>354.77638317773187</v>
      </c>
      <c r="AN298" s="44">
        <f>IF(controls!$B$46=0,0,IF(controls!$B$33=2,B299-B298*AC299-('normal case'!H299-D298*AD299-'main page'!$K$27*'normal case'!T298+'main page'!$K$31*'normal case'!AI298)-(('main page'!$K$25*'main page'!$U$13*'main page'!$K$29)/(1+('main page'!$K$25^2)*'main page'!$U$13))*('normal case'!L298-'main page'!$U$8),B299-B298*AC299-('normal case'!I299-D298*AD299-'main page'!$K$27*'normal case'!T298+'main page'!$K$31*'normal case'!AI298)-(('main page'!$K$25*'main page'!$U$13*'main page'!$K$29)/(1+('main page'!$K$25^2)*'main page'!$U$13))*('normal case'!L298-'main page'!$U$8)))</f>
        <v>0</v>
      </c>
      <c r="AU298" s="36"/>
      <c r="AV298" s="36"/>
    </row>
    <row r="299" spans="1:48">
      <c r="A299" s="43">
        <v>297</v>
      </c>
      <c r="B299" s="62">
        <f ca="1">IF(controls!$B$33=1,B298*(1+AC299)+AA299,B298*(1+AC299))</f>
        <v>101</v>
      </c>
      <c r="C299" s="67">
        <f t="shared" ca="1" si="40"/>
        <v>-1.5107707374006907E-7</v>
      </c>
      <c r="D299" s="64">
        <f t="shared" ca="1" si="36"/>
        <v>101.00000005960464</v>
      </c>
      <c r="E299" s="64">
        <f ca="1">AN298+IF(controls!$B$33=1,G299,F299)</f>
        <v>101.00000005960464</v>
      </c>
      <c r="F299" s="78">
        <f ca="1">IF(controls!$B$44=0,H299-'main page'!$K$27*T298,H299-'main page'!$K$27*T298+'main page'!$K$31*AI298)</f>
        <v>101.00000005960464</v>
      </c>
      <c r="G299" s="62">
        <f ca="1">IF(controls!$B$44=0,I299-'main page'!$K$27*T298,I299-'main page'!$K$27*T298+'main page'!$K$31*'normal case'!AI298)</f>
        <v>101.00000005960464</v>
      </c>
      <c r="H299" s="62">
        <f t="shared" ca="1" si="42"/>
        <v>108</v>
      </c>
      <c r="I299" s="62">
        <f t="shared" ca="1" si="43"/>
        <v>108</v>
      </c>
      <c r="L299" s="62">
        <f ca="1">IF(ABS('main page'!$K$29*L298+(1-'main page'!$K$29)*(controls!$B$9/100)*100+'main page'!$K$25*(D299-B299)-L298)&lt;0.0000001,L298,'main page'!$K$29*L298+(1-'main page'!$K$29)*(controls!$B$9/100)*100+'main page'!$K$25*(D299-B299))</f>
        <v>1.9999998807907104</v>
      </c>
      <c r="Q299" s="409">
        <f ca="1">(1-'main page'!$K$29)*($AS$11/100)*100+'main page'!$K$25*(D299-B299)</f>
        <v>5.9604644775390625E-8</v>
      </c>
      <c r="R299" s="409">
        <f>'main page'!G303+'main page'!$K$29*M298</f>
        <v>0</v>
      </c>
      <c r="S299" s="409">
        <f t="shared" ca="1" si="41"/>
        <v>5.9604644775390625E-8</v>
      </c>
      <c r="T299" s="79">
        <f ca="1">IF(controls!$B$10=1,T298,IF(SUM(controls!$B$44:$B$46)=2,U299-'main page'!$K$29*'normal case'!L299-(1-'main page'!$K$29)*'main page'!$K$32,U299-'main page'!$K$29*'normal case'!L299-(1-'main page'!$K$29)*controls!$B$9))</f>
        <v>3.4999999701976776</v>
      </c>
      <c r="U299" s="164">
        <f ca="1">IF(controls!$B$45=1,IF(controls!$B$46=1,'main page'!$K$24+'main page'!$K$11+'main page'!$U$8,'main page'!$K$24+'main page'!$K$11+'main page'!$K$32),IF(controls!$B$44=1,IF(V299&lt;0,0,V299),IF(V299+'main page'!$K$11&lt;0,0,V299+'main page'!$K$11)))</f>
        <v>5.4999998509883881</v>
      </c>
      <c r="V299" s="63">
        <f ca="1">IF(controls!$B$10=1,'normal case'!T299+'normal case'!L299,'normal case'!W299)</f>
        <v>5.4999998509883881</v>
      </c>
      <c r="W299" s="61">
        <f t="shared" ca="1" si="37"/>
        <v>5.4999998509883881</v>
      </c>
      <c r="X299" s="166">
        <f ca="1">IF(controls!$B$44=0,Y299+'main page'!$K$29*L299+(1-'main page'!$K$29)*controls!$B$9+(('main page'!$K$25*'main page'!$U$13*'main page'!$K$29)/('main page'!$K$27*(1+('main page'!$K$25^2)*'main page'!$U$13)))*(L299-controls!$B$9),Y299+'main page'!$K$29*L299+(1-'main page'!$K$29)*controls!$B$9+(('main page'!$K$25*'main page'!$U$13*'normal case'!$AV$3)/'normal case'!$AV$4)*('normal case'!L299-controls!$B$9))</f>
        <v>5.4999998509883881</v>
      </c>
      <c r="Y299" s="81">
        <f ca="1">IF(controls!$B$44=1,'main page'!$K$24+'main page'!$K$11,IF(controls!$B$33=1,((I300-D299*AD300-B300+B299*AC300)/'main page'!$K$27)-'main page'!$K$11,((H300-D299*AD300-B300+B299*AC300)/'main page'!$K$27)-'main page'!$K$11))</f>
        <v>3.5</v>
      </c>
      <c r="AA299" s="58">
        <f>IF(controls!$B$6=1,$AS$3*(1+('main page'!$K$35/100))^AB299-$AS$3*(1+('main page'!$K$35/100))^AB298,$AS$3*(1+('main page'!$G$8/100))*(1+('main page'!$K$35/100))^AB299-$AS$3*(1+('main page'!$G$8/100))*(1+('main page'!$K$35/100))^AB298)</f>
        <v>0</v>
      </c>
      <c r="AB299" s="60">
        <v>292</v>
      </c>
      <c r="AC299" s="125">
        <f ca="1">IF(controls!$B$4=1,IF(controls!$H298=1,controls!$B$34*AC298+RAND()*('main page'!$K$16/100)-RAND()*('main page'!$K$16/100),0),0)</f>
        <v>0</v>
      </c>
      <c r="AD299" s="36">
        <f ca="1">IF(controls!$B$4=1,IF(controls!$I298=1,controls!$B$34*AD298+RAND()*('main page'!$K$16/100)-RAND()*('main page'!$K$16/100),0),0)</f>
        <v>0</v>
      </c>
      <c r="AE299" s="44">
        <f ca="1">IF(controls!$B$33=1,D299-($I$3-'main page'!$K$27*2)*(1+('main page'!$K$35/100))^A298,D299-$AS$4)</f>
        <v>1.0000000596046448</v>
      </c>
      <c r="AF299" s="44">
        <f ca="1">ABS(L299-(controls!$B$9/100)*100)</f>
        <v>1.1920928955078125E-7</v>
      </c>
      <c r="AH299" s="44">
        <f ca="1">IF(controls!$B$33=1,(B300-B299*AC300-I300+D299*AD300+'main page'!$K$27*('main page'!$K$24+'main page'!$K$11))/'main page'!$K$31,(B300-B299*AC300+D299*AD300-H300+'main page'!$K$27*('main page'!$K$24+'main page'!$K$11))/'main page'!$K$31)</f>
        <v>1</v>
      </c>
      <c r="AI299" s="44">
        <f ca="1">IF(controls!$B$45=1,LOG(AM299,1.01)+LOG(AL299,1.01)-LOG(AK299,1.01),-((T299-('main page'!$K$24+'main page'!$K$11))/(1-'normal case'!$AV$3))+'normal case'!AH299)</f>
        <v>2.0000000596046448</v>
      </c>
      <c r="AJ299" s="80">
        <f t="shared" ca="1" si="38"/>
        <v>1.0506250015463039</v>
      </c>
      <c r="AK299" s="44">
        <f t="shared" ca="1" si="39"/>
        <v>344.43489340702831</v>
      </c>
      <c r="AL299" s="44">
        <f>AL298*(1+'main page'!$K$32/100)</f>
        <v>1</v>
      </c>
      <c r="AM299" s="44">
        <f ca="1">IF(ABS(IF(controls!$B$45=1,$AS$13,AK299*AJ299/AL299)-AM298)&lt;0.00001,AM298,IF(controls!$B$45=1,$AS$13,AK299*AJ299/AL299))</f>
        <v>361.87191041836013</v>
      </c>
      <c r="AN299" s="44">
        <f>IF(controls!$B$46=0,0,IF(controls!$B$33=2,B300-B299*AC300-('normal case'!H300-D299*AD300-'main page'!$K$27*'normal case'!T299+'main page'!$K$31*'normal case'!AI299)-(('main page'!$K$25*'main page'!$U$13*'main page'!$K$29)/(1+('main page'!$K$25^2)*'main page'!$U$13))*('normal case'!L299-'main page'!$U$8),B300-B299*AC300-('normal case'!I300-D299*AD300-'main page'!$K$27*'normal case'!T299+'main page'!$K$31*'normal case'!AI299)-(('main page'!$K$25*'main page'!$U$13*'main page'!$K$29)/(1+('main page'!$K$25^2)*'main page'!$U$13))*('normal case'!L299-'main page'!$U$8)))</f>
        <v>0</v>
      </c>
      <c r="AU299" s="36"/>
      <c r="AV299" s="36"/>
    </row>
    <row r="300" spans="1:48">
      <c r="A300" s="43">
        <v>298</v>
      </c>
      <c r="B300" s="62">
        <f ca="1">IF(controls!$B$33=1,B299*(1+AC300)+AA300,B299*(1+AC300))</f>
        <v>101</v>
      </c>
      <c r="C300" s="67">
        <f t="shared" ca="1" si="40"/>
        <v>-1.5107707374006907E-7</v>
      </c>
      <c r="D300" s="64">
        <f t="shared" ca="1" si="36"/>
        <v>101.00000005960464</v>
      </c>
      <c r="E300" s="64">
        <f ca="1">AN299+IF(controls!$B$33=1,G300,F300)</f>
        <v>101.00000005960464</v>
      </c>
      <c r="F300" s="78">
        <f ca="1">IF(controls!$B$44=0,H300-'main page'!$K$27*T299,H300-'main page'!$K$27*T299+'main page'!$K$31*AI299)</f>
        <v>101.00000005960464</v>
      </c>
      <c r="G300" s="62">
        <f ca="1">IF(controls!$B$44=0,I300-'main page'!$K$27*T299,I300-'main page'!$K$27*T299+'main page'!$K$31*'normal case'!AI299)</f>
        <v>101.00000005960464</v>
      </c>
      <c r="H300" s="62">
        <f t="shared" ca="1" si="42"/>
        <v>108</v>
      </c>
      <c r="I300" s="62">
        <f t="shared" ca="1" si="43"/>
        <v>108</v>
      </c>
      <c r="L300" s="62">
        <f ca="1">IF(ABS('main page'!$K$29*L299+(1-'main page'!$K$29)*(controls!$B$9/100)*100+'main page'!$K$25*(D300-B300)-L299)&lt;0.0000001,L299,'main page'!$K$29*L299+(1-'main page'!$K$29)*(controls!$B$9/100)*100+'main page'!$K$25*(D300-B300))</f>
        <v>1.9999998807907104</v>
      </c>
      <c r="Q300" s="409">
        <f ca="1">(1-'main page'!$K$29)*($AS$11/100)*100+'main page'!$K$25*(D300-B300)</f>
        <v>5.9604644775390625E-8</v>
      </c>
      <c r="R300" s="409">
        <f>'main page'!G304+'main page'!$K$29*M299</f>
        <v>0</v>
      </c>
      <c r="S300" s="409">
        <f t="shared" ca="1" si="41"/>
        <v>5.9604644775390625E-8</v>
      </c>
      <c r="T300" s="79">
        <f ca="1">IF(controls!$B$10=1,T299,IF(SUM(controls!$B$44:$B$46)=2,U300-'main page'!$K$29*'normal case'!L300-(1-'main page'!$K$29)*'main page'!$K$32,U300-'main page'!$K$29*'normal case'!L300-(1-'main page'!$K$29)*controls!$B$9))</f>
        <v>3.4999999701976776</v>
      </c>
      <c r="U300" s="164">
        <f ca="1">IF(controls!$B$45=1,IF(controls!$B$46=1,'main page'!$K$24+'main page'!$K$11+'main page'!$U$8,'main page'!$K$24+'main page'!$K$11+'main page'!$K$32),IF(controls!$B$44=1,IF(V300&lt;0,0,V300),IF(V300+'main page'!$K$11&lt;0,0,V300+'main page'!$K$11)))</f>
        <v>5.4999998509883881</v>
      </c>
      <c r="V300" s="63">
        <f ca="1">IF(controls!$B$10=1,'normal case'!T300+'normal case'!L300,'normal case'!W300)</f>
        <v>5.4999998509883881</v>
      </c>
      <c r="W300" s="61">
        <f t="shared" ca="1" si="37"/>
        <v>5.4999998509883881</v>
      </c>
      <c r="X300" s="166">
        <f ca="1">IF(controls!$B$44=0,Y300+'main page'!$K$29*L300+(1-'main page'!$K$29)*controls!$B$9+(('main page'!$K$25*'main page'!$U$13*'main page'!$K$29)/('main page'!$K$27*(1+('main page'!$K$25^2)*'main page'!$U$13)))*(L300-controls!$B$9),Y300+'main page'!$K$29*L300+(1-'main page'!$K$29)*controls!$B$9+(('main page'!$K$25*'main page'!$U$13*'normal case'!$AV$3)/'normal case'!$AV$4)*('normal case'!L300-controls!$B$9))</f>
        <v>5.4999998509883881</v>
      </c>
      <c r="Y300" s="81">
        <f ca="1">IF(controls!$B$44=1,'main page'!$K$24+'main page'!$K$11,IF(controls!$B$33=1,((I301-D300*AD301-B301+B300*AC301)/'main page'!$K$27)-'main page'!$K$11,((H301-D300*AD301-B301+B300*AC301)/'main page'!$K$27)-'main page'!$K$11))</f>
        <v>3.5</v>
      </c>
      <c r="AA300" s="58">
        <f>IF(controls!$B$6=1,$AS$3*(1+('main page'!$K$35/100))^AB300-$AS$3*(1+('main page'!$K$35/100))^AB299,$AS$3*(1+('main page'!$G$8/100))*(1+('main page'!$K$35/100))^AB300-$AS$3*(1+('main page'!$G$8/100))*(1+('main page'!$K$35/100))^AB299)</f>
        <v>0</v>
      </c>
      <c r="AB300" s="60">
        <v>293</v>
      </c>
      <c r="AC300" s="125">
        <v>0</v>
      </c>
      <c r="AD300" s="36">
        <v>0</v>
      </c>
      <c r="AE300" s="44">
        <f ca="1">IF(controls!$B$33=1,D300-($I$3-'main page'!$K$27*2)*(1+('main page'!$K$35/100))^A299,D300-$AS$4)</f>
        <v>1.0000000596046448</v>
      </c>
      <c r="AF300" s="44">
        <f ca="1">ABS(L300-(controls!$B$9/100)*100)</f>
        <v>1.1920928955078125E-7</v>
      </c>
      <c r="AH300" s="44">
        <f ca="1">IF(controls!$B$33=1,(B301-B300*AC301-I301+D300*AD301+'main page'!$K$27*('main page'!$K$24+'main page'!$K$11))/'main page'!$K$31,(B301-B300*AC301+D300*AD301-H301+'main page'!$K$27*('main page'!$K$24+'main page'!$K$11))/'main page'!$K$31)</f>
        <v>1</v>
      </c>
      <c r="AI300" s="44">
        <f ca="1">IF(controls!$B$45=1,LOG(AM300,1.01)+LOG(AL300,1.01)-LOG(AK300,1.01),-((T300-('main page'!$K$24+'main page'!$K$11))/(1-'normal case'!$AV$3))+'normal case'!AH300)</f>
        <v>2.0000000596046448</v>
      </c>
      <c r="AJ300" s="80">
        <f t="shared" ca="1" si="38"/>
        <v>1.0506250015463039</v>
      </c>
      <c r="AK300" s="44">
        <f t="shared" ca="1" si="39"/>
        <v>351.32359086457052</v>
      </c>
      <c r="AL300" s="44">
        <f>AL299*(1+'main page'!$K$32/100)</f>
        <v>1</v>
      </c>
      <c r="AM300" s="44">
        <f ca="1">IF(ABS(IF(controls!$B$45=1,$AS$13,AK300*AJ300/AL300)-AM299)&lt;0.00001,AM299,IF(controls!$B$45=1,$AS$13,AK300*AJ300/AL300))</f>
        <v>369.10934819534242</v>
      </c>
      <c r="AN300" s="44">
        <f>IF(controls!$B$46=0,0,IF(controls!$B$33=2,B301-B300*AC301-('normal case'!H301-D300*AD301-'main page'!$K$27*'normal case'!T300+'main page'!$K$31*'normal case'!AI300)-(('main page'!$K$25*'main page'!$U$13*'main page'!$K$29)/(1+('main page'!$K$25^2)*'main page'!$U$13))*('normal case'!L300-'main page'!$U$8),B301-B300*AC301-('normal case'!I301-D300*AD301-'main page'!$K$27*'normal case'!T300+'main page'!$K$31*'normal case'!AI300)-(('main page'!$K$25*'main page'!$U$13*'main page'!$K$29)/(1+('main page'!$K$25^2)*'main page'!$U$13))*('normal case'!L300-'main page'!$U$8)))</f>
        <v>0</v>
      </c>
      <c r="AU300" s="36"/>
      <c r="AV300" s="36"/>
    </row>
    <row r="301" spans="1:48">
      <c r="A301" s="43">
        <v>299</v>
      </c>
      <c r="B301" s="62">
        <f ca="1">IF(controls!$B$33=1,B300*(1+AC301)+AA301,B300*(1+AC301))</f>
        <v>101</v>
      </c>
      <c r="C301" s="67">
        <f t="shared" ca="1" si="40"/>
        <v>-1.5107707374006907E-7</v>
      </c>
      <c r="D301" s="64">
        <f t="shared" ca="1" si="36"/>
        <v>101.00000005960464</v>
      </c>
      <c r="E301" s="64">
        <f ca="1">AN300+IF(controls!$B$33=1,G301,F301)</f>
        <v>101.00000005960464</v>
      </c>
      <c r="F301" s="78">
        <f ca="1">IF(controls!$B$44=0,H301-'main page'!$K$27*T300,H301-'main page'!$K$27*T300+'main page'!$K$31*AI300)</f>
        <v>101.00000005960464</v>
      </c>
      <c r="G301" s="62">
        <f ca="1">IF(controls!$B$44=0,I301-'main page'!$K$27*T300,I301-'main page'!$K$27*T300+'main page'!$K$31*'normal case'!AI300)</f>
        <v>101.00000005960464</v>
      </c>
      <c r="H301" s="62">
        <f t="shared" ca="1" si="42"/>
        <v>108</v>
      </c>
      <c r="I301" s="62">
        <f t="shared" ca="1" si="43"/>
        <v>108</v>
      </c>
      <c r="L301" s="62">
        <f ca="1">IF(ABS('main page'!$K$29*L300+(1-'main page'!$K$29)*(controls!$B$9/100)*100+'main page'!$K$25*(D301-B301)-L300)&lt;0.0000001,L300,'main page'!$K$29*L300+(1-'main page'!$K$29)*(controls!$B$9/100)*100+'main page'!$K$25*(D301-B301))</f>
        <v>1.9999998807907104</v>
      </c>
      <c r="Q301" s="409">
        <f ca="1">(1-'main page'!$K$29)*($AS$11/100)*100+'main page'!$K$25*(D301-B301)</f>
        <v>5.9604644775390625E-8</v>
      </c>
      <c r="R301" s="409">
        <f>'main page'!G305+'main page'!$K$29*M300</f>
        <v>0</v>
      </c>
      <c r="S301" s="409">
        <f t="shared" ca="1" si="41"/>
        <v>5.9604644775390625E-8</v>
      </c>
      <c r="T301" s="79">
        <f ca="1">IF(controls!$B$10=1,T300,IF(SUM(controls!$B$44:$B$46)=2,U301-'main page'!$K$29*'normal case'!L301-(1-'main page'!$K$29)*'main page'!$K$32,U301-'main page'!$K$29*'normal case'!L301-(1-'main page'!$K$29)*controls!$B$9))</f>
        <v>3.4999999701976776</v>
      </c>
      <c r="U301" s="164">
        <f ca="1">IF(controls!$B$45=1,IF(controls!$B$46=1,'main page'!$K$24+'main page'!$K$11+'main page'!$U$8,'main page'!$K$24+'main page'!$K$11+'main page'!$K$32),IF(controls!$B$44=1,IF(V301&lt;0,0,V301),IF(V301+'main page'!$K$11&lt;0,0,V301+'main page'!$K$11)))</f>
        <v>5.4999998509883881</v>
      </c>
      <c r="V301" s="63">
        <f ca="1">IF(controls!$B$10=1,'normal case'!T301+'normal case'!L301,'normal case'!W301)</f>
        <v>5.4999998509883881</v>
      </c>
      <c r="W301" s="61">
        <f t="shared" ca="1" si="37"/>
        <v>5.4999998509883881</v>
      </c>
      <c r="X301" s="166">
        <f ca="1">IF(controls!$B$44=0,Y301+'main page'!$K$29*L301+(1-'main page'!$K$29)*controls!$B$9+(('main page'!$K$25*'main page'!$U$13*'main page'!$K$29)/('main page'!$K$27*(1+('main page'!$K$25^2)*'main page'!$U$13)))*(L301-controls!$B$9),Y301+'main page'!$K$29*L301+(1-'main page'!$K$29)*controls!$B$9+(('main page'!$K$25*'main page'!$U$13*'normal case'!$AV$3)/'normal case'!$AV$4)*('normal case'!L301-controls!$B$9))</f>
        <v>5.4999998509883881</v>
      </c>
      <c r="Y301" s="81">
        <f ca="1">IF(controls!$B$44=1,'main page'!$K$24+'main page'!$K$11,IF(controls!$B$33=1,((I302-D301*AD302-B302+B301*AC302)/'main page'!$K$27)-'main page'!$K$11,((H302-D301*AD302-B302+B301*AC302)/'main page'!$K$27)-'main page'!$K$11))</f>
        <v>3.5</v>
      </c>
      <c r="AA301" s="58">
        <f>IF(controls!$B$6=1,$AS$3*(1+('main page'!$K$35/100))^AB301-$AS$3*(1+('main page'!$K$35/100))^AB300,$AS$3*(1+('main page'!$G$8/100))*(1+('main page'!$K$35/100))^AB301-$AS$3*(1+('main page'!$G$8/100))*(1+('main page'!$K$35/100))^AB300)</f>
        <v>0</v>
      </c>
      <c r="AB301" s="60">
        <v>294</v>
      </c>
      <c r="AC301" s="125">
        <v>0</v>
      </c>
      <c r="AD301" s="36">
        <v>0</v>
      </c>
      <c r="AE301" s="44">
        <f ca="1">IF(controls!$B$33=1,D301-($I$3-'main page'!$K$27*2)*(1+('main page'!$K$35/100))^A300,D301-$AS$4)</f>
        <v>1.0000000596046448</v>
      </c>
      <c r="AF301" s="44">
        <f ca="1">ABS(L301-(controls!$B$9/100)*100)</f>
        <v>1.1920928955078125E-7</v>
      </c>
      <c r="AH301" s="44">
        <f ca="1">IF(controls!$B$33=1,(B302-B301*AC302-I302+D301*AD302+'main page'!$K$27*('main page'!$K$24+'main page'!$K$11))/'main page'!$K$31,(B302-B301*AC302+D301*AD302-H302+'main page'!$K$27*('main page'!$K$24+'main page'!$K$11))/'main page'!$K$31)</f>
        <v>1</v>
      </c>
      <c r="AI301" s="44">
        <f ca="1">IF(controls!$B$45=1,LOG(AM301,1.01)+LOG(AL301,1.01)-LOG(AK301,1.01),-((T301-('main page'!$K$24+'main page'!$K$11))/(1-'normal case'!$AV$3))+'normal case'!AH301)</f>
        <v>2.0000000596046448</v>
      </c>
      <c r="AJ301" s="80">
        <f t="shared" ca="1" si="38"/>
        <v>1.0506250015463039</v>
      </c>
      <c r="AK301" s="44">
        <f t="shared" ca="1" si="39"/>
        <v>358.3500622630516</v>
      </c>
      <c r="AL301" s="44">
        <f>AL300*(1+'main page'!$K$32/100)</f>
        <v>1</v>
      </c>
      <c r="AM301" s="44">
        <f ca="1">IF(ABS(IF(controls!$B$45=1,$AS$13,AK301*AJ301/AL301)-AM300)&lt;0.00001,AM300,IF(controls!$B$45=1,$AS$13,AK301*AJ301/AL301))</f>
        <v>376.49153471923665</v>
      </c>
      <c r="AN301" s="44">
        <f>IF(controls!$B$46=0,0,IF(controls!$B$33=2,B302-B301*AC302-('normal case'!H302-D301*AD302-'main page'!$K$27*'normal case'!T301+'main page'!$K$31*'normal case'!AI301)-(('main page'!$K$25*'main page'!$U$13*'main page'!$K$29)/(1+('main page'!$K$25^2)*'main page'!$U$13))*('normal case'!L301-'main page'!$U$8),B302-B301*AC302-('normal case'!I302-D301*AD302-'main page'!$K$27*'normal case'!T301+'main page'!$K$31*'normal case'!AI301)-(('main page'!$K$25*'main page'!$U$13*'main page'!$K$29)/(1+('main page'!$K$25^2)*'main page'!$U$13))*('normal case'!L301-'main page'!$U$8)))</f>
        <v>0</v>
      </c>
      <c r="AU301" s="36"/>
      <c r="AV301" s="36"/>
    </row>
    <row r="302" spans="1:48">
      <c r="A302" s="43">
        <v>300</v>
      </c>
      <c r="B302" s="62">
        <f ca="1">IF(controls!$B$33=1,B301*(1+AC302)+AA302,B301*(1+AC302))</f>
        <v>101</v>
      </c>
      <c r="C302" s="67">
        <f t="shared" ca="1" si="40"/>
        <v>-1.5107707374006907E-7</v>
      </c>
      <c r="D302" s="64">
        <f t="shared" ca="1" si="36"/>
        <v>101.00000005960464</v>
      </c>
      <c r="E302" s="64">
        <f ca="1">AN301+IF(controls!$B$33=1,G302,F302)</f>
        <v>101.00000005960464</v>
      </c>
      <c r="F302" s="78">
        <f ca="1">IF(controls!$B$44=0,H302-'main page'!$K$27*T301,H302-'main page'!$K$27*T301+'main page'!$K$31*AI301)</f>
        <v>101.00000005960464</v>
      </c>
      <c r="G302" s="62">
        <f ca="1">IF(controls!$B$44=0,I302-'main page'!$K$27*T301,I302-'main page'!$K$27*T301+'main page'!$K$31*'normal case'!AI301)</f>
        <v>101.00000005960464</v>
      </c>
      <c r="H302" s="62">
        <f t="shared" ca="1" si="42"/>
        <v>108</v>
      </c>
      <c r="I302" s="62">
        <f t="shared" ca="1" si="43"/>
        <v>108</v>
      </c>
      <c r="L302" s="62">
        <f ca="1">IF(ABS('main page'!$K$29*L301+(1-'main page'!$K$29)*(controls!$B$9/100)*100+'main page'!$K$25*(D302-B302)-L301)&lt;0.0000001,L301,'main page'!$K$29*L301+(1-'main page'!$K$29)*(controls!$B$9/100)*100+'main page'!$K$25*(D302-B302))</f>
        <v>1.9999998807907104</v>
      </c>
      <c r="Q302" s="409">
        <f ca="1">(1-'main page'!$K$29)*($AS$11/100)*100+'main page'!$K$25*(D302-B302)</f>
        <v>5.9604644775390625E-8</v>
      </c>
      <c r="R302" s="409">
        <f>'main page'!G306+'main page'!$K$29*M301</f>
        <v>0</v>
      </c>
      <c r="S302" s="409">
        <f t="shared" ca="1" si="41"/>
        <v>5.9604644775390625E-8</v>
      </c>
      <c r="T302" s="79">
        <f ca="1">IF(controls!$B$10=1,T301,IF(SUM(controls!$B$44:$B$46)=2,U302-'main page'!$K$29*'normal case'!L302-(1-'main page'!$K$29)*'main page'!$K$32,U302-'main page'!$K$29*'normal case'!L302-(1-'main page'!$K$29)*controls!$B$9))</f>
        <v>3.4999999701976776</v>
      </c>
      <c r="U302" s="164">
        <f ca="1">IF(controls!$B$45=1,IF(controls!$B$46=1,'main page'!$K$24+'main page'!$K$11+'main page'!$U$8,'main page'!$K$24+'main page'!$K$11+'main page'!$K$32),IF(controls!$B$44=1,IF(V302&lt;0,0,V302),IF(V302+'main page'!$K$11&lt;0,0,V302+'main page'!$K$11)))</f>
        <v>5.4999998509883881</v>
      </c>
      <c r="V302" s="63">
        <f ca="1">IF(controls!$B$10=1,'normal case'!T302+'normal case'!L302,'normal case'!W302)</f>
        <v>5.4999998509883881</v>
      </c>
      <c r="W302" s="61">
        <f t="shared" ca="1" si="37"/>
        <v>5.4999998509883881</v>
      </c>
      <c r="X302" s="166">
        <f ca="1">IF(controls!$B$44=0,Y302+'main page'!$K$29*L302+(1-'main page'!$K$29)*controls!$B$9+(('main page'!$K$25*'main page'!$U$13*'main page'!$K$29)/('main page'!$K$27*(1+('main page'!$K$25^2)*'main page'!$U$13)))*(L302-controls!$B$9),Y302+'main page'!$K$29*L302+(1-'main page'!$K$29)*controls!$B$9+(('main page'!$K$25*'main page'!$U$13*'normal case'!$AV$3)/'normal case'!$AV$4)*('normal case'!L302-controls!$B$9))</f>
        <v>5.4999998509883881</v>
      </c>
      <c r="Y302" s="81">
        <f ca="1">IF(controls!$B$44=1,'main page'!$K$24+'main page'!$K$11,IF(controls!$B$33=1,((I303-D302*AD303-B303+B302*AC303)/'main page'!$K$27)-'main page'!$K$11,((H303-D302*AD303-B303+B302*AC303)/'main page'!$K$27)-'main page'!$K$11))</f>
        <v>3.5</v>
      </c>
      <c r="AA302" s="58">
        <f>IF(controls!$B$6=1,$AS$3*(1+('main page'!$K$35/100))^AB302-$AS$3*(1+('main page'!$K$35/100))^AB301,$AS$3*(1+('main page'!$G$8/100))*(1+('main page'!$K$35/100))^AB302-$AS$3*(1+('main page'!$G$8/100))*(1+('main page'!$K$35/100))^AB301)</f>
        <v>0</v>
      </c>
      <c r="AB302" s="60">
        <v>295</v>
      </c>
      <c r="AC302" s="125">
        <f ca="1">IF(controls!$B$4=1,IF(controls!$H301=1,controls!$B$34*AC301+RAND()*('main page'!$K$16/100)-RAND()*('main page'!$K$16/100),0),0)</f>
        <v>0</v>
      </c>
      <c r="AD302" s="36">
        <f ca="1">IF(controls!$B$4=1,IF(controls!$I301=1,controls!$B$34*AD301+RAND()*('main page'!$K$16/100)-RAND()*('main page'!$K$16/100),0),0)</f>
        <v>0</v>
      </c>
      <c r="AE302" s="44">
        <f ca="1">IF(controls!$B$33=1,D302-($I$3-'main page'!$K$27*2)*(1+('main page'!$K$35/100))^A301,D302-$AS$4)</f>
        <v>1.0000000596046448</v>
      </c>
      <c r="AF302" s="44">
        <f ca="1">ABS(L302-(controls!$B$9/100)*100)</f>
        <v>1.1920928955078125E-7</v>
      </c>
      <c r="AH302" s="44">
        <f ca="1">IF(controls!$B$33=1,(B303-B302*AC303-I303+D302*AD303+'main page'!$K$27*('main page'!$K$24+'main page'!$K$11))/'main page'!$K$31,(B303-B302*AC303+D302*AD303-H303+'main page'!$K$27*('main page'!$K$24+'main page'!$K$11))/'main page'!$K$31)</f>
        <v>1</v>
      </c>
      <c r="AI302" s="44">
        <f ca="1">IF(controls!$B$45=1,LOG(AM302,1.01)+LOG(AL302,1.01)-LOG(AK302,1.01),-((T302-('main page'!$K$24+'main page'!$K$11))/(1-'normal case'!$AV$3))+'normal case'!AH302)</f>
        <v>2.0000000596046448</v>
      </c>
      <c r="AJ302" s="80">
        <f t="shared" ca="1" si="38"/>
        <v>1.0506250015463039</v>
      </c>
      <c r="AK302" s="44">
        <f t="shared" ca="1" si="39"/>
        <v>365.51706308112608</v>
      </c>
      <c r="AL302" s="44">
        <f>AL301*(1+'main page'!$K$32/100)</f>
        <v>1</v>
      </c>
      <c r="AM302" s="44">
        <f ca="1">IF(ABS(IF(controls!$B$45=1,$AS$13,AK302*AJ302/AL302)-AM301)&lt;0.00001,AM301,IF(controls!$B$45=1,$AS$13,AK302*AJ302/AL302))</f>
        <v>384.02136496480853</v>
      </c>
      <c r="AN302" s="44">
        <f>IF(controls!$B$46=0,0,IF(controls!$B$33=2,B303-B302*AC303-('normal case'!H303-D302*AD303-'main page'!$K$27*'normal case'!T302+'main page'!$K$31*'normal case'!AI302)-(('main page'!$K$25*'main page'!$U$13*'main page'!$K$29)/(1+('main page'!$K$25^2)*'main page'!$U$13))*('normal case'!L302-'main page'!$U$8),B303-B302*AC303-('normal case'!I303-D302*AD303-'main page'!$K$27*'normal case'!T302+'main page'!$K$31*'normal case'!AI302)-(('main page'!$K$25*'main page'!$U$13*'main page'!$K$29)/(1+('main page'!$K$25^2)*'main page'!$U$13))*('normal case'!L302-'main page'!$U$8)))</f>
        <v>0</v>
      </c>
      <c r="AU302" s="36"/>
      <c r="AV302" s="36"/>
    </row>
    <row r="303" spans="1:48">
      <c r="A303" s="43">
        <v>301</v>
      </c>
      <c r="B303" s="62">
        <f ca="1">IF(controls!$B$33=1,B302*(1+AC303)+AA303,B302*(1+AC303))</f>
        <v>101</v>
      </c>
      <c r="C303" s="67">
        <f t="shared" ca="1" si="40"/>
        <v>-1.5107707374006907E-7</v>
      </c>
      <c r="D303" s="64">
        <f t="shared" ca="1" si="36"/>
        <v>101.00000005960464</v>
      </c>
      <c r="E303" s="64">
        <f ca="1">AN302+IF(controls!$B$33=1,G303,F303)</f>
        <v>101.00000005960464</v>
      </c>
      <c r="F303" s="78">
        <f ca="1">IF(controls!$B$44=0,H303-'main page'!$K$27*T302,H303-'main page'!$K$27*T302+'main page'!$K$31*AI302)</f>
        <v>101.00000005960464</v>
      </c>
      <c r="G303" s="62">
        <f ca="1">IF(controls!$B$44=0,I303-'main page'!$K$27*T302,I303-'main page'!$K$27*T302+'main page'!$K$31*'normal case'!AI302)</f>
        <v>101.00000005960464</v>
      </c>
      <c r="H303" s="62">
        <f t="shared" ca="1" si="42"/>
        <v>108</v>
      </c>
      <c r="I303" s="62">
        <f t="shared" ca="1" si="43"/>
        <v>108</v>
      </c>
      <c r="L303" s="62">
        <f ca="1">IF(ABS('main page'!$K$29*L302+(1-'main page'!$K$29)*(controls!$B$9/100)*100+'main page'!$K$25*(D303-B303)-L302)&lt;0.0000001,L302,'main page'!$K$29*L302+(1-'main page'!$K$29)*(controls!$B$9/100)*100+'main page'!$K$25*(D303-B303))</f>
        <v>1.9999998807907104</v>
      </c>
      <c r="Q303" s="409">
        <f ca="1">(1-'main page'!$K$29)*($AS$11/100)*100+'main page'!$K$25*(D303-B303)</f>
        <v>5.9604644775390625E-8</v>
      </c>
      <c r="R303" s="409">
        <f>'main page'!G307+'main page'!$K$29*M302</f>
        <v>0</v>
      </c>
      <c r="S303" s="409">
        <f t="shared" ca="1" si="41"/>
        <v>5.9604644775390625E-8</v>
      </c>
      <c r="T303" s="79">
        <f ca="1">IF(controls!$B$10=1,T302,IF(SUM(controls!$B$44:$B$46)=2,U303-'main page'!$K$29*'normal case'!L303-(1-'main page'!$K$29)*'main page'!$K$32,U303-'main page'!$K$29*'normal case'!L303-(1-'main page'!$K$29)*controls!$B$9))</f>
        <v>3.4999999701976776</v>
      </c>
      <c r="U303" s="164">
        <f ca="1">IF(controls!$B$45=1,IF(controls!$B$46=1,'main page'!$K$24+'main page'!$K$11+'main page'!$U$8,'main page'!$K$24+'main page'!$K$11+'main page'!$K$32),IF(controls!$B$44=1,IF(V303&lt;0,0,V303),IF(V303+'main page'!$K$11&lt;0,0,V303+'main page'!$K$11)))</f>
        <v>5.4999998509883881</v>
      </c>
      <c r="V303" s="63">
        <f ca="1">IF(controls!$B$10=1,'normal case'!T303+'normal case'!L303,'normal case'!W303)</f>
        <v>5.4999998509883881</v>
      </c>
      <c r="W303" s="61">
        <f t="shared" ca="1" si="37"/>
        <v>5.4999998509883881</v>
      </c>
      <c r="X303" s="166">
        <f ca="1">IF(controls!$B$44=0,Y303+'main page'!$K$29*L303+(1-'main page'!$K$29)*controls!$B$9+(('main page'!$K$25*'main page'!$U$13*'main page'!$K$29)/('main page'!$K$27*(1+('main page'!$K$25^2)*'main page'!$U$13)))*(L303-controls!$B$9),Y303+'main page'!$K$29*L303+(1-'main page'!$K$29)*controls!$B$9+(('main page'!$K$25*'main page'!$U$13*'normal case'!$AV$3)/'normal case'!$AV$4)*('normal case'!L303-controls!$B$9))</f>
        <v>5.4999998509883881</v>
      </c>
      <c r="Y303" s="81">
        <f ca="1">IF(controls!$B$44=1,'main page'!$K$24+'main page'!$K$11,IF(controls!$B$33=1,((I304-D303*AD304-B304+B303*AC304)/'main page'!$K$27)-'main page'!$K$11,((H304-D303*AD304-B304+B303*AC304)/'main page'!$K$27)-'main page'!$K$11))</f>
        <v>3.5</v>
      </c>
      <c r="AA303" s="58">
        <f>IF(controls!$B$6=1,$AS$3*(1+('main page'!$K$35/100))^AB303-$AS$3*(1+('main page'!$K$35/100))^AB302,$AS$3*(1+('main page'!$G$8/100))*(1+('main page'!$K$35/100))^AB303-$AS$3*(1+('main page'!$G$8/100))*(1+('main page'!$K$35/100))^AB302)</f>
        <v>0</v>
      </c>
      <c r="AB303" s="60">
        <v>296</v>
      </c>
      <c r="AC303" s="125">
        <v>0</v>
      </c>
      <c r="AD303" s="36">
        <v>0</v>
      </c>
      <c r="AE303" s="44">
        <f ca="1">IF(controls!$B$33=1,D303-($I$3-'main page'!$K$27*2)*(1+('main page'!$K$35/100))^A302,D303-$AS$4)</f>
        <v>1.0000000596046448</v>
      </c>
      <c r="AF303" s="44">
        <f ca="1">ABS(L303-(controls!$B$9/100)*100)</f>
        <v>1.1920928955078125E-7</v>
      </c>
      <c r="AH303" s="44">
        <f ca="1">IF(controls!$B$33=1,(B304-B303*AC304-I304+D303*AD304+'main page'!$K$27*('main page'!$K$24+'main page'!$K$11))/'main page'!$K$31,(B304-B303*AC304+D303*AD304-H304+'main page'!$K$27*('main page'!$K$24+'main page'!$K$11))/'main page'!$K$31)</f>
        <v>1</v>
      </c>
      <c r="AI303" s="44">
        <f ca="1">IF(controls!$B$45=1,LOG(AM303,1.01)+LOG(AL303,1.01)-LOG(AK303,1.01),-((T303-('main page'!$K$24+'main page'!$K$11))/(1-'normal case'!$AV$3))+'normal case'!AH303)</f>
        <v>2.0000000596046448</v>
      </c>
      <c r="AJ303" s="80">
        <f t="shared" ca="1" si="38"/>
        <v>1.0506250015463039</v>
      </c>
      <c r="AK303" s="44">
        <f t="shared" ca="1" si="39"/>
        <v>372.82740390701832</v>
      </c>
      <c r="AL303" s="44">
        <f>AL302*(1+'main page'!$K$32/100)</f>
        <v>1</v>
      </c>
      <c r="AM303" s="44">
        <f ca="1">IF(ABS(IF(controls!$B$45=1,$AS$13,AK303*AJ303/AL303)-AM302)&lt;0.00001,AM302,IF(controls!$B$45=1,$AS$13,AK303*AJ303/AL303))</f>
        <v>391.70179180631561</v>
      </c>
      <c r="AN303" s="44">
        <f>IF(controls!$B$46=0,0,IF(controls!$B$33=2,B304-B303*AC304-('normal case'!H304-D303*AD304-'main page'!$K$27*'normal case'!T303+'main page'!$K$31*'normal case'!AI303)-(('main page'!$K$25*'main page'!$U$13*'main page'!$K$29)/(1+('main page'!$K$25^2)*'main page'!$U$13))*('normal case'!L303-'main page'!$U$8),B304-B303*AC304-('normal case'!I304-D303*AD304-'main page'!$K$27*'normal case'!T303+'main page'!$K$31*'normal case'!AI303)-(('main page'!$K$25*'main page'!$U$13*'main page'!$K$29)/(1+('main page'!$K$25^2)*'main page'!$U$13))*('normal case'!L303-'main page'!$U$8)))</f>
        <v>0</v>
      </c>
      <c r="AU303" s="36"/>
      <c r="AV303" s="36"/>
    </row>
    <row r="304" spans="1:48">
      <c r="A304" s="43">
        <v>302</v>
      </c>
      <c r="B304" s="62">
        <f ca="1">IF(controls!$B$33=1,B303*(1+AC304)+AA304,B303*(1+AC304))</f>
        <v>101</v>
      </c>
      <c r="C304" s="67">
        <f t="shared" ca="1" si="40"/>
        <v>-1.5107707374006907E-7</v>
      </c>
      <c r="D304" s="64">
        <f t="shared" ca="1" si="36"/>
        <v>101.00000005960464</v>
      </c>
      <c r="E304" s="64">
        <f ca="1">AN303+IF(controls!$B$33=1,G304,F304)</f>
        <v>101.00000005960464</v>
      </c>
      <c r="F304" s="78">
        <f ca="1">IF(controls!$B$44=0,H304-'main page'!$K$27*T303,H304-'main page'!$K$27*T303+'main page'!$K$31*AI303)</f>
        <v>101.00000005960464</v>
      </c>
      <c r="G304" s="62">
        <f ca="1">IF(controls!$B$44=0,I304-'main page'!$K$27*T303,I304-'main page'!$K$27*T303+'main page'!$K$31*'normal case'!AI303)</f>
        <v>101.00000005960464</v>
      </c>
      <c r="H304" s="62">
        <f t="shared" ca="1" si="42"/>
        <v>108</v>
      </c>
      <c r="I304" s="62">
        <f t="shared" ca="1" si="43"/>
        <v>108</v>
      </c>
      <c r="L304" s="62">
        <f ca="1">IF(ABS('main page'!$K$29*L303+(1-'main page'!$K$29)*(controls!$B$9/100)*100+'main page'!$K$25*(D304-B304)-L303)&lt;0.0000001,L303,'main page'!$K$29*L303+(1-'main page'!$K$29)*(controls!$B$9/100)*100+'main page'!$K$25*(D304-B304))</f>
        <v>1.9999998807907104</v>
      </c>
      <c r="Q304" s="409">
        <f ca="1">(1-'main page'!$K$29)*($AS$11/100)*100+'main page'!$K$25*(D304-B304)</f>
        <v>5.9604644775390625E-8</v>
      </c>
      <c r="R304" s="409">
        <f>'main page'!G308+'main page'!$K$29*M303</f>
        <v>0</v>
      </c>
      <c r="S304" s="409">
        <f t="shared" ca="1" si="41"/>
        <v>5.9604644775390625E-8</v>
      </c>
      <c r="T304" s="79">
        <f ca="1">IF(controls!$B$10=1,T303,IF(SUM(controls!$B$44:$B$46)=2,U304-'main page'!$K$29*'normal case'!L304-(1-'main page'!$K$29)*'main page'!$K$32,U304-'main page'!$K$29*'normal case'!L304-(1-'main page'!$K$29)*controls!$B$9))</f>
        <v>3.4999999701976776</v>
      </c>
      <c r="U304" s="164">
        <f ca="1">IF(controls!$B$45=1,IF(controls!$B$46=1,'main page'!$K$24+'main page'!$K$11+'main page'!$U$8,'main page'!$K$24+'main page'!$K$11+'main page'!$K$32),IF(controls!$B$44=1,IF(V304&lt;0,0,V304),IF(V304+'main page'!$K$11&lt;0,0,V304+'main page'!$K$11)))</f>
        <v>5.4999998509883881</v>
      </c>
      <c r="V304" s="63">
        <f ca="1">IF(controls!$B$10=1,'normal case'!T304+'normal case'!L304,'normal case'!W304)</f>
        <v>5.4999998509883881</v>
      </c>
      <c r="W304" s="61">
        <f t="shared" ca="1" si="37"/>
        <v>5.4999998509883881</v>
      </c>
      <c r="X304" s="166">
        <f ca="1">IF(controls!$B$44=0,Y304+'main page'!$K$29*L304+(1-'main page'!$K$29)*controls!$B$9+(('main page'!$K$25*'main page'!$U$13*'main page'!$K$29)/('main page'!$K$27*(1+('main page'!$K$25^2)*'main page'!$U$13)))*(L304-controls!$B$9),Y304+'main page'!$K$29*L304+(1-'main page'!$K$29)*controls!$B$9+(('main page'!$K$25*'main page'!$U$13*'normal case'!$AV$3)/'normal case'!$AV$4)*('normal case'!L304-controls!$B$9))</f>
        <v>5.4999998509883881</v>
      </c>
      <c r="Y304" s="81">
        <f ca="1">IF(controls!$B$44=1,'main page'!$K$24+'main page'!$K$11,IF(controls!$B$33=1,((I305-D304*AD305-B305+B304*AC305)/'main page'!$K$27)-'main page'!$K$11,((H305-D304*AD305-B305+B304*AC305)/'main page'!$K$27)-'main page'!$K$11))</f>
        <v>3.5</v>
      </c>
      <c r="AA304" s="58">
        <f>IF(controls!$B$6=1,$AS$3*(1+('main page'!$K$35/100))^AB304-$AS$3*(1+('main page'!$K$35/100))^AB303,$AS$3*(1+('main page'!$G$8/100))*(1+('main page'!$K$35/100))^AB304-$AS$3*(1+('main page'!$G$8/100))*(1+('main page'!$K$35/100))^AB303)</f>
        <v>0</v>
      </c>
      <c r="AB304" s="60">
        <v>297</v>
      </c>
      <c r="AC304" s="125">
        <v>0</v>
      </c>
      <c r="AD304" s="36">
        <v>0</v>
      </c>
      <c r="AE304" s="44">
        <f ca="1">IF(controls!$B$33=1,D304-($I$3-'main page'!$K$27*2)*(1+('main page'!$K$35/100))^A303,D304-$AS$4)</f>
        <v>1.0000000596046448</v>
      </c>
      <c r="AF304" s="44">
        <f ca="1">ABS(L304-(controls!$B$9/100)*100)</f>
        <v>1.1920928955078125E-7</v>
      </c>
      <c r="AH304" s="44">
        <f ca="1">IF(controls!$B$33=1,(B305-B304*AC305-I305+D304*AD305+'main page'!$K$27*('main page'!$K$24+'main page'!$K$11))/'main page'!$K$31,(B305-B304*AC305+D304*AD305-H305+'main page'!$K$27*('main page'!$K$24+'main page'!$K$11))/'main page'!$K$31)</f>
        <v>1</v>
      </c>
      <c r="AI304" s="44">
        <f ca="1">IF(controls!$B$45=1,LOG(AM304,1.01)+LOG(AL304,1.01)-LOG(AK304,1.01),-((T304-('main page'!$K$24+'main page'!$K$11))/(1-'normal case'!$AV$3))+'normal case'!AH304)</f>
        <v>2.0000000596046448</v>
      </c>
      <c r="AJ304" s="80">
        <f t="shared" ca="1" si="38"/>
        <v>1.0506250015463039</v>
      </c>
      <c r="AK304" s="44">
        <f t="shared" ca="1" si="39"/>
        <v>380.28395154071382</v>
      </c>
      <c r="AL304" s="44">
        <f>AL303*(1+'main page'!$K$32/100)</f>
        <v>1</v>
      </c>
      <c r="AM304" s="44">
        <f ca="1">IF(ABS(IF(controls!$B$45=1,$AS$13,AK304*AJ304/AL304)-AM303)&lt;0.00001,AM303,IF(controls!$B$45=1,$AS$13,AK304*AJ304/AL304))</f>
        <v>399.53582717549699</v>
      </c>
      <c r="AN304" s="44">
        <f>IF(controls!$B$46=0,0,IF(controls!$B$33=2,B305-B304*AC305-('normal case'!H305-D304*AD305-'main page'!$K$27*'normal case'!T304+'main page'!$K$31*'normal case'!AI304)-(('main page'!$K$25*'main page'!$U$13*'main page'!$K$29)/(1+('main page'!$K$25^2)*'main page'!$U$13))*('normal case'!L304-'main page'!$U$8),B305-B304*AC305-('normal case'!I305-D304*AD305-'main page'!$K$27*'normal case'!T304+'main page'!$K$31*'normal case'!AI304)-(('main page'!$K$25*'main page'!$U$13*'main page'!$K$29)/(1+('main page'!$K$25^2)*'main page'!$U$13))*('normal case'!L304-'main page'!$U$8)))</f>
        <v>0</v>
      </c>
      <c r="AU304" s="36"/>
      <c r="AV304" s="36"/>
    </row>
    <row r="305" spans="1:48">
      <c r="A305" s="43">
        <v>303</v>
      </c>
      <c r="B305" s="62">
        <f ca="1">IF(controls!$B$33=1,B304*(1+AC305)+AA305,B304*(1+AC305))</f>
        <v>101</v>
      </c>
      <c r="C305" s="67">
        <f t="shared" ca="1" si="40"/>
        <v>-1.5107707374006907E-7</v>
      </c>
      <c r="D305" s="64">
        <f t="shared" ca="1" si="36"/>
        <v>101.00000005960464</v>
      </c>
      <c r="E305" s="64">
        <f ca="1">AN304+IF(controls!$B$33=1,G305,F305)</f>
        <v>101.00000005960464</v>
      </c>
      <c r="F305" s="78">
        <f ca="1">IF(controls!$B$44=0,H305-'main page'!$K$27*T304,H305-'main page'!$K$27*T304+'main page'!$K$31*AI304)</f>
        <v>101.00000005960464</v>
      </c>
      <c r="G305" s="62">
        <f ca="1">IF(controls!$B$44=0,I305-'main page'!$K$27*T304,I305-'main page'!$K$27*T304+'main page'!$K$31*'normal case'!AI304)</f>
        <v>101.00000005960464</v>
      </c>
      <c r="H305" s="62">
        <f t="shared" ca="1" si="42"/>
        <v>108</v>
      </c>
      <c r="I305" s="62">
        <f t="shared" ca="1" si="43"/>
        <v>108</v>
      </c>
      <c r="L305" s="62">
        <f ca="1">IF(ABS('main page'!$K$29*L304+(1-'main page'!$K$29)*(controls!$B$9/100)*100+'main page'!$K$25*(D305-B305)-L304)&lt;0.0000001,L304,'main page'!$K$29*L304+(1-'main page'!$K$29)*(controls!$B$9/100)*100+'main page'!$K$25*(D305-B305))</f>
        <v>1.9999998807907104</v>
      </c>
      <c r="Q305" s="409">
        <f ca="1">(1-'main page'!$K$29)*($AS$11/100)*100+'main page'!$K$25*(D305-B305)</f>
        <v>5.9604644775390625E-8</v>
      </c>
      <c r="R305" s="409">
        <f>'main page'!G309+'main page'!$K$29*M304</f>
        <v>0</v>
      </c>
      <c r="S305" s="409">
        <f t="shared" ca="1" si="41"/>
        <v>5.9604644775390625E-8</v>
      </c>
      <c r="T305" s="79">
        <f ca="1">IF(controls!$B$10=1,T304,IF(SUM(controls!$B$44:$B$46)=2,U305-'main page'!$K$29*'normal case'!L305-(1-'main page'!$K$29)*'main page'!$K$32,U305-'main page'!$K$29*'normal case'!L305-(1-'main page'!$K$29)*controls!$B$9))</f>
        <v>3.4999999701976776</v>
      </c>
      <c r="U305" s="164">
        <f ca="1">IF(controls!$B$45=1,IF(controls!$B$46=1,'main page'!$K$24+'main page'!$K$11+'main page'!$U$8,'main page'!$K$24+'main page'!$K$11+'main page'!$K$32),IF(controls!$B$44=1,IF(V305&lt;0,0,V305),IF(V305+'main page'!$K$11&lt;0,0,V305+'main page'!$K$11)))</f>
        <v>5.4999998509883881</v>
      </c>
      <c r="V305" s="63">
        <f ca="1">IF(controls!$B$10=1,'normal case'!T305+'normal case'!L305,'normal case'!W305)</f>
        <v>5.4999998509883881</v>
      </c>
      <c r="W305" s="61">
        <f t="shared" ca="1" si="37"/>
        <v>5.4999998509883881</v>
      </c>
      <c r="X305" s="166">
        <f ca="1">IF(controls!$B$44=0,Y305+'main page'!$K$29*L305+(1-'main page'!$K$29)*controls!$B$9+(('main page'!$K$25*'main page'!$U$13*'main page'!$K$29)/('main page'!$K$27*(1+('main page'!$K$25^2)*'main page'!$U$13)))*(L305-controls!$B$9),Y305+'main page'!$K$29*L305+(1-'main page'!$K$29)*controls!$B$9+(('main page'!$K$25*'main page'!$U$13*'normal case'!$AV$3)/'normal case'!$AV$4)*('normal case'!L305-controls!$B$9))</f>
        <v>5.4999998509883881</v>
      </c>
      <c r="Y305" s="81">
        <f ca="1">IF(controls!$B$44=1,'main page'!$K$24+'main page'!$K$11,IF(controls!$B$33=1,((I306-D305*AD306-B306+B305*AC306)/'main page'!$K$27)-'main page'!$K$11,((H306-D305*AD306-B306+B305*AC306)/'main page'!$K$27)-'main page'!$K$11))</f>
        <v>3.5</v>
      </c>
      <c r="AA305" s="58">
        <f>IF(controls!$B$6=1,$AS$3*(1+('main page'!$K$35/100))^AB305-$AS$3*(1+('main page'!$K$35/100))^AB304,$AS$3*(1+('main page'!$G$8/100))*(1+('main page'!$K$35/100))^AB305-$AS$3*(1+('main page'!$G$8/100))*(1+('main page'!$K$35/100))^AB304)</f>
        <v>0</v>
      </c>
      <c r="AB305" s="60">
        <v>298</v>
      </c>
      <c r="AC305" s="125">
        <f ca="1">IF(controls!$B$4=1,IF(controls!$H304=1,controls!$B$34*AC304+RAND()*('main page'!$K$16/100)-RAND()*('main page'!$K$16/100),0),0)</f>
        <v>0</v>
      </c>
      <c r="AD305" s="36">
        <f ca="1">IF(controls!$B$4=1,IF(controls!$I304=1,controls!$B$34*AD304+RAND()*('main page'!$K$16/100)-RAND()*('main page'!$K$16/100),0),0)</f>
        <v>0</v>
      </c>
      <c r="AE305" s="44">
        <f ca="1">IF(controls!$B$33=1,D305-($I$3-'main page'!$K$27*2)*(1+('main page'!$K$35/100))^A304,D305-$AS$4)</f>
        <v>1.0000000596046448</v>
      </c>
      <c r="AF305" s="44">
        <f ca="1">ABS(L305-(controls!$B$9/100)*100)</f>
        <v>1.1920928955078125E-7</v>
      </c>
      <c r="AH305" s="44">
        <f ca="1">IF(controls!$B$33=1,(B306-B305*AC306-I306+D305*AD306+'main page'!$K$27*('main page'!$K$24+'main page'!$K$11))/'main page'!$K$31,(B306-B305*AC306+D305*AD306-H306+'main page'!$K$27*('main page'!$K$24+'main page'!$K$11))/'main page'!$K$31)</f>
        <v>1</v>
      </c>
      <c r="AI305" s="44">
        <f ca="1">IF(controls!$B$45=1,LOG(AM305,1.01)+LOG(AL305,1.01)-LOG(AK305,1.01),-((T305-('main page'!$K$24+'main page'!$K$11))/(1-'normal case'!$AV$3))+'normal case'!AH305)</f>
        <v>2.0000000596046448</v>
      </c>
      <c r="AJ305" s="80">
        <f t="shared" ca="1" si="38"/>
        <v>1.0506250015463039</v>
      </c>
      <c r="AK305" s="44">
        <f t="shared" ca="1" si="39"/>
        <v>387.8896301181943</v>
      </c>
      <c r="AL305" s="44">
        <f>AL304*(1+'main page'!$K$32/100)</f>
        <v>1</v>
      </c>
      <c r="AM305" s="44">
        <f ca="1">IF(ABS(IF(controls!$B$45=1,$AS$13,AK305*AJ305/AL305)-AM304)&lt;0.00001,AM304,IF(controls!$B$45=1,$AS$13,AK305*AJ305/AL305))</f>
        <v>407.52654324272316</v>
      </c>
      <c r="AN305" s="44">
        <f>IF(controls!$B$46=0,0,IF(controls!$B$33=2,B306-B305*AC306-('normal case'!H306-D305*AD306-'main page'!$K$27*'normal case'!T305+'main page'!$K$31*'normal case'!AI305)-(('main page'!$K$25*'main page'!$U$13*'main page'!$K$29)/(1+('main page'!$K$25^2)*'main page'!$U$13))*('normal case'!L305-'main page'!$U$8),B306-B305*AC306-('normal case'!I306-D305*AD306-'main page'!$K$27*'normal case'!T305+'main page'!$K$31*'normal case'!AI305)-(('main page'!$K$25*'main page'!$U$13*'main page'!$K$29)/(1+('main page'!$K$25^2)*'main page'!$U$13))*('normal case'!L305-'main page'!$U$8)))</f>
        <v>0</v>
      </c>
      <c r="AU305" s="36"/>
      <c r="AV305" s="36"/>
    </row>
    <row r="306" spans="1:48">
      <c r="A306" s="43">
        <v>304</v>
      </c>
      <c r="B306" s="62">
        <f ca="1">IF(controls!$B$33=1,B305*(1+AC306)+AA306,B305*(1+AC306))</f>
        <v>101</v>
      </c>
      <c r="C306" s="67">
        <f t="shared" ca="1" si="40"/>
        <v>-1.5107707374006907E-7</v>
      </c>
      <c r="D306" s="64">
        <f t="shared" ca="1" si="36"/>
        <v>101.00000005960464</v>
      </c>
      <c r="E306" s="64">
        <f ca="1">AN305+IF(controls!$B$33=1,G306,F306)</f>
        <v>101.00000005960464</v>
      </c>
      <c r="F306" s="78">
        <f ca="1">IF(controls!$B$44=0,H306-'main page'!$K$27*T305,H306-'main page'!$K$27*T305+'main page'!$K$31*AI305)</f>
        <v>101.00000005960464</v>
      </c>
      <c r="G306" s="62">
        <f ca="1">IF(controls!$B$44=0,I306-'main page'!$K$27*T305,I306-'main page'!$K$27*T305+'main page'!$K$31*'normal case'!AI305)</f>
        <v>101.00000005960464</v>
      </c>
      <c r="H306" s="62">
        <f t="shared" ca="1" si="42"/>
        <v>108</v>
      </c>
      <c r="I306" s="62">
        <f t="shared" ca="1" si="43"/>
        <v>108</v>
      </c>
      <c r="L306" s="62">
        <f ca="1">IF(ABS('main page'!$K$29*L305+(1-'main page'!$K$29)*(controls!$B$9/100)*100+'main page'!$K$25*(D306-B306)-L305)&lt;0.0000001,L305,'main page'!$K$29*L305+(1-'main page'!$K$29)*(controls!$B$9/100)*100+'main page'!$K$25*(D306-B306))</f>
        <v>1.9999998807907104</v>
      </c>
      <c r="Q306" s="409">
        <f ca="1">(1-'main page'!$K$29)*($AS$11/100)*100+'main page'!$K$25*(D306-B306)</f>
        <v>5.9604644775390625E-8</v>
      </c>
      <c r="R306" s="409">
        <f>'main page'!G310+'main page'!$K$29*M305</f>
        <v>0</v>
      </c>
      <c r="S306" s="409">
        <f t="shared" ca="1" si="41"/>
        <v>5.9604644775390625E-8</v>
      </c>
      <c r="T306" s="79">
        <f ca="1">IF(controls!$B$10=1,T305,IF(SUM(controls!$B$44:$B$46)=2,U306-'main page'!$K$29*'normal case'!L306-(1-'main page'!$K$29)*'main page'!$K$32,U306-'main page'!$K$29*'normal case'!L306-(1-'main page'!$K$29)*controls!$B$9))</f>
        <v>3.4999999701976776</v>
      </c>
      <c r="U306" s="164">
        <f ca="1">IF(controls!$B$45=1,IF(controls!$B$46=1,'main page'!$K$24+'main page'!$K$11+'main page'!$U$8,'main page'!$K$24+'main page'!$K$11+'main page'!$K$32),IF(controls!$B$44=1,IF(V306&lt;0,0,V306),IF(V306+'main page'!$K$11&lt;0,0,V306+'main page'!$K$11)))</f>
        <v>5.4999998509883881</v>
      </c>
      <c r="V306" s="63">
        <f ca="1">IF(controls!$B$10=1,'normal case'!T306+'normal case'!L306,'normal case'!W306)</f>
        <v>5.4999998509883881</v>
      </c>
      <c r="W306" s="61">
        <f t="shared" ca="1" si="37"/>
        <v>5.4999998509883881</v>
      </c>
      <c r="X306" s="166">
        <f ca="1">IF(controls!$B$44=0,Y306+'main page'!$K$29*L306+(1-'main page'!$K$29)*controls!$B$9+(('main page'!$K$25*'main page'!$U$13*'main page'!$K$29)/('main page'!$K$27*(1+('main page'!$K$25^2)*'main page'!$U$13)))*(L306-controls!$B$9),Y306+'main page'!$K$29*L306+(1-'main page'!$K$29)*controls!$B$9+(('main page'!$K$25*'main page'!$U$13*'normal case'!$AV$3)/'normal case'!$AV$4)*('normal case'!L306-controls!$B$9))</f>
        <v>5.4999998509883881</v>
      </c>
      <c r="Y306" s="81">
        <f ca="1">IF(controls!$B$44=1,'main page'!$K$24+'main page'!$K$11,IF(controls!$B$33=1,((I307-D306*AD307-B307+B306*AC307)/'main page'!$K$27)-'main page'!$K$11,((H307-D306*AD307-B307+B306*AC307)/'main page'!$K$27)-'main page'!$K$11))</f>
        <v>3.5</v>
      </c>
      <c r="AA306" s="58">
        <f>IF(controls!$B$6=1,$AS$3*(1+('main page'!$K$35/100))^AB306-$AS$3*(1+('main page'!$K$35/100))^AB305,$AS$3*(1+('main page'!$G$8/100))*(1+('main page'!$K$35/100))^AB306-$AS$3*(1+('main page'!$G$8/100))*(1+('main page'!$K$35/100))^AB305)</f>
        <v>0</v>
      </c>
      <c r="AB306" s="60">
        <v>299</v>
      </c>
      <c r="AC306" s="125">
        <v>0</v>
      </c>
      <c r="AD306" s="36">
        <v>0</v>
      </c>
      <c r="AE306" s="44">
        <f ca="1">IF(controls!$B$33=1,D306-($I$3-'main page'!$K$27*2)*(1+('main page'!$K$35/100))^A305,D306-$AS$4)</f>
        <v>1.0000000596046448</v>
      </c>
      <c r="AF306" s="44">
        <f ca="1">ABS(L306-(controls!$B$9/100)*100)</f>
        <v>1.1920928955078125E-7</v>
      </c>
      <c r="AH306" s="44">
        <f ca="1">IF(controls!$B$33=1,(B307-B306*AC307-I307+D306*AD307+'main page'!$K$27*('main page'!$K$24+'main page'!$K$11))/'main page'!$K$31,(B307-B306*AC307+D306*AD307-H307+'main page'!$K$27*('main page'!$K$24+'main page'!$K$11))/'main page'!$K$31)</f>
        <v>1</v>
      </c>
      <c r="AI306" s="44">
        <f ca="1">IF(controls!$B$45=1,LOG(AM306,1.01)+LOG(AL306,1.01)-LOG(AK306,1.01),-((T306-('main page'!$K$24+'main page'!$K$11))/(1-'normal case'!$AV$3))+'normal case'!AH306)</f>
        <v>2.0000000596046448</v>
      </c>
      <c r="AJ306" s="80">
        <f t="shared" ca="1" si="38"/>
        <v>1.0506250015463039</v>
      </c>
      <c r="AK306" s="44">
        <f t="shared" ca="1" si="39"/>
        <v>395.64742225815775</v>
      </c>
      <c r="AL306" s="44">
        <f>AL305*(1+'main page'!$K$32/100)</f>
        <v>1</v>
      </c>
      <c r="AM306" s="44">
        <f ca="1">IF(ABS(IF(controls!$B$45=1,$AS$13,AK306*AJ306/AL306)-AM305)&lt;0.00001,AM305,IF(controls!$B$45=1,$AS$13,AK306*AJ306/AL306))</f>
        <v>415.67707362176816</v>
      </c>
      <c r="AN306" s="44">
        <f>IF(controls!$B$46=0,0,IF(controls!$B$33=2,B307-B306*AC307-('normal case'!H307-D306*AD307-'main page'!$K$27*'normal case'!T306+'main page'!$K$31*'normal case'!AI306)-(('main page'!$K$25*'main page'!$U$13*'main page'!$K$29)/(1+('main page'!$K$25^2)*'main page'!$U$13))*('normal case'!L306-'main page'!$U$8),B307-B306*AC307-('normal case'!I307-D306*AD307-'main page'!$K$27*'normal case'!T306+'main page'!$K$31*'normal case'!AI306)-(('main page'!$K$25*'main page'!$U$13*'main page'!$K$29)/(1+('main page'!$K$25^2)*'main page'!$U$13))*('normal case'!L306-'main page'!$U$8)))</f>
        <v>0</v>
      </c>
      <c r="AU306" s="36"/>
      <c r="AV306" s="36"/>
    </row>
    <row r="307" spans="1:48">
      <c r="A307" s="43">
        <v>305</v>
      </c>
      <c r="B307" s="62">
        <f ca="1">IF(controls!$B$33=1,B306*(1+AC307)+AA307,B306*(1+AC307))</f>
        <v>101</v>
      </c>
      <c r="C307" s="67">
        <f t="shared" ca="1" si="40"/>
        <v>-1.5107707374006907E-7</v>
      </c>
      <c r="D307" s="64">
        <f t="shared" ca="1" si="36"/>
        <v>101.00000005960464</v>
      </c>
      <c r="E307" s="64">
        <f ca="1">AN306+IF(controls!$B$33=1,G307,F307)</f>
        <v>101.00000005960464</v>
      </c>
      <c r="F307" s="78">
        <f ca="1">IF(controls!$B$44=0,H307-'main page'!$K$27*T306,H307-'main page'!$K$27*T306+'main page'!$K$31*AI306)</f>
        <v>101.00000005960464</v>
      </c>
      <c r="G307" s="62">
        <f ca="1">IF(controls!$B$44=0,I307-'main page'!$K$27*T306,I307-'main page'!$K$27*T306+'main page'!$K$31*'normal case'!AI306)</f>
        <v>101.00000005960464</v>
      </c>
      <c r="H307" s="62">
        <f t="shared" ca="1" si="42"/>
        <v>108</v>
      </c>
      <c r="I307" s="62">
        <f t="shared" ca="1" si="43"/>
        <v>108</v>
      </c>
      <c r="L307" s="62">
        <f ca="1">IF(ABS('main page'!$K$29*L306+(1-'main page'!$K$29)*(controls!$B$9/100)*100+'main page'!$K$25*(D307-B307)-L306)&lt;0.0000001,L306,'main page'!$K$29*L306+(1-'main page'!$K$29)*(controls!$B$9/100)*100+'main page'!$K$25*(D307-B307))</f>
        <v>1.9999998807907104</v>
      </c>
      <c r="Q307" s="409">
        <f ca="1">(1-'main page'!$K$29)*($AS$11/100)*100+'main page'!$K$25*(D307-B307)</f>
        <v>5.9604644775390625E-8</v>
      </c>
      <c r="R307" s="409">
        <f>'main page'!G311+'main page'!$K$29*M306</f>
        <v>0</v>
      </c>
      <c r="S307" s="409">
        <f t="shared" ca="1" si="41"/>
        <v>5.9604644775390625E-8</v>
      </c>
      <c r="T307" s="79">
        <f ca="1">IF(controls!$B$10=1,T306,IF(SUM(controls!$B$44:$B$46)=2,U307-'main page'!$K$29*'normal case'!L307-(1-'main page'!$K$29)*'main page'!$K$32,U307-'main page'!$K$29*'normal case'!L307-(1-'main page'!$K$29)*controls!$B$9))</f>
        <v>3.4999999701976776</v>
      </c>
      <c r="U307" s="164">
        <f ca="1">IF(controls!$B$45=1,IF(controls!$B$46=1,'main page'!$K$24+'main page'!$K$11+'main page'!$U$8,'main page'!$K$24+'main page'!$K$11+'main page'!$K$32),IF(controls!$B$44=1,IF(V307&lt;0,0,V307),IF(V307+'main page'!$K$11&lt;0,0,V307+'main page'!$K$11)))</f>
        <v>5.4999998509883881</v>
      </c>
      <c r="V307" s="63">
        <f ca="1">IF(controls!$B$10=1,'normal case'!T307+'normal case'!L307,'normal case'!W307)</f>
        <v>5.4999998509883881</v>
      </c>
      <c r="W307" s="61">
        <f t="shared" ca="1" si="37"/>
        <v>5.4999998509883881</v>
      </c>
      <c r="X307" s="166">
        <f ca="1">IF(controls!$B$44=0,Y307+'main page'!$K$29*L307+(1-'main page'!$K$29)*controls!$B$9+(('main page'!$K$25*'main page'!$U$13*'main page'!$K$29)/('main page'!$K$27*(1+('main page'!$K$25^2)*'main page'!$U$13)))*(L307-controls!$B$9),Y307+'main page'!$K$29*L307+(1-'main page'!$K$29)*controls!$B$9+(('main page'!$K$25*'main page'!$U$13*'normal case'!$AV$3)/'normal case'!$AV$4)*('normal case'!L307-controls!$B$9))</f>
        <v>5.4999998509883881</v>
      </c>
      <c r="Y307" s="81">
        <f ca="1">IF(controls!$B$44=1,'main page'!$K$24+'main page'!$K$11,IF(controls!$B$33=1,((I308-D307*AD308-B308+B307*AC308)/'main page'!$K$27)-'main page'!$K$11,((H308-D307*AD308-B308+B307*AC308)/'main page'!$K$27)-'main page'!$K$11))</f>
        <v>3.5</v>
      </c>
      <c r="AA307" s="58">
        <f>IF(controls!$B$6=1,$AS$3*(1+('main page'!$K$35/100))^AB307-$AS$3*(1+('main page'!$K$35/100))^AB306,$AS$3*(1+('main page'!$G$8/100))*(1+('main page'!$K$35/100))^AB307-$AS$3*(1+('main page'!$G$8/100))*(1+('main page'!$K$35/100))^AB306)</f>
        <v>0</v>
      </c>
      <c r="AB307" s="60">
        <v>300</v>
      </c>
      <c r="AC307" s="125">
        <v>0</v>
      </c>
      <c r="AD307" s="36">
        <v>0</v>
      </c>
      <c r="AE307" s="44">
        <f ca="1">IF(controls!$B$33=1,D307-($I$3-'main page'!$K$27*2)*(1+('main page'!$K$35/100))^A306,D307-$AS$4)</f>
        <v>1.0000000596046448</v>
      </c>
      <c r="AF307" s="44">
        <f ca="1">ABS(L307-(controls!$B$9/100)*100)</f>
        <v>1.1920928955078125E-7</v>
      </c>
      <c r="AH307" s="44">
        <f ca="1">IF(controls!$B$33=1,(B308-B307*AC308-I308+D307*AD308+'main page'!$K$27*('main page'!$K$24+'main page'!$K$11))/'main page'!$K$31,(B308-B307*AC308+D307*AD308-H308+'main page'!$K$27*('main page'!$K$24+'main page'!$K$11))/'main page'!$K$31)</f>
        <v>1</v>
      </c>
      <c r="AI307" s="44">
        <f ca="1">IF(controls!$B$45=1,LOG(AM307,1.01)+LOG(AL307,1.01)-LOG(AK307,1.01),-((T307-('main page'!$K$24+'main page'!$K$11))/(1-'normal case'!$AV$3))+'normal case'!AH307)</f>
        <v>2.0000000596046448</v>
      </c>
      <c r="AJ307" s="80">
        <f t="shared" ca="1" si="38"/>
        <v>1.0506250015463039</v>
      </c>
      <c r="AK307" s="44">
        <f t="shared" ca="1" si="39"/>
        <v>403.56037023167244</v>
      </c>
      <c r="AL307" s="44">
        <f>AL306*(1+'main page'!$K$32/100)</f>
        <v>1</v>
      </c>
      <c r="AM307" s="44">
        <f ca="1">IF(ABS(IF(controls!$B$45=1,$AS$13,AK307*AJ307/AL307)-AM306)&lt;0.00001,AM306,IF(controls!$B$45=1,$AS$13,AK307*AJ307/AL307))</f>
        <v>423.99061459867784</v>
      </c>
      <c r="AN307" s="44">
        <f>IF(controls!$B$46=0,0,IF(controls!$B$33=2,B308-B307*AC308-('normal case'!H308-D307*AD308-'main page'!$K$27*'normal case'!T307+'main page'!$K$31*'normal case'!AI307)-(('main page'!$K$25*'main page'!$U$13*'main page'!$K$29)/(1+('main page'!$K$25^2)*'main page'!$U$13))*('normal case'!L307-'main page'!$U$8),B308-B307*AC308-('normal case'!I308-D307*AD308-'main page'!$K$27*'normal case'!T307+'main page'!$K$31*'normal case'!AI307)-(('main page'!$K$25*'main page'!$U$13*'main page'!$K$29)/(1+('main page'!$K$25^2)*'main page'!$U$13))*('normal case'!L307-'main page'!$U$8)))</f>
        <v>0</v>
      </c>
      <c r="AU307" s="36"/>
      <c r="AV307" s="36"/>
    </row>
    <row r="308" spans="1:48">
      <c r="A308" s="43">
        <v>306</v>
      </c>
      <c r="B308" s="62">
        <f ca="1">IF(controls!$B$33=1,B307*(1+AC308)+AA308,B307*(1+AC308))</f>
        <v>101</v>
      </c>
      <c r="C308" s="67">
        <f t="shared" ca="1" si="40"/>
        <v>-1.5107707374006907E-7</v>
      </c>
      <c r="D308" s="64">
        <f t="shared" ca="1" si="36"/>
        <v>101.00000005960464</v>
      </c>
      <c r="E308" s="64">
        <f ca="1">AN307+IF(controls!$B$33=1,G308,F308)</f>
        <v>101.00000005960464</v>
      </c>
      <c r="F308" s="78">
        <f ca="1">IF(controls!$B$44=0,H308-'main page'!$K$27*T307,H308-'main page'!$K$27*T307+'main page'!$K$31*AI307)</f>
        <v>101.00000005960464</v>
      </c>
      <c r="G308" s="62">
        <f ca="1">IF(controls!$B$44=0,I308-'main page'!$K$27*T307,I308-'main page'!$K$27*T307+'main page'!$K$31*'normal case'!AI307)</f>
        <v>101.00000005960464</v>
      </c>
      <c r="H308" s="62">
        <f t="shared" ca="1" si="42"/>
        <v>108</v>
      </c>
      <c r="I308" s="62">
        <f t="shared" ca="1" si="43"/>
        <v>108</v>
      </c>
      <c r="L308" s="62">
        <f ca="1">IF(ABS('main page'!$K$29*L307+(1-'main page'!$K$29)*(controls!$B$9/100)*100+'main page'!$K$25*(D308-B308)-L307)&lt;0.0000001,L307,'main page'!$K$29*L307+(1-'main page'!$K$29)*(controls!$B$9/100)*100+'main page'!$K$25*(D308-B308))</f>
        <v>1.9999998807907104</v>
      </c>
      <c r="Q308" s="409">
        <f ca="1">(1-'main page'!$K$29)*($AS$11/100)*100+'main page'!$K$25*(D308-B308)</f>
        <v>5.9604644775390625E-8</v>
      </c>
      <c r="R308" s="409">
        <f>'main page'!G312+'main page'!$K$29*M307</f>
        <v>0</v>
      </c>
      <c r="S308" s="409">
        <f t="shared" ca="1" si="41"/>
        <v>5.9604644775390625E-8</v>
      </c>
      <c r="T308" s="79">
        <f ca="1">IF(controls!$B$10=1,T307,IF(SUM(controls!$B$44:$B$46)=2,U308-'main page'!$K$29*'normal case'!L308-(1-'main page'!$K$29)*'main page'!$K$32,U308-'main page'!$K$29*'normal case'!L308-(1-'main page'!$K$29)*controls!$B$9))</f>
        <v>3.4999999701976776</v>
      </c>
      <c r="U308" s="164">
        <f ca="1">IF(controls!$B$45=1,IF(controls!$B$46=1,'main page'!$K$24+'main page'!$K$11+'main page'!$U$8,'main page'!$K$24+'main page'!$K$11+'main page'!$K$32),IF(controls!$B$44=1,IF(V308&lt;0,0,V308),IF(V308+'main page'!$K$11&lt;0,0,V308+'main page'!$K$11)))</f>
        <v>5.4999998509883881</v>
      </c>
      <c r="V308" s="63">
        <f ca="1">IF(controls!$B$10=1,'normal case'!T308+'normal case'!L308,'normal case'!W308)</f>
        <v>5.4999998509883881</v>
      </c>
      <c r="W308" s="61">
        <f t="shared" ca="1" si="37"/>
        <v>5.4999998509883881</v>
      </c>
      <c r="X308" s="166">
        <f ca="1">IF(controls!$B$44=0,Y308+'main page'!$K$29*L308+(1-'main page'!$K$29)*controls!$B$9+(('main page'!$K$25*'main page'!$U$13*'main page'!$K$29)/('main page'!$K$27*(1+('main page'!$K$25^2)*'main page'!$U$13)))*(L308-controls!$B$9),Y308+'main page'!$K$29*L308+(1-'main page'!$K$29)*controls!$B$9+(('main page'!$K$25*'main page'!$U$13*'normal case'!$AV$3)/'normal case'!$AV$4)*('normal case'!L308-controls!$B$9))</f>
        <v>5.4999998509883881</v>
      </c>
      <c r="Y308" s="81">
        <f ca="1">IF(controls!$B$44=1,'main page'!$K$24+'main page'!$K$11,IF(controls!$B$33=1,((I309-D308*AD309-B309+B308*AC309)/'main page'!$K$27)-'main page'!$K$11,((H309-D308*AD309-B309+B308*AC309)/'main page'!$K$27)-'main page'!$K$11))</f>
        <v>3.5</v>
      </c>
      <c r="AA308" s="58">
        <f>IF(controls!$B$6=1,$AS$3*(1+('main page'!$K$35/100))^AB308-$AS$3*(1+('main page'!$K$35/100))^AB307,$AS$3*(1+('main page'!$G$8/100))*(1+('main page'!$K$35/100))^AB308-$AS$3*(1+('main page'!$G$8/100))*(1+('main page'!$K$35/100))^AB307)</f>
        <v>0</v>
      </c>
      <c r="AB308" s="60">
        <v>301</v>
      </c>
      <c r="AC308" s="125">
        <f ca="1">IF(controls!$B$4=1,IF(controls!$H307=1,controls!$B$34*AC307+RAND()*('main page'!$K$16/100)-RAND()*('main page'!$K$16/100),0),0)</f>
        <v>0</v>
      </c>
      <c r="AD308" s="36">
        <f ca="1">IF(controls!$B$4=1,IF(controls!$I307=1,controls!$B$34*AD307+RAND()*('main page'!$K$16/100)-RAND()*('main page'!$K$16/100),0),0)</f>
        <v>0</v>
      </c>
      <c r="AE308" s="44">
        <f ca="1">IF(controls!$B$33=1,D308-($I$3-'main page'!$K$27*2)*(1+('main page'!$K$35/100))^A307,D308-$AS$4)</f>
        <v>1.0000000596046448</v>
      </c>
      <c r="AF308" s="44">
        <f ca="1">ABS(L308-(controls!$B$9/100)*100)</f>
        <v>1.1920928955078125E-7</v>
      </c>
      <c r="AH308" s="44">
        <f ca="1">IF(controls!$B$33=1,(B309-B308*AC309-I309+D308*AD309+'main page'!$K$27*('main page'!$K$24+'main page'!$K$11))/'main page'!$K$31,(B309-B308*AC309+D308*AD309-H309+'main page'!$K$27*('main page'!$K$24+'main page'!$K$11))/'main page'!$K$31)</f>
        <v>1</v>
      </c>
      <c r="AI308" s="44">
        <f ca="1">IF(controls!$B$45=1,LOG(AM308,1.01)+LOG(AL308,1.01)-LOG(AK308,1.01),-((T308-('main page'!$K$24+'main page'!$K$11))/(1-'normal case'!$AV$3))+'normal case'!AH308)</f>
        <v>2.0000000596046448</v>
      </c>
      <c r="AJ308" s="80">
        <f t="shared" ca="1" si="38"/>
        <v>1.0506250015463039</v>
      </c>
      <c r="AK308" s="44">
        <f t="shared" ca="1" si="39"/>
        <v>411.63157715522448</v>
      </c>
      <c r="AL308" s="44">
        <f>AL307*(1+'main page'!$K$32/100)</f>
        <v>1</v>
      </c>
      <c r="AM308" s="44">
        <f ca="1">IF(ABS(IF(controls!$B$45=1,$AS$13,AK308*AJ308/AL308)-AM307)&lt;0.00001,AM307,IF(controls!$B$45=1,$AS$13,AK308*AJ308/AL308))</f>
        <v>432.47042638521521</v>
      </c>
      <c r="AN308" s="44">
        <f>IF(controls!$B$46=0,0,IF(controls!$B$33=2,B309-B308*AC309-('normal case'!H309-D308*AD309-'main page'!$K$27*'normal case'!T308+'main page'!$K$31*'normal case'!AI308)-(('main page'!$K$25*'main page'!$U$13*'main page'!$K$29)/(1+('main page'!$K$25^2)*'main page'!$U$13))*('normal case'!L308-'main page'!$U$8),B309-B308*AC309-('normal case'!I309-D308*AD309-'main page'!$K$27*'normal case'!T308+'main page'!$K$31*'normal case'!AI308)-(('main page'!$K$25*'main page'!$U$13*'main page'!$K$29)/(1+('main page'!$K$25^2)*'main page'!$U$13))*('normal case'!L308-'main page'!$U$8)))</f>
        <v>0</v>
      </c>
      <c r="AU308" s="36"/>
      <c r="AV308" s="36"/>
    </row>
    <row r="309" spans="1:48">
      <c r="A309" s="43">
        <v>307</v>
      </c>
      <c r="B309" s="62">
        <f ca="1">IF(controls!$B$33=1,B308*(1+AC309)+AA309,B308*(1+AC309))</f>
        <v>101</v>
      </c>
      <c r="C309" s="67">
        <f t="shared" ca="1" si="40"/>
        <v>-1.5107707374006907E-7</v>
      </c>
      <c r="D309" s="64">
        <f t="shared" ca="1" si="36"/>
        <v>101.00000005960464</v>
      </c>
      <c r="E309" s="64">
        <f ca="1">AN308+IF(controls!$B$33=1,G309,F309)</f>
        <v>101.00000005960464</v>
      </c>
      <c r="F309" s="78">
        <f ca="1">IF(controls!$B$44=0,H309-'main page'!$K$27*T308,H309-'main page'!$K$27*T308+'main page'!$K$31*AI308)</f>
        <v>101.00000005960464</v>
      </c>
      <c r="G309" s="62">
        <f ca="1">IF(controls!$B$44=0,I309-'main page'!$K$27*T308,I309-'main page'!$K$27*T308+'main page'!$K$31*'normal case'!AI308)</f>
        <v>101.00000005960464</v>
      </c>
      <c r="H309" s="62">
        <f t="shared" ca="1" si="42"/>
        <v>108</v>
      </c>
      <c r="I309" s="62">
        <f t="shared" ca="1" si="43"/>
        <v>108</v>
      </c>
      <c r="L309" s="62">
        <f ca="1">IF(ABS('main page'!$K$29*L308+(1-'main page'!$K$29)*(controls!$B$9/100)*100+'main page'!$K$25*(D309-B309)-L308)&lt;0.0000001,L308,'main page'!$K$29*L308+(1-'main page'!$K$29)*(controls!$B$9/100)*100+'main page'!$K$25*(D309-B309))</f>
        <v>1.9999998807907104</v>
      </c>
      <c r="Q309" s="409">
        <f ca="1">(1-'main page'!$K$29)*($AS$11/100)*100+'main page'!$K$25*(D309-B309)</f>
        <v>5.9604644775390625E-8</v>
      </c>
      <c r="R309" s="409">
        <f>'main page'!G313+'main page'!$K$29*M308</f>
        <v>0</v>
      </c>
      <c r="S309" s="409">
        <f t="shared" ca="1" si="41"/>
        <v>5.9604644775390625E-8</v>
      </c>
      <c r="T309" s="79">
        <f ca="1">IF(controls!$B$10=1,T308,IF(SUM(controls!$B$44:$B$46)=2,U309-'main page'!$K$29*'normal case'!L309-(1-'main page'!$K$29)*'main page'!$K$32,U309-'main page'!$K$29*'normal case'!L309-(1-'main page'!$K$29)*controls!$B$9))</f>
        <v>3.4999999701976776</v>
      </c>
      <c r="U309" s="164">
        <f ca="1">IF(controls!$B$45=1,IF(controls!$B$46=1,'main page'!$K$24+'main page'!$K$11+'main page'!$U$8,'main page'!$K$24+'main page'!$K$11+'main page'!$K$32),IF(controls!$B$44=1,IF(V309&lt;0,0,V309),IF(V309+'main page'!$K$11&lt;0,0,V309+'main page'!$K$11)))</f>
        <v>5.4999998509883881</v>
      </c>
      <c r="V309" s="63">
        <f ca="1">IF(controls!$B$10=1,'normal case'!T309+'normal case'!L309,'normal case'!W309)</f>
        <v>5.4999998509883881</v>
      </c>
      <c r="W309" s="61">
        <f t="shared" ca="1" si="37"/>
        <v>5.4999998509883881</v>
      </c>
      <c r="X309" s="166">
        <f ca="1">IF(controls!$B$44=0,Y309+'main page'!$K$29*L309+(1-'main page'!$K$29)*controls!$B$9+(('main page'!$K$25*'main page'!$U$13*'main page'!$K$29)/('main page'!$K$27*(1+('main page'!$K$25^2)*'main page'!$U$13)))*(L309-controls!$B$9),Y309+'main page'!$K$29*L309+(1-'main page'!$K$29)*controls!$B$9+(('main page'!$K$25*'main page'!$U$13*'normal case'!$AV$3)/'normal case'!$AV$4)*('normal case'!L309-controls!$B$9))</f>
        <v>5.4999998509883881</v>
      </c>
      <c r="Y309" s="81">
        <f ca="1">IF(controls!$B$44=1,'main page'!$K$24+'main page'!$K$11,IF(controls!$B$33=1,((I310-D309*AD310-B310+B309*AC310)/'main page'!$K$27)-'main page'!$K$11,((H310-D309*AD310-B310+B309*AC310)/'main page'!$K$27)-'main page'!$K$11))</f>
        <v>3.5</v>
      </c>
      <c r="AA309" s="58">
        <f>IF(controls!$B$6=1,$AS$3*(1+('main page'!$K$35/100))^AB309-$AS$3*(1+('main page'!$K$35/100))^AB308,$AS$3*(1+('main page'!$G$8/100))*(1+('main page'!$K$35/100))^AB309-$AS$3*(1+('main page'!$G$8/100))*(1+('main page'!$K$35/100))^AB308)</f>
        <v>0</v>
      </c>
      <c r="AB309" s="60">
        <v>302</v>
      </c>
      <c r="AC309" s="125">
        <v>0</v>
      </c>
      <c r="AD309" s="36">
        <v>0</v>
      </c>
      <c r="AE309" s="44">
        <f ca="1">IF(controls!$B$33=1,D309-($I$3-'main page'!$K$27*2)*(1+('main page'!$K$35/100))^A308,D309-$AS$4)</f>
        <v>1.0000000596046448</v>
      </c>
      <c r="AF309" s="44">
        <f ca="1">ABS(L309-(controls!$B$9/100)*100)</f>
        <v>1.1920928955078125E-7</v>
      </c>
      <c r="AH309" s="44">
        <f ca="1">IF(controls!$B$33=1,(B310-B309*AC310-I310+D309*AD310+'main page'!$K$27*('main page'!$K$24+'main page'!$K$11))/'main page'!$K$31,(B310-B309*AC310+D309*AD310-H310+'main page'!$K$27*('main page'!$K$24+'main page'!$K$11))/'main page'!$K$31)</f>
        <v>1</v>
      </c>
      <c r="AI309" s="44">
        <f ca="1">IF(controls!$B$45=1,LOG(AM309,1.01)+LOG(AL309,1.01)-LOG(AK309,1.01),-((T309-('main page'!$K$24+'main page'!$K$11))/(1-'normal case'!$AV$3))+'normal case'!AH309)</f>
        <v>2.0000000596046448</v>
      </c>
      <c r="AJ309" s="80">
        <f t="shared" ca="1" si="38"/>
        <v>1.0506250015463039</v>
      </c>
      <c r="AK309" s="44">
        <f t="shared" ca="1" si="39"/>
        <v>419.86420820762589</v>
      </c>
      <c r="AL309" s="44">
        <f>AL308*(1+'main page'!$K$32/100)</f>
        <v>1</v>
      </c>
      <c r="AM309" s="44">
        <f ca="1">IF(ABS(IF(controls!$B$45=1,$AS$13,AK309*AJ309/AL309)-AM308)&lt;0.00001,AM308,IF(controls!$B$45=1,$AS$13,AK309*AJ309/AL309))</f>
        <v>441.11983439737463</v>
      </c>
      <c r="AN309" s="44">
        <f>IF(controls!$B$46=0,0,IF(controls!$B$33=2,B310-B309*AC310-('normal case'!H310-D309*AD310-'main page'!$K$27*'normal case'!T309+'main page'!$K$31*'normal case'!AI309)-(('main page'!$K$25*'main page'!$U$13*'main page'!$K$29)/(1+('main page'!$K$25^2)*'main page'!$U$13))*('normal case'!L309-'main page'!$U$8),B310-B309*AC310-('normal case'!I310-D309*AD310-'main page'!$K$27*'normal case'!T309+'main page'!$K$31*'normal case'!AI309)-(('main page'!$K$25*'main page'!$U$13*'main page'!$K$29)/(1+('main page'!$K$25^2)*'main page'!$U$13))*('normal case'!L309-'main page'!$U$8)))</f>
        <v>0</v>
      </c>
      <c r="AU309" s="36"/>
      <c r="AV309" s="36"/>
    </row>
    <row r="310" spans="1:48">
      <c r="A310" s="43">
        <v>308</v>
      </c>
      <c r="B310" s="62">
        <f ca="1">IF(controls!$B$33=1,B309*(1+AC310)+AA310,B309*(1+AC310))</f>
        <v>101</v>
      </c>
      <c r="C310" s="67">
        <f t="shared" ca="1" si="40"/>
        <v>-1.5107707374006907E-7</v>
      </c>
      <c r="D310" s="64">
        <f t="shared" ca="1" si="36"/>
        <v>101.00000005960464</v>
      </c>
      <c r="E310" s="64">
        <f ca="1">AN309+IF(controls!$B$33=1,G310,F310)</f>
        <v>101.00000005960464</v>
      </c>
      <c r="F310" s="78">
        <f ca="1">IF(controls!$B$44=0,H310-'main page'!$K$27*T309,H310-'main page'!$K$27*T309+'main page'!$K$31*AI309)</f>
        <v>101.00000005960464</v>
      </c>
      <c r="G310" s="62">
        <f ca="1">IF(controls!$B$44=0,I310-'main page'!$K$27*T309,I310-'main page'!$K$27*T309+'main page'!$K$31*'normal case'!AI309)</f>
        <v>101.00000005960464</v>
      </c>
      <c r="H310" s="62">
        <f t="shared" ca="1" si="42"/>
        <v>108</v>
      </c>
      <c r="I310" s="62">
        <f t="shared" ca="1" si="43"/>
        <v>108</v>
      </c>
      <c r="L310" s="62">
        <f ca="1">IF(ABS('main page'!$K$29*L309+(1-'main page'!$K$29)*(controls!$B$9/100)*100+'main page'!$K$25*(D310-B310)-L309)&lt;0.0000001,L309,'main page'!$K$29*L309+(1-'main page'!$K$29)*(controls!$B$9/100)*100+'main page'!$K$25*(D310-B310))</f>
        <v>1.9999998807907104</v>
      </c>
      <c r="Q310" s="409">
        <f ca="1">(1-'main page'!$K$29)*($AS$11/100)*100+'main page'!$K$25*(D310-B310)</f>
        <v>5.9604644775390625E-8</v>
      </c>
      <c r="R310" s="409">
        <f>'main page'!G314+'main page'!$K$29*M309</f>
        <v>0</v>
      </c>
      <c r="S310" s="409">
        <f t="shared" ca="1" si="41"/>
        <v>5.9604644775390625E-8</v>
      </c>
      <c r="T310" s="79">
        <f ca="1">IF(controls!$B$10=1,T309,IF(SUM(controls!$B$44:$B$46)=2,U310-'main page'!$K$29*'normal case'!L310-(1-'main page'!$K$29)*'main page'!$K$32,U310-'main page'!$K$29*'normal case'!L310-(1-'main page'!$K$29)*controls!$B$9))</f>
        <v>3.4999999701976776</v>
      </c>
      <c r="U310" s="164">
        <f ca="1">IF(controls!$B$45=1,IF(controls!$B$46=1,'main page'!$K$24+'main page'!$K$11+'main page'!$U$8,'main page'!$K$24+'main page'!$K$11+'main page'!$K$32),IF(controls!$B$44=1,IF(V310&lt;0,0,V310),IF(V310+'main page'!$K$11&lt;0,0,V310+'main page'!$K$11)))</f>
        <v>5.4999998509883881</v>
      </c>
      <c r="V310" s="63">
        <f ca="1">IF(controls!$B$10=1,'normal case'!T310+'normal case'!L310,'normal case'!W310)</f>
        <v>5.4999998509883881</v>
      </c>
      <c r="W310" s="61">
        <f t="shared" ca="1" si="37"/>
        <v>5.4999998509883881</v>
      </c>
      <c r="X310" s="166">
        <f ca="1">IF(controls!$B$44=0,Y310+'main page'!$K$29*L310+(1-'main page'!$K$29)*controls!$B$9+(('main page'!$K$25*'main page'!$U$13*'main page'!$K$29)/('main page'!$K$27*(1+('main page'!$K$25^2)*'main page'!$U$13)))*(L310-controls!$B$9),Y310+'main page'!$K$29*L310+(1-'main page'!$K$29)*controls!$B$9+(('main page'!$K$25*'main page'!$U$13*'normal case'!$AV$3)/'normal case'!$AV$4)*('normal case'!L310-controls!$B$9))</f>
        <v>5.4999998509883881</v>
      </c>
      <c r="Y310" s="81">
        <f ca="1">IF(controls!$B$44=1,'main page'!$K$24+'main page'!$K$11,IF(controls!$B$33=1,((I311-D310*AD311-B311+B310*AC311)/'main page'!$K$27)-'main page'!$K$11,((H311-D310*AD311-B311+B310*AC311)/'main page'!$K$27)-'main page'!$K$11))</f>
        <v>3.5</v>
      </c>
      <c r="AA310" s="58">
        <f>IF(controls!$B$6=1,$AS$3*(1+('main page'!$K$35/100))^AB310-$AS$3*(1+('main page'!$K$35/100))^AB309,$AS$3*(1+('main page'!$G$8/100))*(1+('main page'!$K$35/100))^AB310-$AS$3*(1+('main page'!$G$8/100))*(1+('main page'!$K$35/100))^AB309)</f>
        <v>0</v>
      </c>
      <c r="AB310" s="60">
        <v>303</v>
      </c>
      <c r="AC310" s="125">
        <v>0</v>
      </c>
      <c r="AD310" s="36">
        <v>0</v>
      </c>
      <c r="AE310" s="44">
        <f ca="1">IF(controls!$B$33=1,D310-($I$3-'main page'!$K$27*2)*(1+('main page'!$K$35/100))^A309,D310-$AS$4)</f>
        <v>1.0000000596046448</v>
      </c>
      <c r="AF310" s="44">
        <f ca="1">ABS(L310-(controls!$B$9/100)*100)</f>
        <v>1.1920928955078125E-7</v>
      </c>
      <c r="AH310" s="44">
        <f ca="1">IF(controls!$B$33=1,(B311-B310*AC311-I311+D310*AD311+'main page'!$K$27*('main page'!$K$24+'main page'!$K$11))/'main page'!$K$31,(B311-B310*AC311+D310*AD311-H311+'main page'!$K$27*('main page'!$K$24+'main page'!$K$11))/'main page'!$K$31)</f>
        <v>1</v>
      </c>
      <c r="AI310" s="44">
        <f ca="1">IF(controls!$B$45=1,LOG(AM310,1.01)+LOG(AL310,1.01)-LOG(AK310,1.01),-((T310-('main page'!$K$24+'main page'!$K$11))/(1-'normal case'!$AV$3))+'normal case'!AH310)</f>
        <v>2.0000000596046448</v>
      </c>
      <c r="AJ310" s="80">
        <f t="shared" ca="1" si="38"/>
        <v>1.0506250015463039</v>
      </c>
      <c r="AK310" s="44">
        <f t="shared" ca="1" si="39"/>
        <v>428.26149187126128</v>
      </c>
      <c r="AL310" s="44">
        <f>AL309*(1+'main page'!$K$32/100)</f>
        <v>1</v>
      </c>
      <c r="AM310" s="44">
        <f ca="1">IF(ABS(IF(controls!$B$45=1,$AS$13,AK310*AJ310/AL310)-AM309)&lt;0.00001,AM309,IF(controls!$B$45=1,$AS$13,AK310*AJ310/AL310))</f>
        <v>449.94223055946628</v>
      </c>
      <c r="AN310" s="44">
        <f>IF(controls!$B$46=0,0,IF(controls!$B$33=2,B311-B310*AC311-('normal case'!H311-D310*AD311-'main page'!$K$27*'normal case'!T310+'main page'!$K$31*'normal case'!AI310)-(('main page'!$K$25*'main page'!$U$13*'main page'!$K$29)/(1+('main page'!$K$25^2)*'main page'!$U$13))*('normal case'!L310-'main page'!$U$8),B311-B310*AC311-('normal case'!I311-D310*AD311-'main page'!$K$27*'normal case'!T310+'main page'!$K$31*'normal case'!AI310)-(('main page'!$K$25*'main page'!$U$13*'main page'!$K$29)/(1+('main page'!$K$25^2)*'main page'!$U$13))*('normal case'!L310-'main page'!$U$8)))</f>
        <v>0</v>
      </c>
      <c r="AU310" s="36"/>
      <c r="AV310" s="36"/>
    </row>
    <row r="311" spans="1:48">
      <c r="A311" s="43">
        <v>309</v>
      </c>
      <c r="B311" s="62">
        <f ca="1">IF(controls!$B$33=1,B310*(1+AC311)+AA311,B310*(1+AC311))</f>
        <v>101</v>
      </c>
      <c r="C311" s="67">
        <f t="shared" ca="1" si="40"/>
        <v>-1.5107707374006907E-7</v>
      </c>
      <c r="D311" s="64">
        <f t="shared" ca="1" si="36"/>
        <v>101.00000005960464</v>
      </c>
      <c r="E311" s="64">
        <f ca="1">AN310+IF(controls!$B$33=1,G311,F311)</f>
        <v>101.00000005960464</v>
      </c>
      <c r="F311" s="78">
        <f ca="1">IF(controls!$B$44=0,H311-'main page'!$K$27*T310,H311-'main page'!$K$27*T310+'main page'!$K$31*AI310)</f>
        <v>101.00000005960464</v>
      </c>
      <c r="G311" s="62">
        <f ca="1">IF(controls!$B$44=0,I311-'main page'!$K$27*T310,I311-'main page'!$K$27*T310+'main page'!$K$31*'normal case'!AI310)</f>
        <v>101.00000005960464</v>
      </c>
      <c r="H311" s="62">
        <f t="shared" ca="1" si="42"/>
        <v>108</v>
      </c>
      <c r="I311" s="62">
        <f t="shared" ca="1" si="43"/>
        <v>108</v>
      </c>
      <c r="L311" s="62">
        <f ca="1">IF(ABS('main page'!$K$29*L310+(1-'main page'!$K$29)*(controls!$B$9/100)*100+'main page'!$K$25*(D311-B311)-L310)&lt;0.0000001,L310,'main page'!$K$29*L310+(1-'main page'!$K$29)*(controls!$B$9/100)*100+'main page'!$K$25*(D311-B311))</f>
        <v>1.9999998807907104</v>
      </c>
      <c r="Q311" s="409">
        <f ca="1">(1-'main page'!$K$29)*($AS$11/100)*100+'main page'!$K$25*(D311-B311)</f>
        <v>5.9604644775390625E-8</v>
      </c>
      <c r="R311" s="409">
        <f>'main page'!G315+'main page'!$K$29*M310</f>
        <v>0</v>
      </c>
      <c r="S311" s="409">
        <f t="shared" ca="1" si="41"/>
        <v>5.9604644775390625E-8</v>
      </c>
      <c r="T311" s="79">
        <f ca="1">IF(controls!$B$10=1,T310,IF(SUM(controls!$B$44:$B$46)=2,U311-'main page'!$K$29*'normal case'!L311-(1-'main page'!$K$29)*'main page'!$K$32,U311-'main page'!$K$29*'normal case'!L311-(1-'main page'!$K$29)*controls!$B$9))</f>
        <v>3.4999999701976776</v>
      </c>
      <c r="U311" s="164">
        <f ca="1">IF(controls!$B$45=1,IF(controls!$B$46=1,'main page'!$K$24+'main page'!$K$11+'main page'!$U$8,'main page'!$K$24+'main page'!$K$11+'main page'!$K$32),IF(controls!$B$44=1,IF(V311&lt;0,0,V311),IF(V311+'main page'!$K$11&lt;0,0,V311+'main page'!$K$11)))</f>
        <v>5.4999998509883881</v>
      </c>
      <c r="V311" s="63">
        <f ca="1">IF(controls!$B$10=1,'normal case'!T311+'normal case'!L311,'normal case'!W311)</f>
        <v>5.4999998509883881</v>
      </c>
      <c r="W311" s="61">
        <f t="shared" ca="1" si="37"/>
        <v>5.4999998509883881</v>
      </c>
      <c r="X311" s="166">
        <f ca="1">IF(controls!$B$44=0,Y311+'main page'!$K$29*L311+(1-'main page'!$K$29)*controls!$B$9+(('main page'!$K$25*'main page'!$U$13*'main page'!$K$29)/('main page'!$K$27*(1+('main page'!$K$25^2)*'main page'!$U$13)))*(L311-controls!$B$9),Y311+'main page'!$K$29*L311+(1-'main page'!$K$29)*controls!$B$9+(('main page'!$K$25*'main page'!$U$13*'normal case'!$AV$3)/'normal case'!$AV$4)*('normal case'!L311-controls!$B$9))</f>
        <v>5.4999998509883881</v>
      </c>
      <c r="Y311" s="81">
        <f ca="1">IF(controls!$B$44=1,'main page'!$K$24+'main page'!$K$11,IF(controls!$B$33=1,((I312-D311*AD312-B312+B311*AC312)/'main page'!$K$27)-'main page'!$K$11,((H312-D311*AD312-B312+B311*AC312)/'main page'!$K$27)-'main page'!$K$11))</f>
        <v>3.5</v>
      </c>
      <c r="AA311" s="58">
        <f>IF(controls!$B$6=1,$AS$3*(1+('main page'!$K$35/100))^AB311-$AS$3*(1+('main page'!$K$35/100))^AB310,$AS$3*(1+('main page'!$G$8/100))*(1+('main page'!$K$35/100))^AB311-$AS$3*(1+('main page'!$G$8/100))*(1+('main page'!$K$35/100))^AB310)</f>
        <v>0</v>
      </c>
      <c r="AB311" s="60">
        <v>304</v>
      </c>
      <c r="AC311" s="125">
        <f ca="1">IF(controls!$B$4=1,IF(controls!$H310=1,controls!$B$34*AC310+RAND()*('main page'!$K$16/100)-RAND()*('main page'!$K$16/100),0),0)</f>
        <v>0</v>
      </c>
      <c r="AD311" s="36">
        <f ca="1">IF(controls!$B$4=1,IF(controls!$I310=1,controls!$B$34*AD310+RAND()*('main page'!$K$16/100)-RAND()*('main page'!$K$16/100),0),0)</f>
        <v>0</v>
      </c>
      <c r="AE311" s="44">
        <f ca="1">IF(controls!$B$33=1,D311-($I$3-'main page'!$K$27*2)*(1+('main page'!$K$35/100))^A310,D311-$AS$4)</f>
        <v>1.0000000596046448</v>
      </c>
      <c r="AF311" s="44">
        <f ca="1">ABS(L311-(controls!$B$9/100)*100)</f>
        <v>1.1920928955078125E-7</v>
      </c>
      <c r="AH311" s="44">
        <f ca="1">IF(controls!$B$33=1,(B312-B311*AC312-I312+D311*AD312+'main page'!$K$27*('main page'!$K$24+'main page'!$K$11))/'main page'!$K$31,(B312-B311*AC312+D311*AD312-H312+'main page'!$K$27*('main page'!$K$24+'main page'!$K$11))/'main page'!$K$31)</f>
        <v>1</v>
      </c>
      <c r="AI311" s="44">
        <f ca="1">IF(controls!$B$45=1,LOG(AM311,1.01)+LOG(AL311,1.01)-LOG(AK311,1.01),-((T311-('main page'!$K$24+'main page'!$K$11))/(1-'normal case'!$AV$3))+'normal case'!AH311)</f>
        <v>2.0000000596046448</v>
      </c>
      <c r="AJ311" s="80">
        <f t="shared" ca="1" si="38"/>
        <v>1.0506250015463039</v>
      </c>
      <c r="AK311" s="44">
        <f t="shared" ca="1" si="39"/>
        <v>436.82672119815902</v>
      </c>
      <c r="AL311" s="44">
        <f>AL310*(1+'main page'!$K$32/100)</f>
        <v>1</v>
      </c>
      <c r="AM311" s="44">
        <f ca="1">IF(ABS(IF(controls!$B$45=1,$AS$13,AK311*AJ311/AL311)-AM310)&lt;0.00001,AM310,IF(controls!$B$45=1,$AS$13,AK311*AJ311/AL311))</f>
        <v>458.9410746342827</v>
      </c>
      <c r="AN311" s="44">
        <f>IF(controls!$B$46=0,0,IF(controls!$B$33=2,B312-B311*AC312-('normal case'!H312-D311*AD312-'main page'!$K$27*'normal case'!T311+'main page'!$K$31*'normal case'!AI311)-(('main page'!$K$25*'main page'!$U$13*'main page'!$K$29)/(1+('main page'!$K$25^2)*'main page'!$U$13))*('normal case'!L311-'main page'!$U$8),B312-B311*AC312-('normal case'!I312-D311*AD312-'main page'!$K$27*'normal case'!T311+'main page'!$K$31*'normal case'!AI311)-(('main page'!$K$25*'main page'!$U$13*'main page'!$K$29)/(1+('main page'!$K$25^2)*'main page'!$U$13))*('normal case'!L311-'main page'!$U$8)))</f>
        <v>0</v>
      </c>
      <c r="AU311" s="36"/>
      <c r="AV311" s="36"/>
    </row>
    <row r="312" spans="1:48">
      <c r="A312" s="43">
        <v>310</v>
      </c>
      <c r="B312" s="62">
        <f ca="1">IF(controls!$B$33=1,B311*(1+AC312)+AA312,B311*(1+AC312))</f>
        <v>101</v>
      </c>
      <c r="C312" s="67">
        <f t="shared" ca="1" si="40"/>
        <v>-1.5107707374006907E-7</v>
      </c>
      <c r="D312" s="64">
        <f t="shared" ca="1" si="36"/>
        <v>101.00000005960464</v>
      </c>
      <c r="E312" s="64">
        <f ca="1">AN311+IF(controls!$B$33=1,G312,F312)</f>
        <v>101.00000005960464</v>
      </c>
      <c r="F312" s="78">
        <f ca="1">IF(controls!$B$44=0,H312-'main page'!$K$27*T311,H312-'main page'!$K$27*T311+'main page'!$K$31*AI311)</f>
        <v>101.00000005960464</v>
      </c>
      <c r="G312" s="62">
        <f ca="1">IF(controls!$B$44=0,I312-'main page'!$K$27*T311,I312-'main page'!$K$27*T311+'main page'!$K$31*'normal case'!AI311)</f>
        <v>101.00000005960464</v>
      </c>
      <c r="H312" s="62">
        <f t="shared" ca="1" si="42"/>
        <v>108</v>
      </c>
      <c r="I312" s="62">
        <f t="shared" ca="1" si="43"/>
        <v>108</v>
      </c>
      <c r="L312" s="62">
        <f ca="1">IF(ABS('main page'!$K$29*L311+(1-'main page'!$K$29)*(controls!$B$9/100)*100+'main page'!$K$25*(D312-B312)-L311)&lt;0.0000001,L311,'main page'!$K$29*L311+(1-'main page'!$K$29)*(controls!$B$9/100)*100+'main page'!$K$25*(D312-B312))</f>
        <v>1.9999998807907104</v>
      </c>
      <c r="Q312" s="409">
        <f ca="1">(1-'main page'!$K$29)*($AS$11/100)*100+'main page'!$K$25*(D312-B312)</f>
        <v>5.9604644775390625E-8</v>
      </c>
      <c r="R312" s="409">
        <f>'main page'!G316+'main page'!$K$29*M311</f>
        <v>0</v>
      </c>
      <c r="S312" s="409">
        <f t="shared" ca="1" si="41"/>
        <v>5.9604644775390625E-8</v>
      </c>
      <c r="T312" s="79">
        <f ca="1">IF(controls!$B$10=1,T311,IF(SUM(controls!$B$44:$B$46)=2,U312-'main page'!$K$29*'normal case'!L312-(1-'main page'!$K$29)*'main page'!$K$32,U312-'main page'!$K$29*'normal case'!L312-(1-'main page'!$K$29)*controls!$B$9))</f>
        <v>3.4999999701976776</v>
      </c>
      <c r="U312" s="164">
        <f ca="1">IF(controls!$B$45=1,IF(controls!$B$46=1,'main page'!$K$24+'main page'!$K$11+'main page'!$U$8,'main page'!$K$24+'main page'!$K$11+'main page'!$K$32),IF(controls!$B$44=1,IF(V312&lt;0,0,V312),IF(V312+'main page'!$K$11&lt;0,0,V312+'main page'!$K$11)))</f>
        <v>5.4999998509883881</v>
      </c>
      <c r="V312" s="63">
        <f ca="1">IF(controls!$B$10=1,'normal case'!T312+'normal case'!L312,'normal case'!W312)</f>
        <v>5.4999998509883881</v>
      </c>
      <c r="W312" s="61">
        <f t="shared" ca="1" si="37"/>
        <v>5.4999998509883881</v>
      </c>
      <c r="X312" s="166">
        <f ca="1">IF(controls!$B$44=0,Y312+'main page'!$K$29*L312+(1-'main page'!$K$29)*controls!$B$9+(('main page'!$K$25*'main page'!$U$13*'main page'!$K$29)/('main page'!$K$27*(1+('main page'!$K$25^2)*'main page'!$U$13)))*(L312-controls!$B$9),Y312+'main page'!$K$29*L312+(1-'main page'!$K$29)*controls!$B$9+(('main page'!$K$25*'main page'!$U$13*'normal case'!$AV$3)/'normal case'!$AV$4)*('normal case'!L312-controls!$B$9))</f>
        <v>5.4999998509883881</v>
      </c>
      <c r="Y312" s="81">
        <f ca="1">IF(controls!$B$44=1,'main page'!$K$24+'main page'!$K$11,IF(controls!$B$33=1,((I313-D312*AD313-B313+B312*AC313)/'main page'!$K$27)-'main page'!$K$11,((H313-D312*AD313-B313+B312*AC313)/'main page'!$K$27)-'main page'!$K$11))</f>
        <v>3.5</v>
      </c>
      <c r="AA312" s="58">
        <f>IF(controls!$B$6=1,$AS$3*(1+('main page'!$K$35/100))^AB312-$AS$3*(1+('main page'!$K$35/100))^AB311,$AS$3*(1+('main page'!$G$8/100))*(1+('main page'!$K$35/100))^AB312-$AS$3*(1+('main page'!$G$8/100))*(1+('main page'!$K$35/100))^AB311)</f>
        <v>0</v>
      </c>
      <c r="AB312" s="60">
        <v>305</v>
      </c>
      <c r="AC312" s="125">
        <v>0</v>
      </c>
      <c r="AD312" s="36">
        <v>0</v>
      </c>
      <c r="AE312" s="44">
        <f ca="1">IF(controls!$B$33=1,D312-($I$3-'main page'!$K$27*2)*(1+('main page'!$K$35/100))^A311,D312-$AS$4)</f>
        <v>1.0000000596046448</v>
      </c>
      <c r="AF312" s="44">
        <f ca="1">ABS(L312-(controls!$B$9/100)*100)</f>
        <v>1.1920928955078125E-7</v>
      </c>
      <c r="AH312" s="44">
        <f ca="1">IF(controls!$B$33=1,(B313-B312*AC313-I313+D312*AD313+'main page'!$K$27*('main page'!$K$24+'main page'!$K$11))/'main page'!$K$31,(B313-B312*AC313+D312*AD313-H313+'main page'!$K$27*('main page'!$K$24+'main page'!$K$11))/'main page'!$K$31)</f>
        <v>1</v>
      </c>
      <c r="AI312" s="44">
        <f ca="1">IF(controls!$B$45=1,LOG(AM312,1.01)+LOG(AL312,1.01)-LOG(AK312,1.01),-((T312-('main page'!$K$24+'main page'!$K$11))/(1-'normal case'!$AV$3))+'normal case'!AH312)</f>
        <v>2.0000000596046448</v>
      </c>
      <c r="AJ312" s="80">
        <f t="shared" ca="1" si="38"/>
        <v>1.0506250015463039</v>
      </c>
      <c r="AK312" s="44">
        <f t="shared" ca="1" si="39"/>
        <v>445.56325510138419</v>
      </c>
      <c r="AL312" s="44">
        <f>AL311*(1+'main page'!$K$32/100)</f>
        <v>1</v>
      </c>
      <c r="AM312" s="44">
        <f ca="1">IF(ABS(IF(controls!$B$45=1,$AS$13,AK312*AJ312/AL312)-AM311)&lt;0.00001,AM311,IF(controls!$B$45=1,$AS$13,AK312*AJ312/AL312))</f>
        <v>468.11989557986794</v>
      </c>
      <c r="AN312" s="44">
        <f>IF(controls!$B$46=0,0,IF(controls!$B$33=2,B313-B312*AC313-('normal case'!H313-D312*AD313-'main page'!$K$27*'normal case'!T312+'main page'!$K$31*'normal case'!AI312)-(('main page'!$K$25*'main page'!$U$13*'main page'!$K$29)/(1+('main page'!$K$25^2)*'main page'!$U$13))*('normal case'!L312-'main page'!$U$8),B313-B312*AC313-('normal case'!I313-D312*AD313-'main page'!$K$27*'normal case'!T312+'main page'!$K$31*'normal case'!AI312)-(('main page'!$K$25*'main page'!$U$13*'main page'!$K$29)/(1+('main page'!$K$25^2)*'main page'!$U$13))*('normal case'!L312-'main page'!$U$8)))</f>
        <v>0</v>
      </c>
      <c r="AU312" s="36"/>
      <c r="AV312" s="36"/>
    </row>
    <row r="313" spans="1:48">
      <c r="A313" s="43">
        <v>311</v>
      </c>
      <c r="B313" s="62">
        <f ca="1">IF(controls!$B$33=1,B312*(1+AC313)+AA313,B312*(1+AC313))</f>
        <v>101</v>
      </c>
      <c r="C313" s="67">
        <f t="shared" ca="1" si="40"/>
        <v>-1.5107707374006907E-7</v>
      </c>
      <c r="D313" s="64">
        <f t="shared" ca="1" si="36"/>
        <v>101.00000005960464</v>
      </c>
      <c r="E313" s="64">
        <f ca="1">AN312+IF(controls!$B$33=1,G313,F313)</f>
        <v>101.00000005960464</v>
      </c>
      <c r="F313" s="78">
        <f ca="1">IF(controls!$B$44=0,H313-'main page'!$K$27*T312,H313-'main page'!$K$27*T312+'main page'!$K$31*AI312)</f>
        <v>101.00000005960464</v>
      </c>
      <c r="G313" s="62">
        <f ca="1">IF(controls!$B$44=0,I313-'main page'!$K$27*T312,I313-'main page'!$K$27*T312+'main page'!$K$31*'normal case'!AI312)</f>
        <v>101.00000005960464</v>
      </c>
      <c r="H313" s="62">
        <f t="shared" ca="1" si="42"/>
        <v>108</v>
      </c>
      <c r="I313" s="62">
        <f t="shared" ca="1" si="43"/>
        <v>108</v>
      </c>
      <c r="L313" s="62">
        <f ca="1">IF(ABS('main page'!$K$29*L312+(1-'main page'!$K$29)*(controls!$B$9/100)*100+'main page'!$K$25*(D313-B313)-L312)&lt;0.0000001,L312,'main page'!$K$29*L312+(1-'main page'!$K$29)*(controls!$B$9/100)*100+'main page'!$K$25*(D313-B313))</f>
        <v>1.9999998807907104</v>
      </c>
      <c r="Q313" s="409">
        <f ca="1">(1-'main page'!$K$29)*($AS$11/100)*100+'main page'!$K$25*(D313-B313)</f>
        <v>5.9604644775390625E-8</v>
      </c>
      <c r="R313" s="409">
        <f>'main page'!G317+'main page'!$K$29*M312</f>
        <v>0</v>
      </c>
      <c r="S313" s="409">
        <f t="shared" ca="1" si="41"/>
        <v>5.9604644775390625E-8</v>
      </c>
      <c r="T313" s="79">
        <f ca="1">IF(controls!$B$10=1,T312,IF(SUM(controls!$B$44:$B$46)=2,U313-'main page'!$K$29*'normal case'!L313-(1-'main page'!$K$29)*'main page'!$K$32,U313-'main page'!$K$29*'normal case'!L313-(1-'main page'!$K$29)*controls!$B$9))</f>
        <v>3.4999999701976776</v>
      </c>
      <c r="U313" s="164">
        <f ca="1">IF(controls!$B$45=1,IF(controls!$B$46=1,'main page'!$K$24+'main page'!$K$11+'main page'!$U$8,'main page'!$K$24+'main page'!$K$11+'main page'!$K$32),IF(controls!$B$44=1,IF(V313&lt;0,0,V313),IF(V313+'main page'!$K$11&lt;0,0,V313+'main page'!$K$11)))</f>
        <v>5.4999998509883881</v>
      </c>
      <c r="V313" s="63">
        <f ca="1">IF(controls!$B$10=1,'normal case'!T313+'normal case'!L313,'normal case'!W313)</f>
        <v>5.4999998509883881</v>
      </c>
      <c r="W313" s="61">
        <f t="shared" ca="1" si="37"/>
        <v>5.4999998509883881</v>
      </c>
      <c r="X313" s="166">
        <f ca="1">IF(controls!$B$44=0,Y313+'main page'!$K$29*L313+(1-'main page'!$K$29)*controls!$B$9+(('main page'!$K$25*'main page'!$U$13*'main page'!$K$29)/('main page'!$K$27*(1+('main page'!$K$25^2)*'main page'!$U$13)))*(L313-controls!$B$9),Y313+'main page'!$K$29*L313+(1-'main page'!$K$29)*controls!$B$9+(('main page'!$K$25*'main page'!$U$13*'normal case'!$AV$3)/'normal case'!$AV$4)*('normal case'!L313-controls!$B$9))</f>
        <v>5.4999998509883881</v>
      </c>
      <c r="Y313" s="81">
        <f ca="1">IF(controls!$B$44=1,'main page'!$K$24+'main page'!$K$11,IF(controls!$B$33=1,((I314-D313*AD314-B314+B313*AC314)/'main page'!$K$27)-'main page'!$K$11,((H314-D313*AD314-B314+B313*AC314)/'main page'!$K$27)-'main page'!$K$11))</f>
        <v>3.5</v>
      </c>
      <c r="AA313" s="58">
        <f>IF(controls!$B$6=1,$AS$3*(1+('main page'!$K$35/100))^AB313-$AS$3*(1+('main page'!$K$35/100))^AB312,$AS$3*(1+('main page'!$G$8/100))*(1+('main page'!$K$35/100))^AB313-$AS$3*(1+('main page'!$G$8/100))*(1+('main page'!$K$35/100))^AB312)</f>
        <v>0</v>
      </c>
      <c r="AB313" s="60">
        <v>306</v>
      </c>
      <c r="AC313" s="125">
        <v>0</v>
      </c>
      <c r="AD313" s="36">
        <v>0</v>
      </c>
      <c r="AE313" s="44">
        <f ca="1">IF(controls!$B$33=1,D313-($I$3-'main page'!$K$27*2)*(1+('main page'!$K$35/100))^A312,D313-$AS$4)</f>
        <v>1.0000000596046448</v>
      </c>
      <c r="AF313" s="44">
        <f ca="1">ABS(L313-(controls!$B$9/100)*100)</f>
        <v>1.1920928955078125E-7</v>
      </c>
      <c r="AH313" s="44">
        <f ca="1">IF(controls!$B$33=1,(B314-B313*AC314-I314+D313*AD314+'main page'!$K$27*('main page'!$K$24+'main page'!$K$11))/'main page'!$K$31,(B314-B313*AC314+D313*AD314-H314+'main page'!$K$27*('main page'!$K$24+'main page'!$K$11))/'main page'!$K$31)</f>
        <v>1</v>
      </c>
      <c r="AI313" s="44">
        <f ca="1">IF(controls!$B$45=1,LOG(AM313,1.01)+LOG(AL313,1.01)-LOG(AK313,1.01),-((T313-('main page'!$K$24+'main page'!$K$11))/(1-'normal case'!$AV$3))+'normal case'!AH313)</f>
        <v>2.0000000596046448</v>
      </c>
      <c r="AJ313" s="80">
        <f t="shared" ca="1" si="38"/>
        <v>1.0506250015463039</v>
      </c>
      <c r="AK313" s="44">
        <f t="shared" ca="1" si="39"/>
        <v>454.47451967225908</v>
      </c>
      <c r="AL313" s="44">
        <f>AL312*(1+'main page'!$K$32/100)</f>
        <v>1</v>
      </c>
      <c r="AM313" s="44">
        <f ca="1">IF(ABS(IF(controls!$B$45=1,$AS$13,AK313*AJ313/AL313)-AM312)&lt;0.00001,AM312,IF(controls!$B$45=1,$AS$13,AK313*AJ313/AL313))</f>
        <v>477.48229293342291</v>
      </c>
      <c r="AN313" s="44">
        <f>IF(controls!$B$46=0,0,IF(controls!$B$33=2,B314-B313*AC314-('normal case'!H314-D313*AD314-'main page'!$K$27*'normal case'!T313+'main page'!$K$31*'normal case'!AI313)-(('main page'!$K$25*'main page'!$U$13*'main page'!$K$29)/(1+('main page'!$K$25^2)*'main page'!$U$13))*('normal case'!L313-'main page'!$U$8),B314-B313*AC314-('normal case'!I314-D313*AD314-'main page'!$K$27*'normal case'!T313+'main page'!$K$31*'normal case'!AI313)-(('main page'!$K$25*'main page'!$U$13*'main page'!$K$29)/(1+('main page'!$K$25^2)*'main page'!$U$13))*('normal case'!L313-'main page'!$U$8)))</f>
        <v>0</v>
      </c>
      <c r="AU313" s="36"/>
      <c r="AV313" s="36"/>
    </row>
    <row r="314" spans="1:48">
      <c r="A314" s="43">
        <v>312</v>
      </c>
      <c r="B314" s="62">
        <f ca="1">IF(controls!$B$33=1,B313*(1+AC314)+AA314,B313*(1+AC314))</f>
        <v>101</v>
      </c>
      <c r="C314" s="67">
        <f t="shared" ca="1" si="40"/>
        <v>-1.5107707374006907E-7</v>
      </c>
      <c r="D314" s="64">
        <f t="shared" ca="1" si="36"/>
        <v>101.00000005960464</v>
      </c>
      <c r="E314" s="64">
        <f ca="1">AN313+IF(controls!$B$33=1,G314,F314)</f>
        <v>101.00000005960464</v>
      </c>
      <c r="F314" s="78">
        <f ca="1">IF(controls!$B$44=0,H314-'main page'!$K$27*T313,H314-'main page'!$K$27*T313+'main page'!$K$31*AI313)</f>
        <v>101.00000005960464</v>
      </c>
      <c r="G314" s="62">
        <f ca="1">IF(controls!$B$44=0,I314-'main page'!$K$27*T313,I314-'main page'!$K$27*T313+'main page'!$K$31*'normal case'!AI313)</f>
        <v>101.00000005960464</v>
      </c>
      <c r="H314" s="62">
        <f t="shared" ca="1" si="42"/>
        <v>108</v>
      </c>
      <c r="I314" s="62">
        <f t="shared" ca="1" si="43"/>
        <v>108</v>
      </c>
      <c r="L314" s="62">
        <f ca="1">IF(ABS('main page'!$K$29*L313+(1-'main page'!$K$29)*(controls!$B$9/100)*100+'main page'!$K$25*(D314-B314)-L313)&lt;0.0000001,L313,'main page'!$K$29*L313+(1-'main page'!$K$29)*(controls!$B$9/100)*100+'main page'!$K$25*(D314-B314))</f>
        <v>1.9999998807907104</v>
      </c>
      <c r="Q314" s="409">
        <f ca="1">(1-'main page'!$K$29)*($AS$11/100)*100+'main page'!$K$25*(D314-B314)</f>
        <v>5.9604644775390625E-8</v>
      </c>
      <c r="R314" s="409">
        <f>'main page'!G318+'main page'!$K$29*M313</f>
        <v>0</v>
      </c>
      <c r="S314" s="409">
        <f t="shared" ca="1" si="41"/>
        <v>5.9604644775390625E-8</v>
      </c>
      <c r="T314" s="79">
        <f ca="1">IF(controls!$B$10=1,T313,IF(SUM(controls!$B$44:$B$46)=2,U314-'main page'!$K$29*'normal case'!L314-(1-'main page'!$K$29)*'main page'!$K$32,U314-'main page'!$K$29*'normal case'!L314-(1-'main page'!$K$29)*controls!$B$9))</f>
        <v>3.4999999701976776</v>
      </c>
      <c r="U314" s="164">
        <f ca="1">IF(controls!$B$45=1,IF(controls!$B$46=1,'main page'!$K$24+'main page'!$K$11+'main page'!$U$8,'main page'!$K$24+'main page'!$K$11+'main page'!$K$32),IF(controls!$B$44=1,IF(V314&lt;0,0,V314),IF(V314+'main page'!$K$11&lt;0,0,V314+'main page'!$K$11)))</f>
        <v>5.4999998509883881</v>
      </c>
      <c r="V314" s="63">
        <f ca="1">IF(controls!$B$10=1,'normal case'!T314+'normal case'!L314,'normal case'!W314)</f>
        <v>5.4999998509883881</v>
      </c>
      <c r="W314" s="61">
        <f t="shared" ca="1" si="37"/>
        <v>5.4999998509883881</v>
      </c>
      <c r="X314" s="166">
        <f ca="1">IF(controls!$B$44=0,Y314+'main page'!$K$29*L314+(1-'main page'!$K$29)*controls!$B$9+(('main page'!$K$25*'main page'!$U$13*'main page'!$K$29)/('main page'!$K$27*(1+('main page'!$K$25^2)*'main page'!$U$13)))*(L314-controls!$B$9),Y314+'main page'!$K$29*L314+(1-'main page'!$K$29)*controls!$B$9+(('main page'!$K$25*'main page'!$U$13*'normal case'!$AV$3)/'normal case'!$AV$4)*('normal case'!L314-controls!$B$9))</f>
        <v>5.4999998509883881</v>
      </c>
      <c r="Y314" s="81">
        <f ca="1">IF(controls!$B$44=1,'main page'!$K$24+'main page'!$K$11,IF(controls!$B$33=1,((I315-D314*AD315-B315+B314*AC315)/'main page'!$K$27)-'main page'!$K$11,((H315-D314*AD315-B315+B314*AC315)/'main page'!$K$27)-'main page'!$K$11))</f>
        <v>3.5</v>
      </c>
      <c r="AA314" s="58">
        <f>IF(controls!$B$6=1,$AS$3*(1+('main page'!$K$35/100))^AB314-$AS$3*(1+('main page'!$K$35/100))^AB313,$AS$3*(1+('main page'!$G$8/100))*(1+('main page'!$K$35/100))^AB314-$AS$3*(1+('main page'!$G$8/100))*(1+('main page'!$K$35/100))^AB313)</f>
        <v>0</v>
      </c>
      <c r="AB314" s="60">
        <v>307</v>
      </c>
      <c r="AC314" s="125">
        <f ca="1">IF(controls!$B$4=1,IF(controls!$H313=1,controls!$B$34*AC313+RAND()*('main page'!$K$16/100)-RAND()*('main page'!$K$16/100),0),0)</f>
        <v>0</v>
      </c>
      <c r="AD314" s="36">
        <f ca="1">IF(controls!$B$4=1,IF(controls!$I313=1,controls!$B$34*AD313+RAND()*('main page'!$K$16/100)-RAND()*('main page'!$K$16/100),0),0)</f>
        <v>0</v>
      </c>
      <c r="AE314" s="44">
        <f ca="1">IF(controls!$B$33=1,D314-($I$3-'main page'!$K$27*2)*(1+('main page'!$K$35/100))^A313,D314-$AS$4)</f>
        <v>1.0000000596046448</v>
      </c>
      <c r="AF314" s="44">
        <f ca="1">ABS(L314-(controls!$B$9/100)*100)</f>
        <v>1.1920928955078125E-7</v>
      </c>
      <c r="AH314" s="44">
        <f ca="1">IF(controls!$B$33=1,(B315-B314*AC315-I315+D314*AD315+'main page'!$K$27*('main page'!$K$24+'main page'!$K$11))/'main page'!$K$31,(B315-B314*AC315+D314*AD315-H315+'main page'!$K$27*('main page'!$K$24+'main page'!$K$11))/'main page'!$K$31)</f>
        <v>1</v>
      </c>
      <c r="AI314" s="44">
        <f ca="1">IF(controls!$B$45=1,LOG(AM314,1.01)+LOG(AL314,1.01)-LOG(AK314,1.01),-((T314-('main page'!$K$24+'main page'!$K$11))/(1-'normal case'!$AV$3))+'normal case'!AH314)</f>
        <v>2.0000000596046448</v>
      </c>
      <c r="AJ314" s="80">
        <f t="shared" ca="1" si="38"/>
        <v>1.0506250015463039</v>
      </c>
      <c r="AK314" s="44">
        <f t="shared" ca="1" si="39"/>
        <v>463.56400952392841</v>
      </c>
      <c r="AL314" s="44">
        <f>AL313*(1+'main page'!$K$32/100)</f>
        <v>1</v>
      </c>
      <c r="AM314" s="44">
        <f ca="1">IF(ABS(IF(controls!$B$45=1,$AS$13,AK314*AJ314/AL314)-AM313)&lt;0.00001,AM313,IF(controls!$B$45=1,$AS$13,AK314*AJ314/AL314))</f>
        <v>487.03193822288813</v>
      </c>
      <c r="AN314" s="44">
        <f>IF(controls!$B$46=0,0,IF(controls!$B$33=2,B315-B314*AC315-('normal case'!H315-D314*AD315-'main page'!$K$27*'normal case'!T314+'main page'!$K$31*'normal case'!AI314)-(('main page'!$K$25*'main page'!$U$13*'main page'!$K$29)/(1+('main page'!$K$25^2)*'main page'!$U$13))*('normal case'!L314-'main page'!$U$8),B315-B314*AC315-('normal case'!I315-D314*AD315-'main page'!$K$27*'normal case'!T314+'main page'!$K$31*'normal case'!AI314)-(('main page'!$K$25*'main page'!$U$13*'main page'!$K$29)/(1+('main page'!$K$25^2)*'main page'!$U$13))*('normal case'!L314-'main page'!$U$8)))</f>
        <v>0</v>
      </c>
      <c r="AU314" s="36"/>
      <c r="AV314" s="36"/>
    </row>
    <row r="315" spans="1:48">
      <c r="A315" s="43">
        <v>313</v>
      </c>
      <c r="B315" s="62">
        <f ca="1">IF(controls!$B$33=1,B314*(1+AC315)+AA315,B314*(1+AC315))</f>
        <v>101</v>
      </c>
      <c r="C315" s="67">
        <f t="shared" ca="1" si="40"/>
        <v>-1.5107707374006907E-7</v>
      </c>
      <c r="D315" s="64">
        <f t="shared" ca="1" si="36"/>
        <v>101.00000005960464</v>
      </c>
      <c r="E315" s="64">
        <f ca="1">AN314+IF(controls!$B$33=1,G315,F315)</f>
        <v>101.00000005960464</v>
      </c>
      <c r="F315" s="78">
        <f ca="1">IF(controls!$B$44=0,H315-'main page'!$K$27*T314,H315-'main page'!$K$27*T314+'main page'!$K$31*AI314)</f>
        <v>101.00000005960464</v>
      </c>
      <c r="G315" s="62">
        <f ca="1">IF(controls!$B$44=0,I315-'main page'!$K$27*T314,I315-'main page'!$K$27*T314+'main page'!$K$31*'normal case'!AI314)</f>
        <v>101.00000005960464</v>
      </c>
      <c r="H315" s="62">
        <f t="shared" ca="1" si="42"/>
        <v>108</v>
      </c>
      <c r="I315" s="62">
        <f t="shared" ca="1" si="43"/>
        <v>108</v>
      </c>
      <c r="L315" s="62">
        <f ca="1">IF(ABS('main page'!$K$29*L314+(1-'main page'!$K$29)*(controls!$B$9/100)*100+'main page'!$K$25*(D315-B315)-L314)&lt;0.0000001,L314,'main page'!$K$29*L314+(1-'main page'!$K$29)*(controls!$B$9/100)*100+'main page'!$K$25*(D315-B315))</f>
        <v>1.9999998807907104</v>
      </c>
      <c r="Q315" s="409">
        <f ca="1">(1-'main page'!$K$29)*($AS$11/100)*100+'main page'!$K$25*(D315-B315)</f>
        <v>5.9604644775390625E-8</v>
      </c>
      <c r="R315" s="409">
        <f>'main page'!G319+'main page'!$K$29*M314</f>
        <v>0</v>
      </c>
      <c r="S315" s="409">
        <f t="shared" ca="1" si="41"/>
        <v>5.9604644775390625E-8</v>
      </c>
      <c r="T315" s="79">
        <f ca="1">IF(controls!$B$10=1,T314,IF(SUM(controls!$B$44:$B$46)=2,U315-'main page'!$K$29*'normal case'!L315-(1-'main page'!$K$29)*'main page'!$K$32,U315-'main page'!$K$29*'normal case'!L315-(1-'main page'!$K$29)*controls!$B$9))</f>
        <v>3.4999999701976776</v>
      </c>
      <c r="U315" s="164">
        <f ca="1">IF(controls!$B$45=1,IF(controls!$B$46=1,'main page'!$K$24+'main page'!$K$11+'main page'!$U$8,'main page'!$K$24+'main page'!$K$11+'main page'!$K$32),IF(controls!$B$44=1,IF(V315&lt;0,0,V315),IF(V315+'main page'!$K$11&lt;0,0,V315+'main page'!$K$11)))</f>
        <v>5.4999998509883881</v>
      </c>
      <c r="V315" s="63">
        <f ca="1">IF(controls!$B$10=1,'normal case'!T315+'normal case'!L315,'normal case'!W315)</f>
        <v>5.4999998509883881</v>
      </c>
      <c r="W315" s="61">
        <f t="shared" ca="1" si="37"/>
        <v>5.4999998509883881</v>
      </c>
      <c r="X315" s="166">
        <f ca="1">IF(controls!$B$44=0,Y315+'main page'!$K$29*L315+(1-'main page'!$K$29)*controls!$B$9+(('main page'!$K$25*'main page'!$U$13*'main page'!$K$29)/('main page'!$K$27*(1+('main page'!$K$25^2)*'main page'!$U$13)))*(L315-controls!$B$9),Y315+'main page'!$K$29*L315+(1-'main page'!$K$29)*controls!$B$9+(('main page'!$K$25*'main page'!$U$13*'normal case'!$AV$3)/'normal case'!$AV$4)*('normal case'!L315-controls!$B$9))</f>
        <v>5.4999998509883881</v>
      </c>
      <c r="Y315" s="81">
        <f ca="1">IF(controls!$B$44=1,'main page'!$K$24+'main page'!$K$11,IF(controls!$B$33=1,((I316-D315*AD316-B316+B315*AC316)/'main page'!$K$27)-'main page'!$K$11,((H316-D315*AD316-B316+B315*AC316)/'main page'!$K$27)-'main page'!$K$11))</f>
        <v>3.5</v>
      </c>
      <c r="AA315" s="58">
        <f>IF(controls!$B$6=1,$AS$3*(1+('main page'!$K$35/100))^AB315-$AS$3*(1+('main page'!$K$35/100))^AB314,$AS$3*(1+('main page'!$G$8/100))*(1+('main page'!$K$35/100))^AB315-$AS$3*(1+('main page'!$G$8/100))*(1+('main page'!$K$35/100))^AB314)</f>
        <v>0</v>
      </c>
      <c r="AB315" s="60">
        <v>308</v>
      </c>
      <c r="AC315" s="125">
        <v>0</v>
      </c>
      <c r="AD315" s="36">
        <v>0</v>
      </c>
      <c r="AE315" s="44">
        <f ca="1">IF(controls!$B$33=1,D315-($I$3-'main page'!$K$27*2)*(1+('main page'!$K$35/100))^A314,D315-$AS$4)</f>
        <v>1.0000000596046448</v>
      </c>
      <c r="AF315" s="44">
        <f ca="1">ABS(L315-(controls!$B$9/100)*100)</f>
        <v>1.1920928955078125E-7</v>
      </c>
      <c r="AH315" s="44">
        <f ca="1">IF(controls!$B$33=1,(B316-B315*AC316-I316+D315*AD316+'main page'!$K$27*('main page'!$K$24+'main page'!$K$11))/'main page'!$K$31,(B316-B315*AC316+D315*AD316-H316+'main page'!$K$27*('main page'!$K$24+'main page'!$K$11))/'main page'!$K$31)</f>
        <v>1</v>
      </c>
      <c r="AI315" s="44">
        <f ca="1">IF(controls!$B$45=1,LOG(AM315,1.01)+LOG(AL315,1.01)-LOG(AK315,1.01),-((T315-('main page'!$K$24+'main page'!$K$11))/(1-'normal case'!$AV$3))+'normal case'!AH315)</f>
        <v>2.0000000596046448</v>
      </c>
      <c r="AJ315" s="80">
        <f t="shared" ca="1" si="38"/>
        <v>1.0506250015463039</v>
      </c>
      <c r="AK315" s="44">
        <f t="shared" ca="1" si="39"/>
        <v>472.83528916179563</v>
      </c>
      <c r="AL315" s="44">
        <f>AL314*(1+'main page'!$K$32/100)</f>
        <v>1</v>
      </c>
      <c r="AM315" s="44">
        <f ca="1">IF(ABS(IF(controls!$B$45=1,$AS$13,AK315*AJ315/AL315)-AM314)&lt;0.00001,AM314,IF(controls!$B$45=1,$AS$13,AK315*AJ315/AL315))</f>
        <v>496.77257640675856</v>
      </c>
      <c r="AN315" s="44">
        <f>IF(controls!$B$46=0,0,IF(controls!$B$33=2,B316-B315*AC316-('normal case'!H316-D315*AD316-'main page'!$K$27*'normal case'!T315+'main page'!$K$31*'normal case'!AI315)-(('main page'!$K$25*'main page'!$U$13*'main page'!$K$29)/(1+('main page'!$K$25^2)*'main page'!$U$13))*('normal case'!L315-'main page'!$U$8),B316-B315*AC316-('normal case'!I316-D315*AD316-'main page'!$K$27*'normal case'!T315+'main page'!$K$31*'normal case'!AI315)-(('main page'!$K$25*'main page'!$U$13*'main page'!$K$29)/(1+('main page'!$K$25^2)*'main page'!$U$13))*('normal case'!L315-'main page'!$U$8)))</f>
        <v>0</v>
      </c>
      <c r="AU315" s="36"/>
      <c r="AV315" s="36"/>
    </row>
    <row r="316" spans="1:48">
      <c r="A316" s="43">
        <v>314</v>
      </c>
      <c r="B316" s="62">
        <f ca="1">IF(controls!$B$33=1,B315*(1+AC316)+AA316,B315*(1+AC316))</f>
        <v>101</v>
      </c>
      <c r="C316" s="67">
        <f t="shared" ca="1" si="40"/>
        <v>-1.5107707374006907E-7</v>
      </c>
      <c r="D316" s="64">
        <f t="shared" ca="1" si="36"/>
        <v>101.00000005960464</v>
      </c>
      <c r="E316" s="64">
        <f ca="1">AN315+IF(controls!$B$33=1,G316,F316)</f>
        <v>101.00000005960464</v>
      </c>
      <c r="F316" s="78">
        <f ca="1">IF(controls!$B$44=0,H316-'main page'!$K$27*T315,H316-'main page'!$K$27*T315+'main page'!$K$31*AI315)</f>
        <v>101.00000005960464</v>
      </c>
      <c r="G316" s="62">
        <f ca="1">IF(controls!$B$44=0,I316-'main page'!$K$27*T315,I316-'main page'!$K$27*T315+'main page'!$K$31*'normal case'!AI315)</f>
        <v>101.00000005960464</v>
      </c>
      <c r="H316" s="62">
        <f t="shared" ca="1" si="42"/>
        <v>108</v>
      </c>
      <c r="I316" s="62">
        <f t="shared" ca="1" si="43"/>
        <v>108</v>
      </c>
      <c r="L316" s="62">
        <f ca="1">IF(ABS('main page'!$K$29*L315+(1-'main page'!$K$29)*(controls!$B$9/100)*100+'main page'!$K$25*(D316-B316)-L315)&lt;0.0000001,L315,'main page'!$K$29*L315+(1-'main page'!$K$29)*(controls!$B$9/100)*100+'main page'!$K$25*(D316-B316))</f>
        <v>1.9999998807907104</v>
      </c>
      <c r="Q316" s="409">
        <f ca="1">(1-'main page'!$K$29)*($AS$11/100)*100+'main page'!$K$25*(D316-B316)</f>
        <v>5.9604644775390625E-8</v>
      </c>
      <c r="R316" s="409">
        <f>'main page'!G320+'main page'!$K$29*M315</f>
        <v>0</v>
      </c>
      <c r="S316" s="409">
        <f t="shared" ca="1" si="41"/>
        <v>5.9604644775390625E-8</v>
      </c>
      <c r="T316" s="79">
        <f ca="1">IF(controls!$B$10=1,T315,IF(SUM(controls!$B$44:$B$46)=2,U316-'main page'!$K$29*'normal case'!L316-(1-'main page'!$K$29)*'main page'!$K$32,U316-'main page'!$K$29*'normal case'!L316-(1-'main page'!$K$29)*controls!$B$9))</f>
        <v>3.4999999701976776</v>
      </c>
      <c r="U316" s="164">
        <f ca="1">IF(controls!$B$45=1,IF(controls!$B$46=1,'main page'!$K$24+'main page'!$K$11+'main page'!$U$8,'main page'!$K$24+'main page'!$K$11+'main page'!$K$32),IF(controls!$B$44=1,IF(V316&lt;0,0,V316),IF(V316+'main page'!$K$11&lt;0,0,V316+'main page'!$K$11)))</f>
        <v>5.4999998509883881</v>
      </c>
      <c r="V316" s="63">
        <f ca="1">IF(controls!$B$10=1,'normal case'!T316+'normal case'!L316,'normal case'!W316)</f>
        <v>5.4999998509883881</v>
      </c>
      <c r="W316" s="61">
        <f t="shared" ca="1" si="37"/>
        <v>5.4999998509883881</v>
      </c>
      <c r="X316" s="166">
        <f ca="1">IF(controls!$B$44=0,Y316+'main page'!$K$29*L316+(1-'main page'!$K$29)*controls!$B$9+(('main page'!$K$25*'main page'!$U$13*'main page'!$K$29)/('main page'!$K$27*(1+('main page'!$K$25^2)*'main page'!$U$13)))*(L316-controls!$B$9),Y316+'main page'!$K$29*L316+(1-'main page'!$K$29)*controls!$B$9+(('main page'!$K$25*'main page'!$U$13*'normal case'!$AV$3)/'normal case'!$AV$4)*('normal case'!L316-controls!$B$9))</f>
        <v>5.4999998509883881</v>
      </c>
      <c r="Y316" s="81">
        <f ca="1">IF(controls!$B$44=1,'main page'!$K$24+'main page'!$K$11,IF(controls!$B$33=1,((I317-D316*AD317-B317+B316*AC317)/'main page'!$K$27)-'main page'!$K$11,((H317-D316*AD317-B317+B316*AC317)/'main page'!$K$27)-'main page'!$K$11))</f>
        <v>3.5</v>
      </c>
      <c r="AA316" s="58">
        <f>IF(controls!$B$6=1,$AS$3*(1+('main page'!$K$35/100))^AB316-$AS$3*(1+('main page'!$K$35/100))^AB315,$AS$3*(1+('main page'!$G$8/100))*(1+('main page'!$K$35/100))^AB316-$AS$3*(1+('main page'!$G$8/100))*(1+('main page'!$K$35/100))^AB315)</f>
        <v>0</v>
      </c>
      <c r="AB316" s="60">
        <v>309</v>
      </c>
      <c r="AC316" s="125">
        <v>0</v>
      </c>
      <c r="AD316" s="36">
        <v>0</v>
      </c>
      <c r="AE316" s="44">
        <f ca="1">IF(controls!$B$33=1,D316-($I$3-'main page'!$K$27*2)*(1+('main page'!$K$35/100))^A315,D316-$AS$4)</f>
        <v>1.0000000596046448</v>
      </c>
      <c r="AF316" s="44">
        <f ca="1">ABS(L316-(controls!$B$9/100)*100)</f>
        <v>1.1920928955078125E-7</v>
      </c>
      <c r="AH316" s="44">
        <f ca="1">IF(controls!$B$33=1,(B317-B316*AC317-I317+D316*AD317+'main page'!$K$27*('main page'!$K$24+'main page'!$K$11))/'main page'!$K$31,(B317-B316*AC317+D316*AD317-H317+'main page'!$K$27*('main page'!$K$24+'main page'!$K$11))/'main page'!$K$31)</f>
        <v>1</v>
      </c>
      <c r="AI316" s="44">
        <f ca="1">IF(controls!$B$45=1,LOG(AM316,1.01)+LOG(AL316,1.01)-LOG(AK316,1.01),-((T316-('main page'!$K$24+'main page'!$K$11))/(1-'normal case'!$AV$3))+'normal case'!AH316)</f>
        <v>2.0000000596046448</v>
      </c>
      <c r="AJ316" s="80">
        <f t="shared" ca="1" si="38"/>
        <v>1.0506250015463039</v>
      </c>
      <c r="AK316" s="44">
        <f t="shared" ca="1" si="39"/>
        <v>482.291994381368</v>
      </c>
      <c r="AL316" s="44">
        <f>AL315*(1+'main page'!$K$32/100)</f>
        <v>1</v>
      </c>
      <c r="AM316" s="44">
        <f ca="1">IF(ABS(IF(controls!$B$45=1,$AS$13,AK316*AJ316/AL316)-AM315)&lt;0.00001,AM315,IF(controls!$B$45=1,$AS$13,AK316*AJ316/AL316))</f>
        <v>506.70802734269472</v>
      </c>
      <c r="AN316" s="44">
        <f>IF(controls!$B$46=0,0,IF(controls!$B$33=2,B317-B316*AC317-('normal case'!H317-D316*AD317-'main page'!$K$27*'normal case'!T316+'main page'!$K$31*'normal case'!AI316)-(('main page'!$K$25*'main page'!$U$13*'main page'!$K$29)/(1+('main page'!$K$25^2)*'main page'!$U$13))*('normal case'!L316-'main page'!$U$8),B317-B316*AC317-('normal case'!I317-D316*AD317-'main page'!$K$27*'normal case'!T316+'main page'!$K$31*'normal case'!AI316)-(('main page'!$K$25*'main page'!$U$13*'main page'!$K$29)/(1+('main page'!$K$25^2)*'main page'!$U$13))*('normal case'!L316-'main page'!$U$8)))</f>
        <v>0</v>
      </c>
      <c r="AU316" s="36"/>
      <c r="AV316" s="36"/>
    </row>
    <row r="317" spans="1:48">
      <c r="A317" s="43">
        <v>315</v>
      </c>
      <c r="B317" s="62">
        <f ca="1">IF(controls!$B$33=1,B316*(1+AC317)+AA317,B316*(1+AC317))</f>
        <v>101</v>
      </c>
      <c r="C317" s="67">
        <f t="shared" ca="1" si="40"/>
        <v>-1.5107707374006907E-7</v>
      </c>
      <c r="D317" s="64">
        <f t="shared" ca="1" si="36"/>
        <v>101.00000005960464</v>
      </c>
      <c r="E317" s="64">
        <f ca="1">AN316+IF(controls!$B$33=1,G317,F317)</f>
        <v>101.00000005960464</v>
      </c>
      <c r="F317" s="78">
        <f ca="1">IF(controls!$B$44=0,H317-'main page'!$K$27*T316,H317-'main page'!$K$27*T316+'main page'!$K$31*AI316)</f>
        <v>101.00000005960464</v>
      </c>
      <c r="G317" s="62">
        <f ca="1">IF(controls!$B$44=0,I317-'main page'!$K$27*T316,I317-'main page'!$K$27*T316+'main page'!$K$31*'normal case'!AI316)</f>
        <v>101.00000005960464</v>
      </c>
      <c r="H317" s="62">
        <f t="shared" ca="1" si="42"/>
        <v>108</v>
      </c>
      <c r="I317" s="62">
        <f t="shared" ca="1" si="43"/>
        <v>108</v>
      </c>
      <c r="L317" s="62">
        <f ca="1">IF(ABS('main page'!$K$29*L316+(1-'main page'!$K$29)*(controls!$B$9/100)*100+'main page'!$K$25*(D317-B317)-L316)&lt;0.0000001,L316,'main page'!$K$29*L316+(1-'main page'!$K$29)*(controls!$B$9/100)*100+'main page'!$K$25*(D317-B317))</f>
        <v>1.9999998807907104</v>
      </c>
      <c r="Q317" s="409">
        <f ca="1">(1-'main page'!$K$29)*($AS$11/100)*100+'main page'!$K$25*(D317-B317)</f>
        <v>5.9604644775390625E-8</v>
      </c>
      <c r="R317" s="409">
        <f>'main page'!G321+'main page'!$K$29*M316</f>
        <v>0</v>
      </c>
      <c r="S317" s="409">
        <f t="shared" ca="1" si="41"/>
        <v>5.9604644775390625E-8</v>
      </c>
      <c r="T317" s="79">
        <f ca="1">IF(controls!$B$10=1,T316,IF(SUM(controls!$B$44:$B$46)=2,U317-'main page'!$K$29*'normal case'!L317-(1-'main page'!$K$29)*'main page'!$K$32,U317-'main page'!$K$29*'normal case'!L317-(1-'main page'!$K$29)*controls!$B$9))</f>
        <v>3.4999999701976776</v>
      </c>
      <c r="U317" s="164">
        <f ca="1">IF(controls!$B$45=1,IF(controls!$B$46=1,'main page'!$K$24+'main page'!$K$11+'main page'!$U$8,'main page'!$K$24+'main page'!$K$11+'main page'!$K$32),IF(controls!$B$44=1,IF(V317&lt;0,0,V317),IF(V317+'main page'!$K$11&lt;0,0,V317+'main page'!$K$11)))</f>
        <v>5.4999998509883881</v>
      </c>
      <c r="V317" s="63">
        <f ca="1">IF(controls!$B$10=1,'normal case'!T317+'normal case'!L317,'normal case'!W317)</f>
        <v>5.4999998509883881</v>
      </c>
      <c r="W317" s="61">
        <f t="shared" ca="1" si="37"/>
        <v>5.4999998509883881</v>
      </c>
      <c r="X317" s="166">
        <f ca="1">IF(controls!$B$44=0,Y317+'main page'!$K$29*L317+(1-'main page'!$K$29)*controls!$B$9+(('main page'!$K$25*'main page'!$U$13*'main page'!$K$29)/('main page'!$K$27*(1+('main page'!$K$25^2)*'main page'!$U$13)))*(L317-controls!$B$9),Y317+'main page'!$K$29*L317+(1-'main page'!$K$29)*controls!$B$9+(('main page'!$K$25*'main page'!$U$13*'normal case'!$AV$3)/'normal case'!$AV$4)*('normal case'!L317-controls!$B$9))</f>
        <v>5.4999998509883881</v>
      </c>
      <c r="Y317" s="81">
        <f ca="1">IF(controls!$B$44=1,'main page'!$K$24+'main page'!$K$11,IF(controls!$B$33=1,((I318-D317*AD318-B318+B317*AC318)/'main page'!$K$27)-'main page'!$K$11,((H318-D317*AD318-B318+B317*AC318)/'main page'!$K$27)-'main page'!$K$11))</f>
        <v>3.5</v>
      </c>
      <c r="AA317" s="58">
        <f>IF(controls!$B$6=1,$AS$3*(1+('main page'!$K$35/100))^AB317-$AS$3*(1+('main page'!$K$35/100))^AB316,$AS$3*(1+('main page'!$G$8/100))*(1+('main page'!$K$35/100))^AB317-$AS$3*(1+('main page'!$G$8/100))*(1+('main page'!$K$35/100))^AB316)</f>
        <v>0</v>
      </c>
      <c r="AB317" s="60">
        <v>310</v>
      </c>
      <c r="AC317" s="125">
        <f ca="1">IF(controls!$B$4=1,IF(controls!$H316=1,controls!$B$34*AC316+RAND()*('main page'!$K$16/100)-RAND()*('main page'!$K$16/100),0),0)</f>
        <v>0</v>
      </c>
      <c r="AD317" s="36">
        <f ca="1">IF(controls!$B$4=1,IF(controls!$I316=1,controls!$B$34*AD316+RAND()*('main page'!$K$16/100)-RAND()*('main page'!$K$16/100),0),0)</f>
        <v>0</v>
      </c>
      <c r="AE317" s="44">
        <f ca="1">IF(controls!$B$33=1,D317-($I$3-'main page'!$K$27*2)*(1+('main page'!$K$35/100))^A316,D317-$AS$4)</f>
        <v>1.0000000596046448</v>
      </c>
      <c r="AF317" s="44">
        <f ca="1">ABS(L317-(controls!$B$9/100)*100)</f>
        <v>1.1920928955078125E-7</v>
      </c>
      <c r="AH317" s="44">
        <f ca="1">IF(controls!$B$33=1,(B318-B317*AC318-I318+D317*AD318+'main page'!$K$27*('main page'!$K$24+'main page'!$K$11))/'main page'!$K$31,(B318-B317*AC318+D317*AD318-H318+'main page'!$K$27*('main page'!$K$24+'main page'!$K$11))/'main page'!$K$31)</f>
        <v>1</v>
      </c>
      <c r="AI317" s="44">
        <f ca="1">IF(controls!$B$45=1,LOG(AM317,1.01)+LOG(AL317,1.01)-LOG(AK317,1.01),-((T317-('main page'!$K$24+'main page'!$K$11))/(1-'normal case'!$AV$3))+'normal case'!AH317)</f>
        <v>2.0000000596046448</v>
      </c>
      <c r="AJ317" s="80">
        <f t="shared" ca="1" si="38"/>
        <v>1.0506250015463039</v>
      </c>
      <c r="AK317" s="44">
        <f t="shared" ca="1" si="39"/>
        <v>491.9378336940585</v>
      </c>
      <c r="AL317" s="44">
        <f>AL316*(1+'main page'!$K$32/100)</f>
        <v>1</v>
      </c>
      <c r="AM317" s="44">
        <f ca="1">IF(ABS(IF(controls!$B$45=1,$AS$13,AK317*AJ317/AL317)-AM316)&lt;0.00001,AM316,IF(controls!$B$45=1,$AS$13,AK317*AJ317/AL317))</f>
        <v>516.84218728550559</v>
      </c>
      <c r="AN317" s="44">
        <f>IF(controls!$B$46=0,0,IF(controls!$B$33=2,B318-B317*AC318-('normal case'!H318-D317*AD318-'main page'!$K$27*'normal case'!T317+'main page'!$K$31*'normal case'!AI317)-(('main page'!$K$25*'main page'!$U$13*'main page'!$K$29)/(1+('main page'!$K$25^2)*'main page'!$U$13))*('normal case'!L317-'main page'!$U$8),B318-B317*AC318-('normal case'!I318-D317*AD318-'main page'!$K$27*'normal case'!T317+'main page'!$K$31*'normal case'!AI317)-(('main page'!$K$25*'main page'!$U$13*'main page'!$K$29)/(1+('main page'!$K$25^2)*'main page'!$U$13))*('normal case'!L317-'main page'!$U$8)))</f>
        <v>0</v>
      </c>
      <c r="AU317" s="36"/>
      <c r="AV317" s="36"/>
    </row>
    <row r="318" spans="1:48">
      <c r="A318" s="43">
        <v>316</v>
      </c>
      <c r="B318" s="62">
        <f ca="1">IF(controls!$B$33=1,B317*(1+AC318)+AA318,B317*(1+AC318))</f>
        <v>101</v>
      </c>
      <c r="C318" s="67">
        <f t="shared" ca="1" si="40"/>
        <v>-1.5107707374006907E-7</v>
      </c>
      <c r="D318" s="64">
        <f t="shared" ca="1" si="36"/>
        <v>101.00000005960464</v>
      </c>
      <c r="E318" s="64">
        <f ca="1">AN317+IF(controls!$B$33=1,G318,F318)</f>
        <v>101.00000005960464</v>
      </c>
      <c r="F318" s="78">
        <f ca="1">IF(controls!$B$44=0,H318-'main page'!$K$27*T317,H318-'main page'!$K$27*T317+'main page'!$K$31*AI317)</f>
        <v>101.00000005960464</v>
      </c>
      <c r="G318" s="62">
        <f ca="1">IF(controls!$B$44=0,I318-'main page'!$K$27*T317,I318-'main page'!$K$27*T317+'main page'!$K$31*'normal case'!AI317)</f>
        <v>101.00000005960464</v>
      </c>
      <c r="H318" s="62">
        <f t="shared" ca="1" si="42"/>
        <v>108</v>
      </c>
      <c r="I318" s="62">
        <f t="shared" ca="1" si="43"/>
        <v>108</v>
      </c>
      <c r="L318" s="62">
        <f ca="1">IF(ABS('main page'!$K$29*L317+(1-'main page'!$K$29)*(controls!$B$9/100)*100+'main page'!$K$25*(D318-B318)-L317)&lt;0.0000001,L317,'main page'!$K$29*L317+(1-'main page'!$K$29)*(controls!$B$9/100)*100+'main page'!$K$25*(D318-B318))</f>
        <v>1.9999998807907104</v>
      </c>
      <c r="Q318" s="409">
        <f ca="1">(1-'main page'!$K$29)*($AS$11/100)*100+'main page'!$K$25*(D318-B318)</f>
        <v>5.9604644775390625E-8</v>
      </c>
      <c r="R318" s="409">
        <f>'main page'!G322+'main page'!$K$29*M317</f>
        <v>0</v>
      </c>
      <c r="S318" s="409">
        <f t="shared" ca="1" si="41"/>
        <v>5.9604644775390625E-8</v>
      </c>
      <c r="T318" s="79">
        <f ca="1">IF(controls!$B$10=1,T317,IF(SUM(controls!$B$44:$B$46)=2,U318-'main page'!$K$29*'normal case'!L318-(1-'main page'!$K$29)*'main page'!$K$32,U318-'main page'!$K$29*'normal case'!L318-(1-'main page'!$K$29)*controls!$B$9))</f>
        <v>3.4999999701976776</v>
      </c>
      <c r="U318" s="164">
        <f ca="1">IF(controls!$B$45=1,IF(controls!$B$46=1,'main page'!$K$24+'main page'!$K$11+'main page'!$U$8,'main page'!$K$24+'main page'!$K$11+'main page'!$K$32),IF(controls!$B$44=1,IF(V318&lt;0,0,V318),IF(V318+'main page'!$K$11&lt;0,0,V318+'main page'!$K$11)))</f>
        <v>5.4999998509883881</v>
      </c>
      <c r="V318" s="63">
        <f ca="1">IF(controls!$B$10=1,'normal case'!T318+'normal case'!L318,'normal case'!W318)</f>
        <v>5.4999998509883881</v>
      </c>
      <c r="W318" s="61">
        <f t="shared" ca="1" si="37"/>
        <v>5.4999998509883881</v>
      </c>
      <c r="X318" s="166">
        <f ca="1">IF(controls!$B$44=0,Y318+'main page'!$K$29*L318+(1-'main page'!$K$29)*controls!$B$9+(('main page'!$K$25*'main page'!$U$13*'main page'!$K$29)/('main page'!$K$27*(1+('main page'!$K$25^2)*'main page'!$U$13)))*(L318-controls!$B$9),Y318+'main page'!$K$29*L318+(1-'main page'!$K$29)*controls!$B$9+(('main page'!$K$25*'main page'!$U$13*'normal case'!$AV$3)/'normal case'!$AV$4)*('normal case'!L318-controls!$B$9))</f>
        <v>5.4999998509883881</v>
      </c>
      <c r="Y318" s="81">
        <f ca="1">IF(controls!$B$44=1,'main page'!$K$24+'main page'!$K$11,IF(controls!$B$33=1,((I319-D318*AD319-B319+B318*AC319)/'main page'!$K$27)-'main page'!$K$11,((H319-D318*AD319-B319+B318*AC319)/'main page'!$K$27)-'main page'!$K$11))</f>
        <v>3.5</v>
      </c>
      <c r="AA318" s="58">
        <f>IF(controls!$B$6=1,$AS$3*(1+('main page'!$K$35/100))^AB318-$AS$3*(1+('main page'!$K$35/100))^AB317,$AS$3*(1+('main page'!$G$8/100))*(1+('main page'!$K$35/100))^AB318-$AS$3*(1+('main page'!$G$8/100))*(1+('main page'!$K$35/100))^AB317)</f>
        <v>0</v>
      </c>
      <c r="AB318" s="60">
        <v>311</v>
      </c>
      <c r="AC318" s="125">
        <v>0</v>
      </c>
      <c r="AD318" s="36">
        <v>0</v>
      </c>
      <c r="AE318" s="44">
        <f ca="1">IF(controls!$B$33=1,D318-($I$3-'main page'!$K$27*2)*(1+('main page'!$K$35/100))^A317,D318-$AS$4)</f>
        <v>1.0000000596046448</v>
      </c>
      <c r="AF318" s="44">
        <f ca="1">ABS(L318-(controls!$B$9/100)*100)</f>
        <v>1.1920928955078125E-7</v>
      </c>
      <c r="AH318" s="44">
        <f ca="1">IF(controls!$B$33=1,(B319-B318*AC319-I319+D318*AD319+'main page'!$K$27*('main page'!$K$24+'main page'!$K$11))/'main page'!$K$31,(B319-B318*AC319+D318*AD319-H319+'main page'!$K$27*('main page'!$K$24+'main page'!$K$11))/'main page'!$K$31)</f>
        <v>1</v>
      </c>
      <c r="AI318" s="44">
        <f ca="1">IF(controls!$B$45=1,LOG(AM318,1.01)+LOG(AL318,1.01)-LOG(AK318,1.01),-((T318-('main page'!$K$24+'main page'!$K$11))/(1-'normal case'!$AV$3))+'normal case'!AH318)</f>
        <v>2.0000000596046448</v>
      </c>
      <c r="AJ318" s="80">
        <f t="shared" ca="1" si="38"/>
        <v>1.0506250015463039</v>
      </c>
      <c r="AK318" s="44">
        <f t="shared" ca="1" si="39"/>
        <v>501.77658978150407</v>
      </c>
      <c r="AL318" s="44">
        <f>AL317*(1+'main page'!$K$32/100)</f>
        <v>1</v>
      </c>
      <c r="AM318" s="44">
        <f ca="1">IF(ABS(IF(controls!$B$45=1,$AS$13,AK318*AJ318/AL318)-AM317)&lt;0.00001,AM317,IF(controls!$B$45=1,$AS$13,AK318*AJ318/AL318))</f>
        <v>527.1790304150918</v>
      </c>
      <c r="AN318" s="44">
        <f>IF(controls!$B$46=0,0,IF(controls!$B$33=2,B319-B318*AC319-('normal case'!H319-D318*AD319-'main page'!$K$27*'normal case'!T318+'main page'!$K$31*'normal case'!AI318)-(('main page'!$K$25*'main page'!$U$13*'main page'!$K$29)/(1+('main page'!$K$25^2)*'main page'!$U$13))*('normal case'!L318-'main page'!$U$8),B319-B318*AC319-('normal case'!I319-D318*AD319-'main page'!$K$27*'normal case'!T318+'main page'!$K$31*'normal case'!AI318)-(('main page'!$K$25*'main page'!$U$13*'main page'!$K$29)/(1+('main page'!$K$25^2)*'main page'!$U$13))*('normal case'!L318-'main page'!$U$8)))</f>
        <v>0</v>
      </c>
      <c r="AU318" s="36"/>
      <c r="AV318" s="36"/>
    </row>
    <row r="319" spans="1:48">
      <c r="A319" s="43">
        <v>317</v>
      </c>
      <c r="B319" s="62">
        <f ca="1">IF(controls!$B$33=1,B318*(1+AC319)+AA319,B318*(1+AC319))</f>
        <v>101</v>
      </c>
      <c r="C319" s="67">
        <f t="shared" ca="1" si="40"/>
        <v>-1.5107707374006907E-7</v>
      </c>
      <c r="D319" s="64">
        <f t="shared" ca="1" si="36"/>
        <v>101.00000005960464</v>
      </c>
      <c r="E319" s="64">
        <f ca="1">AN318+IF(controls!$B$33=1,G319,F319)</f>
        <v>101.00000005960464</v>
      </c>
      <c r="F319" s="78">
        <f ca="1">IF(controls!$B$44=0,H319-'main page'!$K$27*T318,H319-'main page'!$K$27*T318+'main page'!$K$31*AI318)</f>
        <v>101.00000005960464</v>
      </c>
      <c r="G319" s="62">
        <f ca="1">IF(controls!$B$44=0,I319-'main page'!$K$27*T318,I319-'main page'!$K$27*T318+'main page'!$K$31*'normal case'!AI318)</f>
        <v>101.00000005960464</v>
      </c>
      <c r="H319" s="62">
        <f t="shared" ca="1" si="42"/>
        <v>108</v>
      </c>
      <c r="I319" s="62">
        <f t="shared" ca="1" si="43"/>
        <v>108</v>
      </c>
      <c r="L319" s="62">
        <f ca="1">IF(ABS('main page'!$K$29*L318+(1-'main page'!$K$29)*(controls!$B$9/100)*100+'main page'!$K$25*(D319-B319)-L318)&lt;0.0000001,L318,'main page'!$K$29*L318+(1-'main page'!$K$29)*(controls!$B$9/100)*100+'main page'!$K$25*(D319-B319))</f>
        <v>1.9999998807907104</v>
      </c>
      <c r="Q319" s="409">
        <f ca="1">(1-'main page'!$K$29)*($AS$11/100)*100+'main page'!$K$25*(D319-B319)</f>
        <v>5.9604644775390625E-8</v>
      </c>
      <c r="R319" s="409">
        <f>'main page'!G323+'main page'!$K$29*M318</f>
        <v>0</v>
      </c>
      <c r="S319" s="409">
        <f t="shared" ca="1" si="41"/>
        <v>5.9604644775390625E-8</v>
      </c>
      <c r="T319" s="79">
        <f ca="1">IF(controls!$B$10=1,T318,IF(SUM(controls!$B$44:$B$46)=2,U319-'main page'!$K$29*'normal case'!L319-(1-'main page'!$K$29)*'main page'!$K$32,U319-'main page'!$K$29*'normal case'!L319-(1-'main page'!$K$29)*controls!$B$9))</f>
        <v>3.4999999701976776</v>
      </c>
      <c r="U319" s="164">
        <f ca="1">IF(controls!$B$45=1,IF(controls!$B$46=1,'main page'!$K$24+'main page'!$K$11+'main page'!$U$8,'main page'!$K$24+'main page'!$K$11+'main page'!$K$32),IF(controls!$B$44=1,IF(V319&lt;0,0,V319),IF(V319+'main page'!$K$11&lt;0,0,V319+'main page'!$K$11)))</f>
        <v>5.4999998509883881</v>
      </c>
      <c r="V319" s="63">
        <f ca="1">IF(controls!$B$10=1,'normal case'!T319+'normal case'!L319,'normal case'!W319)</f>
        <v>5.4999998509883881</v>
      </c>
      <c r="W319" s="61">
        <f t="shared" ca="1" si="37"/>
        <v>5.4999998509883881</v>
      </c>
      <c r="X319" s="166">
        <f ca="1">IF(controls!$B$44=0,Y319+'main page'!$K$29*L319+(1-'main page'!$K$29)*controls!$B$9+(('main page'!$K$25*'main page'!$U$13*'main page'!$K$29)/('main page'!$K$27*(1+('main page'!$K$25^2)*'main page'!$U$13)))*(L319-controls!$B$9),Y319+'main page'!$K$29*L319+(1-'main page'!$K$29)*controls!$B$9+(('main page'!$K$25*'main page'!$U$13*'normal case'!$AV$3)/'normal case'!$AV$4)*('normal case'!L319-controls!$B$9))</f>
        <v>5.4999998509883881</v>
      </c>
      <c r="Y319" s="81">
        <f ca="1">IF(controls!$B$44=1,'main page'!$K$24+'main page'!$K$11,IF(controls!$B$33=1,((I320-D319*AD320-B320+B319*AC320)/'main page'!$K$27)-'main page'!$K$11,((H320-D319*AD320-B320+B319*AC320)/'main page'!$K$27)-'main page'!$K$11))</f>
        <v>3.5</v>
      </c>
      <c r="AA319" s="58">
        <f>IF(controls!$B$6=1,$AS$3*(1+('main page'!$K$35/100))^AB319-$AS$3*(1+('main page'!$K$35/100))^AB318,$AS$3*(1+('main page'!$G$8/100))*(1+('main page'!$K$35/100))^AB319-$AS$3*(1+('main page'!$G$8/100))*(1+('main page'!$K$35/100))^AB318)</f>
        <v>0</v>
      </c>
      <c r="AB319" s="60">
        <v>312</v>
      </c>
      <c r="AC319" s="125">
        <v>0</v>
      </c>
      <c r="AD319" s="36">
        <v>0</v>
      </c>
      <c r="AE319" s="44">
        <f ca="1">IF(controls!$B$33=1,D319-($I$3-'main page'!$K$27*2)*(1+('main page'!$K$35/100))^A318,D319-$AS$4)</f>
        <v>1.0000000596046448</v>
      </c>
      <c r="AF319" s="44">
        <f ca="1">ABS(L319-(controls!$B$9/100)*100)</f>
        <v>1.1920928955078125E-7</v>
      </c>
      <c r="AH319" s="44">
        <f ca="1">IF(controls!$B$33=1,(B320-B319*AC320-I320+D319*AD320+'main page'!$K$27*('main page'!$K$24+'main page'!$K$11))/'main page'!$K$31,(B320-B319*AC320+D319*AD320-H320+'main page'!$K$27*('main page'!$K$24+'main page'!$K$11))/'main page'!$K$31)</f>
        <v>1</v>
      </c>
      <c r="AI319" s="44">
        <f ca="1">IF(controls!$B$45=1,LOG(AM319,1.01)+LOG(AL319,1.01)-LOG(AK319,1.01),-((T319-('main page'!$K$24+'main page'!$K$11))/(1-'normal case'!$AV$3))+'normal case'!AH319)</f>
        <v>2.0000000596046448</v>
      </c>
      <c r="AJ319" s="80">
        <f t="shared" ca="1" si="38"/>
        <v>1.0506250015463039</v>
      </c>
      <c r="AK319" s="44">
        <f t="shared" ca="1" si="39"/>
        <v>511.81212097896986</v>
      </c>
      <c r="AL319" s="44">
        <f>AL318*(1+'main page'!$K$32/100)</f>
        <v>1</v>
      </c>
      <c r="AM319" s="44">
        <f ca="1">IF(ABS(IF(controls!$B$45=1,$AS$13,AK319*AJ319/AL319)-AM318)&lt;0.00001,AM318,IF(controls!$B$45=1,$AS$13,AK319*AJ319/AL319))</f>
        <v>537.72261039494731</v>
      </c>
      <c r="AN319" s="44">
        <f>IF(controls!$B$46=0,0,IF(controls!$B$33=2,B320-B319*AC320-('normal case'!H320-D319*AD320-'main page'!$K$27*'normal case'!T319+'main page'!$K$31*'normal case'!AI319)-(('main page'!$K$25*'main page'!$U$13*'main page'!$K$29)/(1+('main page'!$K$25^2)*'main page'!$U$13))*('normal case'!L319-'main page'!$U$8),B320-B319*AC320-('normal case'!I320-D319*AD320-'main page'!$K$27*'normal case'!T319+'main page'!$K$31*'normal case'!AI319)-(('main page'!$K$25*'main page'!$U$13*'main page'!$K$29)/(1+('main page'!$K$25^2)*'main page'!$U$13))*('normal case'!L319-'main page'!$U$8)))</f>
        <v>0</v>
      </c>
      <c r="AU319" s="36"/>
      <c r="AV319" s="36"/>
    </row>
    <row r="320" spans="1:48">
      <c r="A320" s="43">
        <v>318</v>
      </c>
      <c r="B320" s="62">
        <f ca="1">IF(controls!$B$33=1,B319*(1+AC320)+AA320,B319*(1+AC320))</f>
        <v>101</v>
      </c>
      <c r="C320" s="67">
        <f t="shared" ca="1" si="40"/>
        <v>-1.5107707374006907E-7</v>
      </c>
      <c r="D320" s="64">
        <f t="shared" ca="1" si="36"/>
        <v>101.00000005960464</v>
      </c>
      <c r="E320" s="64">
        <f ca="1">AN319+IF(controls!$B$33=1,G320,F320)</f>
        <v>101.00000005960464</v>
      </c>
      <c r="F320" s="78">
        <f ca="1">IF(controls!$B$44=0,H320-'main page'!$K$27*T319,H320-'main page'!$K$27*T319+'main page'!$K$31*AI319)</f>
        <v>101.00000005960464</v>
      </c>
      <c r="G320" s="62">
        <f ca="1">IF(controls!$B$44=0,I320-'main page'!$K$27*T319,I320-'main page'!$K$27*T319+'main page'!$K$31*'normal case'!AI319)</f>
        <v>101.00000005960464</v>
      </c>
      <c r="H320" s="62">
        <f t="shared" ca="1" si="42"/>
        <v>108</v>
      </c>
      <c r="I320" s="62">
        <f t="shared" ca="1" si="43"/>
        <v>108</v>
      </c>
      <c r="L320" s="62">
        <f ca="1">IF(ABS('main page'!$K$29*L319+(1-'main page'!$K$29)*(controls!$B$9/100)*100+'main page'!$K$25*(D320-B320)-L319)&lt;0.0000001,L319,'main page'!$K$29*L319+(1-'main page'!$K$29)*(controls!$B$9/100)*100+'main page'!$K$25*(D320-B320))</f>
        <v>1.9999998807907104</v>
      </c>
      <c r="Q320" s="409">
        <f ca="1">(1-'main page'!$K$29)*($AS$11/100)*100+'main page'!$K$25*(D320-B320)</f>
        <v>5.9604644775390625E-8</v>
      </c>
      <c r="R320" s="409">
        <f>'main page'!G324+'main page'!$K$29*M319</f>
        <v>0</v>
      </c>
      <c r="S320" s="409">
        <f t="shared" ca="1" si="41"/>
        <v>5.9604644775390625E-8</v>
      </c>
      <c r="T320" s="79">
        <f ca="1">IF(controls!$B$10=1,T319,IF(SUM(controls!$B$44:$B$46)=2,U320-'main page'!$K$29*'normal case'!L320-(1-'main page'!$K$29)*'main page'!$K$32,U320-'main page'!$K$29*'normal case'!L320-(1-'main page'!$K$29)*controls!$B$9))</f>
        <v>3.4999999701976776</v>
      </c>
      <c r="U320" s="164">
        <f ca="1">IF(controls!$B$45=1,IF(controls!$B$46=1,'main page'!$K$24+'main page'!$K$11+'main page'!$U$8,'main page'!$K$24+'main page'!$K$11+'main page'!$K$32),IF(controls!$B$44=1,IF(V320&lt;0,0,V320),IF(V320+'main page'!$K$11&lt;0,0,V320+'main page'!$K$11)))</f>
        <v>5.4999998509883881</v>
      </c>
      <c r="V320" s="63">
        <f ca="1">IF(controls!$B$10=1,'normal case'!T320+'normal case'!L320,'normal case'!W320)</f>
        <v>5.4999998509883881</v>
      </c>
      <c r="W320" s="61">
        <f t="shared" ca="1" si="37"/>
        <v>5.4999998509883881</v>
      </c>
      <c r="X320" s="166">
        <f ca="1">IF(controls!$B$44=0,Y320+'main page'!$K$29*L320+(1-'main page'!$K$29)*controls!$B$9+(('main page'!$K$25*'main page'!$U$13*'main page'!$K$29)/('main page'!$K$27*(1+('main page'!$K$25^2)*'main page'!$U$13)))*(L320-controls!$B$9),Y320+'main page'!$K$29*L320+(1-'main page'!$K$29)*controls!$B$9+(('main page'!$K$25*'main page'!$U$13*'normal case'!$AV$3)/'normal case'!$AV$4)*('normal case'!L320-controls!$B$9))</f>
        <v>5.4999998509883881</v>
      </c>
      <c r="Y320" s="81">
        <f ca="1">IF(controls!$B$44=1,'main page'!$K$24+'main page'!$K$11,IF(controls!$B$33=1,((I321-D320*AD321-B321+B320*AC321)/'main page'!$K$27)-'main page'!$K$11,((H321-D320*AD321-B321+B320*AC321)/'main page'!$K$27)-'main page'!$K$11))</f>
        <v>3.5</v>
      </c>
      <c r="AA320" s="58">
        <f>IF(controls!$B$6=1,$AS$3*(1+('main page'!$K$35/100))^AB320-$AS$3*(1+('main page'!$K$35/100))^AB319,$AS$3*(1+('main page'!$G$8/100))*(1+('main page'!$K$35/100))^AB320-$AS$3*(1+('main page'!$G$8/100))*(1+('main page'!$K$35/100))^AB319)</f>
        <v>0</v>
      </c>
      <c r="AB320" s="60">
        <v>313</v>
      </c>
      <c r="AC320" s="125">
        <f ca="1">IF(controls!$B$4=1,IF(controls!$H319=1,controls!$B$34*AC319+RAND()*('main page'!$K$16/100)-RAND()*('main page'!$K$16/100),0),0)</f>
        <v>0</v>
      </c>
      <c r="AD320" s="36">
        <f ca="1">IF(controls!$B$4=1,IF(controls!$I319=1,controls!$B$34*AD319+RAND()*('main page'!$K$16/100)-RAND()*('main page'!$K$16/100),0),0)</f>
        <v>0</v>
      </c>
      <c r="AE320" s="44">
        <f ca="1">IF(controls!$B$33=1,D320-($I$3-'main page'!$K$27*2)*(1+('main page'!$K$35/100))^A319,D320-$AS$4)</f>
        <v>1.0000000596046448</v>
      </c>
      <c r="AF320" s="44">
        <f ca="1">ABS(L320-(controls!$B$9/100)*100)</f>
        <v>1.1920928955078125E-7</v>
      </c>
      <c r="AH320" s="44">
        <f ca="1">IF(controls!$B$33=1,(B321-B320*AC321-I321+D320*AD321+'main page'!$K$27*('main page'!$K$24+'main page'!$K$11))/'main page'!$K$31,(B321-B320*AC321+D320*AD321-H321+'main page'!$K$27*('main page'!$K$24+'main page'!$K$11))/'main page'!$K$31)</f>
        <v>1</v>
      </c>
      <c r="AI320" s="44">
        <f ca="1">IF(controls!$B$45=1,LOG(AM320,1.01)+LOG(AL320,1.01)-LOG(AK320,1.01),-((T320-('main page'!$K$24+'main page'!$K$11))/(1-'normal case'!$AV$3))+'normal case'!AH320)</f>
        <v>2.0000000596046448</v>
      </c>
      <c r="AJ320" s="80">
        <f t="shared" ca="1" si="38"/>
        <v>1.0506250015463039</v>
      </c>
      <c r="AK320" s="44">
        <f t="shared" ca="1" si="39"/>
        <v>522.04836278842174</v>
      </c>
      <c r="AL320" s="44">
        <f>AL319*(1+'main page'!$K$32/100)</f>
        <v>1</v>
      </c>
      <c r="AM320" s="44">
        <f ca="1">IF(ABS(IF(controls!$B$45=1,$AS$13,AK320*AJ320/AL320)-AM319)&lt;0.00001,AM319,IF(controls!$B$45=1,$AS$13,AK320*AJ320/AL320))</f>
        <v>548.47706196183105</v>
      </c>
      <c r="AN320" s="44">
        <f>IF(controls!$B$46=0,0,IF(controls!$B$33=2,B321-B320*AC321-('normal case'!H321-D320*AD321-'main page'!$K$27*'normal case'!T320+'main page'!$K$31*'normal case'!AI320)-(('main page'!$K$25*'main page'!$U$13*'main page'!$K$29)/(1+('main page'!$K$25^2)*'main page'!$U$13))*('normal case'!L320-'main page'!$U$8),B321-B320*AC321-('normal case'!I321-D320*AD321-'main page'!$K$27*'normal case'!T320+'main page'!$K$31*'normal case'!AI320)-(('main page'!$K$25*'main page'!$U$13*'main page'!$K$29)/(1+('main page'!$K$25^2)*'main page'!$U$13))*('normal case'!L320-'main page'!$U$8)))</f>
        <v>0</v>
      </c>
      <c r="AU320" s="36"/>
      <c r="AV320" s="36"/>
    </row>
    <row r="321" spans="1:48">
      <c r="A321" s="43">
        <v>319</v>
      </c>
      <c r="B321" s="62">
        <f ca="1">IF(controls!$B$33=1,B320*(1+AC321)+AA321,B320*(1+AC321))</f>
        <v>101</v>
      </c>
      <c r="C321" s="67">
        <f t="shared" ca="1" si="40"/>
        <v>-1.5107707374006907E-7</v>
      </c>
      <c r="D321" s="64">
        <f t="shared" ca="1" si="36"/>
        <v>101.00000005960464</v>
      </c>
      <c r="E321" s="64">
        <f ca="1">AN320+IF(controls!$B$33=1,G321,F321)</f>
        <v>101.00000005960464</v>
      </c>
      <c r="F321" s="78">
        <f ca="1">IF(controls!$B$44=0,H321-'main page'!$K$27*T320,H321-'main page'!$K$27*T320+'main page'!$K$31*AI320)</f>
        <v>101.00000005960464</v>
      </c>
      <c r="G321" s="62">
        <f ca="1">IF(controls!$B$44=0,I321-'main page'!$K$27*T320,I321-'main page'!$K$27*T320+'main page'!$K$31*'normal case'!AI320)</f>
        <v>101.00000005960464</v>
      </c>
      <c r="H321" s="62">
        <f t="shared" ca="1" si="42"/>
        <v>108</v>
      </c>
      <c r="I321" s="62">
        <f t="shared" ca="1" si="43"/>
        <v>108</v>
      </c>
      <c r="L321" s="62">
        <f ca="1">IF(ABS('main page'!$K$29*L320+(1-'main page'!$K$29)*(controls!$B$9/100)*100+'main page'!$K$25*(D321-B321)-L320)&lt;0.0000001,L320,'main page'!$K$29*L320+(1-'main page'!$K$29)*(controls!$B$9/100)*100+'main page'!$K$25*(D321-B321))</f>
        <v>1.9999998807907104</v>
      </c>
      <c r="Q321" s="409">
        <f ca="1">(1-'main page'!$K$29)*($AS$11/100)*100+'main page'!$K$25*(D321-B321)</f>
        <v>5.9604644775390625E-8</v>
      </c>
      <c r="R321" s="409">
        <f>'main page'!G325+'main page'!$K$29*M320</f>
        <v>0</v>
      </c>
      <c r="S321" s="409">
        <f t="shared" ca="1" si="41"/>
        <v>5.9604644775390625E-8</v>
      </c>
      <c r="T321" s="79">
        <f ca="1">IF(controls!$B$10=1,T320,IF(SUM(controls!$B$44:$B$46)=2,U321-'main page'!$K$29*'normal case'!L321-(1-'main page'!$K$29)*'main page'!$K$32,U321-'main page'!$K$29*'normal case'!L321-(1-'main page'!$K$29)*controls!$B$9))</f>
        <v>3.4999999701976776</v>
      </c>
      <c r="U321" s="164">
        <f ca="1">IF(controls!$B$45=1,IF(controls!$B$46=1,'main page'!$K$24+'main page'!$K$11+'main page'!$U$8,'main page'!$K$24+'main page'!$K$11+'main page'!$K$32),IF(controls!$B$44=1,IF(V321&lt;0,0,V321),IF(V321+'main page'!$K$11&lt;0,0,V321+'main page'!$K$11)))</f>
        <v>5.4999998509883881</v>
      </c>
      <c r="V321" s="63">
        <f ca="1">IF(controls!$B$10=1,'normal case'!T321+'normal case'!L321,'normal case'!W321)</f>
        <v>5.4999998509883881</v>
      </c>
      <c r="W321" s="61">
        <f t="shared" ca="1" si="37"/>
        <v>5.4999998509883881</v>
      </c>
      <c r="X321" s="166">
        <f ca="1">IF(controls!$B$44=0,Y321+'main page'!$K$29*L321+(1-'main page'!$K$29)*controls!$B$9+(('main page'!$K$25*'main page'!$U$13*'main page'!$K$29)/('main page'!$K$27*(1+('main page'!$K$25^2)*'main page'!$U$13)))*(L321-controls!$B$9),Y321+'main page'!$K$29*L321+(1-'main page'!$K$29)*controls!$B$9+(('main page'!$K$25*'main page'!$U$13*'normal case'!$AV$3)/'normal case'!$AV$4)*('normal case'!L321-controls!$B$9))</f>
        <v>5.4999998509883881</v>
      </c>
      <c r="Y321" s="81">
        <f ca="1">IF(controls!$B$44=1,'main page'!$K$24+'main page'!$K$11,IF(controls!$B$33=1,((I322-D321*AD322-B322+B321*AC322)/'main page'!$K$27)-'main page'!$K$11,((H322-D321*AD322-B322+B321*AC322)/'main page'!$K$27)-'main page'!$K$11))</f>
        <v>3.5</v>
      </c>
      <c r="AA321" s="58">
        <f>IF(controls!$B$6=1,$AS$3*(1+('main page'!$K$35/100))^AB321-$AS$3*(1+('main page'!$K$35/100))^AB320,$AS$3*(1+('main page'!$G$8/100))*(1+('main page'!$K$35/100))^AB321-$AS$3*(1+('main page'!$G$8/100))*(1+('main page'!$K$35/100))^AB320)</f>
        <v>0</v>
      </c>
      <c r="AB321" s="60">
        <v>314</v>
      </c>
      <c r="AC321" s="125">
        <v>0</v>
      </c>
      <c r="AD321" s="36">
        <v>0</v>
      </c>
      <c r="AE321" s="44">
        <f ca="1">IF(controls!$B$33=1,D321-($I$3-'main page'!$K$27*2)*(1+('main page'!$K$35/100))^A320,D321-$AS$4)</f>
        <v>1.0000000596046448</v>
      </c>
      <c r="AF321" s="44">
        <f ca="1">ABS(L321-(controls!$B$9/100)*100)</f>
        <v>1.1920928955078125E-7</v>
      </c>
      <c r="AH321" s="44">
        <f ca="1">IF(controls!$B$33=1,(B322-B321*AC322-I322+D321*AD322+'main page'!$K$27*('main page'!$K$24+'main page'!$K$11))/'main page'!$K$31,(B322-B321*AC322+D321*AD322-H322+'main page'!$K$27*('main page'!$K$24+'main page'!$K$11))/'main page'!$K$31)</f>
        <v>1</v>
      </c>
      <c r="AI321" s="44">
        <f ca="1">IF(controls!$B$45=1,LOG(AM321,1.01)+LOG(AL321,1.01)-LOG(AK321,1.01),-((T321-('main page'!$K$24+'main page'!$K$11))/(1-'normal case'!$AV$3))+'normal case'!AH321)</f>
        <v>2.0000000596046448</v>
      </c>
      <c r="AJ321" s="80">
        <f t="shared" ca="1" si="38"/>
        <v>1.0506250015463039</v>
      </c>
      <c r="AK321" s="44">
        <f t="shared" ca="1" si="39"/>
        <v>532.48932942186002</v>
      </c>
      <c r="AL321" s="44">
        <f>AL320*(1+'main page'!$K$32/100)</f>
        <v>1</v>
      </c>
      <c r="AM321" s="44">
        <f ca="1">IF(ABS(IF(controls!$B$45=1,$AS$13,AK321*AJ321/AL321)-AM320)&lt;0.00001,AM320,IF(controls!$B$45=1,$AS$13,AK321*AJ321/AL321))</f>
        <v>559.44660254723203</v>
      </c>
      <c r="AN321" s="44">
        <f>IF(controls!$B$46=0,0,IF(controls!$B$33=2,B322-B321*AC322-('normal case'!H322-D321*AD322-'main page'!$K$27*'normal case'!T321+'main page'!$K$31*'normal case'!AI321)-(('main page'!$K$25*'main page'!$U$13*'main page'!$K$29)/(1+('main page'!$K$25^2)*'main page'!$U$13))*('normal case'!L321-'main page'!$U$8),B322-B321*AC322-('normal case'!I322-D321*AD322-'main page'!$K$27*'normal case'!T321+'main page'!$K$31*'normal case'!AI321)-(('main page'!$K$25*'main page'!$U$13*'main page'!$K$29)/(1+('main page'!$K$25^2)*'main page'!$U$13))*('normal case'!L321-'main page'!$U$8)))</f>
        <v>0</v>
      </c>
      <c r="AU321" s="36"/>
      <c r="AV321" s="36"/>
    </row>
    <row r="322" spans="1:48">
      <c r="A322" s="43">
        <v>320</v>
      </c>
      <c r="B322" s="62">
        <f ca="1">IF(controls!$B$33=1,B321*(1+AC322)+AA322,B321*(1+AC322))</f>
        <v>101</v>
      </c>
      <c r="C322" s="67">
        <f t="shared" ca="1" si="40"/>
        <v>-1.5107707374006907E-7</v>
      </c>
      <c r="D322" s="64">
        <f t="shared" ca="1" si="36"/>
        <v>101.00000005960464</v>
      </c>
      <c r="E322" s="64">
        <f ca="1">AN321+IF(controls!$B$33=1,G322,F322)</f>
        <v>101.00000005960464</v>
      </c>
      <c r="F322" s="78">
        <f ca="1">IF(controls!$B$44=0,H322-'main page'!$K$27*T321,H322-'main page'!$K$27*T321+'main page'!$K$31*AI321)</f>
        <v>101.00000005960464</v>
      </c>
      <c r="G322" s="62">
        <f ca="1">IF(controls!$B$44=0,I322-'main page'!$K$27*T321,I322-'main page'!$K$27*T321+'main page'!$K$31*'normal case'!AI321)</f>
        <v>101.00000005960464</v>
      </c>
      <c r="H322" s="62">
        <f t="shared" ca="1" si="42"/>
        <v>108</v>
      </c>
      <c r="I322" s="62">
        <f t="shared" ca="1" si="43"/>
        <v>108</v>
      </c>
      <c r="L322" s="62">
        <f ca="1">IF(ABS('main page'!$K$29*L321+(1-'main page'!$K$29)*(controls!$B$9/100)*100+'main page'!$K$25*(D322-B322)-L321)&lt;0.0000001,L321,'main page'!$K$29*L321+(1-'main page'!$K$29)*(controls!$B$9/100)*100+'main page'!$K$25*(D322-B322))</f>
        <v>1.9999998807907104</v>
      </c>
      <c r="Q322" s="409">
        <f ca="1">(1-'main page'!$K$29)*($AS$11/100)*100+'main page'!$K$25*(D322-B322)</f>
        <v>5.9604644775390625E-8</v>
      </c>
      <c r="R322" s="409">
        <f>'main page'!G326+'main page'!$K$29*M321</f>
        <v>0</v>
      </c>
      <c r="S322" s="409">
        <f t="shared" ca="1" si="41"/>
        <v>5.9604644775390625E-8</v>
      </c>
      <c r="T322" s="79">
        <f ca="1">IF(controls!$B$10=1,T321,IF(SUM(controls!$B$44:$B$46)=2,U322-'main page'!$K$29*'normal case'!L322-(1-'main page'!$K$29)*'main page'!$K$32,U322-'main page'!$K$29*'normal case'!L322-(1-'main page'!$K$29)*controls!$B$9))</f>
        <v>3.4999999701976776</v>
      </c>
      <c r="U322" s="164">
        <f ca="1">IF(controls!$B$45=1,IF(controls!$B$46=1,'main page'!$K$24+'main page'!$K$11+'main page'!$U$8,'main page'!$K$24+'main page'!$K$11+'main page'!$K$32),IF(controls!$B$44=1,IF(V322&lt;0,0,V322),IF(V322+'main page'!$K$11&lt;0,0,V322+'main page'!$K$11)))</f>
        <v>5.4999998509883881</v>
      </c>
      <c r="V322" s="63">
        <f ca="1">IF(controls!$B$10=1,'normal case'!T322+'normal case'!L322,'normal case'!W322)</f>
        <v>5.4999998509883881</v>
      </c>
      <c r="W322" s="61">
        <f t="shared" ca="1" si="37"/>
        <v>5.4999998509883881</v>
      </c>
      <c r="X322" s="166">
        <f ca="1">IF(controls!$B$44=0,Y322+'main page'!$K$29*L322+(1-'main page'!$K$29)*controls!$B$9+(('main page'!$K$25*'main page'!$U$13*'main page'!$K$29)/('main page'!$K$27*(1+('main page'!$K$25^2)*'main page'!$U$13)))*(L322-controls!$B$9),Y322+'main page'!$K$29*L322+(1-'main page'!$K$29)*controls!$B$9+(('main page'!$K$25*'main page'!$U$13*'normal case'!$AV$3)/'normal case'!$AV$4)*('normal case'!L322-controls!$B$9))</f>
        <v>5.4999998509883881</v>
      </c>
      <c r="Y322" s="81">
        <f ca="1">IF(controls!$B$44=1,'main page'!$K$24+'main page'!$K$11,IF(controls!$B$33=1,((I323-D322*AD323-B323+B322*AC323)/'main page'!$K$27)-'main page'!$K$11,((H323-D322*AD323-B323+B322*AC323)/'main page'!$K$27)-'main page'!$K$11))</f>
        <v>3.5</v>
      </c>
      <c r="AA322" s="58">
        <f>IF(controls!$B$6=1,$AS$3*(1+('main page'!$K$35/100))^AB322-$AS$3*(1+('main page'!$K$35/100))^AB321,$AS$3*(1+('main page'!$G$8/100))*(1+('main page'!$K$35/100))^AB322-$AS$3*(1+('main page'!$G$8/100))*(1+('main page'!$K$35/100))^AB321)</f>
        <v>0</v>
      </c>
      <c r="AB322" s="60">
        <v>315</v>
      </c>
      <c r="AC322" s="125">
        <v>0</v>
      </c>
      <c r="AD322" s="36">
        <v>0</v>
      </c>
      <c r="AE322" s="44">
        <f ca="1">IF(controls!$B$33=1,D322-($I$3-'main page'!$K$27*2)*(1+('main page'!$K$35/100))^A321,D322-$AS$4)</f>
        <v>1.0000000596046448</v>
      </c>
      <c r="AF322" s="44">
        <f ca="1">ABS(L322-(controls!$B$9/100)*100)</f>
        <v>1.1920928955078125E-7</v>
      </c>
      <c r="AH322" s="44">
        <f ca="1">IF(controls!$B$33=1,(B323-B322*AC323-I323+D322*AD323+'main page'!$K$27*('main page'!$K$24+'main page'!$K$11))/'main page'!$K$31,(B323-B322*AC323+D322*AD323-H323+'main page'!$K$27*('main page'!$K$24+'main page'!$K$11))/'main page'!$K$31)</f>
        <v>1</v>
      </c>
      <c r="AI322" s="44">
        <f ca="1">IF(controls!$B$45=1,LOG(AM322,1.01)+LOG(AL322,1.01)-LOG(AK322,1.01),-((T322-('main page'!$K$24+'main page'!$K$11))/(1-'normal case'!$AV$3))+'normal case'!AH322)</f>
        <v>2.0000000596046448</v>
      </c>
      <c r="AJ322" s="80">
        <f t="shared" ca="1" si="38"/>
        <v>1.0506250015463039</v>
      </c>
      <c r="AK322" s="44">
        <f t="shared" ca="1" si="39"/>
        <v>543.13911537552053</v>
      </c>
      <c r="AL322" s="44">
        <f>AL321*(1+'main page'!$K$32/100)</f>
        <v>1</v>
      </c>
      <c r="AM322" s="44">
        <f ca="1">IF(ABS(IF(controls!$B$45=1,$AS$13,AK322*AJ322/AL322)-AM321)&lt;0.00001,AM321,IF(controls!$B$45=1,$AS$13,AK322*AJ322/AL322))</f>
        <v>570.63553393126438</v>
      </c>
      <c r="AN322" s="44">
        <f>IF(controls!$B$46=0,0,IF(controls!$B$33=2,B323-B322*AC323-('normal case'!H323-D322*AD323-'main page'!$K$27*'normal case'!T322+'main page'!$K$31*'normal case'!AI322)-(('main page'!$K$25*'main page'!$U$13*'main page'!$K$29)/(1+('main page'!$K$25^2)*'main page'!$U$13))*('normal case'!L322-'main page'!$U$8),B323-B322*AC323-('normal case'!I323-D322*AD323-'main page'!$K$27*'normal case'!T322+'main page'!$K$31*'normal case'!AI322)-(('main page'!$K$25*'main page'!$U$13*'main page'!$K$29)/(1+('main page'!$K$25^2)*'main page'!$U$13))*('normal case'!L322-'main page'!$U$8)))</f>
        <v>0</v>
      </c>
      <c r="AU322" s="36"/>
      <c r="AV322" s="36"/>
    </row>
    <row r="323" spans="1:48">
      <c r="A323" s="43">
        <v>321</v>
      </c>
      <c r="B323" s="62">
        <f ca="1">IF(controls!$B$33=1,B322*(1+AC323)+AA323,B322*(1+AC323))</f>
        <v>101</v>
      </c>
      <c r="C323" s="67">
        <f t="shared" ca="1" si="40"/>
        <v>-1.5107707374006907E-7</v>
      </c>
      <c r="D323" s="64">
        <f t="shared" ca="1" si="36"/>
        <v>101.00000005960464</v>
      </c>
      <c r="E323" s="64">
        <f ca="1">AN322+IF(controls!$B$33=1,G323,F323)</f>
        <v>101.00000005960464</v>
      </c>
      <c r="F323" s="78">
        <f ca="1">IF(controls!$B$44=0,H323-'main page'!$K$27*T322,H323-'main page'!$K$27*T322+'main page'!$K$31*AI322)</f>
        <v>101.00000005960464</v>
      </c>
      <c r="G323" s="62">
        <f ca="1">IF(controls!$B$44=0,I323-'main page'!$K$27*T322,I323-'main page'!$K$27*T322+'main page'!$K$31*'normal case'!AI322)</f>
        <v>101.00000005960464</v>
      </c>
      <c r="H323" s="62">
        <f t="shared" ca="1" si="42"/>
        <v>108</v>
      </c>
      <c r="I323" s="62">
        <f t="shared" ca="1" si="43"/>
        <v>108</v>
      </c>
      <c r="L323" s="62">
        <f ca="1">IF(ABS('main page'!$K$29*L322+(1-'main page'!$K$29)*(controls!$B$9/100)*100+'main page'!$K$25*(D323-B323)-L322)&lt;0.0000001,L322,'main page'!$K$29*L322+(1-'main page'!$K$29)*(controls!$B$9/100)*100+'main page'!$K$25*(D323-B323))</f>
        <v>1.9999998807907104</v>
      </c>
      <c r="Q323" s="409">
        <f ca="1">(1-'main page'!$K$29)*($AS$11/100)*100+'main page'!$K$25*(D323-B323)</f>
        <v>5.9604644775390625E-8</v>
      </c>
      <c r="R323" s="409">
        <f>'main page'!G327+'main page'!$K$29*M322</f>
        <v>0</v>
      </c>
      <c r="S323" s="409">
        <f t="shared" ca="1" si="41"/>
        <v>5.9604644775390625E-8</v>
      </c>
      <c r="T323" s="79">
        <f ca="1">IF(controls!$B$10=1,T322,IF(SUM(controls!$B$44:$B$46)=2,U323-'main page'!$K$29*'normal case'!L323-(1-'main page'!$K$29)*'main page'!$K$32,U323-'main page'!$K$29*'normal case'!L323-(1-'main page'!$K$29)*controls!$B$9))</f>
        <v>3.4999999701976776</v>
      </c>
      <c r="U323" s="164">
        <f ca="1">IF(controls!$B$45=1,IF(controls!$B$46=1,'main page'!$K$24+'main page'!$K$11+'main page'!$U$8,'main page'!$K$24+'main page'!$K$11+'main page'!$K$32),IF(controls!$B$44=1,IF(V323&lt;0,0,V323),IF(V323+'main page'!$K$11&lt;0,0,V323+'main page'!$K$11)))</f>
        <v>5.4999998509883881</v>
      </c>
      <c r="V323" s="63">
        <f ca="1">IF(controls!$B$10=1,'normal case'!T323+'normal case'!L323,'normal case'!W323)</f>
        <v>5.4999998509883881</v>
      </c>
      <c r="W323" s="61">
        <f t="shared" ca="1" si="37"/>
        <v>5.4999998509883881</v>
      </c>
      <c r="X323" s="166">
        <f ca="1">IF(controls!$B$44=0,Y323+'main page'!$K$29*L323+(1-'main page'!$K$29)*controls!$B$9+(('main page'!$K$25*'main page'!$U$13*'main page'!$K$29)/('main page'!$K$27*(1+('main page'!$K$25^2)*'main page'!$U$13)))*(L323-controls!$B$9),Y323+'main page'!$K$29*L323+(1-'main page'!$K$29)*controls!$B$9+(('main page'!$K$25*'main page'!$U$13*'normal case'!$AV$3)/'normal case'!$AV$4)*('normal case'!L323-controls!$B$9))</f>
        <v>5.4999998509883881</v>
      </c>
      <c r="Y323" s="81">
        <f ca="1">IF(controls!$B$44=1,'main page'!$K$24+'main page'!$K$11,IF(controls!$B$33=1,((I324-D323*AD324-B324+B323*AC324)/'main page'!$K$27)-'main page'!$K$11,((H324-D323*AD324-B324+B323*AC324)/'main page'!$K$27)-'main page'!$K$11))</f>
        <v>3.5</v>
      </c>
      <c r="AA323" s="58">
        <f>IF(controls!$B$6=1,$AS$3*(1+('main page'!$K$35/100))^AB323-$AS$3*(1+('main page'!$K$35/100))^AB322,$AS$3*(1+('main page'!$G$8/100))*(1+('main page'!$K$35/100))^AB323-$AS$3*(1+('main page'!$G$8/100))*(1+('main page'!$K$35/100))^AB322)</f>
        <v>0</v>
      </c>
      <c r="AB323" s="60">
        <v>316</v>
      </c>
      <c r="AC323" s="125">
        <f ca="1">IF(controls!$B$4=1,IF(controls!$H322=1,controls!$B$34*AC322+RAND()*('main page'!$K$16/100)-RAND()*('main page'!$K$16/100),0),0)</f>
        <v>0</v>
      </c>
      <c r="AD323" s="36">
        <f ca="1">IF(controls!$B$4=1,IF(controls!$I322=1,controls!$B$34*AD322+RAND()*('main page'!$K$16/100)-RAND()*('main page'!$K$16/100),0),0)</f>
        <v>0</v>
      </c>
      <c r="AE323" s="44">
        <f ca="1">IF(controls!$B$33=1,D323-($I$3-'main page'!$K$27*2)*(1+('main page'!$K$35/100))^A322,D323-$AS$4)</f>
        <v>1.0000000596046448</v>
      </c>
      <c r="AF323" s="44">
        <f ca="1">ABS(L323-(controls!$B$9/100)*100)</f>
        <v>1.1920928955078125E-7</v>
      </c>
      <c r="AH323" s="44">
        <f ca="1">IF(controls!$B$33=1,(B324-B323*AC324-I324+D323*AD324+'main page'!$K$27*('main page'!$K$24+'main page'!$K$11))/'main page'!$K$31,(B324-B323*AC324+D323*AD324-H324+'main page'!$K$27*('main page'!$K$24+'main page'!$K$11))/'main page'!$K$31)</f>
        <v>1</v>
      </c>
      <c r="AI323" s="44">
        <f ca="1">IF(controls!$B$45=1,LOG(AM323,1.01)+LOG(AL323,1.01)-LOG(AK323,1.01),-((T323-('main page'!$K$24+'main page'!$K$11))/(1-'normal case'!$AV$3))+'normal case'!AH323)</f>
        <v>2.0000000596046448</v>
      </c>
      <c r="AJ323" s="80">
        <f t="shared" ca="1" si="38"/>
        <v>1.0506250015463039</v>
      </c>
      <c r="AK323" s="44">
        <f t="shared" ca="1" si="39"/>
        <v>554.00189703555873</v>
      </c>
      <c r="AL323" s="44">
        <f>AL322*(1+'main page'!$K$32/100)</f>
        <v>1</v>
      </c>
      <c r="AM323" s="44">
        <f ca="1">IF(ABS(IF(controls!$B$45=1,$AS$13,AK323*AJ323/AL323)-AM322)&lt;0.00001,AM322,IF(controls!$B$45=1,$AS$13,AK323*AJ323/AL323))</f>
        <v>582.04824392963917</v>
      </c>
      <c r="AN323" s="44">
        <f>IF(controls!$B$46=0,0,IF(controls!$B$33=2,B324-B323*AC324-('normal case'!H324-D323*AD324-'main page'!$K$27*'normal case'!T323+'main page'!$K$31*'normal case'!AI323)-(('main page'!$K$25*'main page'!$U$13*'main page'!$K$29)/(1+('main page'!$K$25^2)*'main page'!$U$13))*('normal case'!L323-'main page'!$U$8),B324-B323*AC324-('normal case'!I324-D323*AD324-'main page'!$K$27*'normal case'!T323+'main page'!$K$31*'normal case'!AI323)-(('main page'!$K$25*'main page'!$U$13*'main page'!$K$29)/(1+('main page'!$K$25^2)*'main page'!$U$13))*('normal case'!L323-'main page'!$U$8)))</f>
        <v>0</v>
      </c>
      <c r="AU323" s="36"/>
      <c r="AV323" s="36"/>
    </row>
    <row r="324" spans="1:48">
      <c r="A324" s="43">
        <v>322</v>
      </c>
      <c r="B324" s="62">
        <f ca="1">IF(controls!$B$33=1,B323*(1+AC324)+AA324,B323*(1+AC324))</f>
        <v>101</v>
      </c>
      <c r="C324" s="67">
        <f t="shared" ca="1" si="40"/>
        <v>-1.5107707374006907E-7</v>
      </c>
      <c r="D324" s="64">
        <f t="shared" ref="D324:D387" ca="1" si="44">IF(E324&gt;0,E324,0.1)</f>
        <v>101.00000005960464</v>
      </c>
      <c r="E324" s="64">
        <f ca="1">AN323+IF(controls!$B$33=1,G324,F324)</f>
        <v>101.00000005960464</v>
      </c>
      <c r="F324" s="78">
        <f ca="1">IF(controls!$B$44=0,H324-'main page'!$K$27*T323,H324-'main page'!$K$27*T323+'main page'!$K$31*AI323)</f>
        <v>101.00000005960464</v>
      </c>
      <c r="G324" s="62">
        <f ca="1">IF(controls!$B$44=0,I324-'main page'!$K$27*T323,I324-'main page'!$K$27*T323+'main page'!$K$31*'normal case'!AI323)</f>
        <v>101.00000005960464</v>
      </c>
      <c r="H324" s="62">
        <f t="shared" ca="1" si="42"/>
        <v>108</v>
      </c>
      <c r="I324" s="62">
        <f t="shared" ca="1" si="43"/>
        <v>108</v>
      </c>
      <c r="L324" s="62">
        <f ca="1">IF(ABS('main page'!$K$29*L323+(1-'main page'!$K$29)*(controls!$B$9/100)*100+'main page'!$K$25*(D324-B324)-L323)&lt;0.0000001,L323,'main page'!$K$29*L323+(1-'main page'!$K$29)*(controls!$B$9/100)*100+'main page'!$K$25*(D324-B324))</f>
        <v>1.9999998807907104</v>
      </c>
      <c r="Q324" s="409">
        <f ca="1">(1-'main page'!$K$29)*($AS$11/100)*100+'main page'!$K$25*(D324-B324)</f>
        <v>5.9604644775390625E-8</v>
      </c>
      <c r="R324" s="409">
        <f>'main page'!G328+'main page'!$K$29*M323</f>
        <v>0</v>
      </c>
      <c r="S324" s="409">
        <f t="shared" ca="1" si="41"/>
        <v>5.9604644775390625E-8</v>
      </c>
      <c r="T324" s="79">
        <f ca="1">IF(controls!$B$10=1,T323,IF(SUM(controls!$B$44:$B$46)=2,U324-'main page'!$K$29*'normal case'!L324-(1-'main page'!$K$29)*'main page'!$K$32,U324-'main page'!$K$29*'normal case'!L324-(1-'main page'!$K$29)*controls!$B$9))</f>
        <v>3.4999999701976776</v>
      </c>
      <c r="U324" s="164">
        <f ca="1">IF(controls!$B$45=1,IF(controls!$B$46=1,'main page'!$K$24+'main page'!$K$11+'main page'!$U$8,'main page'!$K$24+'main page'!$K$11+'main page'!$K$32),IF(controls!$B$44=1,IF(V324&lt;0,0,V324),IF(V324+'main page'!$K$11&lt;0,0,V324+'main page'!$K$11)))</f>
        <v>5.4999998509883881</v>
      </c>
      <c r="V324" s="63">
        <f ca="1">IF(controls!$B$10=1,'normal case'!T324+'normal case'!L324,'normal case'!W324)</f>
        <v>5.4999998509883881</v>
      </c>
      <c r="W324" s="61">
        <f t="shared" ref="W324:W387" ca="1" si="45">IF(X324&lt;0,0,X324)</f>
        <v>5.4999998509883881</v>
      </c>
      <c r="X324" s="166">
        <f ca="1">IF(controls!$B$44=0,Y324+'main page'!$K$29*L324+(1-'main page'!$K$29)*controls!$B$9+(('main page'!$K$25*'main page'!$U$13*'main page'!$K$29)/('main page'!$K$27*(1+('main page'!$K$25^2)*'main page'!$U$13)))*(L324-controls!$B$9),Y324+'main page'!$K$29*L324+(1-'main page'!$K$29)*controls!$B$9+(('main page'!$K$25*'main page'!$U$13*'normal case'!$AV$3)/'normal case'!$AV$4)*('normal case'!L324-controls!$B$9))</f>
        <v>5.4999998509883881</v>
      </c>
      <c r="Y324" s="81">
        <f ca="1">IF(controls!$B$44=1,'main page'!$K$24+'main page'!$K$11,IF(controls!$B$33=1,((I325-D324*AD325-B325+B324*AC325)/'main page'!$K$27)-'main page'!$K$11,((H325-D324*AD325-B325+B324*AC325)/'main page'!$K$27)-'main page'!$K$11))</f>
        <v>3.5</v>
      </c>
      <c r="AA324" s="58">
        <f>IF(controls!$B$6=1,$AS$3*(1+('main page'!$K$35/100))^AB324-$AS$3*(1+('main page'!$K$35/100))^AB323,$AS$3*(1+('main page'!$G$8/100))*(1+('main page'!$K$35/100))^AB324-$AS$3*(1+('main page'!$G$8/100))*(1+('main page'!$K$35/100))^AB323)</f>
        <v>0</v>
      </c>
      <c r="AB324" s="60">
        <v>317</v>
      </c>
      <c r="AC324" s="125">
        <v>0</v>
      </c>
      <c r="AD324" s="36">
        <v>0</v>
      </c>
      <c r="AE324" s="44">
        <f ca="1">IF(controls!$B$33=1,D324-($I$3-'main page'!$K$27*2)*(1+('main page'!$K$35/100))^A323,D324-$AS$4)</f>
        <v>1.0000000596046448</v>
      </c>
      <c r="AF324" s="44">
        <f ca="1">ABS(L324-(controls!$B$9/100)*100)</f>
        <v>1.1920928955078125E-7</v>
      </c>
      <c r="AH324" s="44">
        <f ca="1">IF(controls!$B$33=1,(B325-B324*AC325-I325+D324*AD325+'main page'!$K$27*('main page'!$K$24+'main page'!$K$11))/'main page'!$K$31,(B325-B324*AC325+D324*AD325-H325+'main page'!$K$27*('main page'!$K$24+'main page'!$K$11))/'main page'!$K$31)</f>
        <v>1</v>
      </c>
      <c r="AI324" s="44">
        <f ca="1">IF(controls!$B$45=1,LOG(AM324,1.01)+LOG(AL324,1.01)-LOG(AK324,1.01),-((T324-('main page'!$K$24+'main page'!$K$11))/(1-'normal case'!$AV$3))+'normal case'!AH324)</f>
        <v>2.0000000596046448</v>
      </c>
      <c r="AJ324" s="80">
        <f t="shared" ref="AJ324:AJ387" ca="1" si="46">IF(ABS(1.025^AI324-1)&lt;0.000000000001,1,1.025^AI324)</f>
        <v>1.0506250015463039</v>
      </c>
      <c r="AK324" s="44">
        <f t="shared" ref="AK324:AK387" ca="1" si="47">AK323*(1+L324/100)</f>
        <v>565.08193431584823</v>
      </c>
      <c r="AL324" s="44">
        <f>AL323*(1+'main page'!$K$32/100)</f>
        <v>1</v>
      </c>
      <c r="AM324" s="44">
        <f ca="1">IF(ABS(IF(controls!$B$45=1,$AS$13,AK324*AJ324/AL324)-AM323)&lt;0.00001,AM323,IF(controls!$B$45=1,$AS$13,AK324*AJ324/AL324))</f>
        <v>593.68920811437647</v>
      </c>
      <c r="AN324" s="44">
        <f>IF(controls!$B$46=0,0,IF(controls!$B$33=2,B325-B324*AC325-('normal case'!H325-D324*AD325-'main page'!$K$27*'normal case'!T324+'main page'!$K$31*'normal case'!AI324)-(('main page'!$K$25*'main page'!$U$13*'main page'!$K$29)/(1+('main page'!$K$25^2)*'main page'!$U$13))*('normal case'!L324-'main page'!$U$8),B325-B324*AC325-('normal case'!I325-D324*AD325-'main page'!$K$27*'normal case'!T324+'main page'!$K$31*'normal case'!AI324)-(('main page'!$K$25*'main page'!$U$13*'main page'!$K$29)/(1+('main page'!$K$25^2)*'main page'!$U$13))*('normal case'!L324-'main page'!$U$8)))</f>
        <v>0</v>
      </c>
      <c r="AU324" s="36"/>
      <c r="AV324" s="36"/>
    </row>
    <row r="325" spans="1:48">
      <c r="A325" s="43">
        <v>323</v>
      </c>
      <c r="B325" s="62">
        <f ca="1">IF(controls!$B$33=1,B324*(1+AC325)+AA325,B324*(1+AC325))</f>
        <v>101</v>
      </c>
      <c r="C325" s="67">
        <f t="shared" ca="1" si="40"/>
        <v>-1.5107707374006907E-7</v>
      </c>
      <c r="D325" s="64">
        <f t="shared" ca="1" si="44"/>
        <v>101.00000005960464</v>
      </c>
      <c r="E325" s="64">
        <f ca="1">AN324+IF(controls!$B$33=1,G325,F325)</f>
        <v>101.00000005960464</v>
      </c>
      <c r="F325" s="78">
        <f ca="1">IF(controls!$B$44=0,H325-'main page'!$K$27*T324,H325-'main page'!$K$27*T324+'main page'!$K$31*AI324)</f>
        <v>101.00000005960464</v>
      </c>
      <c r="G325" s="62">
        <f ca="1">IF(controls!$B$44=0,I325-'main page'!$K$27*T324,I325-'main page'!$K$27*T324+'main page'!$K$31*'normal case'!AI324)</f>
        <v>101.00000005960464</v>
      </c>
      <c r="H325" s="62">
        <f t="shared" ca="1" si="42"/>
        <v>108</v>
      </c>
      <c r="I325" s="62">
        <f t="shared" ca="1" si="43"/>
        <v>108</v>
      </c>
      <c r="L325" s="62">
        <f ca="1">IF(ABS('main page'!$K$29*L324+(1-'main page'!$K$29)*(controls!$B$9/100)*100+'main page'!$K$25*(D325-B325)-L324)&lt;0.0000001,L324,'main page'!$K$29*L324+(1-'main page'!$K$29)*(controls!$B$9/100)*100+'main page'!$K$25*(D325-B325))</f>
        <v>1.9999998807907104</v>
      </c>
      <c r="Q325" s="409">
        <f ca="1">(1-'main page'!$K$29)*($AS$11/100)*100+'main page'!$K$25*(D325-B325)</f>
        <v>5.9604644775390625E-8</v>
      </c>
      <c r="R325" s="409">
        <f>'main page'!G329+'main page'!$K$29*M324</f>
        <v>0</v>
      </c>
      <c r="S325" s="409">
        <f t="shared" ca="1" si="41"/>
        <v>5.9604644775390625E-8</v>
      </c>
      <c r="T325" s="79">
        <f ca="1">IF(controls!$B$10=1,T324,IF(SUM(controls!$B$44:$B$46)=2,U325-'main page'!$K$29*'normal case'!L325-(1-'main page'!$K$29)*'main page'!$K$32,U325-'main page'!$K$29*'normal case'!L325-(1-'main page'!$K$29)*controls!$B$9))</f>
        <v>3.4999999701976776</v>
      </c>
      <c r="U325" s="164">
        <f ca="1">IF(controls!$B$45=1,IF(controls!$B$46=1,'main page'!$K$24+'main page'!$K$11+'main page'!$U$8,'main page'!$K$24+'main page'!$K$11+'main page'!$K$32),IF(controls!$B$44=1,IF(V325&lt;0,0,V325),IF(V325+'main page'!$K$11&lt;0,0,V325+'main page'!$K$11)))</f>
        <v>5.4999998509883881</v>
      </c>
      <c r="V325" s="63">
        <f ca="1">IF(controls!$B$10=1,'normal case'!T325+'normal case'!L325,'normal case'!W325)</f>
        <v>5.4999998509883881</v>
      </c>
      <c r="W325" s="61">
        <f t="shared" ca="1" si="45"/>
        <v>5.4999998509883881</v>
      </c>
      <c r="X325" s="166">
        <f ca="1">IF(controls!$B$44=0,Y325+'main page'!$K$29*L325+(1-'main page'!$K$29)*controls!$B$9+(('main page'!$K$25*'main page'!$U$13*'main page'!$K$29)/('main page'!$K$27*(1+('main page'!$K$25^2)*'main page'!$U$13)))*(L325-controls!$B$9),Y325+'main page'!$K$29*L325+(1-'main page'!$K$29)*controls!$B$9+(('main page'!$K$25*'main page'!$U$13*'normal case'!$AV$3)/'normal case'!$AV$4)*('normal case'!L325-controls!$B$9))</f>
        <v>5.4999998509883881</v>
      </c>
      <c r="Y325" s="81">
        <f ca="1">IF(controls!$B$44=1,'main page'!$K$24+'main page'!$K$11,IF(controls!$B$33=1,((I326-D325*AD326-B326+B325*AC326)/'main page'!$K$27)-'main page'!$K$11,((H326-D325*AD326-B326+B325*AC326)/'main page'!$K$27)-'main page'!$K$11))</f>
        <v>3.5</v>
      </c>
      <c r="AA325" s="58">
        <f>IF(controls!$B$6=1,$AS$3*(1+('main page'!$K$35/100))^AB325-$AS$3*(1+('main page'!$K$35/100))^AB324,$AS$3*(1+('main page'!$G$8/100))*(1+('main page'!$K$35/100))^AB325-$AS$3*(1+('main page'!$G$8/100))*(1+('main page'!$K$35/100))^AB324)</f>
        <v>0</v>
      </c>
      <c r="AB325" s="60">
        <v>318</v>
      </c>
      <c r="AC325" s="125">
        <v>0</v>
      </c>
      <c r="AD325" s="36">
        <v>0</v>
      </c>
      <c r="AE325" s="44">
        <f ca="1">IF(controls!$B$33=1,D325-($I$3-'main page'!$K$27*2)*(1+('main page'!$K$35/100))^A324,D325-$AS$4)</f>
        <v>1.0000000596046448</v>
      </c>
      <c r="AF325" s="44">
        <f ca="1">ABS(L325-(controls!$B$9/100)*100)</f>
        <v>1.1920928955078125E-7</v>
      </c>
      <c r="AH325" s="44">
        <f ca="1">IF(controls!$B$33=1,(B326-B325*AC326-I326+D325*AD326+'main page'!$K$27*('main page'!$K$24+'main page'!$K$11))/'main page'!$K$31,(B326-B325*AC326+D325*AD326-H326+'main page'!$K$27*('main page'!$K$24+'main page'!$K$11))/'main page'!$K$31)</f>
        <v>1</v>
      </c>
      <c r="AI325" s="44">
        <f ca="1">IF(controls!$B$45=1,LOG(AM325,1.01)+LOG(AL325,1.01)-LOG(AK325,1.01),-((T325-('main page'!$K$24+'main page'!$K$11))/(1-'normal case'!$AV$3))+'normal case'!AH325)</f>
        <v>2.0000000596046448</v>
      </c>
      <c r="AJ325" s="80">
        <f t="shared" ca="1" si="46"/>
        <v>1.0506250015463039</v>
      </c>
      <c r="AK325" s="44">
        <f t="shared" ca="1" si="47"/>
        <v>576.38357232853502</v>
      </c>
      <c r="AL325" s="44">
        <f>AL324*(1+'main page'!$K$32/100)</f>
        <v>1</v>
      </c>
      <c r="AM325" s="44">
        <f ca="1">IF(ABS(IF(controls!$B$45=1,$AS$13,AK325*AJ325/AL325)-AM324)&lt;0.00001,AM324,IF(controls!$B$45=1,$AS$13,AK325*AJ325/AL325))</f>
        <v>605.56299156893124</v>
      </c>
      <c r="AN325" s="44">
        <f>IF(controls!$B$46=0,0,IF(controls!$B$33=2,B326-B325*AC326-('normal case'!H326-D325*AD326-'main page'!$K$27*'normal case'!T325+'main page'!$K$31*'normal case'!AI325)-(('main page'!$K$25*'main page'!$U$13*'main page'!$K$29)/(1+('main page'!$K$25^2)*'main page'!$U$13))*('normal case'!L325-'main page'!$U$8),B326-B325*AC326-('normal case'!I326-D325*AD326-'main page'!$K$27*'normal case'!T325+'main page'!$K$31*'normal case'!AI325)-(('main page'!$K$25*'main page'!$U$13*'main page'!$K$29)/(1+('main page'!$K$25^2)*'main page'!$U$13))*('normal case'!L325-'main page'!$U$8)))</f>
        <v>0</v>
      </c>
      <c r="AU325" s="36"/>
      <c r="AV325" s="36"/>
    </row>
    <row r="326" spans="1:48">
      <c r="A326" s="43">
        <v>324</v>
      </c>
      <c r="B326" s="62">
        <f ca="1">IF(controls!$B$33=1,B325*(1+AC326)+AA326,B325*(1+AC326))</f>
        <v>101</v>
      </c>
      <c r="C326" s="67">
        <f t="shared" ref="C326:C389" ca="1" si="48">IF(ABS((D326/D325-1)-C325)&lt;0.000001,C325,D326/D325-1)</f>
        <v>-1.5107707374006907E-7</v>
      </c>
      <c r="D326" s="64">
        <f t="shared" ca="1" si="44"/>
        <v>101.00000005960464</v>
      </c>
      <c r="E326" s="64">
        <f ca="1">AN325+IF(controls!$B$33=1,G326,F326)</f>
        <v>101.00000005960464</v>
      </c>
      <c r="F326" s="78">
        <f ca="1">IF(controls!$B$44=0,H326-'main page'!$K$27*T325,H326-'main page'!$K$27*T325+'main page'!$K$31*AI325)</f>
        <v>101.00000005960464</v>
      </c>
      <c r="G326" s="62">
        <f ca="1">IF(controls!$B$44=0,I326-'main page'!$K$27*T325,I326-'main page'!$K$27*T325+'main page'!$K$31*'normal case'!AI325)</f>
        <v>101.00000005960464</v>
      </c>
      <c r="H326" s="62">
        <f t="shared" ca="1" si="42"/>
        <v>108</v>
      </c>
      <c r="I326" s="62">
        <f t="shared" ca="1" si="43"/>
        <v>108</v>
      </c>
      <c r="L326" s="62">
        <f ca="1">IF(ABS('main page'!$K$29*L325+(1-'main page'!$K$29)*(controls!$B$9/100)*100+'main page'!$K$25*(D326-B326)-L325)&lt;0.0000001,L325,'main page'!$K$29*L325+(1-'main page'!$K$29)*(controls!$B$9/100)*100+'main page'!$K$25*(D326-B326))</f>
        <v>1.9999998807907104</v>
      </c>
      <c r="Q326" s="409">
        <f ca="1">(1-'main page'!$K$29)*($AS$11/100)*100+'main page'!$K$25*(D326-B326)</f>
        <v>5.9604644775390625E-8</v>
      </c>
      <c r="R326" s="409">
        <f>'main page'!G330+'main page'!$K$29*M325</f>
        <v>0</v>
      </c>
      <c r="S326" s="409">
        <f t="shared" ca="1" si="41"/>
        <v>5.9604644775390625E-8</v>
      </c>
      <c r="T326" s="79">
        <f ca="1">IF(controls!$B$10=1,T325,IF(SUM(controls!$B$44:$B$46)=2,U326-'main page'!$K$29*'normal case'!L326-(1-'main page'!$K$29)*'main page'!$K$32,U326-'main page'!$K$29*'normal case'!L326-(1-'main page'!$K$29)*controls!$B$9))</f>
        <v>3.4999999701976776</v>
      </c>
      <c r="U326" s="164">
        <f ca="1">IF(controls!$B$45=1,IF(controls!$B$46=1,'main page'!$K$24+'main page'!$K$11+'main page'!$U$8,'main page'!$K$24+'main page'!$K$11+'main page'!$K$32),IF(controls!$B$44=1,IF(V326&lt;0,0,V326),IF(V326+'main page'!$K$11&lt;0,0,V326+'main page'!$K$11)))</f>
        <v>5.4999998509883881</v>
      </c>
      <c r="V326" s="63">
        <f ca="1">IF(controls!$B$10=1,'normal case'!T326+'normal case'!L326,'normal case'!W326)</f>
        <v>5.4999998509883881</v>
      </c>
      <c r="W326" s="61">
        <f t="shared" ca="1" si="45"/>
        <v>5.4999998509883881</v>
      </c>
      <c r="X326" s="166">
        <f ca="1">IF(controls!$B$44=0,Y326+'main page'!$K$29*L326+(1-'main page'!$K$29)*controls!$B$9+(('main page'!$K$25*'main page'!$U$13*'main page'!$K$29)/('main page'!$K$27*(1+('main page'!$K$25^2)*'main page'!$U$13)))*(L326-controls!$B$9),Y326+'main page'!$K$29*L326+(1-'main page'!$K$29)*controls!$B$9+(('main page'!$K$25*'main page'!$U$13*'normal case'!$AV$3)/'normal case'!$AV$4)*('normal case'!L326-controls!$B$9))</f>
        <v>5.4999998509883881</v>
      </c>
      <c r="Y326" s="81">
        <f ca="1">IF(controls!$B$44=1,'main page'!$K$24+'main page'!$K$11,IF(controls!$B$33=1,((I327-D326*AD327-B327+B326*AC327)/'main page'!$K$27)-'main page'!$K$11,((H327-D326*AD327-B327+B326*AC327)/'main page'!$K$27)-'main page'!$K$11))</f>
        <v>3.5</v>
      </c>
      <c r="AA326" s="58">
        <f>IF(controls!$B$6=1,$AS$3*(1+('main page'!$K$35/100))^AB326-$AS$3*(1+('main page'!$K$35/100))^AB325,$AS$3*(1+('main page'!$G$8/100))*(1+('main page'!$K$35/100))^AB326-$AS$3*(1+('main page'!$G$8/100))*(1+('main page'!$K$35/100))^AB325)</f>
        <v>0</v>
      </c>
      <c r="AB326" s="60">
        <v>319</v>
      </c>
      <c r="AC326" s="125">
        <f ca="1">IF(controls!$B$4=1,IF(controls!$H325=1,controls!$B$34*AC325+RAND()*('main page'!$K$16/100)-RAND()*('main page'!$K$16/100),0),0)</f>
        <v>0</v>
      </c>
      <c r="AD326" s="36">
        <f ca="1">IF(controls!$B$4=1,IF(controls!$I325=1,controls!$B$34*AD325+RAND()*('main page'!$K$16/100)-RAND()*('main page'!$K$16/100),0),0)</f>
        <v>0</v>
      </c>
      <c r="AE326" s="44">
        <f ca="1">IF(controls!$B$33=1,D326-($I$3-'main page'!$K$27*2)*(1+('main page'!$K$35/100))^A325,D326-$AS$4)</f>
        <v>1.0000000596046448</v>
      </c>
      <c r="AF326" s="44">
        <f ca="1">ABS(L326-(controls!$B$9/100)*100)</f>
        <v>1.1920928955078125E-7</v>
      </c>
      <c r="AH326" s="44">
        <f ca="1">IF(controls!$B$33=1,(B327-B326*AC327-I327+D326*AD327+'main page'!$K$27*('main page'!$K$24+'main page'!$K$11))/'main page'!$K$31,(B327-B326*AC327+D326*AD327-H327+'main page'!$K$27*('main page'!$K$24+'main page'!$K$11))/'main page'!$K$31)</f>
        <v>1</v>
      </c>
      <c r="AI326" s="44">
        <f ca="1">IF(controls!$B$45=1,LOG(AM326,1.01)+LOG(AL326,1.01)-LOG(AK326,1.01),-((T326-('main page'!$K$24+'main page'!$K$11))/(1-'normal case'!$AV$3))+'normal case'!AH326)</f>
        <v>2.0000000596046448</v>
      </c>
      <c r="AJ326" s="80">
        <f t="shared" ca="1" si="46"/>
        <v>1.0506250015463039</v>
      </c>
      <c r="AK326" s="44">
        <f t="shared" ca="1" si="47"/>
        <v>587.91124308800295</v>
      </c>
      <c r="AL326" s="44">
        <f>AL325*(1+'main page'!$K$32/100)</f>
        <v>1</v>
      </c>
      <c r="AM326" s="44">
        <f ca="1">IF(ABS(IF(controls!$B$45=1,$AS$13,AK326*AJ326/AL326)-AM325)&lt;0.00001,AM325,IF(controls!$B$45=1,$AS$13,AK326*AJ326/AL326))</f>
        <v>617.6742506784226</v>
      </c>
      <c r="AN326" s="44">
        <f>IF(controls!$B$46=0,0,IF(controls!$B$33=2,B327-B326*AC327-('normal case'!H327-D326*AD327-'main page'!$K$27*'normal case'!T326+'main page'!$K$31*'normal case'!AI326)-(('main page'!$K$25*'main page'!$U$13*'main page'!$K$29)/(1+('main page'!$K$25^2)*'main page'!$U$13))*('normal case'!L326-'main page'!$U$8),B327-B326*AC327-('normal case'!I327-D326*AD327-'main page'!$K$27*'normal case'!T326+'main page'!$K$31*'normal case'!AI326)-(('main page'!$K$25*'main page'!$U$13*'main page'!$K$29)/(1+('main page'!$K$25^2)*'main page'!$U$13))*('normal case'!L326-'main page'!$U$8)))</f>
        <v>0</v>
      </c>
      <c r="AU326" s="36"/>
      <c r="AV326" s="36"/>
    </row>
    <row r="327" spans="1:48">
      <c r="A327" s="43">
        <v>325</v>
      </c>
      <c r="B327" s="62">
        <f ca="1">IF(controls!$B$33=1,B326*(1+AC327)+AA327,B326*(1+AC327))</f>
        <v>101</v>
      </c>
      <c r="C327" s="67">
        <f t="shared" ca="1" si="48"/>
        <v>-1.5107707374006907E-7</v>
      </c>
      <c r="D327" s="64">
        <f t="shared" ca="1" si="44"/>
        <v>101.00000005960464</v>
      </c>
      <c r="E327" s="64">
        <f ca="1">AN326+IF(controls!$B$33=1,G327,F327)</f>
        <v>101.00000005960464</v>
      </c>
      <c r="F327" s="78">
        <f ca="1">IF(controls!$B$44=0,H327-'main page'!$K$27*T326,H327-'main page'!$K$27*T326+'main page'!$K$31*AI326)</f>
        <v>101.00000005960464</v>
      </c>
      <c r="G327" s="62">
        <f ca="1">IF(controls!$B$44=0,I327-'main page'!$K$27*T326,I327-'main page'!$K$27*T326+'main page'!$K$31*'normal case'!AI326)</f>
        <v>101.00000005960464</v>
      </c>
      <c r="H327" s="62">
        <f t="shared" ca="1" si="42"/>
        <v>108</v>
      </c>
      <c r="I327" s="62">
        <f t="shared" ca="1" si="43"/>
        <v>108</v>
      </c>
      <c r="L327" s="62">
        <f ca="1">IF(ABS('main page'!$K$29*L326+(1-'main page'!$K$29)*(controls!$B$9/100)*100+'main page'!$K$25*(D327-B327)-L326)&lt;0.0000001,L326,'main page'!$K$29*L326+(1-'main page'!$K$29)*(controls!$B$9/100)*100+'main page'!$K$25*(D327-B327))</f>
        <v>1.9999998807907104</v>
      </c>
      <c r="Q327" s="409">
        <f ca="1">(1-'main page'!$K$29)*($AS$11/100)*100+'main page'!$K$25*(D327-B327)</f>
        <v>5.9604644775390625E-8</v>
      </c>
      <c r="R327" s="409">
        <f>'main page'!G331+'main page'!$K$29*M326</f>
        <v>0</v>
      </c>
      <c r="S327" s="409">
        <f t="shared" ca="1" si="41"/>
        <v>5.9604644775390625E-8</v>
      </c>
      <c r="T327" s="79">
        <f ca="1">IF(controls!$B$10=1,T326,IF(SUM(controls!$B$44:$B$46)=2,U327-'main page'!$K$29*'normal case'!L327-(1-'main page'!$K$29)*'main page'!$K$32,U327-'main page'!$K$29*'normal case'!L327-(1-'main page'!$K$29)*controls!$B$9))</f>
        <v>3.4999999701976776</v>
      </c>
      <c r="U327" s="164">
        <f ca="1">IF(controls!$B$45=1,IF(controls!$B$46=1,'main page'!$K$24+'main page'!$K$11+'main page'!$U$8,'main page'!$K$24+'main page'!$K$11+'main page'!$K$32),IF(controls!$B$44=1,IF(V327&lt;0,0,V327),IF(V327+'main page'!$K$11&lt;0,0,V327+'main page'!$K$11)))</f>
        <v>5.4999998509883881</v>
      </c>
      <c r="V327" s="63">
        <f ca="1">IF(controls!$B$10=1,'normal case'!T327+'normal case'!L327,'normal case'!W327)</f>
        <v>5.4999998509883881</v>
      </c>
      <c r="W327" s="61">
        <f t="shared" ca="1" si="45"/>
        <v>5.4999998509883881</v>
      </c>
      <c r="X327" s="166">
        <f ca="1">IF(controls!$B$44=0,Y327+'main page'!$K$29*L327+(1-'main page'!$K$29)*controls!$B$9+(('main page'!$K$25*'main page'!$U$13*'main page'!$K$29)/('main page'!$K$27*(1+('main page'!$K$25^2)*'main page'!$U$13)))*(L327-controls!$B$9),Y327+'main page'!$K$29*L327+(1-'main page'!$K$29)*controls!$B$9+(('main page'!$K$25*'main page'!$U$13*'normal case'!$AV$3)/'normal case'!$AV$4)*('normal case'!L327-controls!$B$9))</f>
        <v>5.4999998509883881</v>
      </c>
      <c r="Y327" s="81">
        <f ca="1">IF(controls!$B$44=1,'main page'!$K$24+'main page'!$K$11,IF(controls!$B$33=1,((I328-D327*AD328-B328+B327*AC328)/'main page'!$K$27)-'main page'!$K$11,((H328-D327*AD328-B328+B327*AC328)/'main page'!$K$27)-'main page'!$K$11))</f>
        <v>3.5</v>
      </c>
      <c r="AA327" s="58">
        <f>IF(controls!$B$6=1,$AS$3*(1+('main page'!$K$35/100))^AB327-$AS$3*(1+('main page'!$K$35/100))^AB326,$AS$3*(1+('main page'!$G$8/100))*(1+('main page'!$K$35/100))^AB327-$AS$3*(1+('main page'!$G$8/100))*(1+('main page'!$K$35/100))^AB326)</f>
        <v>0</v>
      </c>
      <c r="AB327" s="60">
        <v>320</v>
      </c>
      <c r="AC327" s="125">
        <v>0</v>
      </c>
      <c r="AD327" s="36">
        <v>0</v>
      </c>
      <c r="AE327" s="44">
        <f ca="1">IF(controls!$B$33=1,D327-($I$3-'main page'!$K$27*2)*(1+('main page'!$K$35/100))^A326,D327-$AS$4)</f>
        <v>1.0000000596046448</v>
      </c>
      <c r="AF327" s="44">
        <f ca="1">ABS(L327-(controls!$B$9/100)*100)</f>
        <v>1.1920928955078125E-7</v>
      </c>
      <c r="AH327" s="44">
        <f ca="1">IF(controls!$B$33=1,(B328-B327*AC328-I328+D327*AD328+'main page'!$K$27*('main page'!$K$24+'main page'!$K$11))/'main page'!$K$31,(B328-B327*AC328+D327*AD328-H328+'main page'!$K$27*('main page'!$K$24+'main page'!$K$11))/'main page'!$K$31)</f>
        <v>1</v>
      </c>
      <c r="AI327" s="44">
        <f ca="1">IF(controls!$B$45=1,LOG(AM327,1.01)+LOG(AL327,1.01)-LOG(AK327,1.01),-((T327-('main page'!$K$24+'main page'!$K$11))/(1-'normal case'!$AV$3))+'normal case'!AH327)</f>
        <v>2.0000000596046448</v>
      </c>
      <c r="AJ327" s="80">
        <f t="shared" ca="1" si="46"/>
        <v>1.0506250015463039</v>
      </c>
      <c r="AK327" s="44">
        <f t="shared" ca="1" si="47"/>
        <v>599.66946724891818</v>
      </c>
      <c r="AL327" s="44">
        <f>AL326*(1+'main page'!$K$32/100)</f>
        <v>1</v>
      </c>
      <c r="AM327" s="44">
        <f ca="1">IF(ABS(IF(controls!$B$45=1,$AS$13,AK327*AJ327/AL327)-AM326)&lt;0.00001,AM326,IF(controls!$B$45=1,$AS$13,AK327*AJ327/AL327))</f>
        <v>630.02773495566589</v>
      </c>
      <c r="AN327" s="44">
        <f>IF(controls!$B$46=0,0,IF(controls!$B$33=2,B328-B327*AC328-('normal case'!H328-D327*AD328-'main page'!$K$27*'normal case'!T327+'main page'!$K$31*'normal case'!AI327)-(('main page'!$K$25*'main page'!$U$13*'main page'!$K$29)/(1+('main page'!$K$25^2)*'main page'!$U$13))*('normal case'!L327-'main page'!$U$8),B328-B327*AC328-('normal case'!I328-D327*AD328-'main page'!$K$27*'normal case'!T327+'main page'!$K$31*'normal case'!AI327)-(('main page'!$K$25*'main page'!$U$13*'main page'!$K$29)/(1+('main page'!$K$25^2)*'main page'!$U$13))*('normal case'!L327-'main page'!$U$8)))</f>
        <v>0</v>
      </c>
      <c r="AU327" s="36"/>
      <c r="AV327" s="36"/>
    </row>
    <row r="328" spans="1:48">
      <c r="A328" s="43">
        <v>326</v>
      </c>
      <c r="B328" s="62">
        <f ca="1">IF(controls!$B$33=1,B327*(1+AC328)+AA328,B327*(1+AC328))</f>
        <v>101</v>
      </c>
      <c r="C328" s="67">
        <f t="shared" ca="1" si="48"/>
        <v>-1.5107707374006907E-7</v>
      </c>
      <c r="D328" s="64">
        <f t="shared" ca="1" si="44"/>
        <v>101.00000005960464</v>
      </c>
      <c r="E328" s="64">
        <f ca="1">AN327+IF(controls!$B$33=1,G328,F328)</f>
        <v>101.00000005960464</v>
      </c>
      <c r="F328" s="78">
        <f ca="1">IF(controls!$B$44=0,H328-'main page'!$K$27*T327,H328-'main page'!$K$27*T327+'main page'!$K$31*AI327)</f>
        <v>101.00000005960464</v>
      </c>
      <c r="G328" s="62">
        <f ca="1">IF(controls!$B$44=0,I328-'main page'!$K$27*T327,I328-'main page'!$K$27*T327+'main page'!$K$31*'normal case'!AI327)</f>
        <v>101.00000005960464</v>
      </c>
      <c r="H328" s="62">
        <f t="shared" ca="1" si="42"/>
        <v>108</v>
      </c>
      <c r="I328" s="62">
        <f t="shared" ca="1" si="43"/>
        <v>108</v>
      </c>
      <c r="L328" s="62">
        <f ca="1">IF(ABS('main page'!$K$29*L327+(1-'main page'!$K$29)*(controls!$B$9/100)*100+'main page'!$K$25*(D328-B328)-L327)&lt;0.0000001,L327,'main page'!$K$29*L327+(1-'main page'!$K$29)*(controls!$B$9/100)*100+'main page'!$K$25*(D328-B328))</f>
        <v>1.9999998807907104</v>
      </c>
      <c r="Q328" s="409">
        <f ca="1">(1-'main page'!$K$29)*($AS$11/100)*100+'main page'!$K$25*(D328-B328)</f>
        <v>5.9604644775390625E-8</v>
      </c>
      <c r="R328" s="409">
        <f>'main page'!G332+'main page'!$K$29*M327</f>
        <v>0</v>
      </c>
      <c r="S328" s="409">
        <f t="shared" ref="S328:S391" ca="1" si="49">Q328+R328</f>
        <v>5.9604644775390625E-8</v>
      </c>
      <c r="T328" s="79">
        <f ca="1">IF(controls!$B$10=1,T327,IF(SUM(controls!$B$44:$B$46)=2,U328-'main page'!$K$29*'normal case'!L328-(1-'main page'!$K$29)*'main page'!$K$32,U328-'main page'!$K$29*'normal case'!L328-(1-'main page'!$K$29)*controls!$B$9))</f>
        <v>3.4999999701976776</v>
      </c>
      <c r="U328" s="164">
        <f ca="1">IF(controls!$B$45=1,IF(controls!$B$46=1,'main page'!$K$24+'main page'!$K$11+'main page'!$U$8,'main page'!$K$24+'main page'!$K$11+'main page'!$K$32),IF(controls!$B$44=1,IF(V328&lt;0,0,V328),IF(V328+'main page'!$K$11&lt;0,0,V328+'main page'!$K$11)))</f>
        <v>5.4999998509883881</v>
      </c>
      <c r="V328" s="63">
        <f ca="1">IF(controls!$B$10=1,'normal case'!T328+'normal case'!L328,'normal case'!W328)</f>
        <v>5.4999998509883881</v>
      </c>
      <c r="W328" s="61">
        <f t="shared" ca="1" si="45"/>
        <v>5.4999998509883881</v>
      </c>
      <c r="X328" s="166">
        <f ca="1">IF(controls!$B$44=0,Y328+'main page'!$K$29*L328+(1-'main page'!$K$29)*controls!$B$9+(('main page'!$K$25*'main page'!$U$13*'main page'!$K$29)/('main page'!$K$27*(1+('main page'!$K$25^2)*'main page'!$U$13)))*(L328-controls!$B$9),Y328+'main page'!$K$29*L328+(1-'main page'!$K$29)*controls!$B$9+(('main page'!$K$25*'main page'!$U$13*'normal case'!$AV$3)/'normal case'!$AV$4)*('normal case'!L328-controls!$B$9))</f>
        <v>5.4999998509883881</v>
      </c>
      <c r="Y328" s="81">
        <f ca="1">IF(controls!$B$44=1,'main page'!$K$24+'main page'!$K$11,IF(controls!$B$33=1,((I329-D328*AD329-B329+B328*AC329)/'main page'!$K$27)-'main page'!$K$11,((H329-D328*AD329-B329+B328*AC329)/'main page'!$K$27)-'main page'!$K$11))</f>
        <v>3.5</v>
      </c>
      <c r="AA328" s="58">
        <f>IF(controls!$B$6=1,$AS$3*(1+('main page'!$K$35/100))^AB328-$AS$3*(1+('main page'!$K$35/100))^AB327,$AS$3*(1+('main page'!$G$8/100))*(1+('main page'!$K$35/100))^AB328-$AS$3*(1+('main page'!$G$8/100))*(1+('main page'!$K$35/100))^AB327)</f>
        <v>0</v>
      </c>
      <c r="AB328" s="60">
        <v>321</v>
      </c>
      <c r="AC328" s="125">
        <v>0</v>
      </c>
      <c r="AD328" s="36">
        <v>0</v>
      </c>
      <c r="AE328" s="44">
        <f ca="1">IF(controls!$B$33=1,D328-($I$3-'main page'!$K$27*2)*(1+('main page'!$K$35/100))^A327,D328-$AS$4)</f>
        <v>1.0000000596046448</v>
      </c>
      <c r="AF328" s="44">
        <f ca="1">ABS(L328-(controls!$B$9/100)*100)</f>
        <v>1.1920928955078125E-7</v>
      </c>
      <c r="AH328" s="44">
        <f ca="1">IF(controls!$B$33=1,(B329-B328*AC329-I329+D328*AD329+'main page'!$K$27*('main page'!$K$24+'main page'!$K$11))/'main page'!$K$31,(B329-B328*AC329+D328*AD329-H329+'main page'!$K$27*('main page'!$K$24+'main page'!$K$11))/'main page'!$K$31)</f>
        <v>1</v>
      </c>
      <c r="AI328" s="44">
        <f ca="1">IF(controls!$B$45=1,LOG(AM328,1.01)+LOG(AL328,1.01)-LOG(AK328,1.01),-((T328-('main page'!$K$24+'main page'!$K$11))/(1-'normal case'!$AV$3))+'normal case'!AH328)</f>
        <v>2.0000000596046448</v>
      </c>
      <c r="AJ328" s="80">
        <f t="shared" ca="1" si="46"/>
        <v>1.0506250015463039</v>
      </c>
      <c r="AK328" s="44">
        <f t="shared" ca="1" si="47"/>
        <v>611.66285587903485</v>
      </c>
      <c r="AL328" s="44">
        <f>AL327*(1+'main page'!$K$32/100)</f>
        <v>1</v>
      </c>
      <c r="AM328" s="44">
        <f ca="1">IF(ABS(IF(controls!$B$45=1,$AS$13,AK328*AJ328/AL328)-AM327)&lt;0.00001,AM327,IF(controls!$B$45=1,$AS$13,AK328*AJ328/AL328))</f>
        <v>642.62828890372759</v>
      </c>
      <c r="AN328" s="44">
        <f>IF(controls!$B$46=0,0,IF(controls!$B$33=2,B329-B328*AC329-('normal case'!H329-D328*AD329-'main page'!$K$27*'normal case'!T328+'main page'!$K$31*'normal case'!AI328)-(('main page'!$K$25*'main page'!$U$13*'main page'!$K$29)/(1+('main page'!$K$25^2)*'main page'!$U$13))*('normal case'!L328-'main page'!$U$8),B329-B328*AC329-('normal case'!I329-D328*AD329-'main page'!$K$27*'normal case'!T328+'main page'!$K$31*'normal case'!AI328)-(('main page'!$K$25*'main page'!$U$13*'main page'!$K$29)/(1+('main page'!$K$25^2)*'main page'!$U$13))*('normal case'!L328-'main page'!$U$8)))</f>
        <v>0</v>
      </c>
      <c r="AU328" s="36"/>
      <c r="AV328" s="36"/>
    </row>
    <row r="329" spans="1:48">
      <c r="A329" s="43">
        <v>327</v>
      </c>
      <c r="B329" s="62">
        <f ca="1">IF(controls!$B$33=1,B328*(1+AC329)+AA329,B328*(1+AC329))</f>
        <v>101</v>
      </c>
      <c r="C329" s="67">
        <f t="shared" ca="1" si="48"/>
        <v>-1.5107707374006907E-7</v>
      </c>
      <c r="D329" s="64">
        <f t="shared" ca="1" si="44"/>
        <v>101.00000005960464</v>
      </c>
      <c r="E329" s="64">
        <f ca="1">AN328+IF(controls!$B$33=1,G329,F329)</f>
        <v>101.00000005960464</v>
      </c>
      <c r="F329" s="78">
        <f ca="1">IF(controls!$B$44=0,H329-'main page'!$K$27*T328,H329-'main page'!$K$27*T328+'main page'!$K$31*AI328)</f>
        <v>101.00000005960464</v>
      </c>
      <c r="G329" s="62">
        <f ca="1">IF(controls!$B$44=0,I329-'main page'!$K$27*T328,I329-'main page'!$K$27*T328+'main page'!$K$31*'normal case'!AI328)</f>
        <v>101.00000005960464</v>
      </c>
      <c r="H329" s="62">
        <f t="shared" ca="1" si="42"/>
        <v>108</v>
      </c>
      <c r="I329" s="62">
        <f t="shared" ca="1" si="43"/>
        <v>108</v>
      </c>
      <c r="L329" s="62">
        <f ca="1">IF(ABS('main page'!$K$29*L328+(1-'main page'!$K$29)*(controls!$B$9/100)*100+'main page'!$K$25*(D329-B329)-L328)&lt;0.0000001,L328,'main page'!$K$29*L328+(1-'main page'!$K$29)*(controls!$B$9/100)*100+'main page'!$K$25*(D329-B329))</f>
        <v>1.9999998807907104</v>
      </c>
      <c r="Q329" s="409">
        <f ca="1">(1-'main page'!$K$29)*($AS$11/100)*100+'main page'!$K$25*(D329-B329)</f>
        <v>5.9604644775390625E-8</v>
      </c>
      <c r="R329" s="409">
        <f>'main page'!G333+'main page'!$K$29*M328</f>
        <v>0</v>
      </c>
      <c r="S329" s="409">
        <f t="shared" ca="1" si="49"/>
        <v>5.9604644775390625E-8</v>
      </c>
      <c r="T329" s="79">
        <f ca="1">IF(controls!$B$10=1,T328,IF(SUM(controls!$B$44:$B$46)=2,U329-'main page'!$K$29*'normal case'!L329-(1-'main page'!$K$29)*'main page'!$K$32,U329-'main page'!$K$29*'normal case'!L329-(1-'main page'!$K$29)*controls!$B$9))</f>
        <v>3.4999999701976776</v>
      </c>
      <c r="U329" s="164">
        <f ca="1">IF(controls!$B$45=1,IF(controls!$B$46=1,'main page'!$K$24+'main page'!$K$11+'main page'!$U$8,'main page'!$K$24+'main page'!$K$11+'main page'!$K$32),IF(controls!$B$44=1,IF(V329&lt;0,0,V329),IF(V329+'main page'!$K$11&lt;0,0,V329+'main page'!$K$11)))</f>
        <v>5.4999998509883881</v>
      </c>
      <c r="V329" s="63">
        <f ca="1">IF(controls!$B$10=1,'normal case'!T329+'normal case'!L329,'normal case'!W329)</f>
        <v>5.4999998509883881</v>
      </c>
      <c r="W329" s="61">
        <f t="shared" ca="1" si="45"/>
        <v>5.4999998509883881</v>
      </c>
      <c r="X329" s="166">
        <f ca="1">IF(controls!$B$44=0,Y329+'main page'!$K$29*L329+(1-'main page'!$K$29)*controls!$B$9+(('main page'!$K$25*'main page'!$U$13*'main page'!$K$29)/('main page'!$K$27*(1+('main page'!$K$25^2)*'main page'!$U$13)))*(L329-controls!$B$9),Y329+'main page'!$K$29*L329+(1-'main page'!$K$29)*controls!$B$9+(('main page'!$K$25*'main page'!$U$13*'normal case'!$AV$3)/'normal case'!$AV$4)*('normal case'!L329-controls!$B$9))</f>
        <v>5.4999998509883881</v>
      </c>
      <c r="Y329" s="81">
        <f ca="1">IF(controls!$B$44=1,'main page'!$K$24+'main page'!$K$11,IF(controls!$B$33=1,((I330-D329*AD330-B330+B329*AC330)/'main page'!$K$27)-'main page'!$K$11,((H330-D329*AD330-B330+B329*AC330)/'main page'!$K$27)-'main page'!$K$11))</f>
        <v>3.5</v>
      </c>
      <c r="AA329" s="58">
        <f>IF(controls!$B$6=1,$AS$3*(1+('main page'!$K$35/100))^AB329-$AS$3*(1+('main page'!$K$35/100))^AB328,$AS$3*(1+('main page'!$G$8/100))*(1+('main page'!$K$35/100))^AB329-$AS$3*(1+('main page'!$G$8/100))*(1+('main page'!$K$35/100))^AB328)</f>
        <v>0</v>
      </c>
      <c r="AB329" s="60">
        <v>322</v>
      </c>
      <c r="AC329" s="125">
        <f ca="1">IF(controls!$B$4=1,IF(controls!$H328=1,controls!$B$34*AC328+RAND()*('main page'!$K$16/100)-RAND()*('main page'!$K$16/100),0),0)</f>
        <v>0</v>
      </c>
      <c r="AD329" s="36">
        <f ca="1">IF(controls!$B$4=1,IF(controls!$I328=1,controls!$B$34*AD328+RAND()*('main page'!$K$16/100)-RAND()*('main page'!$K$16/100),0),0)</f>
        <v>0</v>
      </c>
      <c r="AE329" s="44">
        <f ca="1">IF(controls!$B$33=1,D329-($I$3-'main page'!$K$27*2)*(1+('main page'!$K$35/100))^A328,D329-$AS$4)</f>
        <v>1.0000000596046448</v>
      </c>
      <c r="AF329" s="44">
        <f ca="1">ABS(L329-(controls!$B$9/100)*100)</f>
        <v>1.1920928955078125E-7</v>
      </c>
      <c r="AH329" s="44">
        <f ca="1">IF(controls!$B$33=1,(B330-B329*AC330-I330+D329*AD330+'main page'!$K$27*('main page'!$K$24+'main page'!$K$11))/'main page'!$K$31,(B330-B329*AC330+D329*AD330-H330+'main page'!$K$27*('main page'!$K$24+'main page'!$K$11))/'main page'!$K$31)</f>
        <v>1</v>
      </c>
      <c r="AI329" s="44">
        <f ca="1">IF(controls!$B$45=1,LOG(AM329,1.01)+LOG(AL329,1.01)-LOG(AK329,1.01),-((T329-('main page'!$K$24+'main page'!$K$11))/(1-'normal case'!$AV$3))+'normal case'!AH329)</f>
        <v>2.0000000596046448</v>
      </c>
      <c r="AJ329" s="80">
        <f t="shared" ca="1" si="46"/>
        <v>1.0506250015463039</v>
      </c>
      <c r="AK329" s="44">
        <f t="shared" ca="1" si="47"/>
        <v>623.8961122674566</v>
      </c>
      <c r="AL329" s="44">
        <f>AL328*(1+'main page'!$K$32/100)</f>
        <v>1</v>
      </c>
      <c r="AM329" s="44">
        <f ca="1">IF(ABS(IF(controls!$B$45=1,$AS$13,AK329*AJ329/AL329)-AM328)&lt;0.00001,AM328,IF(controls!$B$45=1,$AS$13,AK329*AJ329/AL329))</f>
        <v>655.48085391572954</v>
      </c>
      <c r="AN329" s="44">
        <f>IF(controls!$B$46=0,0,IF(controls!$B$33=2,B330-B329*AC330-('normal case'!H330-D329*AD330-'main page'!$K$27*'normal case'!T329+'main page'!$K$31*'normal case'!AI329)-(('main page'!$K$25*'main page'!$U$13*'main page'!$K$29)/(1+('main page'!$K$25^2)*'main page'!$U$13))*('normal case'!L329-'main page'!$U$8),B330-B329*AC330-('normal case'!I330-D329*AD330-'main page'!$K$27*'normal case'!T329+'main page'!$K$31*'normal case'!AI329)-(('main page'!$K$25*'main page'!$U$13*'main page'!$K$29)/(1+('main page'!$K$25^2)*'main page'!$U$13))*('normal case'!L329-'main page'!$U$8)))</f>
        <v>0</v>
      </c>
      <c r="AU329" s="36"/>
      <c r="AV329" s="36"/>
    </row>
    <row r="330" spans="1:48">
      <c r="A330" s="43">
        <v>328</v>
      </c>
      <c r="B330" s="62">
        <f ca="1">IF(controls!$B$33=1,B329*(1+AC330)+AA330,B329*(1+AC330))</f>
        <v>101</v>
      </c>
      <c r="C330" s="67">
        <f t="shared" ca="1" si="48"/>
        <v>-1.5107707374006907E-7</v>
      </c>
      <c r="D330" s="64">
        <f t="shared" ca="1" si="44"/>
        <v>101.00000005960464</v>
      </c>
      <c r="E330" s="64">
        <f ca="1">AN329+IF(controls!$B$33=1,G330,F330)</f>
        <v>101.00000005960464</v>
      </c>
      <c r="F330" s="78">
        <f ca="1">IF(controls!$B$44=0,H330-'main page'!$K$27*T329,H330-'main page'!$K$27*T329+'main page'!$K$31*AI329)</f>
        <v>101.00000005960464</v>
      </c>
      <c r="G330" s="62">
        <f ca="1">IF(controls!$B$44=0,I330-'main page'!$K$27*T329,I330-'main page'!$K$27*T329+'main page'!$K$31*'normal case'!AI329)</f>
        <v>101.00000005960464</v>
      </c>
      <c r="H330" s="62">
        <f t="shared" ca="1" si="42"/>
        <v>108</v>
      </c>
      <c r="I330" s="62">
        <f t="shared" ca="1" si="43"/>
        <v>108</v>
      </c>
      <c r="L330" s="62">
        <f ca="1">IF(ABS('main page'!$K$29*L329+(1-'main page'!$K$29)*(controls!$B$9/100)*100+'main page'!$K$25*(D330-B330)-L329)&lt;0.0000001,L329,'main page'!$K$29*L329+(1-'main page'!$K$29)*(controls!$B$9/100)*100+'main page'!$K$25*(D330-B330))</f>
        <v>1.9999998807907104</v>
      </c>
      <c r="Q330" s="409">
        <f ca="1">(1-'main page'!$K$29)*($AS$11/100)*100+'main page'!$K$25*(D330-B330)</f>
        <v>5.9604644775390625E-8</v>
      </c>
      <c r="R330" s="409">
        <f>'main page'!G334+'main page'!$K$29*M329</f>
        <v>0</v>
      </c>
      <c r="S330" s="409">
        <f t="shared" ca="1" si="49"/>
        <v>5.9604644775390625E-8</v>
      </c>
      <c r="T330" s="79">
        <f ca="1">IF(controls!$B$10=1,T329,IF(SUM(controls!$B$44:$B$46)=2,U330-'main page'!$K$29*'normal case'!L330-(1-'main page'!$K$29)*'main page'!$K$32,U330-'main page'!$K$29*'normal case'!L330-(1-'main page'!$K$29)*controls!$B$9))</f>
        <v>3.4999999701976776</v>
      </c>
      <c r="U330" s="164">
        <f ca="1">IF(controls!$B$45=1,IF(controls!$B$46=1,'main page'!$K$24+'main page'!$K$11+'main page'!$U$8,'main page'!$K$24+'main page'!$K$11+'main page'!$K$32),IF(controls!$B$44=1,IF(V330&lt;0,0,V330),IF(V330+'main page'!$K$11&lt;0,0,V330+'main page'!$K$11)))</f>
        <v>5.4999998509883881</v>
      </c>
      <c r="V330" s="63">
        <f ca="1">IF(controls!$B$10=1,'normal case'!T330+'normal case'!L330,'normal case'!W330)</f>
        <v>5.4999998509883881</v>
      </c>
      <c r="W330" s="61">
        <f t="shared" ca="1" si="45"/>
        <v>5.4999998509883881</v>
      </c>
      <c r="X330" s="166">
        <f ca="1">IF(controls!$B$44=0,Y330+'main page'!$K$29*L330+(1-'main page'!$K$29)*controls!$B$9+(('main page'!$K$25*'main page'!$U$13*'main page'!$K$29)/('main page'!$K$27*(1+('main page'!$K$25^2)*'main page'!$U$13)))*(L330-controls!$B$9),Y330+'main page'!$K$29*L330+(1-'main page'!$K$29)*controls!$B$9+(('main page'!$K$25*'main page'!$U$13*'normal case'!$AV$3)/'normal case'!$AV$4)*('normal case'!L330-controls!$B$9))</f>
        <v>5.4999998509883881</v>
      </c>
      <c r="Y330" s="81">
        <f ca="1">IF(controls!$B$44=1,'main page'!$K$24+'main page'!$K$11,IF(controls!$B$33=1,((I331-D330*AD331-B331+B330*AC331)/'main page'!$K$27)-'main page'!$K$11,((H331-D330*AD331-B331+B330*AC331)/'main page'!$K$27)-'main page'!$K$11))</f>
        <v>3.5</v>
      </c>
      <c r="AA330" s="58">
        <f>IF(controls!$B$6=1,$AS$3*(1+('main page'!$K$35/100))^AB330-$AS$3*(1+('main page'!$K$35/100))^AB329,$AS$3*(1+('main page'!$G$8/100))*(1+('main page'!$K$35/100))^AB330-$AS$3*(1+('main page'!$G$8/100))*(1+('main page'!$K$35/100))^AB329)</f>
        <v>0</v>
      </c>
      <c r="AB330" s="60">
        <v>323</v>
      </c>
      <c r="AC330" s="125">
        <v>0</v>
      </c>
      <c r="AD330" s="36">
        <v>0</v>
      </c>
      <c r="AE330" s="44">
        <f ca="1">IF(controls!$B$33=1,D330-($I$3-'main page'!$K$27*2)*(1+('main page'!$K$35/100))^A329,D330-$AS$4)</f>
        <v>1.0000000596046448</v>
      </c>
      <c r="AF330" s="44">
        <f ca="1">ABS(L330-(controls!$B$9/100)*100)</f>
        <v>1.1920928955078125E-7</v>
      </c>
      <c r="AH330" s="44">
        <f ca="1">IF(controls!$B$33=1,(B331-B330*AC331-I331+D330*AD331+'main page'!$K$27*('main page'!$K$24+'main page'!$K$11))/'main page'!$K$31,(B331-B330*AC331+D330*AD331-H331+'main page'!$K$27*('main page'!$K$24+'main page'!$K$11))/'main page'!$K$31)</f>
        <v>1</v>
      </c>
      <c r="AI330" s="44">
        <f ca="1">IF(controls!$B$45=1,LOG(AM330,1.01)+LOG(AL330,1.01)-LOG(AK330,1.01),-((T330-('main page'!$K$24+'main page'!$K$11))/(1-'normal case'!$AV$3))+'normal case'!AH330)</f>
        <v>2.0000000596046448</v>
      </c>
      <c r="AJ330" s="80">
        <f t="shared" ca="1" si="46"/>
        <v>1.0506250015463039</v>
      </c>
      <c r="AK330" s="44">
        <f t="shared" ca="1" si="47"/>
        <v>636.37403376906366</v>
      </c>
      <c r="AL330" s="44">
        <f>AL329*(1+'main page'!$K$32/100)</f>
        <v>1</v>
      </c>
      <c r="AM330" s="44">
        <f ca="1">IF(ABS(IF(controls!$B$45=1,$AS$13,AK330*AJ330/AL330)-AM329)&lt;0.00001,AM329,IF(controls!$B$45=1,$AS$13,AK330*AJ330/AL330))</f>
        <v>668.59047021265019</v>
      </c>
      <c r="AN330" s="44">
        <f>IF(controls!$B$46=0,0,IF(controls!$B$33=2,B331-B330*AC331-('normal case'!H331-D330*AD331-'main page'!$K$27*'normal case'!T330+'main page'!$K$31*'normal case'!AI330)-(('main page'!$K$25*'main page'!$U$13*'main page'!$K$29)/(1+('main page'!$K$25^2)*'main page'!$U$13))*('normal case'!L330-'main page'!$U$8),B331-B330*AC331-('normal case'!I331-D330*AD331-'main page'!$K$27*'normal case'!T330+'main page'!$K$31*'normal case'!AI330)-(('main page'!$K$25*'main page'!$U$13*'main page'!$K$29)/(1+('main page'!$K$25^2)*'main page'!$U$13))*('normal case'!L330-'main page'!$U$8)))</f>
        <v>0</v>
      </c>
      <c r="AU330" s="36"/>
      <c r="AV330" s="36"/>
    </row>
    <row r="331" spans="1:48">
      <c r="A331" s="43">
        <v>329</v>
      </c>
      <c r="B331" s="62">
        <f ca="1">IF(controls!$B$33=1,B330*(1+AC331)+AA331,B330*(1+AC331))</f>
        <v>101</v>
      </c>
      <c r="C331" s="67">
        <f t="shared" ca="1" si="48"/>
        <v>-1.5107707374006907E-7</v>
      </c>
      <c r="D331" s="64">
        <f t="shared" ca="1" si="44"/>
        <v>101.00000005960464</v>
      </c>
      <c r="E331" s="64">
        <f ca="1">AN330+IF(controls!$B$33=1,G331,F331)</f>
        <v>101.00000005960464</v>
      </c>
      <c r="F331" s="78">
        <f ca="1">IF(controls!$B$44=0,H331-'main page'!$K$27*T330,H331-'main page'!$K$27*T330+'main page'!$K$31*AI330)</f>
        <v>101.00000005960464</v>
      </c>
      <c r="G331" s="62">
        <f ca="1">IF(controls!$B$44=0,I331-'main page'!$K$27*T330,I331-'main page'!$K$27*T330+'main page'!$K$31*'normal case'!AI330)</f>
        <v>101.00000005960464</v>
      </c>
      <c r="H331" s="62">
        <f t="shared" ca="1" si="42"/>
        <v>108</v>
      </c>
      <c r="I331" s="62">
        <f t="shared" ca="1" si="43"/>
        <v>108</v>
      </c>
      <c r="L331" s="62">
        <f ca="1">IF(ABS('main page'!$K$29*L330+(1-'main page'!$K$29)*(controls!$B$9/100)*100+'main page'!$K$25*(D331-B331)-L330)&lt;0.0000001,L330,'main page'!$K$29*L330+(1-'main page'!$K$29)*(controls!$B$9/100)*100+'main page'!$K$25*(D331-B331))</f>
        <v>1.9999998807907104</v>
      </c>
      <c r="Q331" s="409">
        <f ca="1">(1-'main page'!$K$29)*($AS$11/100)*100+'main page'!$K$25*(D331-B331)</f>
        <v>5.9604644775390625E-8</v>
      </c>
      <c r="R331" s="409">
        <f>'main page'!G335+'main page'!$K$29*M330</f>
        <v>0</v>
      </c>
      <c r="S331" s="409">
        <f t="shared" ca="1" si="49"/>
        <v>5.9604644775390625E-8</v>
      </c>
      <c r="T331" s="79">
        <f ca="1">IF(controls!$B$10=1,T330,IF(SUM(controls!$B$44:$B$46)=2,U331-'main page'!$K$29*'normal case'!L331-(1-'main page'!$K$29)*'main page'!$K$32,U331-'main page'!$K$29*'normal case'!L331-(1-'main page'!$K$29)*controls!$B$9))</f>
        <v>3.4999999701976776</v>
      </c>
      <c r="U331" s="164">
        <f ca="1">IF(controls!$B$45=1,IF(controls!$B$46=1,'main page'!$K$24+'main page'!$K$11+'main page'!$U$8,'main page'!$K$24+'main page'!$K$11+'main page'!$K$32),IF(controls!$B$44=1,IF(V331&lt;0,0,V331),IF(V331+'main page'!$K$11&lt;0,0,V331+'main page'!$K$11)))</f>
        <v>5.4999998509883881</v>
      </c>
      <c r="V331" s="63">
        <f ca="1">IF(controls!$B$10=1,'normal case'!T331+'normal case'!L331,'normal case'!W331)</f>
        <v>5.4999998509883881</v>
      </c>
      <c r="W331" s="61">
        <f t="shared" ca="1" si="45"/>
        <v>5.4999998509883881</v>
      </c>
      <c r="X331" s="166">
        <f ca="1">IF(controls!$B$44=0,Y331+'main page'!$K$29*L331+(1-'main page'!$K$29)*controls!$B$9+(('main page'!$K$25*'main page'!$U$13*'main page'!$K$29)/('main page'!$K$27*(1+('main page'!$K$25^2)*'main page'!$U$13)))*(L331-controls!$B$9),Y331+'main page'!$K$29*L331+(1-'main page'!$K$29)*controls!$B$9+(('main page'!$K$25*'main page'!$U$13*'normal case'!$AV$3)/'normal case'!$AV$4)*('normal case'!L331-controls!$B$9))</f>
        <v>5.4999998509883881</v>
      </c>
      <c r="Y331" s="81">
        <f ca="1">IF(controls!$B$44=1,'main page'!$K$24+'main page'!$K$11,IF(controls!$B$33=1,((I332-D331*AD332-B332+B331*AC332)/'main page'!$K$27)-'main page'!$K$11,((H332-D331*AD332-B332+B331*AC332)/'main page'!$K$27)-'main page'!$K$11))</f>
        <v>3.5</v>
      </c>
      <c r="AA331" s="58">
        <f>IF(controls!$B$6=1,$AS$3*(1+('main page'!$K$35/100))^AB331-$AS$3*(1+('main page'!$K$35/100))^AB330,$AS$3*(1+('main page'!$G$8/100))*(1+('main page'!$K$35/100))^AB331-$AS$3*(1+('main page'!$G$8/100))*(1+('main page'!$K$35/100))^AB330)</f>
        <v>0</v>
      </c>
      <c r="AB331" s="60">
        <v>324</v>
      </c>
      <c r="AC331" s="125">
        <v>0</v>
      </c>
      <c r="AD331" s="36">
        <v>0</v>
      </c>
      <c r="AE331" s="44">
        <f ca="1">IF(controls!$B$33=1,D331-($I$3-'main page'!$K$27*2)*(1+('main page'!$K$35/100))^A330,D331-$AS$4)</f>
        <v>1.0000000596046448</v>
      </c>
      <c r="AF331" s="44">
        <f ca="1">ABS(L331-(controls!$B$9/100)*100)</f>
        <v>1.1920928955078125E-7</v>
      </c>
      <c r="AH331" s="44">
        <f ca="1">IF(controls!$B$33=1,(B332-B331*AC332-I332+D331*AD332+'main page'!$K$27*('main page'!$K$24+'main page'!$K$11))/'main page'!$K$31,(B332-B331*AC332+D331*AD332-H332+'main page'!$K$27*('main page'!$K$24+'main page'!$K$11))/'main page'!$K$31)</f>
        <v>1</v>
      </c>
      <c r="AI331" s="44">
        <f ca="1">IF(controls!$B$45=1,LOG(AM331,1.01)+LOG(AL331,1.01)-LOG(AK331,1.01),-((T331-('main page'!$K$24+'main page'!$K$11))/(1-'normal case'!$AV$3))+'normal case'!AH331)</f>
        <v>2.0000000596046448</v>
      </c>
      <c r="AJ331" s="80">
        <f t="shared" ca="1" si="46"/>
        <v>1.0506250015463039</v>
      </c>
      <c r="AK331" s="44">
        <f t="shared" ca="1" si="47"/>
        <v>649.10151368582797</v>
      </c>
      <c r="AL331" s="44">
        <f>AL330*(1+'main page'!$K$32/100)</f>
        <v>1</v>
      </c>
      <c r="AM331" s="44">
        <f ca="1">IF(ABS(IF(controls!$B$45=1,$AS$13,AK331*AJ331/AL331)-AM330)&lt;0.00001,AM330,IF(controls!$B$45=1,$AS$13,AK331*AJ331/AL331))</f>
        <v>681.96227881988125</v>
      </c>
      <c r="AN331" s="44">
        <f>IF(controls!$B$46=0,0,IF(controls!$B$33=2,B332-B331*AC332-('normal case'!H332-D331*AD332-'main page'!$K$27*'normal case'!T331+'main page'!$K$31*'normal case'!AI331)-(('main page'!$K$25*'main page'!$U$13*'main page'!$K$29)/(1+('main page'!$K$25^2)*'main page'!$U$13))*('normal case'!L331-'main page'!$U$8),B332-B331*AC332-('normal case'!I332-D331*AD332-'main page'!$K$27*'normal case'!T331+'main page'!$K$31*'normal case'!AI331)-(('main page'!$K$25*'main page'!$U$13*'main page'!$K$29)/(1+('main page'!$K$25^2)*'main page'!$U$13))*('normal case'!L331-'main page'!$U$8)))</f>
        <v>0</v>
      </c>
      <c r="AU331" s="36"/>
      <c r="AV331" s="36"/>
    </row>
    <row r="332" spans="1:48">
      <c r="A332" s="43">
        <v>330</v>
      </c>
      <c r="B332" s="62">
        <f ca="1">IF(controls!$B$33=1,B331*(1+AC332)+AA332,B331*(1+AC332))</f>
        <v>101</v>
      </c>
      <c r="C332" s="67">
        <f t="shared" ca="1" si="48"/>
        <v>-1.5107707374006907E-7</v>
      </c>
      <c r="D332" s="64">
        <f t="shared" ca="1" si="44"/>
        <v>101.00000005960464</v>
      </c>
      <c r="E332" s="64">
        <f ca="1">AN331+IF(controls!$B$33=1,G332,F332)</f>
        <v>101.00000005960464</v>
      </c>
      <c r="F332" s="78">
        <f ca="1">IF(controls!$B$44=0,H332-'main page'!$K$27*T331,H332-'main page'!$K$27*T331+'main page'!$K$31*AI331)</f>
        <v>101.00000005960464</v>
      </c>
      <c r="G332" s="62">
        <f ca="1">IF(controls!$B$44=0,I332-'main page'!$K$27*T331,I332-'main page'!$K$27*T331+'main page'!$K$31*'normal case'!AI331)</f>
        <v>101.00000005960464</v>
      </c>
      <c r="H332" s="62">
        <f t="shared" ca="1" si="42"/>
        <v>108</v>
      </c>
      <c r="I332" s="62">
        <f t="shared" ca="1" si="43"/>
        <v>108</v>
      </c>
      <c r="L332" s="62">
        <f ca="1">IF(ABS('main page'!$K$29*L331+(1-'main page'!$K$29)*(controls!$B$9/100)*100+'main page'!$K$25*(D332-B332)-L331)&lt;0.0000001,L331,'main page'!$K$29*L331+(1-'main page'!$K$29)*(controls!$B$9/100)*100+'main page'!$K$25*(D332-B332))</f>
        <v>1.9999998807907104</v>
      </c>
      <c r="Q332" s="409">
        <f ca="1">(1-'main page'!$K$29)*($AS$11/100)*100+'main page'!$K$25*(D332-B332)</f>
        <v>5.9604644775390625E-8</v>
      </c>
      <c r="R332" s="409">
        <f>'main page'!G336+'main page'!$K$29*M331</f>
        <v>0</v>
      </c>
      <c r="S332" s="409">
        <f t="shared" ca="1" si="49"/>
        <v>5.9604644775390625E-8</v>
      </c>
      <c r="T332" s="79">
        <f ca="1">IF(controls!$B$10=1,T331,IF(SUM(controls!$B$44:$B$46)=2,U332-'main page'!$K$29*'normal case'!L332-(1-'main page'!$K$29)*'main page'!$K$32,U332-'main page'!$K$29*'normal case'!L332-(1-'main page'!$K$29)*controls!$B$9))</f>
        <v>3.4999999701976776</v>
      </c>
      <c r="U332" s="164">
        <f ca="1">IF(controls!$B$45=1,IF(controls!$B$46=1,'main page'!$K$24+'main page'!$K$11+'main page'!$U$8,'main page'!$K$24+'main page'!$K$11+'main page'!$K$32),IF(controls!$B$44=1,IF(V332&lt;0,0,V332),IF(V332+'main page'!$K$11&lt;0,0,V332+'main page'!$K$11)))</f>
        <v>5.4999998509883881</v>
      </c>
      <c r="V332" s="63">
        <f ca="1">IF(controls!$B$10=1,'normal case'!T332+'normal case'!L332,'normal case'!W332)</f>
        <v>5.4999998509883881</v>
      </c>
      <c r="W332" s="61">
        <f t="shared" ca="1" si="45"/>
        <v>5.4999998509883881</v>
      </c>
      <c r="X332" s="166">
        <f ca="1">IF(controls!$B$44=0,Y332+'main page'!$K$29*L332+(1-'main page'!$K$29)*controls!$B$9+(('main page'!$K$25*'main page'!$U$13*'main page'!$K$29)/('main page'!$K$27*(1+('main page'!$K$25^2)*'main page'!$U$13)))*(L332-controls!$B$9),Y332+'main page'!$K$29*L332+(1-'main page'!$K$29)*controls!$B$9+(('main page'!$K$25*'main page'!$U$13*'normal case'!$AV$3)/'normal case'!$AV$4)*('normal case'!L332-controls!$B$9))</f>
        <v>5.4999998509883881</v>
      </c>
      <c r="Y332" s="81">
        <f ca="1">IF(controls!$B$44=1,'main page'!$K$24+'main page'!$K$11,IF(controls!$B$33=1,((I333-D332*AD333-B333+B332*AC333)/'main page'!$K$27)-'main page'!$K$11,((H333-D332*AD333-B333+B332*AC333)/'main page'!$K$27)-'main page'!$K$11))</f>
        <v>3.5</v>
      </c>
      <c r="AA332" s="58">
        <f>IF(controls!$B$6=1,$AS$3*(1+('main page'!$K$35/100))^AB332-$AS$3*(1+('main page'!$K$35/100))^AB331,$AS$3*(1+('main page'!$G$8/100))*(1+('main page'!$K$35/100))^AB332-$AS$3*(1+('main page'!$G$8/100))*(1+('main page'!$K$35/100))^AB331)</f>
        <v>0</v>
      </c>
      <c r="AB332" s="60">
        <v>325</v>
      </c>
      <c r="AC332" s="125">
        <f ca="1">IF(controls!$B$4=1,IF(controls!$H331=1,controls!$B$34*AC331+RAND()*('main page'!$K$16/100)-RAND()*('main page'!$K$16/100),0),0)</f>
        <v>0</v>
      </c>
      <c r="AD332" s="36">
        <f ca="1">IF(controls!$B$4=1,IF(controls!$I331=1,controls!$B$34*AD331+RAND()*('main page'!$K$16/100)-RAND()*('main page'!$K$16/100),0),0)</f>
        <v>0</v>
      </c>
      <c r="AE332" s="44">
        <f ca="1">IF(controls!$B$33=1,D332-($I$3-'main page'!$K$27*2)*(1+('main page'!$K$35/100))^A331,D332-$AS$4)</f>
        <v>1.0000000596046448</v>
      </c>
      <c r="AF332" s="44">
        <f ca="1">ABS(L332-(controls!$B$9/100)*100)</f>
        <v>1.1920928955078125E-7</v>
      </c>
      <c r="AH332" s="44">
        <f ca="1">IF(controls!$B$33=1,(B333-B332*AC333-I333+D332*AD333+'main page'!$K$27*('main page'!$K$24+'main page'!$K$11))/'main page'!$K$31,(B333-B332*AC333+D332*AD333-H333+'main page'!$K$27*('main page'!$K$24+'main page'!$K$11))/'main page'!$K$31)</f>
        <v>1</v>
      </c>
      <c r="AI332" s="44">
        <f ca="1">IF(controls!$B$45=1,LOG(AM332,1.01)+LOG(AL332,1.01)-LOG(AK332,1.01),-((T332-('main page'!$K$24+'main page'!$K$11))/(1-'normal case'!$AV$3))+'normal case'!AH332)</f>
        <v>2.0000000596046448</v>
      </c>
      <c r="AJ332" s="80">
        <f t="shared" ca="1" si="46"/>
        <v>1.0506250015463039</v>
      </c>
      <c r="AK332" s="44">
        <f t="shared" ca="1" si="47"/>
        <v>662.08354318575527</v>
      </c>
      <c r="AL332" s="44">
        <f>AL331*(1+'main page'!$K$32/100)</f>
        <v>1</v>
      </c>
      <c r="AM332" s="44">
        <f ca="1">IF(ABS(IF(controls!$B$45=1,$AS$13,AK332*AJ332/AL332)-AM331)&lt;0.00001,AM331,IF(controls!$B$45=1,$AS$13,AK332*AJ332/AL332))</f>
        <v>695.60152358331652</v>
      </c>
      <c r="AN332" s="44">
        <f>IF(controls!$B$46=0,0,IF(controls!$B$33=2,B333-B332*AC333-('normal case'!H333-D332*AD333-'main page'!$K$27*'normal case'!T332+'main page'!$K$31*'normal case'!AI332)-(('main page'!$K$25*'main page'!$U$13*'main page'!$K$29)/(1+('main page'!$K$25^2)*'main page'!$U$13))*('normal case'!L332-'main page'!$U$8),B333-B332*AC333-('normal case'!I333-D332*AD333-'main page'!$K$27*'normal case'!T332+'main page'!$K$31*'normal case'!AI332)-(('main page'!$K$25*'main page'!$U$13*'main page'!$K$29)/(1+('main page'!$K$25^2)*'main page'!$U$13))*('normal case'!L332-'main page'!$U$8)))</f>
        <v>0</v>
      </c>
      <c r="AU332" s="36"/>
      <c r="AV332" s="36"/>
    </row>
    <row r="333" spans="1:48">
      <c r="A333" s="43">
        <v>331</v>
      </c>
      <c r="B333" s="62">
        <f ca="1">IF(controls!$B$33=1,B332*(1+AC333)+AA333,B332*(1+AC333))</f>
        <v>101</v>
      </c>
      <c r="C333" s="67">
        <f t="shared" ca="1" si="48"/>
        <v>-1.5107707374006907E-7</v>
      </c>
      <c r="D333" s="64">
        <f t="shared" ca="1" si="44"/>
        <v>101.00000005960464</v>
      </c>
      <c r="E333" s="64">
        <f ca="1">AN332+IF(controls!$B$33=1,G333,F333)</f>
        <v>101.00000005960464</v>
      </c>
      <c r="F333" s="78">
        <f ca="1">IF(controls!$B$44=0,H333-'main page'!$K$27*T332,H333-'main page'!$K$27*T332+'main page'!$K$31*AI332)</f>
        <v>101.00000005960464</v>
      </c>
      <c r="G333" s="62">
        <f ca="1">IF(controls!$B$44=0,I333-'main page'!$K$27*T332,I333-'main page'!$K$27*T332+'main page'!$K$31*'normal case'!AI332)</f>
        <v>101.00000005960464</v>
      </c>
      <c r="H333" s="62">
        <f t="shared" ca="1" si="42"/>
        <v>108</v>
      </c>
      <c r="I333" s="62">
        <f t="shared" ca="1" si="43"/>
        <v>108</v>
      </c>
      <c r="L333" s="62">
        <f ca="1">IF(ABS('main page'!$K$29*L332+(1-'main page'!$K$29)*(controls!$B$9/100)*100+'main page'!$K$25*(D333-B333)-L332)&lt;0.0000001,L332,'main page'!$K$29*L332+(1-'main page'!$K$29)*(controls!$B$9/100)*100+'main page'!$K$25*(D333-B333))</f>
        <v>1.9999998807907104</v>
      </c>
      <c r="Q333" s="409">
        <f ca="1">(1-'main page'!$K$29)*($AS$11/100)*100+'main page'!$K$25*(D333-B333)</f>
        <v>5.9604644775390625E-8</v>
      </c>
      <c r="R333" s="409">
        <f>'main page'!G337+'main page'!$K$29*M332</f>
        <v>0</v>
      </c>
      <c r="S333" s="409">
        <f t="shared" ca="1" si="49"/>
        <v>5.9604644775390625E-8</v>
      </c>
      <c r="T333" s="79">
        <f ca="1">IF(controls!$B$10=1,T332,IF(SUM(controls!$B$44:$B$46)=2,U333-'main page'!$K$29*'normal case'!L333-(1-'main page'!$K$29)*'main page'!$K$32,U333-'main page'!$K$29*'normal case'!L333-(1-'main page'!$K$29)*controls!$B$9))</f>
        <v>3.4999999701976776</v>
      </c>
      <c r="U333" s="164">
        <f ca="1">IF(controls!$B$45=1,IF(controls!$B$46=1,'main page'!$K$24+'main page'!$K$11+'main page'!$U$8,'main page'!$K$24+'main page'!$K$11+'main page'!$K$32),IF(controls!$B$44=1,IF(V333&lt;0,0,V333),IF(V333+'main page'!$K$11&lt;0,0,V333+'main page'!$K$11)))</f>
        <v>5.4999998509883881</v>
      </c>
      <c r="V333" s="63">
        <f ca="1">IF(controls!$B$10=1,'normal case'!T333+'normal case'!L333,'normal case'!W333)</f>
        <v>5.4999998509883881</v>
      </c>
      <c r="W333" s="61">
        <f t="shared" ca="1" si="45"/>
        <v>5.4999998509883881</v>
      </c>
      <c r="X333" s="166">
        <f ca="1">IF(controls!$B$44=0,Y333+'main page'!$K$29*L333+(1-'main page'!$K$29)*controls!$B$9+(('main page'!$K$25*'main page'!$U$13*'main page'!$K$29)/('main page'!$K$27*(1+('main page'!$K$25^2)*'main page'!$U$13)))*(L333-controls!$B$9),Y333+'main page'!$K$29*L333+(1-'main page'!$K$29)*controls!$B$9+(('main page'!$K$25*'main page'!$U$13*'normal case'!$AV$3)/'normal case'!$AV$4)*('normal case'!L333-controls!$B$9))</f>
        <v>5.4999998509883881</v>
      </c>
      <c r="Y333" s="81">
        <f ca="1">IF(controls!$B$44=1,'main page'!$K$24+'main page'!$K$11,IF(controls!$B$33=1,((I334-D333*AD334-B334+B333*AC334)/'main page'!$K$27)-'main page'!$K$11,((H334-D333*AD334-B334+B333*AC334)/'main page'!$K$27)-'main page'!$K$11))</f>
        <v>3.5</v>
      </c>
      <c r="AA333" s="58">
        <f>IF(controls!$B$6=1,$AS$3*(1+('main page'!$K$35/100))^AB333-$AS$3*(1+('main page'!$K$35/100))^AB332,$AS$3*(1+('main page'!$G$8/100))*(1+('main page'!$K$35/100))^AB333-$AS$3*(1+('main page'!$G$8/100))*(1+('main page'!$K$35/100))^AB332)</f>
        <v>0</v>
      </c>
      <c r="AB333" s="60">
        <v>326</v>
      </c>
      <c r="AC333" s="125">
        <v>0</v>
      </c>
      <c r="AD333" s="36">
        <v>0</v>
      </c>
      <c r="AE333" s="44">
        <f ca="1">IF(controls!$B$33=1,D333-($I$3-'main page'!$K$27*2)*(1+('main page'!$K$35/100))^A332,D333-$AS$4)</f>
        <v>1.0000000596046448</v>
      </c>
      <c r="AF333" s="44">
        <f ca="1">ABS(L333-(controls!$B$9/100)*100)</f>
        <v>1.1920928955078125E-7</v>
      </c>
      <c r="AH333" s="44">
        <f ca="1">IF(controls!$B$33=1,(B334-B333*AC334-I334+D333*AD334+'main page'!$K$27*('main page'!$K$24+'main page'!$K$11))/'main page'!$K$31,(B334-B333*AC334+D333*AD334-H334+'main page'!$K$27*('main page'!$K$24+'main page'!$K$11))/'main page'!$K$31)</f>
        <v>1</v>
      </c>
      <c r="AI333" s="44">
        <f ca="1">IF(controls!$B$45=1,LOG(AM333,1.01)+LOG(AL333,1.01)-LOG(AK333,1.01),-((T333-('main page'!$K$24+'main page'!$K$11))/(1-'normal case'!$AV$3))+'normal case'!AH333)</f>
        <v>2.0000000596046448</v>
      </c>
      <c r="AJ333" s="80">
        <f t="shared" ca="1" si="46"/>
        <v>1.0506250015463039</v>
      </c>
      <c r="AK333" s="44">
        <f t="shared" ca="1" si="47"/>
        <v>675.32521326020537</v>
      </c>
      <c r="AL333" s="44">
        <f>AL332*(1+'main page'!$K$32/100)</f>
        <v>1</v>
      </c>
      <c r="AM333" s="44">
        <f ca="1">IF(ABS(IF(controls!$B$45=1,$AS$13,AK333*AJ333/AL333)-AM332)&lt;0.00001,AM332,IF(controls!$B$45=1,$AS$13,AK333*AJ333/AL333))</f>
        <v>709.51355322576126</v>
      </c>
      <c r="AN333" s="44">
        <f>IF(controls!$B$46=0,0,IF(controls!$B$33=2,B334-B333*AC334-('normal case'!H334-D333*AD334-'main page'!$K$27*'normal case'!T333+'main page'!$K$31*'normal case'!AI333)-(('main page'!$K$25*'main page'!$U$13*'main page'!$K$29)/(1+('main page'!$K$25^2)*'main page'!$U$13))*('normal case'!L333-'main page'!$U$8),B334-B333*AC334-('normal case'!I334-D333*AD334-'main page'!$K$27*'normal case'!T333+'main page'!$K$31*'normal case'!AI333)-(('main page'!$K$25*'main page'!$U$13*'main page'!$K$29)/(1+('main page'!$K$25^2)*'main page'!$U$13))*('normal case'!L333-'main page'!$U$8)))</f>
        <v>0</v>
      </c>
      <c r="AU333" s="36"/>
      <c r="AV333" s="36"/>
    </row>
    <row r="334" spans="1:48">
      <c r="A334" s="43">
        <v>332</v>
      </c>
      <c r="B334" s="62">
        <f ca="1">IF(controls!$B$33=1,B333*(1+AC334)+AA334,B333*(1+AC334))</f>
        <v>101</v>
      </c>
      <c r="C334" s="67">
        <f t="shared" ca="1" si="48"/>
        <v>-1.5107707374006907E-7</v>
      </c>
      <c r="D334" s="64">
        <f t="shared" ca="1" si="44"/>
        <v>101.00000005960464</v>
      </c>
      <c r="E334" s="64">
        <f ca="1">AN333+IF(controls!$B$33=1,G334,F334)</f>
        <v>101.00000005960464</v>
      </c>
      <c r="F334" s="78">
        <f ca="1">IF(controls!$B$44=0,H334-'main page'!$K$27*T333,H334-'main page'!$K$27*T333+'main page'!$K$31*AI333)</f>
        <v>101.00000005960464</v>
      </c>
      <c r="G334" s="62">
        <f ca="1">IF(controls!$B$44=0,I334-'main page'!$K$27*T333,I334-'main page'!$K$27*T333+'main page'!$K$31*'normal case'!AI333)</f>
        <v>101.00000005960464</v>
      </c>
      <c r="H334" s="62">
        <f t="shared" ca="1" si="42"/>
        <v>108</v>
      </c>
      <c r="I334" s="62">
        <f t="shared" ca="1" si="43"/>
        <v>108</v>
      </c>
      <c r="L334" s="62">
        <f ca="1">IF(ABS('main page'!$K$29*L333+(1-'main page'!$K$29)*(controls!$B$9/100)*100+'main page'!$K$25*(D334-B334)-L333)&lt;0.0000001,L333,'main page'!$K$29*L333+(1-'main page'!$K$29)*(controls!$B$9/100)*100+'main page'!$K$25*(D334-B334))</f>
        <v>1.9999998807907104</v>
      </c>
      <c r="Q334" s="409">
        <f ca="1">(1-'main page'!$K$29)*($AS$11/100)*100+'main page'!$K$25*(D334-B334)</f>
        <v>5.9604644775390625E-8</v>
      </c>
      <c r="R334" s="409">
        <f>'main page'!G338+'main page'!$K$29*M333</f>
        <v>0</v>
      </c>
      <c r="S334" s="409">
        <f t="shared" ca="1" si="49"/>
        <v>5.9604644775390625E-8</v>
      </c>
      <c r="T334" s="79">
        <f ca="1">IF(controls!$B$10=1,T333,IF(SUM(controls!$B$44:$B$46)=2,U334-'main page'!$K$29*'normal case'!L334-(1-'main page'!$K$29)*'main page'!$K$32,U334-'main page'!$K$29*'normal case'!L334-(1-'main page'!$K$29)*controls!$B$9))</f>
        <v>3.4999999701976776</v>
      </c>
      <c r="U334" s="164">
        <f ca="1">IF(controls!$B$45=1,IF(controls!$B$46=1,'main page'!$K$24+'main page'!$K$11+'main page'!$U$8,'main page'!$K$24+'main page'!$K$11+'main page'!$K$32),IF(controls!$B$44=1,IF(V334&lt;0,0,V334),IF(V334+'main page'!$K$11&lt;0,0,V334+'main page'!$K$11)))</f>
        <v>5.4999998509883881</v>
      </c>
      <c r="V334" s="63">
        <f ca="1">IF(controls!$B$10=1,'normal case'!T334+'normal case'!L334,'normal case'!W334)</f>
        <v>5.4999998509883881</v>
      </c>
      <c r="W334" s="61">
        <f t="shared" ca="1" si="45"/>
        <v>5.4999998509883881</v>
      </c>
      <c r="X334" s="166">
        <f ca="1">IF(controls!$B$44=0,Y334+'main page'!$K$29*L334+(1-'main page'!$K$29)*controls!$B$9+(('main page'!$K$25*'main page'!$U$13*'main page'!$K$29)/('main page'!$K$27*(1+('main page'!$K$25^2)*'main page'!$U$13)))*(L334-controls!$B$9),Y334+'main page'!$K$29*L334+(1-'main page'!$K$29)*controls!$B$9+(('main page'!$K$25*'main page'!$U$13*'normal case'!$AV$3)/'normal case'!$AV$4)*('normal case'!L334-controls!$B$9))</f>
        <v>5.4999998509883881</v>
      </c>
      <c r="Y334" s="81">
        <f ca="1">IF(controls!$B$44=1,'main page'!$K$24+'main page'!$K$11,IF(controls!$B$33=1,((I335-D334*AD335-B335+B334*AC335)/'main page'!$K$27)-'main page'!$K$11,((H335-D334*AD335-B335+B334*AC335)/'main page'!$K$27)-'main page'!$K$11))</f>
        <v>3.5</v>
      </c>
      <c r="AA334" s="58">
        <f>IF(controls!$B$6=1,$AS$3*(1+('main page'!$K$35/100))^AB334-$AS$3*(1+('main page'!$K$35/100))^AB333,$AS$3*(1+('main page'!$G$8/100))*(1+('main page'!$K$35/100))^AB334-$AS$3*(1+('main page'!$G$8/100))*(1+('main page'!$K$35/100))^AB333)</f>
        <v>0</v>
      </c>
      <c r="AB334" s="60">
        <v>327</v>
      </c>
      <c r="AC334" s="125">
        <v>0</v>
      </c>
      <c r="AD334" s="36">
        <v>0</v>
      </c>
      <c r="AE334" s="44">
        <f ca="1">IF(controls!$B$33=1,D334-($I$3-'main page'!$K$27*2)*(1+('main page'!$K$35/100))^A333,D334-$AS$4)</f>
        <v>1.0000000596046448</v>
      </c>
      <c r="AF334" s="44">
        <f ca="1">ABS(L334-(controls!$B$9/100)*100)</f>
        <v>1.1920928955078125E-7</v>
      </c>
      <c r="AH334" s="44">
        <f ca="1">IF(controls!$B$33=1,(B335-B334*AC335-I335+D334*AD335+'main page'!$K$27*('main page'!$K$24+'main page'!$K$11))/'main page'!$K$31,(B335-B334*AC335+D334*AD335-H335+'main page'!$K$27*('main page'!$K$24+'main page'!$K$11))/'main page'!$K$31)</f>
        <v>1</v>
      </c>
      <c r="AI334" s="44">
        <f ca="1">IF(controls!$B$45=1,LOG(AM334,1.01)+LOG(AL334,1.01)-LOG(AK334,1.01),-((T334-('main page'!$K$24+'main page'!$K$11))/(1-'normal case'!$AV$3))+'normal case'!AH334)</f>
        <v>2.0000000596046448</v>
      </c>
      <c r="AJ334" s="80">
        <f t="shared" ca="1" si="46"/>
        <v>1.0506250015463039</v>
      </c>
      <c r="AK334" s="44">
        <f t="shared" ca="1" si="47"/>
        <v>688.83171672035917</v>
      </c>
      <c r="AL334" s="44">
        <f>AL333*(1+'main page'!$K$32/100)</f>
        <v>1</v>
      </c>
      <c r="AM334" s="44">
        <f ca="1">IF(ABS(IF(controls!$B$45=1,$AS$13,AK334*AJ334/AL334)-AM333)&lt;0.00001,AM333,IF(controls!$B$45=1,$AS$13,AK334*AJ334/AL334))</f>
        <v>723.70382344447057</v>
      </c>
      <c r="AN334" s="44">
        <f>IF(controls!$B$46=0,0,IF(controls!$B$33=2,B335-B334*AC335-('normal case'!H335-D334*AD335-'main page'!$K$27*'normal case'!T334+'main page'!$K$31*'normal case'!AI334)-(('main page'!$K$25*'main page'!$U$13*'main page'!$K$29)/(1+('main page'!$K$25^2)*'main page'!$U$13))*('normal case'!L334-'main page'!$U$8),B335-B334*AC335-('normal case'!I335-D334*AD335-'main page'!$K$27*'normal case'!T334+'main page'!$K$31*'normal case'!AI334)-(('main page'!$K$25*'main page'!$U$13*'main page'!$K$29)/(1+('main page'!$K$25^2)*'main page'!$U$13))*('normal case'!L334-'main page'!$U$8)))</f>
        <v>0</v>
      </c>
      <c r="AU334" s="36"/>
      <c r="AV334" s="36"/>
    </row>
    <row r="335" spans="1:48">
      <c r="A335" s="43">
        <v>333</v>
      </c>
      <c r="B335" s="62">
        <f ca="1">IF(controls!$B$33=1,B334*(1+AC335)+AA335,B334*(1+AC335))</f>
        <v>101</v>
      </c>
      <c r="C335" s="67">
        <f t="shared" ca="1" si="48"/>
        <v>-1.5107707374006907E-7</v>
      </c>
      <c r="D335" s="64">
        <f t="shared" ca="1" si="44"/>
        <v>101.00000005960464</v>
      </c>
      <c r="E335" s="64">
        <f ca="1">AN334+IF(controls!$B$33=1,G335,F335)</f>
        <v>101.00000005960464</v>
      </c>
      <c r="F335" s="78">
        <f ca="1">IF(controls!$B$44=0,H335-'main page'!$K$27*T334,H335-'main page'!$K$27*T334+'main page'!$K$31*AI334)</f>
        <v>101.00000005960464</v>
      </c>
      <c r="G335" s="62">
        <f ca="1">IF(controls!$B$44=0,I335-'main page'!$K$27*T334,I335-'main page'!$K$27*T334+'main page'!$K$31*'normal case'!AI334)</f>
        <v>101.00000005960464</v>
      </c>
      <c r="H335" s="62">
        <f t="shared" ca="1" si="42"/>
        <v>108</v>
      </c>
      <c r="I335" s="62">
        <f t="shared" ca="1" si="43"/>
        <v>108</v>
      </c>
      <c r="L335" s="62">
        <f ca="1">IF(ABS('main page'!$K$29*L334+(1-'main page'!$K$29)*(controls!$B$9/100)*100+'main page'!$K$25*(D335-B335)-L334)&lt;0.0000001,L334,'main page'!$K$29*L334+(1-'main page'!$K$29)*(controls!$B$9/100)*100+'main page'!$K$25*(D335-B335))</f>
        <v>1.9999998807907104</v>
      </c>
      <c r="Q335" s="409">
        <f ca="1">(1-'main page'!$K$29)*($AS$11/100)*100+'main page'!$K$25*(D335-B335)</f>
        <v>5.9604644775390625E-8</v>
      </c>
      <c r="R335" s="409">
        <f>'main page'!G339+'main page'!$K$29*M334</f>
        <v>0</v>
      </c>
      <c r="S335" s="409">
        <f t="shared" ca="1" si="49"/>
        <v>5.9604644775390625E-8</v>
      </c>
      <c r="T335" s="79">
        <f ca="1">IF(controls!$B$10=1,T334,IF(SUM(controls!$B$44:$B$46)=2,U335-'main page'!$K$29*'normal case'!L335-(1-'main page'!$K$29)*'main page'!$K$32,U335-'main page'!$K$29*'normal case'!L335-(1-'main page'!$K$29)*controls!$B$9))</f>
        <v>3.4999999701976776</v>
      </c>
      <c r="U335" s="164">
        <f ca="1">IF(controls!$B$45=1,IF(controls!$B$46=1,'main page'!$K$24+'main page'!$K$11+'main page'!$U$8,'main page'!$K$24+'main page'!$K$11+'main page'!$K$32),IF(controls!$B$44=1,IF(V335&lt;0,0,V335),IF(V335+'main page'!$K$11&lt;0,0,V335+'main page'!$K$11)))</f>
        <v>5.4999998509883881</v>
      </c>
      <c r="V335" s="63">
        <f ca="1">IF(controls!$B$10=1,'normal case'!T335+'normal case'!L335,'normal case'!W335)</f>
        <v>5.4999998509883881</v>
      </c>
      <c r="W335" s="61">
        <f t="shared" ca="1" si="45"/>
        <v>5.4999998509883881</v>
      </c>
      <c r="X335" s="166">
        <f ca="1">IF(controls!$B$44=0,Y335+'main page'!$K$29*L335+(1-'main page'!$K$29)*controls!$B$9+(('main page'!$K$25*'main page'!$U$13*'main page'!$K$29)/('main page'!$K$27*(1+('main page'!$K$25^2)*'main page'!$U$13)))*(L335-controls!$B$9),Y335+'main page'!$K$29*L335+(1-'main page'!$K$29)*controls!$B$9+(('main page'!$K$25*'main page'!$U$13*'normal case'!$AV$3)/'normal case'!$AV$4)*('normal case'!L335-controls!$B$9))</f>
        <v>5.4999998509883881</v>
      </c>
      <c r="Y335" s="81">
        <f ca="1">IF(controls!$B$44=1,'main page'!$K$24+'main page'!$K$11,IF(controls!$B$33=1,((I336-D335*AD336-B336+B335*AC336)/'main page'!$K$27)-'main page'!$K$11,((H336-D335*AD336-B336+B335*AC336)/'main page'!$K$27)-'main page'!$K$11))</f>
        <v>3.5</v>
      </c>
      <c r="AA335" s="58">
        <f>IF(controls!$B$6=1,$AS$3*(1+('main page'!$K$35/100))^AB335-$AS$3*(1+('main page'!$K$35/100))^AB334,$AS$3*(1+('main page'!$G$8/100))*(1+('main page'!$K$35/100))^AB335-$AS$3*(1+('main page'!$G$8/100))*(1+('main page'!$K$35/100))^AB334)</f>
        <v>0</v>
      </c>
      <c r="AB335" s="60">
        <v>328</v>
      </c>
      <c r="AC335" s="125">
        <f ca="1">IF(controls!$B$4=1,IF(controls!$H334=1,controls!$B$34*AC334+RAND()*('main page'!$K$16/100)-RAND()*('main page'!$K$16/100),0),0)</f>
        <v>0</v>
      </c>
      <c r="AD335" s="36">
        <f ca="1">IF(controls!$B$4=1,IF(controls!$I334=1,controls!$B$34*AD334+RAND()*('main page'!$K$16/100)-RAND()*('main page'!$K$16/100),0),0)</f>
        <v>0</v>
      </c>
      <c r="AE335" s="44">
        <f ca="1">IF(controls!$B$33=1,D335-($I$3-'main page'!$K$27*2)*(1+('main page'!$K$35/100))^A334,D335-$AS$4)</f>
        <v>1.0000000596046448</v>
      </c>
      <c r="AF335" s="44">
        <f ca="1">ABS(L335-(controls!$B$9/100)*100)</f>
        <v>1.1920928955078125E-7</v>
      </c>
      <c r="AH335" s="44">
        <f ca="1">IF(controls!$B$33=1,(B336-B335*AC336-I336+D335*AD336+'main page'!$K$27*('main page'!$K$24+'main page'!$K$11))/'main page'!$K$31,(B336-B335*AC336+D335*AD336-H336+'main page'!$K$27*('main page'!$K$24+'main page'!$K$11))/'main page'!$K$31)</f>
        <v>1</v>
      </c>
      <c r="AI335" s="44">
        <f ca="1">IF(controls!$B$45=1,LOG(AM335,1.01)+LOG(AL335,1.01)-LOG(AK335,1.01),-((T335-('main page'!$K$24+'main page'!$K$11))/(1-'normal case'!$AV$3))+'normal case'!AH335)</f>
        <v>2.0000000596046448</v>
      </c>
      <c r="AJ335" s="80">
        <f t="shared" ca="1" si="46"/>
        <v>1.0506250015463039</v>
      </c>
      <c r="AK335" s="44">
        <f t="shared" ca="1" si="47"/>
        <v>702.60835023361494</v>
      </c>
      <c r="AL335" s="44">
        <f>AL334*(1+'main page'!$K$32/100)</f>
        <v>1</v>
      </c>
      <c r="AM335" s="44">
        <f ca="1">IF(ABS(IF(controls!$B$45=1,$AS$13,AK335*AJ335/AL335)-AM334)&lt;0.00001,AM334,IF(controls!$B$45=1,$AS$13,AK335*AJ335/AL335))</f>
        <v>738.17789905063773</v>
      </c>
      <c r="AN335" s="44">
        <f>IF(controls!$B$46=0,0,IF(controls!$B$33=2,B336-B335*AC336-('normal case'!H336-D335*AD336-'main page'!$K$27*'normal case'!T335+'main page'!$K$31*'normal case'!AI335)-(('main page'!$K$25*'main page'!$U$13*'main page'!$K$29)/(1+('main page'!$K$25^2)*'main page'!$U$13))*('normal case'!L335-'main page'!$U$8),B336-B335*AC336-('normal case'!I336-D335*AD336-'main page'!$K$27*'normal case'!T335+'main page'!$K$31*'normal case'!AI335)-(('main page'!$K$25*'main page'!$U$13*'main page'!$K$29)/(1+('main page'!$K$25^2)*'main page'!$U$13))*('normal case'!L335-'main page'!$U$8)))</f>
        <v>0</v>
      </c>
      <c r="AU335" s="36"/>
      <c r="AV335" s="36"/>
    </row>
    <row r="336" spans="1:48">
      <c r="A336" s="43">
        <v>334</v>
      </c>
      <c r="B336" s="62">
        <f ca="1">IF(controls!$B$33=1,B335*(1+AC336)+AA336,B335*(1+AC336))</f>
        <v>101</v>
      </c>
      <c r="C336" s="67">
        <f t="shared" ca="1" si="48"/>
        <v>-1.5107707374006907E-7</v>
      </c>
      <c r="D336" s="64">
        <f t="shared" ca="1" si="44"/>
        <v>101.00000005960464</v>
      </c>
      <c r="E336" s="64">
        <f ca="1">AN335+IF(controls!$B$33=1,G336,F336)</f>
        <v>101.00000005960464</v>
      </c>
      <c r="F336" s="78">
        <f ca="1">IF(controls!$B$44=0,H336-'main page'!$K$27*T335,H336-'main page'!$K$27*T335+'main page'!$K$31*AI335)</f>
        <v>101.00000005960464</v>
      </c>
      <c r="G336" s="62">
        <f ca="1">IF(controls!$B$44=0,I336-'main page'!$K$27*T335,I336-'main page'!$K$27*T335+'main page'!$K$31*'normal case'!AI335)</f>
        <v>101.00000005960464</v>
      </c>
      <c r="H336" s="62">
        <f t="shared" ca="1" si="42"/>
        <v>108</v>
      </c>
      <c r="I336" s="62">
        <f t="shared" ca="1" si="43"/>
        <v>108</v>
      </c>
      <c r="L336" s="62">
        <f ca="1">IF(ABS('main page'!$K$29*L335+(1-'main page'!$K$29)*(controls!$B$9/100)*100+'main page'!$K$25*(D336-B336)-L335)&lt;0.0000001,L335,'main page'!$K$29*L335+(1-'main page'!$K$29)*(controls!$B$9/100)*100+'main page'!$K$25*(D336-B336))</f>
        <v>1.9999998807907104</v>
      </c>
      <c r="Q336" s="409">
        <f ca="1">(1-'main page'!$K$29)*($AS$11/100)*100+'main page'!$K$25*(D336-B336)</f>
        <v>5.9604644775390625E-8</v>
      </c>
      <c r="R336" s="409">
        <f>'main page'!G340+'main page'!$K$29*M335</f>
        <v>0</v>
      </c>
      <c r="S336" s="409">
        <f t="shared" ca="1" si="49"/>
        <v>5.9604644775390625E-8</v>
      </c>
      <c r="T336" s="79">
        <f ca="1">IF(controls!$B$10=1,T335,IF(SUM(controls!$B$44:$B$46)=2,U336-'main page'!$K$29*'normal case'!L336-(1-'main page'!$K$29)*'main page'!$K$32,U336-'main page'!$K$29*'normal case'!L336-(1-'main page'!$K$29)*controls!$B$9))</f>
        <v>3.4999999701976776</v>
      </c>
      <c r="U336" s="164">
        <f ca="1">IF(controls!$B$45=1,IF(controls!$B$46=1,'main page'!$K$24+'main page'!$K$11+'main page'!$U$8,'main page'!$K$24+'main page'!$K$11+'main page'!$K$32),IF(controls!$B$44=1,IF(V336&lt;0,0,V336),IF(V336+'main page'!$K$11&lt;0,0,V336+'main page'!$K$11)))</f>
        <v>5.4999998509883881</v>
      </c>
      <c r="V336" s="63">
        <f ca="1">IF(controls!$B$10=1,'normal case'!T336+'normal case'!L336,'normal case'!W336)</f>
        <v>5.4999998509883881</v>
      </c>
      <c r="W336" s="61">
        <f t="shared" ca="1" si="45"/>
        <v>5.4999998509883881</v>
      </c>
      <c r="X336" s="166">
        <f ca="1">IF(controls!$B$44=0,Y336+'main page'!$K$29*L336+(1-'main page'!$K$29)*controls!$B$9+(('main page'!$K$25*'main page'!$U$13*'main page'!$K$29)/('main page'!$K$27*(1+('main page'!$K$25^2)*'main page'!$U$13)))*(L336-controls!$B$9),Y336+'main page'!$K$29*L336+(1-'main page'!$K$29)*controls!$B$9+(('main page'!$K$25*'main page'!$U$13*'normal case'!$AV$3)/'normal case'!$AV$4)*('normal case'!L336-controls!$B$9))</f>
        <v>5.4999998509883881</v>
      </c>
      <c r="Y336" s="81">
        <f ca="1">IF(controls!$B$44=1,'main page'!$K$24+'main page'!$K$11,IF(controls!$B$33=1,((I337-D336*AD337-B337+B336*AC337)/'main page'!$K$27)-'main page'!$K$11,((H337-D336*AD337-B337+B336*AC337)/'main page'!$K$27)-'main page'!$K$11))</f>
        <v>3.5</v>
      </c>
      <c r="AA336" s="58">
        <f>IF(controls!$B$6=1,$AS$3*(1+('main page'!$K$35/100))^AB336-$AS$3*(1+('main page'!$K$35/100))^AB335,$AS$3*(1+('main page'!$G$8/100))*(1+('main page'!$K$35/100))^AB336-$AS$3*(1+('main page'!$G$8/100))*(1+('main page'!$K$35/100))^AB335)</f>
        <v>0</v>
      </c>
      <c r="AB336" s="60">
        <v>329</v>
      </c>
      <c r="AC336" s="125">
        <v>0</v>
      </c>
      <c r="AD336" s="36">
        <v>0</v>
      </c>
      <c r="AE336" s="44">
        <f ca="1">IF(controls!$B$33=1,D336-($I$3-'main page'!$K$27*2)*(1+('main page'!$K$35/100))^A335,D336-$AS$4)</f>
        <v>1.0000000596046448</v>
      </c>
      <c r="AF336" s="44">
        <f ca="1">ABS(L336-(controls!$B$9/100)*100)</f>
        <v>1.1920928955078125E-7</v>
      </c>
      <c r="AH336" s="44">
        <f ca="1">IF(controls!$B$33=1,(B337-B336*AC337-I337+D336*AD337+'main page'!$K$27*('main page'!$K$24+'main page'!$K$11))/'main page'!$K$31,(B337-B336*AC337+D336*AD337-H337+'main page'!$K$27*('main page'!$K$24+'main page'!$K$11))/'main page'!$K$31)</f>
        <v>1</v>
      </c>
      <c r="AI336" s="44">
        <f ca="1">IF(controls!$B$45=1,LOG(AM336,1.01)+LOG(AL336,1.01)-LOG(AK336,1.01),-((T336-('main page'!$K$24+'main page'!$K$11))/(1-'normal case'!$AV$3))+'normal case'!AH336)</f>
        <v>2.0000000596046448</v>
      </c>
      <c r="AJ336" s="80">
        <f t="shared" ca="1" si="46"/>
        <v>1.0506250015463039</v>
      </c>
      <c r="AK336" s="44">
        <f t="shared" ca="1" si="47"/>
        <v>716.66051640071282</v>
      </c>
      <c r="AL336" s="44">
        <f>AL335*(1+'main page'!$K$32/100)</f>
        <v>1</v>
      </c>
      <c r="AM336" s="44">
        <f ca="1">IF(ABS(IF(controls!$B$45=1,$AS$13,AK336*AJ336/AL336)-AM335)&lt;0.00001,AM335,IF(controls!$B$45=1,$AS$13,AK336*AJ336/AL336))</f>
        <v>752.94145615167383</v>
      </c>
      <c r="AN336" s="44">
        <f>IF(controls!$B$46=0,0,IF(controls!$B$33=2,B337-B336*AC337-('normal case'!H337-D336*AD337-'main page'!$K$27*'normal case'!T336+'main page'!$K$31*'normal case'!AI336)-(('main page'!$K$25*'main page'!$U$13*'main page'!$K$29)/(1+('main page'!$K$25^2)*'main page'!$U$13))*('normal case'!L336-'main page'!$U$8),B337-B336*AC337-('normal case'!I337-D336*AD337-'main page'!$K$27*'normal case'!T336+'main page'!$K$31*'normal case'!AI336)-(('main page'!$K$25*'main page'!$U$13*'main page'!$K$29)/(1+('main page'!$K$25^2)*'main page'!$U$13))*('normal case'!L336-'main page'!$U$8)))</f>
        <v>0</v>
      </c>
      <c r="AU336" s="36"/>
      <c r="AV336" s="36"/>
    </row>
    <row r="337" spans="1:48">
      <c r="A337" s="43">
        <v>335</v>
      </c>
      <c r="B337" s="62">
        <f ca="1">IF(controls!$B$33=1,B336*(1+AC337)+AA337,B336*(1+AC337))</f>
        <v>101</v>
      </c>
      <c r="C337" s="67">
        <f t="shared" ca="1" si="48"/>
        <v>-1.5107707374006907E-7</v>
      </c>
      <c r="D337" s="64">
        <f t="shared" ca="1" si="44"/>
        <v>101.00000005960464</v>
      </c>
      <c r="E337" s="64">
        <f ca="1">AN336+IF(controls!$B$33=1,G337,F337)</f>
        <v>101.00000005960464</v>
      </c>
      <c r="F337" s="78">
        <f ca="1">IF(controls!$B$44=0,H337-'main page'!$K$27*T336,H337-'main page'!$K$27*T336+'main page'!$K$31*AI336)</f>
        <v>101.00000005960464</v>
      </c>
      <c r="G337" s="62">
        <f ca="1">IF(controls!$B$44=0,I337-'main page'!$K$27*T336,I337-'main page'!$K$27*T336+'main page'!$K$31*'normal case'!AI336)</f>
        <v>101.00000005960464</v>
      </c>
      <c r="H337" s="62">
        <f t="shared" ca="1" si="42"/>
        <v>108</v>
      </c>
      <c r="I337" s="62">
        <f t="shared" ca="1" si="43"/>
        <v>108</v>
      </c>
      <c r="L337" s="62">
        <f ca="1">IF(ABS('main page'!$K$29*L336+(1-'main page'!$K$29)*(controls!$B$9/100)*100+'main page'!$K$25*(D337-B337)-L336)&lt;0.0000001,L336,'main page'!$K$29*L336+(1-'main page'!$K$29)*(controls!$B$9/100)*100+'main page'!$K$25*(D337-B337))</f>
        <v>1.9999998807907104</v>
      </c>
      <c r="Q337" s="409">
        <f ca="1">(1-'main page'!$K$29)*($AS$11/100)*100+'main page'!$K$25*(D337-B337)</f>
        <v>5.9604644775390625E-8</v>
      </c>
      <c r="R337" s="409">
        <f>'main page'!G341+'main page'!$K$29*M336</f>
        <v>0</v>
      </c>
      <c r="S337" s="409">
        <f t="shared" ca="1" si="49"/>
        <v>5.9604644775390625E-8</v>
      </c>
      <c r="T337" s="79">
        <f ca="1">IF(controls!$B$10=1,T336,IF(SUM(controls!$B$44:$B$46)=2,U337-'main page'!$K$29*'normal case'!L337-(1-'main page'!$K$29)*'main page'!$K$32,U337-'main page'!$K$29*'normal case'!L337-(1-'main page'!$K$29)*controls!$B$9))</f>
        <v>3.4999999701976776</v>
      </c>
      <c r="U337" s="164">
        <f ca="1">IF(controls!$B$45=1,IF(controls!$B$46=1,'main page'!$K$24+'main page'!$K$11+'main page'!$U$8,'main page'!$K$24+'main page'!$K$11+'main page'!$K$32),IF(controls!$B$44=1,IF(V337&lt;0,0,V337),IF(V337+'main page'!$K$11&lt;0,0,V337+'main page'!$K$11)))</f>
        <v>5.4999998509883881</v>
      </c>
      <c r="V337" s="63">
        <f ca="1">IF(controls!$B$10=1,'normal case'!T337+'normal case'!L337,'normal case'!W337)</f>
        <v>5.4999998509883881</v>
      </c>
      <c r="W337" s="61">
        <f t="shared" ca="1" si="45"/>
        <v>5.4999998509883881</v>
      </c>
      <c r="X337" s="166">
        <f ca="1">IF(controls!$B$44=0,Y337+'main page'!$K$29*L337+(1-'main page'!$K$29)*controls!$B$9+(('main page'!$K$25*'main page'!$U$13*'main page'!$K$29)/('main page'!$K$27*(1+('main page'!$K$25^2)*'main page'!$U$13)))*(L337-controls!$B$9),Y337+'main page'!$K$29*L337+(1-'main page'!$K$29)*controls!$B$9+(('main page'!$K$25*'main page'!$U$13*'normal case'!$AV$3)/'normal case'!$AV$4)*('normal case'!L337-controls!$B$9))</f>
        <v>5.4999998509883881</v>
      </c>
      <c r="Y337" s="81">
        <f ca="1">IF(controls!$B$44=1,'main page'!$K$24+'main page'!$K$11,IF(controls!$B$33=1,((I338-D337*AD338-B338+B337*AC338)/'main page'!$K$27)-'main page'!$K$11,((H338-D337*AD338-B338+B337*AC338)/'main page'!$K$27)-'main page'!$K$11))</f>
        <v>3.5</v>
      </c>
      <c r="AA337" s="58">
        <f>IF(controls!$B$6=1,$AS$3*(1+('main page'!$K$35/100))^AB337-$AS$3*(1+('main page'!$K$35/100))^AB336,$AS$3*(1+('main page'!$G$8/100))*(1+('main page'!$K$35/100))^AB337-$AS$3*(1+('main page'!$G$8/100))*(1+('main page'!$K$35/100))^AB336)</f>
        <v>0</v>
      </c>
      <c r="AB337" s="60">
        <v>330</v>
      </c>
      <c r="AC337" s="125">
        <v>0</v>
      </c>
      <c r="AD337" s="36">
        <v>0</v>
      </c>
      <c r="AE337" s="44">
        <f ca="1">IF(controls!$B$33=1,D337-($I$3-'main page'!$K$27*2)*(1+('main page'!$K$35/100))^A336,D337-$AS$4)</f>
        <v>1.0000000596046448</v>
      </c>
      <c r="AF337" s="44">
        <f ca="1">ABS(L337-(controls!$B$9/100)*100)</f>
        <v>1.1920928955078125E-7</v>
      </c>
      <c r="AH337" s="44">
        <f ca="1">IF(controls!$B$33=1,(B338-B337*AC338-I338+D337*AD338+'main page'!$K$27*('main page'!$K$24+'main page'!$K$11))/'main page'!$K$31,(B338-B337*AC338+D337*AD338-H338+'main page'!$K$27*('main page'!$K$24+'main page'!$K$11))/'main page'!$K$31)</f>
        <v>1</v>
      </c>
      <c r="AI337" s="44">
        <f ca="1">IF(controls!$B$45=1,LOG(AM337,1.01)+LOG(AL337,1.01)-LOG(AK337,1.01),-((T337-('main page'!$K$24+'main page'!$K$11))/(1-'normal case'!$AV$3))+'normal case'!AH337)</f>
        <v>2.0000000596046448</v>
      </c>
      <c r="AJ337" s="80">
        <f t="shared" ca="1" si="46"/>
        <v>1.0506250015463039</v>
      </c>
      <c r="AK337" s="44">
        <f t="shared" ca="1" si="47"/>
        <v>730.99372587440121</v>
      </c>
      <c r="AL337" s="44">
        <f>AL336*(1+'main page'!$K$32/100)</f>
        <v>1</v>
      </c>
      <c r="AM337" s="44">
        <f ca="1">IF(ABS(IF(controls!$B$45=1,$AS$13,AK337*AJ337/AL337)-AM336)&lt;0.00001,AM336,IF(controls!$B$45=1,$AS$13,AK337*AJ337/AL337))</f>
        <v>768.00028437713127</v>
      </c>
      <c r="AN337" s="44">
        <f>IF(controls!$B$46=0,0,IF(controls!$B$33=2,B338-B337*AC338-('normal case'!H338-D337*AD338-'main page'!$K$27*'normal case'!T337+'main page'!$K$31*'normal case'!AI337)-(('main page'!$K$25*'main page'!$U$13*'main page'!$K$29)/(1+('main page'!$K$25^2)*'main page'!$U$13))*('normal case'!L337-'main page'!$U$8),B338-B337*AC338-('normal case'!I338-D337*AD338-'main page'!$K$27*'normal case'!T337+'main page'!$K$31*'normal case'!AI337)-(('main page'!$K$25*'main page'!$U$13*'main page'!$K$29)/(1+('main page'!$K$25^2)*'main page'!$U$13))*('normal case'!L337-'main page'!$U$8)))</f>
        <v>0</v>
      </c>
      <c r="AU337" s="36"/>
      <c r="AV337" s="36"/>
    </row>
    <row r="338" spans="1:48">
      <c r="A338" s="43">
        <v>336</v>
      </c>
      <c r="B338" s="62">
        <f ca="1">IF(controls!$B$33=1,B337*(1+AC338)+AA338,B337*(1+AC338))</f>
        <v>101</v>
      </c>
      <c r="C338" s="67">
        <f t="shared" ca="1" si="48"/>
        <v>-1.5107707374006907E-7</v>
      </c>
      <c r="D338" s="64">
        <f t="shared" ca="1" si="44"/>
        <v>101.00000005960464</v>
      </c>
      <c r="E338" s="64">
        <f ca="1">AN337+IF(controls!$B$33=1,G338,F338)</f>
        <v>101.00000005960464</v>
      </c>
      <c r="F338" s="78">
        <f ca="1">IF(controls!$B$44=0,H338-'main page'!$K$27*T337,H338-'main page'!$K$27*T337+'main page'!$K$31*AI337)</f>
        <v>101.00000005960464</v>
      </c>
      <c r="G338" s="62">
        <f ca="1">IF(controls!$B$44=0,I338-'main page'!$K$27*T337,I338-'main page'!$K$27*T337+'main page'!$K$31*'normal case'!AI337)</f>
        <v>101.00000005960464</v>
      </c>
      <c r="H338" s="62">
        <f t="shared" ca="1" si="42"/>
        <v>108</v>
      </c>
      <c r="I338" s="62">
        <f t="shared" ca="1" si="43"/>
        <v>108</v>
      </c>
      <c r="L338" s="62">
        <f ca="1">IF(ABS('main page'!$K$29*L337+(1-'main page'!$K$29)*(controls!$B$9/100)*100+'main page'!$K$25*(D338-B338)-L337)&lt;0.0000001,L337,'main page'!$K$29*L337+(1-'main page'!$K$29)*(controls!$B$9/100)*100+'main page'!$K$25*(D338-B338))</f>
        <v>1.9999998807907104</v>
      </c>
      <c r="Q338" s="409">
        <f ca="1">(1-'main page'!$K$29)*($AS$11/100)*100+'main page'!$K$25*(D338-B338)</f>
        <v>5.9604644775390625E-8</v>
      </c>
      <c r="R338" s="409">
        <f>'main page'!G342+'main page'!$K$29*M337</f>
        <v>0</v>
      </c>
      <c r="S338" s="409">
        <f t="shared" ca="1" si="49"/>
        <v>5.9604644775390625E-8</v>
      </c>
      <c r="T338" s="79">
        <f ca="1">IF(controls!$B$10=1,T337,IF(SUM(controls!$B$44:$B$46)=2,U338-'main page'!$K$29*'normal case'!L338-(1-'main page'!$K$29)*'main page'!$K$32,U338-'main page'!$K$29*'normal case'!L338-(1-'main page'!$K$29)*controls!$B$9))</f>
        <v>3.4999999701976776</v>
      </c>
      <c r="U338" s="164">
        <f ca="1">IF(controls!$B$45=1,IF(controls!$B$46=1,'main page'!$K$24+'main page'!$K$11+'main page'!$U$8,'main page'!$K$24+'main page'!$K$11+'main page'!$K$32),IF(controls!$B$44=1,IF(V338&lt;0,0,V338),IF(V338+'main page'!$K$11&lt;0,0,V338+'main page'!$K$11)))</f>
        <v>5.4999998509883881</v>
      </c>
      <c r="V338" s="63">
        <f ca="1">IF(controls!$B$10=1,'normal case'!T338+'normal case'!L338,'normal case'!W338)</f>
        <v>5.4999998509883881</v>
      </c>
      <c r="W338" s="61">
        <f t="shared" ca="1" si="45"/>
        <v>5.4999998509883881</v>
      </c>
      <c r="X338" s="166">
        <f ca="1">IF(controls!$B$44=0,Y338+'main page'!$K$29*L338+(1-'main page'!$K$29)*controls!$B$9+(('main page'!$K$25*'main page'!$U$13*'main page'!$K$29)/('main page'!$K$27*(1+('main page'!$K$25^2)*'main page'!$U$13)))*(L338-controls!$B$9),Y338+'main page'!$K$29*L338+(1-'main page'!$K$29)*controls!$B$9+(('main page'!$K$25*'main page'!$U$13*'normal case'!$AV$3)/'normal case'!$AV$4)*('normal case'!L338-controls!$B$9))</f>
        <v>5.4999998509883881</v>
      </c>
      <c r="Y338" s="81">
        <f ca="1">IF(controls!$B$44=1,'main page'!$K$24+'main page'!$K$11,IF(controls!$B$33=1,((I339-D338*AD339-B339+B338*AC339)/'main page'!$K$27)-'main page'!$K$11,((H339-D338*AD339-B339+B338*AC339)/'main page'!$K$27)-'main page'!$K$11))</f>
        <v>3.5</v>
      </c>
      <c r="AA338" s="58">
        <f>IF(controls!$B$6=1,$AS$3*(1+('main page'!$K$35/100))^AB338-$AS$3*(1+('main page'!$K$35/100))^AB337,$AS$3*(1+('main page'!$G$8/100))*(1+('main page'!$K$35/100))^AB338-$AS$3*(1+('main page'!$G$8/100))*(1+('main page'!$K$35/100))^AB337)</f>
        <v>0</v>
      </c>
      <c r="AB338" s="60">
        <v>331</v>
      </c>
      <c r="AC338" s="125">
        <f ca="1">IF(controls!$B$4=1,IF(controls!$H337=1,controls!$B$34*AC337+RAND()*('main page'!$K$16/100)-RAND()*('main page'!$K$16/100),0),0)</f>
        <v>0</v>
      </c>
      <c r="AD338" s="36">
        <f ca="1">IF(controls!$B$4=1,IF(controls!$I337=1,controls!$B$34*AD337+RAND()*('main page'!$K$16/100)-RAND()*('main page'!$K$16/100),0),0)</f>
        <v>0</v>
      </c>
      <c r="AE338" s="44">
        <f ca="1">IF(controls!$B$33=1,D338-($I$3-'main page'!$K$27*2)*(1+('main page'!$K$35/100))^A337,D338-$AS$4)</f>
        <v>1.0000000596046448</v>
      </c>
      <c r="AF338" s="44">
        <f ca="1">ABS(L338-(controls!$B$9/100)*100)</f>
        <v>1.1920928955078125E-7</v>
      </c>
      <c r="AH338" s="44">
        <f ca="1">IF(controls!$B$33=1,(B339-B338*AC339-I339+D338*AD339+'main page'!$K$27*('main page'!$K$24+'main page'!$K$11))/'main page'!$K$31,(B339-B338*AC339+D338*AD339-H339+'main page'!$K$27*('main page'!$K$24+'main page'!$K$11))/'main page'!$K$31)</f>
        <v>1</v>
      </c>
      <c r="AI338" s="44">
        <f ca="1">IF(controls!$B$45=1,LOG(AM338,1.01)+LOG(AL338,1.01)-LOG(AK338,1.01),-((T338-('main page'!$K$24+'main page'!$K$11))/(1-'normal case'!$AV$3))+'normal case'!AH338)</f>
        <v>2.0000000596046448</v>
      </c>
      <c r="AJ338" s="80">
        <f t="shared" ca="1" si="46"/>
        <v>1.0506250015463039</v>
      </c>
      <c r="AK338" s="44">
        <f t="shared" ca="1" si="47"/>
        <v>745.61359952047678</v>
      </c>
      <c r="AL338" s="44">
        <f>AL337*(1+'main page'!$K$32/100)</f>
        <v>1</v>
      </c>
      <c r="AM338" s="44">
        <f ca="1">IF(ABS(IF(controls!$B$45=1,$AS$13,AK338*AJ338/AL338)-AM337)&lt;0.00001,AM337,IF(controls!$B$45=1,$AS$13,AK338*AJ338/AL338))</f>
        <v>783.36028914914618</v>
      </c>
      <c r="AN338" s="44">
        <f>IF(controls!$B$46=0,0,IF(controls!$B$33=2,B339-B338*AC339-('normal case'!H339-D338*AD339-'main page'!$K$27*'normal case'!T338+'main page'!$K$31*'normal case'!AI338)-(('main page'!$K$25*'main page'!$U$13*'main page'!$K$29)/(1+('main page'!$K$25^2)*'main page'!$U$13))*('normal case'!L338-'main page'!$U$8),B339-B338*AC339-('normal case'!I339-D338*AD339-'main page'!$K$27*'normal case'!T338+'main page'!$K$31*'normal case'!AI338)-(('main page'!$K$25*'main page'!$U$13*'main page'!$K$29)/(1+('main page'!$K$25^2)*'main page'!$U$13))*('normal case'!L338-'main page'!$U$8)))</f>
        <v>0</v>
      </c>
      <c r="AU338" s="36"/>
      <c r="AV338" s="36"/>
    </row>
    <row r="339" spans="1:48">
      <c r="A339" s="43">
        <v>337</v>
      </c>
      <c r="B339" s="62">
        <f ca="1">IF(controls!$B$33=1,B338*(1+AC339)+AA339,B338*(1+AC339))</f>
        <v>101</v>
      </c>
      <c r="C339" s="67">
        <f t="shared" ca="1" si="48"/>
        <v>-1.5107707374006907E-7</v>
      </c>
      <c r="D339" s="64">
        <f t="shared" ca="1" si="44"/>
        <v>101.00000005960464</v>
      </c>
      <c r="E339" s="64">
        <f ca="1">AN338+IF(controls!$B$33=1,G339,F339)</f>
        <v>101.00000005960464</v>
      </c>
      <c r="F339" s="78">
        <f ca="1">IF(controls!$B$44=0,H339-'main page'!$K$27*T338,H339-'main page'!$K$27*T338+'main page'!$K$31*AI338)</f>
        <v>101.00000005960464</v>
      </c>
      <c r="G339" s="62">
        <f ca="1">IF(controls!$B$44=0,I339-'main page'!$K$27*T338,I339-'main page'!$K$27*T338+'main page'!$K$31*'normal case'!AI338)</f>
        <v>101.00000005960464</v>
      </c>
      <c r="H339" s="62">
        <f t="shared" ca="1" si="42"/>
        <v>108</v>
      </c>
      <c r="I339" s="62">
        <f t="shared" ca="1" si="43"/>
        <v>108</v>
      </c>
      <c r="L339" s="62">
        <f ca="1">IF(ABS('main page'!$K$29*L338+(1-'main page'!$K$29)*(controls!$B$9/100)*100+'main page'!$K$25*(D339-B339)-L338)&lt;0.0000001,L338,'main page'!$K$29*L338+(1-'main page'!$K$29)*(controls!$B$9/100)*100+'main page'!$K$25*(D339-B339))</f>
        <v>1.9999998807907104</v>
      </c>
      <c r="Q339" s="409">
        <f ca="1">(1-'main page'!$K$29)*($AS$11/100)*100+'main page'!$K$25*(D339-B339)</f>
        <v>5.9604644775390625E-8</v>
      </c>
      <c r="R339" s="409">
        <f>'main page'!G343+'main page'!$K$29*M338</f>
        <v>0</v>
      </c>
      <c r="S339" s="409">
        <f t="shared" ca="1" si="49"/>
        <v>5.9604644775390625E-8</v>
      </c>
      <c r="T339" s="79">
        <f ca="1">IF(controls!$B$10=1,T338,IF(SUM(controls!$B$44:$B$46)=2,U339-'main page'!$K$29*'normal case'!L339-(1-'main page'!$K$29)*'main page'!$K$32,U339-'main page'!$K$29*'normal case'!L339-(1-'main page'!$K$29)*controls!$B$9))</f>
        <v>3.4999999701976776</v>
      </c>
      <c r="U339" s="164">
        <f ca="1">IF(controls!$B$45=1,IF(controls!$B$46=1,'main page'!$K$24+'main page'!$K$11+'main page'!$U$8,'main page'!$K$24+'main page'!$K$11+'main page'!$K$32),IF(controls!$B$44=1,IF(V339&lt;0,0,V339),IF(V339+'main page'!$K$11&lt;0,0,V339+'main page'!$K$11)))</f>
        <v>5.4999998509883881</v>
      </c>
      <c r="V339" s="63">
        <f ca="1">IF(controls!$B$10=1,'normal case'!T339+'normal case'!L339,'normal case'!W339)</f>
        <v>5.4999998509883881</v>
      </c>
      <c r="W339" s="61">
        <f t="shared" ca="1" si="45"/>
        <v>5.4999998509883881</v>
      </c>
      <c r="X339" s="166">
        <f ca="1">IF(controls!$B$44=0,Y339+'main page'!$K$29*L339+(1-'main page'!$K$29)*controls!$B$9+(('main page'!$K$25*'main page'!$U$13*'main page'!$K$29)/('main page'!$K$27*(1+('main page'!$K$25^2)*'main page'!$U$13)))*(L339-controls!$B$9),Y339+'main page'!$K$29*L339+(1-'main page'!$K$29)*controls!$B$9+(('main page'!$K$25*'main page'!$U$13*'normal case'!$AV$3)/'normal case'!$AV$4)*('normal case'!L339-controls!$B$9))</f>
        <v>5.4999998509883881</v>
      </c>
      <c r="Y339" s="81">
        <f ca="1">IF(controls!$B$44=1,'main page'!$K$24+'main page'!$K$11,IF(controls!$B$33=1,((I340-D339*AD340-B340+B339*AC340)/'main page'!$K$27)-'main page'!$K$11,((H340-D339*AD340-B340+B339*AC340)/'main page'!$K$27)-'main page'!$K$11))</f>
        <v>3.5</v>
      </c>
      <c r="AA339" s="58">
        <f>IF(controls!$B$6=1,$AS$3*(1+('main page'!$K$35/100))^AB339-$AS$3*(1+('main page'!$K$35/100))^AB338,$AS$3*(1+('main page'!$G$8/100))*(1+('main page'!$K$35/100))^AB339-$AS$3*(1+('main page'!$G$8/100))*(1+('main page'!$K$35/100))^AB338)</f>
        <v>0</v>
      </c>
      <c r="AB339" s="60">
        <v>332</v>
      </c>
      <c r="AC339" s="125">
        <v>0</v>
      </c>
      <c r="AD339" s="36">
        <v>0</v>
      </c>
      <c r="AE339" s="44">
        <f ca="1">IF(controls!$B$33=1,D339-($I$3-'main page'!$K$27*2)*(1+('main page'!$K$35/100))^A338,D339-$AS$4)</f>
        <v>1.0000000596046448</v>
      </c>
      <c r="AF339" s="44">
        <f ca="1">ABS(L339-(controls!$B$9/100)*100)</f>
        <v>1.1920928955078125E-7</v>
      </c>
      <c r="AH339" s="44">
        <f ca="1">IF(controls!$B$33=1,(B340-B339*AC340-I340+D339*AD340+'main page'!$K$27*('main page'!$K$24+'main page'!$K$11))/'main page'!$K$31,(B340-B339*AC340+D339*AD340-H340+'main page'!$K$27*('main page'!$K$24+'main page'!$K$11))/'main page'!$K$31)</f>
        <v>1</v>
      </c>
      <c r="AI339" s="44">
        <f ca="1">IF(controls!$B$45=1,LOG(AM339,1.01)+LOG(AL339,1.01)-LOG(AK339,1.01),-((T339-('main page'!$K$24+'main page'!$K$11))/(1-'normal case'!$AV$3))+'normal case'!AH339)</f>
        <v>2.0000000596046448</v>
      </c>
      <c r="AJ339" s="80">
        <f t="shared" ca="1" si="46"/>
        <v>1.0506250015463039</v>
      </c>
      <c r="AK339" s="44">
        <f t="shared" ca="1" si="47"/>
        <v>760.52587062204566</v>
      </c>
      <c r="AL339" s="44">
        <f>AL338*(1+'main page'!$K$32/100)</f>
        <v>1</v>
      </c>
      <c r="AM339" s="44">
        <f ca="1">IF(ABS(IF(controls!$B$45=1,$AS$13,AK339*AJ339/AL339)-AM338)&lt;0.00001,AM338,IF(controls!$B$45=1,$AS$13,AK339*AJ339/AL339))</f>
        <v>799.02749399829088</v>
      </c>
      <c r="AN339" s="44">
        <f>IF(controls!$B$46=0,0,IF(controls!$B$33=2,B340-B339*AC340-('normal case'!H340-D339*AD340-'main page'!$K$27*'normal case'!T339+'main page'!$K$31*'normal case'!AI339)-(('main page'!$K$25*'main page'!$U$13*'main page'!$K$29)/(1+('main page'!$K$25^2)*'main page'!$U$13))*('normal case'!L339-'main page'!$U$8),B340-B339*AC340-('normal case'!I340-D339*AD340-'main page'!$K$27*'normal case'!T339+'main page'!$K$31*'normal case'!AI339)-(('main page'!$K$25*'main page'!$U$13*'main page'!$K$29)/(1+('main page'!$K$25^2)*'main page'!$U$13))*('normal case'!L339-'main page'!$U$8)))</f>
        <v>0</v>
      </c>
      <c r="AU339" s="36"/>
      <c r="AV339" s="36"/>
    </row>
    <row r="340" spans="1:48">
      <c r="A340" s="43">
        <v>338</v>
      </c>
      <c r="B340" s="62">
        <f ca="1">IF(controls!$B$33=1,B339*(1+AC340)+AA340,B339*(1+AC340))</f>
        <v>101</v>
      </c>
      <c r="C340" s="67">
        <f t="shared" ca="1" si="48"/>
        <v>-1.5107707374006907E-7</v>
      </c>
      <c r="D340" s="64">
        <f t="shared" ca="1" si="44"/>
        <v>101.00000005960464</v>
      </c>
      <c r="E340" s="64">
        <f ca="1">AN339+IF(controls!$B$33=1,G340,F340)</f>
        <v>101.00000005960464</v>
      </c>
      <c r="F340" s="78">
        <f ca="1">IF(controls!$B$44=0,H340-'main page'!$K$27*T339,H340-'main page'!$K$27*T339+'main page'!$K$31*AI339)</f>
        <v>101.00000005960464</v>
      </c>
      <c r="G340" s="62">
        <f ca="1">IF(controls!$B$44=0,I340-'main page'!$K$27*T339,I340-'main page'!$K$27*T339+'main page'!$K$31*'normal case'!AI339)</f>
        <v>101.00000005960464</v>
      </c>
      <c r="H340" s="62">
        <f t="shared" ca="1" si="42"/>
        <v>108</v>
      </c>
      <c r="I340" s="62">
        <f t="shared" ca="1" si="43"/>
        <v>108</v>
      </c>
      <c r="L340" s="62">
        <f ca="1">IF(ABS('main page'!$K$29*L339+(1-'main page'!$K$29)*(controls!$B$9/100)*100+'main page'!$K$25*(D340-B340)-L339)&lt;0.0000001,L339,'main page'!$K$29*L339+(1-'main page'!$K$29)*(controls!$B$9/100)*100+'main page'!$K$25*(D340-B340))</f>
        <v>1.9999998807907104</v>
      </c>
      <c r="Q340" s="409">
        <f ca="1">(1-'main page'!$K$29)*($AS$11/100)*100+'main page'!$K$25*(D340-B340)</f>
        <v>5.9604644775390625E-8</v>
      </c>
      <c r="R340" s="409">
        <f>'main page'!G344+'main page'!$K$29*M339</f>
        <v>0</v>
      </c>
      <c r="S340" s="409">
        <f t="shared" ca="1" si="49"/>
        <v>5.9604644775390625E-8</v>
      </c>
      <c r="T340" s="79">
        <f ca="1">IF(controls!$B$10=1,T339,IF(SUM(controls!$B$44:$B$46)=2,U340-'main page'!$K$29*'normal case'!L340-(1-'main page'!$K$29)*'main page'!$K$32,U340-'main page'!$K$29*'normal case'!L340-(1-'main page'!$K$29)*controls!$B$9))</f>
        <v>3.4999999701976776</v>
      </c>
      <c r="U340" s="164">
        <f ca="1">IF(controls!$B$45=1,IF(controls!$B$46=1,'main page'!$K$24+'main page'!$K$11+'main page'!$U$8,'main page'!$K$24+'main page'!$K$11+'main page'!$K$32),IF(controls!$B$44=1,IF(V340&lt;0,0,V340),IF(V340+'main page'!$K$11&lt;0,0,V340+'main page'!$K$11)))</f>
        <v>5.4999998509883881</v>
      </c>
      <c r="V340" s="63">
        <f ca="1">IF(controls!$B$10=1,'normal case'!T340+'normal case'!L340,'normal case'!W340)</f>
        <v>5.4999998509883881</v>
      </c>
      <c r="W340" s="61">
        <f t="shared" ca="1" si="45"/>
        <v>5.4999998509883881</v>
      </c>
      <c r="X340" s="166">
        <f ca="1">IF(controls!$B$44=0,Y340+'main page'!$K$29*L340+(1-'main page'!$K$29)*controls!$B$9+(('main page'!$K$25*'main page'!$U$13*'main page'!$K$29)/('main page'!$K$27*(1+('main page'!$K$25^2)*'main page'!$U$13)))*(L340-controls!$B$9),Y340+'main page'!$K$29*L340+(1-'main page'!$K$29)*controls!$B$9+(('main page'!$K$25*'main page'!$U$13*'normal case'!$AV$3)/'normal case'!$AV$4)*('normal case'!L340-controls!$B$9))</f>
        <v>5.4999998509883881</v>
      </c>
      <c r="Y340" s="81">
        <f ca="1">IF(controls!$B$44=1,'main page'!$K$24+'main page'!$K$11,IF(controls!$B$33=1,((I341-D340*AD341-B341+B340*AC341)/'main page'!$K$27)-'main page'!$K$11,((H341-D340*AD341-B341+B340*AC341)/'main page'!$K$27)-'main page'!$K$11))</f>
        <v>3.5</v>
      </c>
      <c r="AA340" s="58">
        <f>IF(controls!$B$6=1,$AS$3*(1+('main page'!$K$35/100))^AB340-$AS$3*(1+('main page'!$K$35/100))^AB339,$AS$3*(1+('main page'!$G$8/100))*(1+('main page'!$K$35/100))^AB340-$AS$3*(1+('main page'!$G$8/100))*(1+('main page'!$K$35/100))^AB339)</f>
        <v>0</v>
      </c>
      <c r="AB340" s="60">
        <v>333</v>
      </c>
      <c r="AC340" s="125">
        <v>0</v>
      </c>
      <c r="AD340" s="36">
        <v>0</v>
      </c>
      <c r="AE340" s="44">
        <f ca="1">IF(controls!$B$33=1,D340-($I$3-'main page'!$K$27*2)*(1+('main page'!$K$35/100))^A339,D340-$AS$4)</f>
        <v>1.0000000596046448</v>
      </c>
      <c r="AF340" s="44">
        <f ca="1">ABS(L340-(controls!$B$9/100)*100)</f>
        <v>1.1920928955078125E-7</v>
      </c>
      <c r="AH340" s="44">
        <f ca="1">IF(controls!$B$33=1,(B341-B340*AC341-I341+D340*AD341+'main page'!$K$27*('main page'!$K$24+'main page'!$K$11))/'main page'!$K$31,(B341-B340*AC341+D340*AD341-H341+'main page'!$K$27*('main page'!$K$24+'main page'!$K$11))/'main page'!$K$31)</f>
        <v>1</v>
      </c>
      <c r="AI340" s="44">
        <f ca="1">IF(controls!$B$45=1,LOG(AM340,1.01)+LOG(AL340,1.01)-LOG(AK340,1.01),-((T340-('main page'!$K$24+'main page'!$K$11))/(1-'normal case'!$AV$3))+'normal case'!AH340)</f>
        <v>2.0000000596046448</v>
      </c>
      <c r="AJ340" s="80">
        <f t="shared" ca="1" si="46"/>
        <v>1.0506250015463039</v>
      </c>
      <c r="AK340" s="44">
        <f t="shared" ca="1" si="47"/>
        <v>775.73638712786908</v>
      </c>
      <c r="AL340" s="44">
        <f>AL339*(1+'main page'!$K$32/100)</f>
        <v>1</v>
      </c>
      <c r="AM340" s="44">
        <f ca="1">IF(ABS(IF(controls!$B$45=1,$AS$13,AK340*AJ340/AL340)-AM339)&lt;0.00001,AM339,IF(controls!$B$45=1,$AS$13,AK340*AJ340/AL340))</f>
        <v>815.00804292574162</v>
      </c>
      <c r="AN340" s="44">
        <f>IF(controls!$B$46=0,0,IF(controls!$B$33=2,B341-B340*AC341-('normal case'!H341-D340*AD341-'main page'!$K$27*'normal case'!T340+'main page'!$K$31*'normal case'!AI340)-(('main page'!$K$25*'main page'!$U$13*'main page'!$K$29)/(1+('main page'!$K$25^2)*'main page'!$U$13))*('normal case'!L340-'main page'!$U$8),B341-B340*AC341-('normal case'!I341-D340*AD341-'main page'!$K$27*'normal case'!T340+'main page'!$K$31*'normal case'!AI340)-(('main page'!$K$25*'main page'!$U$13*'main page'!$K$29)/(1+('main page'!$K$25^2)*'main page'!$U$13))*('normal case'!L340-'main page'!$U$8)))</f>
        <v>0</v>
      </c>
      <c r="AU340" s="36"/>
      <c r="AV340" s="36"/>
    </row>
    <row r="341" spans="1:48">
      <c r="A341" s="43">
        <v>339</v>
      </c>
      <c r="B341" s="62">
        <f ca="1">IF(controls!$B$33=1,B340*(1+AC341)+AA341,B340*(1+AC341))</f>
        <v>101</v>
      </c>
      <c r="C341" s="67">
        <f t="shared" ca="1" si="48"/>
        <v>-1.5107707374006907E-7</v>
      </c>
      <c r="D341" s="64">
        <f t="shared" ca="1" si="44"/>
        <v>101.00000005960464</v>
      </c>
      <c r="E341" s="64">
        <f ca="1">AN340+IF(controls!$B$33=1,G341,F341)</f>
        <v>101.00000005960464</v>
      </c>
      <c r="F341" s="78">
        <f ca="1">IF(controls!$B$44=0,H341-'main page'!$K$27*T340,H341-'main page'!$K$27*T340+'main page'!$K$31*AI340)</f>
        <v>101.00000005960464</v>
      </c>
      <c r="G341" s="62">
        <f ca="1">IF(controls!$B$44=0,I341-'main page'!$K$27*T340,I341-'main page'!$K$27*T340+'main page'!$K$31*'normal case'!AI340)</f>
        <v>101.00000005960464</v>
      </c>
      <c r="H341" s="62">
        <f t="shared" ca="1" si="42"/>
        <v>108</v>
      </c>
      <c r="I341" s="62">
        <f t="shared" ca="1" si="43"/>
        <v>108</v>
      </c>
      <c r="L341" s="62">
        <f ca="1">IF(ABS('main page'!$K$29*L340+(1-'main page'!$K$29)*(controls!$B$9/100)*100+'main page'!$K$25*(D341-B341)-L340)&lt;0.0000001,L340,'main page'!$K$29*L340+(1-'main page'!$K$29)*(controls!$B$9/100)*100+'main page'!$K$25*(D341-B341))</f>
        <v>1.9999998807907104</v>
      </c>
      <c r="Q341" s="409">
        <f ca="1">(1-'main page'!$K$29)*($AS$11/100)*100+'main page'!$K$25*(D341-B341)</f>
        <v>5.9604644775390625E-8</v>
      </c>
      <c r="R341" s="409">
        <f>'main page'!G345+'main page'!$K$29*M340</f>
        <v>0</v>
      </c>
      <c r="S341" s="409">
        <f t="shared" ca="1" si="49"/>
        <v>5.9604644775390625E-8</v>
      </c>
      <c r="T341" s="79">
        <f ca="1">IF(controls!$B$10=1,T340,IF(SUM(controls!$B$44:$B$46)=2,U341-'main page'!$K$29*'normal case'!L341-(1-'main page'!$K$29)*'main page'!$K$32,U341-'main page'!$K$29*'normal case'!L341-(1-'main page'!$K$29)*controls!$B$9))</f>
        <v>3.4999999701976776</v>
      </c>
      <c r="U341" s="164">
        <f ca="1">IF(controls!$B$45=1,IF(controls!$B$46=1,'main page'!$K$24+'main page'!$K$11+'main page'!$U$8,'main page'!$K$24+'main page'!$K$11+'main page'!$K$32),IF(controls!$B$44=1,IF(V341&lt;0,0,V341),IF(V341+'main page'!$K$11&lt;0,0,V341+'main page'!$K$11)))</f>
        <v>5.4999998509883881</v>
      </c>
      <c r="V341" s="63">
        <f ca="1">IF(controls!$B$10=1,'normal case'!T341+'normal case'!L341,'normal case'!W341)</f>
        <v>5.4999998509883881</v>
      </c>
      <c r="W341" s="61">
        <f t="shared" ca="1" si="45"/>
        <v>5.4999998509883881</v>
      </c>
      <c r="X341" s="166">
        <f ca="1">IF(controls!$B$44=0,Y341+'main page'!$K$29*L341+(1-'main page'!$K$29)*controls!$B$9+(('main page'!$K$25*'main page'!$U$13*'main page'!$K$29)/('main page'!$K$27*(1+('main page'!$K$25^2)*'main page'!$U$13)))*(L341-controls!$B$9),Y341+'main page'!$K$29*L341+(1-'main page'!$K$29)*controls!$B$9+(('main page'!$K$25*'main page'!$U$13*'normal case'!$AV$3)/'normal case'!$AV$4)*('normal case'!L341-controls!$B$9))</f>
        <v>5.4999998509883881</v>
      </c>
      <c r="Y341" s="81">
        <f ca="1">IF(controls!$B$44=1,'main page'!$K$24+'main page'!$K$11,IF(controls!$B$33=1,((I342-D341*AD342-B342+B341*AC342)/'main page'!$K$27)-'main page'!$K$11,((H342-D341*AD342-B342+B341*AC342)/'main page'!$K$27)-'main page'!$K$11))</f>
        <v>3.5</v>
      </c>
      <c r="AA341" s="58">
        <f>IF(controls!$B$6=1,$AS$3*(1+('main page'!$K$35/100))^AB341-$AS$3*(1+('main page'!$K$35/100))^AB340,$AS$3*(1+('main page'!$G$8/100))*(1+('main page'!$K$35/100))^AB341-$AS$3*(1+('main page'!$G$8/100))*(1+('main page'!$K$35/100))^AB340)</f>
        <v>0</v>
      </c>
      <c r="AB341" s="60">
        <v>334</v>
      </c>
      <c r="AC341" s="125">
        <f ca="1">IF(controls!$B$4=1,IF(controls!$H340=1,controls!$B$34*AC340+RAND()*('main page'!$K$16/100)-RAND()*('main page'!$K$16/100),0),0)</f>
        <v>0</v>
      </c>
      <c r="AD341" s="36">
        <f ca="1">IF(controls!$B$4=1,IF(controls!$I340=1,controls!$B$34*AD340+RAND()*('main page'!$K$16/100)-RAND()*('main page'!$K$16/100),0),0)</f>
        <v>0</v>
      </c>
      <c r="AE341" s="44">
        <f ca="1">IF(controls!$B$33=1,D341-($I$3-'main page'!$K$27*2)*(1+('main page'!$K$35/100))^A340,D341-$AS$4)</f>
        <v>1.0000000596046448</v>
      </c>
      <c r="AF341" s="44">
        <f ca="1">ABS(L341-(controls!$B$9/100)*100)</f>
        <v>1.1920928955078125E-7</v>
      </c>
      <c r="AH341" s="44">
        <f ca="1">IF(controls!$B$33=1,(B342-B341*AC342-I342+D341*AD342+'main page'!$K$27*('main page'!$K$24+'main page'!$K$11))/'main page'!$K$31,(B342-B341*AC342+D341*AD342-H342+'main page'!$K$27*('main page'!$K$24+'main page'!$K$11))/'main page'!$K$31)</f>
        <v>1</v>
      </c>
      <c r="AI341" s="44">
        <f ca="1">IF(controls!$B$45=1,LOG(AM341,1.01)+LOG(AL341,1.01)-LOG(AK341,1.01),-((T341-('main page'!$K$24+'main page'!$K$11))/(1-'normal case'!$AV$3))+'normal case'!AH341)</f>
        <v>2.0000000596046448</v>
      </c>
      <c r="AJ341" s="80">
        <f t="shared" ca="1" si="46"/>
        <v>1.0506250015463039</v>
      </c>
      <c r="AK341" s="44">
        <f t="shared" ca="1" si="47"/>
        <v>791.25111394567671</v>
      </c>
      <c r="AL341" s="44">
        <f>AL340*(1+'main page'!$K$32/100)</f>
        <v>1</v>
      </c>
      <c r="AM341" s="44">
        <f ca="1">IF(ABS(IF(controls!$B$45=1,$AS$13,AK341*AJ341/AL341)-AM340)&lt;0.00001,AM340,IF(controls!$B$45=1,$AS$13,AK341*AJ341/AL341))</f>
        <v>831.30820281269132</v>
      </c>
      <c r="AN341" s="44">
        <f>IF(controls!$B$46=0,0,IF(controls!$B$33=2,B342-B341*AC342-('normal case'!H342-D341*AD342-'main page'!$K$27*'normal case'!T341+'main page'!$K$31*'normal case'!AI341)-(('main page'!$K$25*'main page'!$U$13*'main page'!$K$29)/(1+('main page'!$K$25^2)*'main page'!$U$13))*('normal case'!L341-'main page'!$U$8),B342-B341*AC342-('normal case'!I342-D341*AD342-'main page'!$K$27*'normal case'!T341+'main page'!$K$31*'normal case'!AI341)-(('main page'!$K$25*'main page'!$U$13*'main page'!$K$29)/(1+('main page'!$K$25^2)*'main page'!$U$13))*('normal case'!L341-'main page'!$U$8)))</f>
        <v>0</v>
      </c>
      <c r="AU341" s="36"/>
      <c r="AV341" s="36"/>
    </row>
    <row r="342" spans="1:48">
      <c r="A342" s="43">
        <v>340</v>
      </c>
      <c r="B342" s="62">
        <f ca="1">IF(controls!$B$33=1,B341*(1+AC342)+AA342,B341*(1+AC342))</f>
        <v>101</v>
      </c>
      <c r="C342" s="67">
        <f t="shared" ca="1" si="48"/>
        <v>-1.5107707374006907E-7</v>
      </c>
      <c r="D342" s="64">
        <f t="shared" ca="1" si="44"/>
        <v>101.00000005960464</v>
      </c>
      <c r="E342" s="64">
        <f ca="1">AN341+IF(controls!$B$33=1,G342,F342)</f>
        <v>101.00000005960464</v>
      </c>
      <c r="F342" s="78">
        <f ca="1">IF(controls!$B$44=0,H342-'main page'!$K$27*T341,H342-'main page'!$K$27*T341+'main page'!$K$31*AI341)</f>
        <v>101.00000005960464</v>
      </c>
      <c r="G342" s="62">
        <f ca="1">IF(controls!$B$44=0,I342-'main page'!$K$27*T341,I342-'main page'!$K$27*T341+'main page'!$K$31*'normal case'!AI341)</f>
        <v>101.00000005960464</v>
      </c>
      <c r="H342" s="62">
        <f t="shared" ca="1" si="42"/>
        <v>108</v>
      </c>
      <c r="I342" s="62">
        <f t="shared" ca="1" si="43"/>
        <v>108</v>
      </c>
      <c r="L342" s="62">
        <f ca="1">IF(ABS('main page'!$K$29*L341+(1-'main page'!$K$29)*(controls!$B$9/100)*100+'main page'!$K$25*(D342-B342)-L341)&lt;0.0000001,L341,'main page'!$K$29*L341+(1-'main page'!$K$29)*(controls!$B$9/100)*100+'main page'!$K$25*(D342-B342))</f>
        <v>1.9999998807907104</v>
      </c>
      <c r="Q342" s="409">
        <f ca="1">(1-'main page'!$K$29)*($AS$11/100)*100+'main page'!$K$25*(D342-B342)</f>
        <v>5.9604644775390625E-8</v>
      </c>
      <c r="R342" s="409">
        <f>'main page'!G346+'main page'!$K$29*M341</f>
        <v>0</v>
      </c>
      <c r="S342" s="409">
        <f t="shared" ca="1" si="49"/>
        <v>5.9604644775390625E-8</v>
      </c>
      <c r="T342" s="79">
        <f ca="1">IF(controls!$B$10=1,T341,IF(SUM(controls!$B$44:$B$46)=2,U342-'main page'!$K$29*'normal case'!L342-(1-'main page'!$K$29)*'main page'!$K$32,U342-'main page'!$K$29*'normal case'!L342-(1-'main page'!$K$29)*controls!$B$9))</f>
        <v>3.4999999701976776</v>
      </c>
      <c r="U342" s="164">
        <f ca="1">IF(controls!$B$45=1,IF(controls!$B$46=1,'main page'!$K$24+'main page'!$K$11+'main page'!$U$8,'main page'!$K$24+'main page'!$K$11+'main page'!$K$32),IF(controls!$B$44=1,IF(V342&lt;0,0,V342),IF(V342+'main page'!$K$11&lt;0,0,V342+'main page'!$K$11)))</f>
        <v>5.4999998509883881</v>
      </c>
      <c r="V342" s="63">
        <f ca="1">IF(controls!$B$10=1,'normal case'!T342+'normal case'!L342,'normal case'!W342)</f>
        <v>5.4999998509883881</v>
      </c>
      <c r="W342" s="61">
        <f t="shared" ca="1" si="45"/>
        <v>5.4999998509883881</v>
      </c>
      <c r="X342" s="166">
        <f ca="1">IF(controls!$B$44=0,Y342+'main page'!$K$29*L342+(1-'main page'!$K$29)*controls!$B$9+(('main page'!$K$25*'main page'!$U$13*'main page'!$K$29)/('main page'!$K$27*(1+('main page'!$K$25^2)*'main page'!$U$13)))*(L342-controls!$B$9),Y342+'main page'!$K$29*L342+(1-'main page'!$K$29)*controls!$B$9+(('main page'!$K$25*'main page'!$U$13*'normal case'!$AV$3)/'normal case'!$AV$4)*('normal case'!L342-controls!$B$9))</f>
        <v>5.4999998509883881</v>
      </c>
      <c r="Y342" s="81">
        <f ca="1">IF(controls!$B$44=1,'main page'!$K$24+'main page'!$K$11,IF(controls!$B$33=1,((I343-D342*AD343-B343+B342*AC343)/'main page'!$K$27)-'main page'!$K$11,((H343-D342*AD343-B343+B342*AC343)/'main page'!$K$27)-'main page'!$K$11))</f>
        <v>3.5</v>
      </c>
      <c r="AA342" s="58">
        <f>IF(controls!$B$6=1,$AS$3*(1+('main page'!$K$35/100))^AB342-$AS$3*(1+('main page'!$K$35/100))^AB341,$AS$3*(1+('main page'!$G$8/100))*(1+('main page'!$K$35/100))^AB342-$AS$3*(1+('main page'!$G$8/100))*(1+('main page'!$K$35/100))^AB341)</f>
        <v>0</v>
      </c>
      <c r="AB342" s="60">
        <v>335</v>
      </c>
      <c r="AC342" s="125">
        <v>0</v>
      </c>
      <c r="AD342" s="36">
        <v>0</v>
      </c>
      <c r="AE342" s="44">
        <f ca="1">IF(controls!$B$33=1,D342-($I$3-'main page'!$K$27*2)*(1+('main page'!$K$35/100))^A341,D342-$AS$4)</f>
        <v>1.0000000596046448</v>
      </c>
      <c r="AF342" s="44">
        <f ca="1">ABS(L342-(controls!$B$9/100)*100)</f>
        <v>1.1920928955078125E-7</v>
      </c>
      <c r="AH342" s="44">
        <f ca="1">IF(controls!$B$33=1,(B343-B342*AC343-I343+D342*AD343+'main page'!$K$27*('main page'!$K$24+'main page'!$K$11))/'main page'!$K$31,(B343-B342*AC343+D342*AD343-H343+'main page'!$K$27*('main page'!$K$24+'main page'!$K$11))/'main page'!$K$31)</f>
        <v>1</v>
      </c>
      <c r="AI342" s="44">
        <f ca="1">IF(controls!$B$45=1,LOG(AM342,1.01)+LOG(AL342,1.01)-LOG(AK342,1.01),-((T342-('main page'!$K$24+'main page'!$K$11))/(1-'normal case'!$AV$3))+'normal case'!AH342)</f>
        <v>2.0000000596046448</v>
      </c>
      <c r="AJ342" s="80">
        <f t="shared" ca="1" si="46"/>
        <v>1.0506250015463039</v>
      </c>
      <c r="AK342" s="44">
        <f t="shared" ca="1" si="47"/>
        <v>807.0761352813455</v>
      </c>
      <c r="AL342" s="44">
        <f>AL341*(1+'main page'!$K$32/100)</f>
        <v>1</v>
      </c>
      <c r="AM342" s="44">
        <f ca="1">IF(ABS(IF(controls!$B$45=1,$AS$13,AK342*AJ342/AL342)-AM341)&lt;0.00001,AM341,IF(controls!$B$45=1,$AS$13,AK342*AJ342/AL342))</f>
        <v>847.93436587794861</v>
      </c>
      <c r="AN342" s="44">
        <f>IF(controls!$B$46=0,0,IF(controls!$B$33=2,B343-B342*AC343-('normal case'!H343-D342*AD343-'main page'!$K$27*'normal case'!T342+'main page'!$K$31*'normal case'!AI342)-(('main page'!$K$25*'main page'!$U$13*'main page'!$K$29)/(1+('main page'!$K$25^2)*'main page'!$U$13))*('normal case'!L342-'main page'!$U$8),B343-B342*AC343-('normal case'!I343-D342*AD343-'main page'!$K$27*'normal case'!T342+'main page'!$K$31*'normal case'!AI342)-(('main page'!$K$25*'main page'!$U$13*'main page'!$K$29)/(1+('main page'!$K$25^2)*'main page'!$U$13))*('normal case'!L342-'main page'!$U$8)))</f>
        <v>0</v>
      </c>
      <c r="AU342" s="36"/>
      <c r="AV342" s="36"/>
    </row>
    <row r="343" spans="1:48">
      <c r="A343" s="43">
        <v>341</v>
      </c>
      <c r="B343" s="62">
        <f ca="1">IF(controls!$B$33=1,B342*(1+AC343)+AA343,B342*(1+AC343))</f>
        <v>101</v>
      </c>
      <c r="C343" s="67">
        <f t="shared" ca="1" si="48"/>
        <v>-1.5107707374006907E-7</v>
      </c>
      <c r="D343" s="64">
        <f t="shared" ca="1" si="44"/>
        <v>101.00000005960464</v>
      </c>
      <c r="E343" s="64">
        <f ca="1">AN342+IF(controls!$B$33=1,G343,F343)</f>
        <v>101.00000005960464</v>
      </c>
      <c r="F343" s="78">
        <f ca="1">IF(controls!$B$44=0,H343-'main page'!$K$27*T342,H343-'main page'!$K$27*T342+'main page'!$K$31*AI342)</f>
        <v>101.00000005960464</v>
      </c>
      <c r="G343" s="62">
        <f ca="1">IF(controls!$B$44=0,I343-'main page'!$K$27*T342,I343-'main page'!$K$27*T342+'main page'!$K$31*'normal case'!AI342)</f>
        <v>101.00000005960464</v>
      </c>
      <c r="H343" s="62">
        <f t="shared" ca="1" si="42"/>
        <v>108</v>
      </c>
      <c r="I343" s="62">
        <f t="shared" ca="1" si="43"/>
        <v>108</v>
      </c>
      <c r="L343" s="62">
        <f ca="1">IF(ABS('main page'!$K$29*L342+(1-'main page'!$K$29)*(controls!$B$9/100)*100+'main page'!$K$25*(D343-B343)-L342)&lt;0.0000001,L342,'main page'!$K$29*L342+(1-'main page'!$K$29)*(controls!$B$9/100)*100+'main page'!$K$25*(D343-B343))</f>
        <v>1.9999998807907104</v>
      </c>
      <c r="Q343" s="409">
        <f ca="1">(1-'main page'!$K$29)*($AS$11/100)*100+'main page'!$K$25*(D343-B343)</f>
        <v>5.9604644775390625E-8</v>
      </c>
      <c r="R343" s="409">
        <f>'main page'!G347+'main page'!$K$29*M342</f>
        <v>0</v>
      </c>
      <c r="S343" s="409">
        <f t="shared" ca="1" si="49"/>
        <v>5.9604644775390625E-8</v>
      </c>
      <c r="T343" s="79">
        <f ca="1">IF(controls!$B$10=1,T342,IF(SUM(controls!$B$44:$B$46)=2,U343-'main page'!$K$29*'normal case'!L343-(1-'main page'!$K$29)*'main page'!$K$32,U343-'main page'!$K$29*'normal case'!L343-(1-'main page'!$K$29)*controls!$B$9))</f>
        <v>3.4999999701976776</v>
      </c>
      <c r="U343" s="164">
        <f ca="1">IF(controls!$B$45=1,IF(controls!$B$46=1,'main page'!$K$24+'main page'!$K$11+'main page'!$U$8,'main page'!$K$24+'main page'!$K$11+'main page'!$K$32),IF(controls!$B$44=1,IF(V343&lt;0,0,V343),IF(V343+'main page'!$K$11&lt;0,0,V343+'main page'!$K$11)))</f>
        <v>5.4999998509883881</v>
      </c>
      <c r="V343" s="63">
        <f ca="1">IF(controls!$B$10=1,'normal case'!T343+'normal case'!L343,'normal case'!W343)</f>
        <v>5.4999998509883881</v>
      </c>
      <c r="W343" s="61">
        <f t="shared" ca="1" si="45"/>
        <v>5.4999998509883881</v>
      </c>
      <c r="X343" s="166">
        <f ca="1">IF(controls!$B$44=0,Y343+'main page'!$K$29*L343+(1-'main page'!$K$29)*controls!$B$9+(('main page'!$K$25*'main page'!$U$13*'main page'!$K$29)/('main page'!$K$27*(1+('main page'!$K$25^2)*'main page'!$U$13)))*(L343-controls!$B$9),Y343+'main page'!$K$29*L343+(1-'main page'!$K$29)*controls!$B$9+(('main page'!$K$25*'main page'!$U$13*'normal case'!$AV$3)/'normal case'!$AV$4)*('normal case'!L343-controls!$B$9))</f>
        <v>5.4999998509883881</v>
      </c>
      <c r="Y343" s="81">
        <f ca="1">IF(controls!$B$44=1,'main page'!$K$24+'main page'!$K$11,IF(controls!$B$33=1,((I344-D343*AD344-B344+B343*AC344)/'main page'!$K$27)-'main page'!$K$11,((H344-D343*AD344-B344+B343*AC344)/'main page'!$K$27)-'main page'!$K$11))</f>
        <v>3.5</v>
      </c>
      <c r="AA343" s="58">
        <f>IF(controls!$B$6=1,$AS$3*(1+('main page'!$K$35/100))^AB343-$AS$3*(1+('main page'!$K$35/100))^AB342,$AS$3*(1+('main page'!$G$8/100))*(1+('main page'!$K$35/100))^AB343-$AS$3*(1+('main page'!$G$8/100))*(1+('main page'!$K$35/100))^AB342)</f>
        <v>0</v>
      </c>
      <c r="AB343" s="60">
        <v>336</v>
      </c>
      <c r="AC343" s="125">
        <v>0</v>
      </c>
      <c r="AD343" s="36">
        <v>0</v>
      </c>
      <c r="AE343" s="44">
        <f ca="1">IF(controls!$B$33=1,D343-($I$3-'main page'!$K$27*2)*(1+('main page'!$K$35/100))^A342,D343-$AS$4)</f>
        <v>1.0000000596046448</v>
      </c>
      <c r="AF343" s="44">
        <f ca="1">ABS(L343-(controls!$B$9/100)*100)</f>
        <v>1.1920928955078125E-7</v>
      </c>
      <c r="AH343" s="44">
        <f ca="1">IF(controls!$B$33=1,(B344-B343*AC344-I344+D343*AD344+'main page'!$K$27*('main page'!$K$24+'main page'!$K$11))/'main page'!$K$31,(B344-B343*AC344+D343*AD344-H344+'main page'!$K$27*('main page'!$K$24+'main page'!$K$11))/'main page'!$K$31)</f>
        <v>1</v>
      </c>
      <c r="AI343" s="44">
        <f ca="1">IF(controls!$B$45=1,LOG(AM343,1.01)+LOG(AL343,1.01)-LOG(AK343,1.01),-((T343-('main page'!$K$24+'main page'!$K$11))/(1-'normal case'!$AV$3))+'normal case'!AH343)</f>
        <v>2.0000000596046448</v>
      </c>
      <c r="AJ343" s="80">
        <f t="shared" ca="1" si="46"/>
        <v>1.0506250015463039</v>
      </c>
      <c r="AK343" s="44">
        <f t="shared" ca="1" si="47"/>
        <v>823.21765702486277</v>
      </c>
      <c r="AL343" s="44">
        <f>AL342*(1+'main page'!$K$32/100)</f>
        <v>1</v>
      </c>
      <c r="AM343" s="44">
        <f ca="1">IF(ABS(IF(controls!$B$45=1,$AS$13,AK343*AJ343/AL343)-AM342)&lt;0.00001,AM342,IF(controls!$B$45=1,$AS$13,AK343*AJ343/AL343))</f>
        <v>864.8930521846911</v>
      </c>
      <c r="AN343" s="44">
        <f>IF(controls!$B$46=0,0,IF(controls!$B$33=2,B344-B343*AC344-('normal case'!H344-D343*AD344-'main page'!$K$27*'normal case'!T343+'main page'!$K$31*'normal case'!AI343)-(('main page'!$K$25*'main page'!$U$13*'main page'!$K$29)/(1+('main page'!$K$25^2)*'main page'!$U$13))*('normal case'!L343-'main page'!$U$8),B344-B343*AC344-('normal case'!I344-D343*AD344-'main page'!$K$27*'normal case'!T343+'main page'!$K$31*'normal case'!AI343)-(('main page'!$K$25*'main page'!$U$13*'main page'!$K$29)/(1+('main page'!$K$25^2)*'main page'!$U$13))*('normal case'!L343-'main page'!$U$8)))</f>
        <v>0</v>
      </c>
      <c r="AU343" s="36"/>
      <c r="AV343" s="36"/>
    </row>
    <row r="344" spans="1:48">
      <c r="A344" s="43">
        <v>342</v>
      </c>
      <c r="B344" s="62">
        <f ca="1">IF(controls!$B$33=1,B343*(1+AC344)+AA344,B343*(1+AC344))</f>
        <v>101</v>
      </c>
      <c r="C344" s="67">
        <f t="shared" ca="1" si="48"/>
        <v>-1.5107707374006907E-7</v>
      </c>
      <c r="D344" s="64">
        <f t="shared" ca="1" si="44"/>
        <v>101.00000005960464</v>
      </c>
      <c r="E344" s="64">
        <f ca="1">AN343+IF(controls!$B$33=1,G344,F344)</f>
        <v>101.00000005960464</v>
      </c>
      <c r="F344" s="78">
        <f ca="1">IF(controls!$B$44=0,H344-'main page'!$K$27*T343,H344-'main page'!$K$27*T343+'main page'!$K$31*AI343)</f>
        <v>101.00000005960464</v>
      </c>
      <c r="G344" s="62">
        <f ca="1">IF(controls!$B$44=0,I344-'main page'!$K$27*T343,I344-'main page'!$K$27*T343+'main page'!$K$31*'normal case'!AI343)</f>
        <v>101.00000005960464</v>
      </c>
      <c r="H344" s="62">
        <f t="shared" ref="H344:H407" ca="1" si="50">H343+D343*AD344</f>
        <v>108</v>
      </c>
      <c r="I344" s="62">
        <f t="shared" ref="I344:I407" ca="1" si="51">I343+D343*AD344+AA344</f>
        <v>108</v>
      </c>
      <c r="L344" s="62">
        <f ca="1">IF(ABS('main page'!$K$29*L343+(1-'main page'!$K$29)*(controls!$B$9/100)*100+'main page'!$K$25*(D344-B344)-L343)&lt;0.0000001,L343,'main page'!$K$29*L343+(1-'main page'!$K$29)*(controls!$B$9/100)*100+'main page'!$K$25*(D344-B344))</f>
        <v>1.9999998807907104</v>
      </c>
      <c r="Q344" s="409">
        <f ca="1">(1-'main page'!$K$29)*($AS$11/100)*100+'main page'!$K$25*(D344-B344)</f>
        <v>5.9604644775390625E-8</v>
      </c>
      <c r="R344" s="409">
        <f>'main page'!G348+'main page'!$K$29*M343</f>
        <v>0</v>
      </c>
      <c r="S344" s="409">
        <f t="shared" ca="1" si="49"/>
        <v>5.9604644775390625E-8</v>
      </c>
      <c r="T344" s="79">
        <f ca="1">IF(controls!$B$10=1,T343,IF(SUM(controls!$B$44:$B$46)=2,U344-'main page'!$K$29*'normal case'!L344-(1-'main page'!$K$29)*'main page'!$K$32,U344-'main page'!$K$29*'normal case'!L344-(1-'main page'!$K$29)*controls!$B$9))</f>
        <v>3.4999999701976776</v>
      </c>
      <c r="U344" s="164">
        <f ca="1">IF(controls!$B$45=1,IF(controls!$B$46=1,'main page'!$K$24+'main page'!$K$11+'main page'!$U$8,'main page'!$K$24+'main page'!$K$11+'main page'!$K$32),IF(controls!$B$44=1,IF(V344&lt;0,0,V344),IF(V344+'main page'!$K$11&lt;0,0,V344+'main page'!$K$11)))</f>
        <v>5.4999998509883881</v>
      </c>
      <c r="V344" s="63">
        <f ca="1">IF(controls!$B$10=1,'normal case'!T344+'normal case'!L344,'normal case'!W344)</f>
        <v>5.4999998509883881</v>
      </c>
      <c r="W344" s="61">
        <f t="shared" ca="1" si="45"/>
        <v>5.4999998509883881</v>
      </c>
      <c r="X344" s="166">
        <f ca="1">IF(controls!$B$44=0,Y344+'main page'!$K$29*L344+(1-'main page'!$K$29)*controls!$B$9+(('main page'!$K$25*'main page'!$U$13*'main page'!$K$29)/('main page'!$K$27*(1+('main page'!$K$25^2)*'main page'!$U$13)))*(L344-controls!$B$9),Y344+'main page'!$K$29*L344+(1-'main page'!$K$29)*controls!$B$9+(('main page'!$K$25*'main page'!$U$13*'normal case'!$AV$3)/'normal case'!$AV$4)*('normal case'!L344-controls!$B$9))</f>
        <v>5.4999998509883881</v>
      </c>
      <c r="Y344" s="81">
        <f ca="1">IF(controls!$B$44=1,'main page'!$K$24+'main page'!$K$11,IF(controls!$B$33=1,((I345-D344*AD345-B345+B344*AC345)/'main page'!$K$27)-'main page'!$K$11,((H345-D344*AD345-B345+B344*AC345)/'main page'!$K$27)-'main page'!$K$11))</f>
        <v>3.5</v>
      </c>
      <c r="AA344" s="58">
        <f>IF(controls!$B$6=1,$AS$3*(1+('main page'!$K$35/100))^AB344-$AS$3*(1+('main page'!$K$35/100))^AB343,$AS$3*(1+('main page'!$G$8/100))*(1+('main page'!$K$35/100))^AB344-$AS$3*(1+('main page'!$G$8/100))*(1+('main page'!$K$35/100))^AB343)</f>
        <v>0</v>
      </c>
      <c r="AB344" s="60">
        <v>337</v>
      </c>
      <c r="AC344" s="125">
        <f ca="1">IF(controls!$B$4=1,IF(controls!$H343=1,controls!$B$34*AC343+RAND()*('main page'!$K$16/100)-RAND()*('main page'!$K$16/100),0),0)</f>
        <v>0</v>
      </c>
      <c r="AD344" s="36">
        <f ca="1">IF(controls!$B$4=1,IF(controls!$I343=1,controls!$B$34*AD343+RAND()*('main page'!$K$16/100)-RAND()*('main page'!$K$16/100),0),0)</f>
        <v>0</v>
      </c>
      <c r="AE344" s="44">
        <f ca="1">IF(controls!$B$33=1,D344-($I$3-'main page'!$K$27*2)*(1+('main page'!$K$35/100))^A343,D344-$AS$4)</f>
        <v>1.0000000596046448</v>
      </c>
      <c r="AF344" s="44">
        <f ca="1">ABS(L344-(controls!$B$9/100)*100)</f>
        <v>1.1920928955078125E-7</v>
      </c>
      <c r="AH344" s="44">
        <f ca="1">IF(controls!$B$33=1,(B345-B344*AC345-I345+D344*AD345+'main page'!$K$27*('main page'!$K$24+'main page'!$K$11))/'main page'!$K$31,(B345-B344*AC345+D344*AD345-H345+'main page'!$K$27*('main page'!$K$24+'main page'!$K$11))/'main page'!$K$31)</f>
        <v>1</v>
      </c>
      <c r="AI344" s="44">
        <f ca="1">IF(controls!$B$45=1,LOG(AM344,1.01)+LOG(AL344,1.01)-LOG(AK344,1.01),-((T344-('main page'!$K$24+'main page'!$K$11))/(1-'normal case'!$AV$3))+'normal case'!AH344)</f>
        <v>2.0000000596046448</v>
      </c>
      <c r="AJ344" s="80">
        <f t="shared" ca="1" si="46"/>
        <v>1.0506250015463039</v>
      </c>
      <c r="AK344" s="44">
        <f t="shared" ca="1" si="47"/>
        <v>839.68200918400817</v>
      </c>
      <c r="AL344" s="44">
        <f>AL343*(1+'main page'!$K$32/100)</f>
        <v>1</v>
      </c>
      <c r="AM344" s="44">
        <f ca="1">IF(ABS(IF(controls!$B$45=1,$AS$13,AK344*AJ344/AL344)-AM343)&lt;0.00001,AM343,IF(controls!$B$45=1,$AS$13,AK344*AJ344/AL344))</f>
        <v>882.19091219735219</v>
      </c>
      <c r="AN344" s="44">
        <f>IF(controls!$B$46=0,0,IF(controls!$B$33=2,B345-B344*AC345-('normal case'!H345-D344*AD345-'main page'!$K$27*'normal case'!T344+'main page'!$K$31*'normal case'!AI344)-(('main page'!$K$25*'main page'!$U$13*'main page'!$K$29)/(1+('main page'!$K$25^2)*'main page'!$U$13))*('normal case'!L344-'main page'!$U$8),B345-B344*AC345-('normal case'!I345-D344*AD345-'main page'!$K$27*'normal case'!T344+'main page'!$K$31*'normal case'!AI344)-(('main page'!$K$25*'main page'!$U$13*'main page'!$K$29)/(1+('main page'!$K$25^2)*'main page'!$U$13))*('normal case'!L344-'main page'!$U$8)))</f>
        <v>0</v>
      </c>
      <c r="AU344" s="36"/>
      <c r="AV344" s="36"/>
    </row>
    <row r="345" spans="1:48">
      <c r="A345" s="43">
        <v>343</v>
      </c>
      <c r="B345" s="62">
        <f ca="1">IF(controls!$B$33=1,B344*(1+AC345)+AA345,B344*(1+AC345))</f>
        <v>101</v>
      </c>
      <c r="C345" s="67">
        <f t="shared" ca="1" si="48"/>
        <v>-1.5107707374006907E-7</v>
      </c>
      <c r="D345" s="64">
        <f t="shared" ca="1" si="44"/>
        <v>101.00000005960464</v>
      </c>
      <c r="E345" s="64">
        <f ca="1">AN344+IF(controls!$B$33=1,G345,F345)</f>
        <v>101.00000005960464</v>
      </c>
      <c r="F345" s="78">
        <f ca="1">IF(controls!$B$44=0,H345-'main page'!$K$27*T344,H345-'main page'!$K$27*T344+'main page'!$K$31*AI344)</f>
        <v>101.00000005960464</v>
      </c>
      <c r="G345" s="62">
        <f ca="1">IF(controls!$B$44=0,I345-'main page'!$K$27*T344,I345-'main page'!$K$27*T344+'main page'!$K$31*'normal case'!AI344)</f>
        <v>101.00000005960464</v>
      </c>
      <c r="H345" s="62">
        <f t="shared" ca="1" si="50"/>
        <v>108</v>
      </c>
      <c r="I345" s="62">
        <f t="shared" ca="1" si="51"/>
        <v>108</v>
      </c>
      <c r="L345" s="62">
        <f ca="1">IF(ABS('main page'!$K$29*L344+(1-'main page'!$K$29)*(controls!$B$9/100)*100+'main page'!$K$25*(D345-B345)-L344)&lt;0.0000001,L344,'main page'!$K$29*L344+(1-'main page'!$K$29)*(controls!$B$9/100)*100+'main page'!$K$25*(D345-B345))</f>
        <v>1.9999998807907104</v>
      </c>
      <c r="Q345" s="409">
        <f ca="1">(1-'main page'!$K$29)*($AS$11/100)*100+'main page'!$K$25*(D345-B345)</f>
        <v>5.9604644775390625E-8</v>
      </c>
      <c r="R345" s="409">
        <f>'main page'!G349+'main page'!$K$29*M344</f>
        <v>0</v>
      </c>
      <c r="S345" s="409">
        <f t="shared" ca="1" si="49"/>
        <v>5.9604644775390625E-8</v>
      </c>
      <c r="T345" s="79">
        <f ca="1">IF(controls!$B$10=1,T344,IF(SUM(controls!$B$44:$B$46)=2,U345-'main page'!$K$29*'normal case'!L345-(1-'main page'!$K$29)*'main page'!$K$32,U345-'main page'!$K$29*'normal case'!L345-(1-'main page'!$K$29)*controls!$B$9))</f>
        <v>3.4999999701976776</v>
      </c>
      <c r="U345" s="164">
        <f ca="1">IF(controls!$B$45=1,IF(controls!$B$46=1,'main page'!$K$24+'main page'!$K$11+'main page'!$U$8,'main page'!$K$24+'main page'!$K$11+'main page'!$K$32),IF(controls!$B$44=1,IF(V345&lt;0,0,V345),IF(V345+'main page'!$K$11&lt;0,0,V345+'main page'!$K$11)))</f>
        <v>5.4999998509883881</v>
      </c>
      <c r="V345" s="63">
        <f ca="1">IF(controls!$B$10=1,'normal case'!T345+'normal case'!L345,'normal case'!W345)</f>
        <v>5.4999998509883881</v>
      </c>
      <c r="W345" s="61">
        <f t="shared" ca="1" si="45"/>
        <v>5.4999998509883881</v>
      </c>
      <c r="X345" s="166">
        <f ca="1">IF(controls!$B$44=0,Y345+'main page'!$K$29*L345+(1-'main page'!$K$29)*controls!$B$9+(('main page'!$K$25*'main page'!$U$13*'main page'!$K$29)/('main page'!$K$27*(1+('main page'!$K$25^2)*'main page'!$U$13)))*(L345-controls!$B$9),Y345+'main page'!$K$29*L345+(1-'main page'!$K$29)*controls!$B$9+(('main page'!$K$25*'main page'!$U$13*'normal case'!$AV$3)/'normal case'!$AV$4)*('normal case'!L345-controls!$B$9))</f>
        <v>5.4999998509883881</v>
      </c>
      <c r="Y345" s="81">
        <f ca="1">IF(controls!$B$44=1,'main page'!$K$24+'main page'!$K$11,IF(controls!$B$33=1,((I346-D345*AD346-B346+B345*AC346)/'main page'!$K$27)-'main page'!$K$11,((H346-D345*AD346-B346+B345*AC346)/'main page'!$K$27)-'main page'!$K$11))</f>
        <v>3.5</v>
      </c>
      <c r="AA345" s="58">
        <f>IF(controls!$B$6=1,$AS$3*(1+('main page'!$K$35/100))^AB345-$AS$3*(1+('main page'!$K$35/100))^AB344,$AS$3*(1+('main page'!$G$8/100))*(1+('main page'!$K$35/100))^AB345-$AS$3*(1+('main page'!$G$8/100))*(1+('main page'!$K$35/100))^AB344)</f>
        <v>0</v>
      </c>
      <c r="AB345" s="60">
        <v>338</v>
      </c>
      <c r="AC345" s="125">
        <v>0</v>
      </c>
      <c r="AD345" s="36">
        <v>0</v>
      </c>
      <c r="AE345" s="44">
        <f ca="1">IF(controls!$B$33=1,D345-($I$3-'main page'!$K$27*2)*(1+('main page'!$K$35/100))^A344,D345-$AS$4)</f>
        <v>1.0000000596046448</v>
      </c>
      <c r="AF345" s="44">
        <f ca="1">ABS(L345-(controls!$B$9/100)*100)</f>
        <v>1.1920928955078125E-7</v>
      </c>
      <c r="AH345" s="44">
        <f ca="1">IF(controls!$B$33=1,(B346-B345*AC346-I346+D345*AD346+'main page'!$K$27*('main page'!$K$24+'main page'!$K$11))/'main page'!$K$31,(B346-B345*AC346+D345*AD346-H346+'main page'!$K$27*('main page'!$K$24+'main page'!$K$11))/'main page'!$K$31)</f>
        <v>1</v>
      </c>
      <c r="AI345" s="44">
        <f ca="1">IF(controls!$B$45=1,LOG(AM345,1.01)+LOG(AL345,1.01)-LOG(AK345,1.01),-((T345-('main page'!$K$24+'main page'!$K$11))/(1-'normal case'!$AV$3))+'normal case'!AH345)</f>
        <v>2.0000000596046448</v>
      </c>
      <c r="AJ345" s="80">
        <f t="shared" ca="1" si="46"/>
        <v>1.0506250015463039</v>
      </c>
      <c r="AK345" s="44">
        <f t="shared" ca="1" si="47"/>
        <v>856.47564836670938</v>
      </c>
      <c r="AL345" s="44">
        <f>AL344*(1+'main page'!$K$32/100)</f>
        <v>1</v>
      </c>
      <c r="AM345" s="44">
        <f ca="1">IF(ABS(IF(controls!$B$45=1,$AS$13,AK345*AJ345/AL345)-AM344)&lt;0.00001,AM344,IF(controls!$B$45=1,$AS$13,AK345*AJ345/AL345))</f>
        <v>899.83472938964564</v>
      </c>
      <c r="AN345" s="44">
        <f>IF(controls!$B$46=0,0,IF(controls!$B$33=2,B346-B345*AC346-('normal case'!H346-D345*AD346-'main page'!$K$27*'normal case'!T345+'main page'!$K$31*'normal case'!AI345)-(('main page'!$K$25*'main page'!$U$13*'main page'!$K$29)/(1+('main page'!$K$25^2)*'main page'!$U$13))*('normal case'!L345-'main page'!$U$8),B346-B345*AC346-('normal case'!I346-D345*AD346-'main page'!$K$27*'normal case'!T345+'main page'!$K$31*'normal case'!AI345)-(('main page'!$K$25*'main page'!$U$13*'main page'!$K$29)/(1+('main page'!$K$25^2)*'main page'!$U$13))*('normal case'!L345-'main page'!$U$8)))</f>
        <v>0</v>
      </c>
      <c r="AU345" s="36"/>
      <c r="AV345" s="36"/>
    </row>
    <row r="346" spans="1:48">
      <c r="A346" s="43">
        <v>344</v>
      </c>
      <c r="B346" s="62">
        <f ca="1">IF(controls!$B$33=1,B345*(1+AC346)+AA346,B345*(1+AC346))</f>
        <v>101</v>
      </c>
      <c r="C346" s="67">
        <f t="shared" ca="1" si="48"/>
        <v>-1.5107707374006907E-7</v>
      </c>
      <c r="D346" s="64">
        <f t="shared" ca="1" si="44"/>
        <v>101.00000005960464</v>
      </c>
      <c r="E346" s="64">
        <f ca="1">AN345+IF(controls!$B$33=1,G346,F346)</f>
        <v>101.00000005960464</v>
      </c>
      <c r="F346" s="78">
        <f ca="1">IF(controls!$B$44=0,H346-'main page'!$K$27*T345,H346-'main page'!$K$27*T345+'main page'!$K$31*AI345)</f>
        <v>101.00000005960464</v>
      </c>
      <c r="G346" s="62">
        <f ca="1">IF(controls!$B$44=0,I346-'main page'!$K$27*T345,I346-'main page'!$K$27*T345+'main page'!$K$31*'normal case'!AI345)</f>
        <v>101.00000005960464</v>
      </c>
      <c r="H346" s="62">
        <f t="shared" ca="1" si="50"/>
        <v>108</v>
      </c>
      <c r="I346" s="62">
        <f t="shared" ca="1" si="51"/>
        <v>108</v>
      </c>
      <c r="L346" s="62">
        <f ca="1">IF(ABS('main page'!$K$29*L345+(1-'main page'!$K$29)*(controls!$B$9/100)*100+'main page'!$K$25*(D346-B346)-L345)&lt;0.0000001,L345,'main page'!$K$29*L345+(1-'main page'!$K$29)*(controls!$B$9/100)*100+'main page'!$K$25*(D346-B346))</f>
        <v>1.9999998807907104</v>
      </c>
      <c r="Q346" s="409">
        <f ca="1">(1-'main page'!$K$29)*($AS$11/100)*100+'main page'!$K$25*(D346-B346)</f>
        <v>5.9604644775390625E-8</v>
      </c>
      <c r="R346" s="409">
        <f>'main page'!G350+'main page'!$K$29*M345</f>
        <v>0</v>
      </c>
      <c r="S346" s="409">
        <f t="shared" ca="1" si="49"/>
        <v>5.9604644775390625E-8</v>
      </c>
      <c r="T346" s="79">
        <f ca="1">IF(controls!$B$10=1,T345,IF(SUM(controls!$B$44:$B$46)=2,U346-'main page'!$K$29*'normal case'!L346-(1-'main page'!$K$29)*'main page'!$K$32,U346-'main page'!$K$29*'normal case'!L346-(1-'main page'!$K$29)*controls!$B$9))</f>
        <v>3.4999999701976776</v>
      </c>
      <c r="U346" s="164">
        <f ca="1">IF(controls!$B$45=1,IF(controls!$B$46=1,'main page'!$K$24+'main page'!$K$11+'main page'!$U$8,'main page'!$K$24+'main page'!$K$11+'main page'!$K$32),IF(controls!$B$44=1,IF(V346&lt;0,0,V346),IF(V346+'main page'!$K$11&lt;0,0,V346+'main page'!$K$11)))</f>
        <v>5.4999998509883881</v>
      </c>
      <c r="V346" s="63">
        <f ca="1">IF(controls!$B$10=1,'normal case'!T346+'normal case'!L346,'normal case'!W346)</f>
        <v>5.4999998509883881</v>
      </c>
      <c r="W346" s="61">
        <f t="shared" ca="1" si="45"/>
        <v>5.4999998509883881</v>
      </c>
      <c r="X346" s="166">
        <f ca="1">IF(controls!$B$44=0,Y346+'main page'!$K$29*L346+(1-'main page'!$K$29)*controls!$B$9+(('main page'!$K$25*'main page'!$U$13*'main page'!$K$29)/('main page'!$K$27*(1+('main page'!$K$25^2)*'main page'!$U$13)))*(L346-controls!$B$9),Y346+'main page'!$K$29*L346+(1-'main page'!$K$29)*controls!$B$9+(('main page'!$K$25*'main page'!$U$13*'normal case'!$AV$3)/'normal case'!$AV$4)*('normal case'!L346-controls!$B$9))</f>
        <v>5.4999998509883881</v>
      </c>
      <c r="Y346" s="81">
        <f ca="1">IF(controls!$B$44=1,'main page'!$K$24+'main page'!$K$11,IF(controls!$B$33=1,((I347-D346*AD347-B347+B346*AC347)/'main page'!$K$27)-'main page'!$K$11,((H347-D346*AD347-B347+B346*AC347)/'main page'!$K$27)-'main page'!$K$11))</f>
        <v>3.5</v>
      </c>
      <c r="AA346" s="58">
        <f>IF(controls!$B$6=1,$AS$3*(1+('main page'!$K$35/100))^AB346-$AS$3*(1+('main page'!$K$35/100))^AB345,$AS$3*(1+('main page'!$G$8/100))*(1+('main page'!$K$35/100))^AB346-$AS$3*(1+('main page'!$G$8/100))*(1+('main page'!$K$35/100))^AB345)</f>
        <v>0</v>
      </c>
      <c r="AB346" s="60">
        <v>339</v>
      </c>
      <c r="AC346" s="125">
        <v>0</v>
      </c>
      <c r="AD346" s="36">
        <v>0</v>
      </c>
      <c r="AE346" s="44">
        <f ca="1">IF(controls!$B$33=1,D346-($I$3-'main page'!$K$27*2)*(1+('main page'!$K$35/100))^A345,D346-$AS$4)</f>
        <v>1.0000000596046448</v>
      </c>
      <c r="AF346" s="44">
        <f ca="1">ABS(L346-(controls!$B$9/100)*100)</f>
        <v>1.1920928955078125E-7</v>
      </c>
      <c r="AH346" s="44">
        <f ca="1">IF(controls!$B$33=1,(B347-B346*AC347-I347+D346*AD347+'main page'!$K$27*('main page'!$K$24+'main page'!$K$11))/'main page'!$K$31,(B347-B346*AC347+D346*AD347-H347+'main page'!$K$27*('main page'!$K$24+'main page'!$K$11))/'main page'!$K$31)</f>
        <v>1</v>
      </c>
      <c r="AI346" s="44">
        <f ca="1">IF(controls!$B$45=1,LOG(AM346,1.01)+LOG(AL346,1.01)-LOG(AK346,1.01),-((T346-('main page'!$K$24+'main page'!$K$11))/(1-'normal case'!$AV$3))+'normal case'!AH346)</f>
        <v>2.0000000596046448</v>
      </c>
      <c r="AJ346" s="80">
        <f t="shared" ca="1" si="46"/>
        <v>1.0506250015463039</v>
      </c>
      <c r="AK346" s="44">
        <f t="shared" ca="1" si="47"/>
        <v>873.60516031304508</v>
      </c>
      <c r="AL346" s="44">
        <f>AL345*(1+'main page'!$K$32/100)</f>
        <v>1</v>
      </c>
      <c r="AM346" s="44">
        <f ca="1">IF(ABS(IF(controls!$B$45=1,$AS$13,AK346*AJ346/AL346)-AM345)&lt;0.00001,AM345,IF(controls!$B$45=1,$AS$13,AK346*AJ346/AL346))</f>
        <v>917.831422904752</v>
      </c>
      <c r="AN346" s="44">
        <f>IF(controls!$B$46=0,0,IF(controls!$B$33=2,B347-B346*AC347-('normal case'!H347-D346*AD347-'main page'!$K$27*'normal case'!T346+'main page'!$K$31*'normal case'!AI346)-(('main page'!$K$25*'main page'!$U$13*'main page'!$K$29)/(1+('main page'!$K$25^2)*'main page'!$U$13))*('normal case'!L346-'main page'!$U$8),B347-B346*AC347-('normal case'!I347-D346*AD347-'main page'!$K$27*'normal case'!T346+'main page'!$K$31*'normal case'!AI346)-(('main page'!$K$25*'main page'!$U$13*'main page'!$K$29)/(1+('main page'!$K$25^2)*'main page'!$U$13))*('normal case'!L346-'main page'!$U$8)))</f>
        <v>0</v>
      </c>
      <c r="AU346" s="36"/>
      <c r="AV346" s="36"/>
    </row>
    <row r="347" spans="1:48">
      <c r="A347" s="43">
        <v>345</v>
      </c>
      <c r="B347" s="62">
        <f ca="1">IF(controls!$B$33=1,B346*(1+AC347)+AA347,B346*(1+AC347))</f>
        <v>101</v>
      </c>
      <c r="C347" s="67">
        <f t="shared" ca="1" si="48"/>
        <v>-1.5107707374006907E-7</v>
      </c>
      <c r="D347" s="64">
        <f t="shared" ca="1" si="44"/>
        <v>101.00000005960464</v>
      </c>
      <c r="E347" s="64">
        <f ca="1">AN346+IF(controls!$B$33=1,G347,F347)</f>
        <v>101.00000005960464</v>
      </c>
      <c r="F347" s="78">
        <f ca="1">IF(controls!$B$44=0,H347-'main page'!$K$27*T346,H347-'main page'!$K$27*T346+'main page'!$K$31*AI346)</f>
        <v>101.00000005960464</v>
      </c>
      <c r="G347" s="62">
        <f ca="1">IF(controls!$B$44=0,I347-'main page'!$K$27*T346,I347-'main page'!$K$27*T346+'main page'!$K$31*'normal case'!AI346)</f>
        <v>101.00000005960464</v>
      </c>
      <c r="H347" s="62">
        <f t="shared" ca="1" si="50"/>
        <v>108</v>
      </c>
      <c r="I347" s="62">
        <f t="shared" ca="1" si="51"/>
        <v>108</v>
      </c>
      <c r="L347" s="62">
        <f ca="1">IF(ABS('main page'!$K$29*L346+(1-'main page'!$K$29)*(controls!$B$9/100)*100+'main page'!$K$25*(D347-B347)-L346)&lt;0.0000001,L346,'main page'!$K$29*L346+(1-'main page'!$K$29)*(controls!$B$9/100)*100+'main page'!$K$25*(D347-B347))</f>
        <v>1.9999998807907104</v>
      </c>
      <c r="Q347" s="409">
        <f ca="1">(1-'main page'!$K$29)*($AS$11/100)*100+'main page'!$K$25*(D347-B347)</f>
        <v>5.9604644775390625E-8</v>
      </c>
      <c r="R347" s="409">
        <f>'main page'!G351+'main page'!$K$29*M346</f>
        <v>0</v>
      </c>
      <c r="S347" s="409">
        <f t="shared" ca="1" si="49"/>
        <v>5.9604644775390625E-8</v>
      </c>
      <c r="T347" s="79">
        <f ca="1">IF(controls!$B$10=1,T346,IF(SUM(controls!$B$44:$B$46)=2,U347-'main page'!$K$29*'normal case'!L347-(1-'main page'!$K$29)*'main page'!$K$32,U347-'main page'!$K$29*'normal case'!L347-(1-'main page'!$K$29)*controls!$B$9))</f>
        <v>3.4999999701976776</v>
      </c>
      <c r="U347" s="164">
        <f ca="1">IF(controls!$B$45=1,IF(controls!$B$46=1,'main page'!$K$24+'main page'!$K$11+'main page'!$U$8,'main page'!$K$24+'main page'!$K$11+'main page'!$K$32),IF(controls!$B$44=1,IF(V347&lt;0,0,V347),IF(V347+'main page'!$K$11&lt;0,0,V347+'main page'!$K$11)))</f>
        <v>5.4999998509883881</v>
      </c>
      <c r="V347" s="63">
        <f ca="1">IF(controls!$B$10=1,'normal case'!T347+'normal case'!L347,'normal case'!W347)</f>
        <v>5.4999998509883881</v>
      </c>
      <c r="W347" s="61">
        <f t="shared" ca="1" si="45"/>
        <v>5.4999998509883881</v>
      </c>
      <c r="X347" s="166">
        <f ca="1">IF(controls!$B$44=0,Y347+'main page'!$K$29*L347+(1-'main page'!$K$29)*controls!$B$9+(('main page'!$K$25*'main page'!$U$13*'main page'!$K$29)/('main page'!$K$27*(1+('main page'!$K$25^2)*'main page'!$U$13)))*(L347-controls!$B$9),Y347+'main page'!$K$29*L347+(1-'main page'!$K$29)*controls!$B$9+(('main page'!$K$25*'main page'!$U$13*'normal case'!$AV$3)/'normal case'!$AV$4)*('normal case'!L347-controls!$B$9))</f>
        <v>5.4999998509883881</v>
      </c>
      <c r="Y347" s="81">
        <f ca="1">IF(controls!$B$44=1,'main page'!$K$24+'main page'!$K$11,IF(controls!$B$33=1,((I348-D347*AD348-B348+B347*AC348)/'main page'!$K$27)-'main page'!$K$11,((H348-D347*AD348-B348+B347*AC348)/'main page'!$K$27)-'main page'!$K$11))</f>
        <v>3.5</v>
      </c>
      <c r="AA347" s="58">
        <f>IF(controls!$B$6=1,$AS$3*(1+('main page'!$K$35/100))^AB347-$AS$3*(1+('main page'!$K$35/100))^AB346,$AS$3*(1+('main page'!$G$8/100))*(1+('main page'!$K$35/100))^AB347-$AS$3*(1+('main page'!$G$8/100))*(1+('main page'!$K$35/100))^AB346)</f>
        <v>0</v>
      </c>
      <c r="AB347" s="60">
        <v>340</v>
      </c>
      <c r="AC347" s="125">
        <f ca="1">IF(controls!$B$4=1,IF(controls!$H346=1,controls!$B$34*AC346+RAND()*('main page'!$K$16/100)-RAND()*('main page'!$K$16/100),0),0)</f>
        <v>0</v>
      </c>
      <c r="AD347" s="36">
        <f ca="1">IF(controls!$B$4=1,IF(controls!$I346=1,controls!$B$34*AD346+RAND()*('main page'!$K$16/100)-RAND()*('main page'!$K$16/100),0),0)</f>
        <v>0</v>
      </c>
      <c r="AE347" s="44">
        <f ca="1">IF(controls!$B$33=1,D347-($I$3-'main page'!$K$27*2)*(1+('main page'!$K$35/100))^A346,D347-$AS$4)</f>
        <v>1.0000000596046448</v>
      </c>
      <c r="AF347" s="44">
        <f ca="1">ABS(L347-(controls!$B$9/100)*100)</f>
        <v>1.1920928955078125E-7</v>
      </c>
      <c r="AH347" s="44">
        <f ca="1">IF(controls!$B$33=1,(B348-B347*AC348-I348+D347*AD348+'main page'!$K$27*('main page'!$K$24+'main page'!$K$11))/'main page'!$K$31,(B348-B347*AC348+D347*AD348-H348+'main page'!$K$27*('main page'!$K$24+'main page'!$K$11))/'main page'!$K$31)</f>
        <v>1</v>
      </c>
      <c r="AI347" s="44">
        <f ca="1">IF(controls!$B$45=1,LOG(AM347,1.01)+LOG(AL347,1.01)-LOG(AK347,1.01),-((T347-('main page'!$K$24+'main page'!$K$11))/(1-'normal case'!$AV$3))+'normal case'!AH347)</f>
        <v>2.0000000596046448</v>
      </c>
      <c r="AJ347" s="80">
        <f t="shared" ca="1" si="46"/>
        <v>1.0506250015463039</v>
      </c>
      <c r="AK347" s="44">
        <f t="shared" ca="1" si="47"/>
        <v>891.07726247788753</v>
      </c>
      <c r="AL347" s="44">
        <f>AL346*(1+'main page'!$K$32/100)</f>
        <v>1</v>
      </c>
      <c r="AM347" s="44">
        <f ca="1">IF(ABS(IF(controls!$B$45=1,$AS$13,AK347*AJ347/AL347)-AM346)&lt;0.00001,AM346,IF(controls!$B$45=1,$AS$13,AK347*AJ347/AL347))</f>
        <v>936.18805026870677</v>
      </c>
      <c r="AN347" s="44">
        <f>IF(controls!$B$46=0,0,IF(controls!$B$33=2,B348-B347*AC348-('normal case'!H348-D347*AD348-'main page'!$K$27*'normal case'!T347+'main page'!$K$31*'normal case'!AI347)-(('main page'!$K$25*'main page'!$U$13*'main page'!$K$29)/(1+('main page'!$K$25^2)*'main page'!$U$13))*('normal case'!L347-'main page'!$U$8),B348-B347*AC348-('normal case'!I348-D347*AD348-'main page'!$K$27*'normal case'!T347+'main page'!$K$31*'normal case'!AI347)-(('main page'!$K$25*'main page'!$U$13*'main page'!$K$29)/(1+('main page'!$K$25^2)*'main page'!$U$13))*('normal case'!L347-'main page'!$U$8)))</f>
        <v>0</v>
      </c>
      <c r="AU347" s="36"/>
      <c r="AV347" s="36"/>
    </row>
    <row r="348" spans="1:48">
      <c r="A348" s="43">
        <v>346</v>
      </c>
      <c r="B348" s="62">
        <f ca="1">IF(controls!$B$33=1,B347*(1+AC348)+AA348,B347*(1+AC348))</f>
        <v>101</v>
      </c>
      <c r="C348" s="67">
        <f t="shared" ca="1" si="48"/>
        <v>-1.5107707374006907E-7</v>
      </c>
      <c r="D348" s="64">
        <f t="shared" ca="1" si="44"/>
        <v>101.00000005960464</v>
      </c>
      <c r="E348" s="64">
        <f ca="1">AN347+IF(controls!$B$33=1,G348,F348)</f>
        <v>101.00000005960464</v>
      </c>
      <c r="F348" s="78">
        <f ca="1">IF(controls!$B$44=0,H348-'main page'!$K$27*T347,H348-'main page'!$K$27*T347+'main page'!$K$31*AI347)</f>
        <v>101.00000005960464</v>
      </c>
      <c r="G348" s="62">
        <f ca="1">IF(controls!$B$44=0,I348-'main page'!$K$27*T347,I348-'main page'!$K$27*T347+'main page'!$K$31*'normal case'!AI347)</f>
        <v>101.00000005960464</v>
      </c>
      <c r="H348" s="62">
        <f t="shared" ca="1" si="50"/>
        <v>108</v>
      </c>
      <c r="I348" s="62">
        <f t="shared" ca="1" si="51"/>
        <v>108</v>
      </c>
      <c r="L348" s="62">
        <f ca="1">IF(ABS('main page'!$K$29*L347+(1-'main page'!$K$29)*(controls!$B$9/100)*100+'main page'!$K$25*(D348-B348)-L347)&lt;0.0000001,L347,'main page'!$K$29*L347+(1-'main page'!$K$29)*(controls!$B$9/100)*100+'main page'!$K$25*(D348-B348))</f>
        <v>1.9999998807907104</v>
      </c>
      <c r="Q348" s="409">
        <f ca="1">(1-'main page'!$K$29)*($AS$11/100)*100+'main page'!$K$25*(D348-B348)</f>
        <v>5.9604644775390625E-8</v>
      </c>
      <c r="R348" s="409">
        <f>'main page'!G352+'main page'!$K$29*M347</f>
        <v>0</v>
      </c>
      <c r="S348" s="409">
        <f t="shared" ca="1" si="49"/>
        <v>5.9604644775390625E-8</v>
      </c>
      <c r="T348" s="79">
        <f ca="1">IF(controls!$B$10=1,T347,IF(SUM(controls!$B$44:$B$46)=2,U348-'main page'!$K$29*'normal case'!L348-(1-'main page'!$K$29)*'main page'!$K$32,U348-'main page'!$K$29*'normal case'!L348-(1-'main page'!$K$29)*controls!$B$9))</f>
        <v>3.4999999701976776</v>
      </c>
      <c r="U348" s="164">
        <f ca="1">IF(controls!$B$45=1,IF(controls!$B$46=1,'main page'!$K$24+'main page'!$K$11+'main page'!$U$8,'main page'!$K$24+'main page'!$K$11+'main page'!$K$32),IF(controls!$B$44=1,IF(V348&lt;0,0,V348),IF(V348+'main page'!$K$11&lt;0,0,V348+'main page'!$K$11)))</f>
        <v>5.4999998509883881</v>
      </c>
      <c r="V348" s="63">
        <f ca="1">IF(controls!$B$10=1,'normal case'!T348+'normal case'!L348,'normal case'!W348)</f>
        <v>5.4999998509883881</v>
      </c>
      <c r="W348" s="61">
        <f t="shared" ca="1" si="45"/>
        <v>5.4999998509883881</v>
      </c>
      <c r="X348" s="166">
        <f ca="1">IF(controls!$B$44=0,Y348+'main page'!$K$29*L348+(1-'main page'!$K$29)*controls!$B$9+(('main page'!$K$25*'main page'!$U$13*'main page'!$K$29)/('main page'!$K$27*(1+('main page'!$K$25^2)*'main page'!$U$13)))*(L348-controls!$B$9),Y348+'main page'!$K$29*L348+(1-'main page'!$K$29)*controls!$B$9+(('main page'!$K$25*'main page'!$U$13*'normal case'!$AV$3)/'normal case'!$AV$4)*('normal case'!L348-controls!$B$9))</f>
        <v>5.4999998509883881</v>
      </c>
      <c r="Y348" s="81">
        <f ca="1">IF(controls!$B$44=1,'main page'!$K$24+'main page'!$K$11,IF(controls!$B$33=1,((I349-D348*AD349-B349+B348*AC349)/'main page'!$K$27)-'main page'!$K$11,((H349-D348*AD349-B349+B348*AC349)/'main page'!$K$27)-'main page'!$K$11))</f>
        <v>3.5</v>
      </c>
      <c r="AA348" s="58">
        <f>IF(controls!$B$6=1,$AS$3*(1+('main page'!$K$35/100))^AB348-$AS$3*(1+('main page'!$K$35/100))^AB347,$AS$3*(1+('main page'!$G$8/100))*(1+('main page'!$K$35/100))^AB348-$AS$3*(1+('main page'!$G$8/100))*(1+('main page'!$K$35/100))^AB347)</f>
        <v>0</v>
      </c>
      <c r="AB348" s="60">
        <v>341</v>
      </c>
      <c r="AC348" s="125">
        <v>0</v>
      </c>
      <c r="AD348" s="36">
        <v>0</v>
      </c>
      <c r="AE348" s="44">
        <f ca="1">IF(controls!$B$33=1,D348-($I$3-'main page'!$K$27*2)*(1+('main page'!$K$35/100))^A347,D348-$AS$4)</f>
        <v>1.0000000596046448</v>
      </c>
      <c r="AF348" s="44">
        <f ca="1">ABS(L348-(controls!$B$9/100)*100)</f>
        <v>1.1920928955078125E-7</v>
      </c>
      <c r="AH348" s="44">
        <f ca="1">IF(controls!$B$33=1,(B349-B348*AC349-I349+D348*AD349+'main page'!$K$27*('main page'!$K$24+'main page'!$K$11))/'main page'!$K$31,(B349-B348*AC349+D348*AD349-H349+'main page'!$K$27*('main page'!$K$24+'main page'!$K$11))/'main page'!$K$31)</f>
        <v>1</v>
      </c>
      <c r="AI348" s="44">
        <f ca="1">IF(controls!$B$45=1,LOG(AM348,1.01)+LOG(AL348,1.01)-LOG(AK348,1.01),-((T348-('main page'!$K$24+'main page'!$K$11))/(1-'normal case'!$AV$3))+'normal case'!AH348)</f>
        <v>2.0000000596046448</v>
      </c>
      <c r="AJ348" s="80">
        <f t="shared" ca="1" si="46"/>
        <v>1.0506250015463039</v>
      </c>
      <c r="AK348" s="44">
        <f t="shared" ca="1" si="47"/>
        <v>908.89880666519844</v>
      </c>
      <c r="AL348" s="44">
        <f>AL347*(1+'main page'!$K$32/100)</f>
        <v>1</v>
      </c>
      <c r="AM348" s="44">
        <f ca="1">IF(ABS(IF(controls!$B$45=1,$AS$13,AK348*AJ348/AL348)-AM347)&lt;0.00001,AM347,IF(controls!$B$45=1,$AS$13,AK348*AJ348/AL348))</f>
        <v>954.91181015805785</v>
      </c>
      <c r="AN348" s="44">
        <f>IF(controls!$B$46=0,0,IF(controls!$B$33=2,B349-B348*AC349-('normal case'!H349-D348*AD349-'main page'!$K$27*'normal case'!T348+'main page'!$K$31*'normal case'!AI348)-(('main page'!$K$25*'main page'!$U$13*'main page'!$K$29)/(1+('main page'!$K$25^2)*'main page'!$U$13))*('normal case'!L348-'main page'!$U$8),B349-B348*AC349-('normal case'!I349-D348*AD349-'main page'!$K$27*'normal case'!T348+'main page'!$K$31*'normal case'!AI348)-(('main page'!$K$25*'main page'!$U$13*'main page'!$K$29)/(1+('main page'!$K$25^2)*'main page'!$U$13))*('normal case'!L348-'main page'!$U$8)))</f>
        <v>0</v>
      </c>
      <c r="AU348" s="36"/>
      <c r="AV348" s="36"/>
    </row>
    <row r="349" spans="1:48">
      <c r="A349" s="43">
        <v>347</v>
      </c>
      <c r="B349" s="62">
        <f ca="1">IF(controls!$B$33=1,B348*(1+AC349)+AA349,B348*(1+AC349))</f>
        <v>101</v>
      </c>
      <c r="C349" s="67">
        <f t="shared" ca="1" si="48"/>
        <v>-1.5107707374006907E-7</v>
      </c>
      <c r="D349" s="64">
        <f t="shared" ca="1" si="44"/>
        <v>101.00000005960464</v>
      </c>
      <c r="E349" s="64">
        <f ca="1">AN348+IF(controls!$B$33=1,G349,F349)</f>
        <v>101.00000005960464</v>
      </c>
      <c r="F349" s="78">
        <f ca="1">IF(controls!$B$44=0,H349-'main page'!$K$27*T348,H349-'main page'!$K$27*T348+'main page'!$K$31*AI348)</f>
        <v>101.00000005960464</v>
      </c>
      <c r="G349" s="62">
        <f ca="1">IF(controls!$B$44=0,I349-'main page'!$K$27*T348,I349-'main page'!$K$27*T348+'main page'!$K$31*'normal case'!AI348)</f>
        <v>101.00000005960464</v>
      </c>
      <c r="H349" s="62">
        <f t="shared" ca="1" si="50"/>
        <v>108</v>
      </c>
      <c r="I349" s="62">
        <f t="shared" ca="1" si="51"/>
        <v>108</v>
      </c>
      <c r="L349" s="62">
        <f ca="1">IF(ABS('main page'!$K$29*L348+(1-'main page'!$K$29)*(controls!$B$9/100)*100+'main page'!$K$25*(D349-B349)-L348)&lt;0.0000001,L348,'main page'!$K$29*L348+(1-'main page'!$K$29)*(controls!$B$9/100)*100+'main page'!$K$25*(D349-B349))</f>
        <v>1.9999998807907104</v>
      </c>
      <c r="Q349" s="409">
        <f ca="1">(1-'main page'!$K$29)*($AS$11/100)*100+'main page'!$K$25*(D349-B349)</f>
        <v>5.9604644775390625E-8</v>
      </c>
      <c r="R349" s="409">
        <f>'main page'!G353+'main page'!$K$29*M348</f>
        <v>0</v>
      </c>
      <c r="S349" s="409">
        <f t="shared" ca="1" si="49"/>
        <v>5.9604644775390625E-8</v>
      </c>
      <c r="T349" s="79">
        <f ca="1">IF(controls!$B$10=1,T348,IF(SUM(controls!$B$44:$B$46)=2,U349-'main page'!$K$29*'normal case'!L349-(1-'main page'!$K$29)*'main page'!$K$32,U349-'main page'!$K$29*'normal case'!L349-(1-'main page'!$K$29)*controls!$B$9))</f>
        <v>3.4999999701976776</v>
      </c>
      <c r="U349" s="164">
        <f ca="1">IF(controls!$B$45=1,IF(controls!$B$46=1,'main page'!$K$24+'main page'!$K$11+'main page'!$U$8,'main page'!$K$24+'main page'!$K$11+'main page'!$K$32),IF(controls!$B$44=1,IF(V349&lt;0,0,V349),IF(V349+'main page'!$K$11&lt;0,0,V349+'main page'!$K$11)))</f>
        <v>5.4999998509883881</v>
      </c>
      <c r="V349" s="63">
        <f ca="1">IF(controls!$B$10=1,'normal case'!T349+'normal case'!L349,'normal case'!W349)</f>
        <v>5.4999998509883881</v>
      </c>
      <c r="W349" s="61">
        <f t="shared" ca="1" si="45"/>
        <v>5.4999998509883881</v>
      </c>
      <c r="X349" s="166">
        <f ca="1">IF(controls!$B$44=0,Y349+'main page'!$K$29*L349+(1-'main page'!$K$29)*controls!$B$9+(('main page'!$K$25*'main page'!$U$13*'main page'!$K$29)/('main page'!$K$27*(1+('main page'!$K$25^2)*'main page'!$U$13)))*(L349-controls!$B$9),Y349+'main page'!$K$29*L349+(1-'main page'!$K$29)*controls!$B$9+(('main page'!$K$25*'main page'!$U$13*'normal case'!$AV$3)/'normal case'!$AV$4)*('normal case'!L349-controls!$B$9))</f>
        <v>5.4999998509883881</v>
      </c>
      <c r="Y349" s="81">
        <f ca="1">IF(controls!$B$44=1,'main page'!$K$24+'main page'!$K$11,IF(controls!$B$33=1,((I350-D349*AD350-B350+B349*AC350)/'main page'!$K$27)-'main page'!$K$11,((H350-D349*AD350-B350+B349*AC350)/'main page'!$K$27)-'main page'!$K$11))</f>
        <v>3.5</v>
      </c>
      <c r="AA349" s="58">
        <f>IF(controls!$B$6=1,$AS$3*(1+('main page'!$K$35/100))^AB349-$AS$3*(1+('main page'!$K$35/100))^AB348,$AS$3*(1+('main page'!$G$8/100))*(1+('main page'!$K$35/100))^AB349-$AS$3*(1+('main page'!$G$8/100))*(1+('main page'!$K$35/100))^AB348)</f>
        <v>0</v>
      </c>
      <c r="AB349" s="60">
        <v>342</v>
      </c>
      <c r="AC349" s="125">
        <v>0</v>
      </c>
      <c r="AD349" s="36">
        <v>0</v>
      </c>
      <c r="AE349" s="44">
        <f ca="1">IF(controls!$B$33=1,D349-($I$3-'main page'!$K$27*2)*(1+('main page'!$K$35/100))^A348,D349-$AS$4)</f>
        <v>1.0000000596046448</v>
      </c>
      <c r="AF349" s="44">
        <f ca="1">ABS(L349-(controls!$B$9/100)*100)</f>
        <v>1.1920928955078125E-7</v>
      </c>
      <c r="AH349" s="44">
        <f ca="1">IF(controls!$B$33=1,(B350-B349*AC350-I350+D349*AD350+'main page'!$K$27*('main page'!$K$24+'main page'!$K$11))/'main page'!$K$31,(B350-B349*AC350+D349*AD350-H350+'main page'!$K$27*('main page'!$K$24+'main page'!$K$11))/'main page'!$K$31)</f>
        <v>1</v>
      </c>
      <c r="AI349" s="44">
        <f ca="1">IF(controls!$B$45=1,LOG(AM349,1.01)+LOG(AL349,1.01)-LOG(AK349,1.01),-((T349-('main page'!$K$24+'main page'!$K$11))/(1-'normal case'!$AV$3))+'normal case'!AH349)</f>
        <v>2.0000000596046448</v>
      </c>
      <c r="AJ349" s="80">
        <f t="shared" ca="1" si="46"/>
        <v>1.0506250015463039</v>
      </c>
      <c r="AK349" s="44">
        <f t="shared" ca="1" si="47"/>
        <v>927.07678171501061</v>
      </c>
      <c r="AL349" s="44">
        <f>AL348*(1+'main page'!$K$32/100)</f>
        <v>1</v>
      </c>
      <c r="AM349" s="44">
        <f ca="1">IF(ABS(IF(controls!$B$45=1,$AS$13,AK349*AJ349/AL349)-AM348)&lt;0.00001,AM348,IF(controls!$B$45=1,$AS$13,AK349*AJ349/AL349))</f>
        <v>974.01004522287542</v>
      </c>
      <c r="AN349" s="44">
        <f>IF(controls!$B$46=0,0,IF(controls!$B$33=2,B350-B349*AC350-('normal case'!H350-D349*AD350-'main page'!$K$27*'normal case'!T349+'main page'!$K$31*'normal case'!AI349)-(('main page'!$K$25*'main page'!$U$13*'main page'!$K$29)/(1+('main page'!$K$25^2)*'main page'!$U$13))*('normal case'!L349-'main page'!$U$8),B350-B349*AC350-('normal case'!I350-D349*AD350-'main page'!$K$27*'normal case'!T349+'main page'!$K$31*'normal case'!AI349)-(('main page'!$K$25*'main page'!$U$13*'main page'!$K$29)/(1+('main page'!$K$25^2)*'main page'!$U$13))*('normal case'!L349-'main page'!$U$8)))</f>
        <v>0</v>
      </c>
      <c r="AU349" s="36"/>
      <c r="AV349" s="36"/>
    </row>
    <row r="350" spans="1:48">
      <c r="A350" s="43">
        <v>348</v>
      </c>
      <c r="B350" s="62">
        <f ca="1">IF(controls!$B$33=1,B349*(1+AC350)+AA350,B349*(1+AC350))</f>
        <v>101</v>
      </c>
      <c r="C350" s="67">
        <f t="shared" ca="1" si="48"/>
        <v>-1.5107707374006907E-7</v>
      </c>
      <c r="D350" s="64">
        <f t="shared" ca="1" si="44"/>
        <v>101.00000005960464</v>
      </c>
      <c r="E350" s="64">
        <f ca="1">AN349+IF(controls!$B$33=1,G350,F350)</f>
        <v>101.00000005960464</v>
      </c>
      <c r="F350" s="78">
        <f ca="1">IF(controls!$B$44=0,H350-'main page'!$K$27*T349,H350-'main page'!$K$27*T349+'main page'!$K$31*AI349)</f>
        <v>101.00000005960464</v>
      </c>
      <c r="G350" s="62">
        <f ca="1">IF(controls!$B$44=0,I350-'main page'!$K$27*T349,I350-'main page'!$K$27*T349+'main page'!$K$31*'normal case'!AI349)</f>
        <v>101.00000005960464</v>
      </c>
      <c r="H350" s="62">
        <f t="shared" ca="1" si="50"/>
        <v>108</v>
      </c>
      <c r="I350" s="62">
        <f t="shared" ca="1" si="51"/>
        <v>108</v>
      </c>
      <c r="L350" s="62">
        <f ca="1">IF(ABS('main page'!$K$29*L349+(1-'main page'!$K$29)*(controls!$B$9/100)*100+'main page'!$K$25*(D350-B350)-L349)&lt;0.0000001,L349,'main page'!$K$29*L349+(1-'main page'!$K$29)*(controls!$B$9/100)*100+'main page'!$K$25*(D350-B350))</f>
        <v>1.9999998807907104</v>
      </c>
      <c r="Q350" s="409">
        <f ca="1">(1-'main page'!$K$29)*($AS$11/100)*100+'main page'!$K$25*(D350-B350)</f>
        <v>5.9604644775390625E-8</v>
      </c>
      <c r="R350" s="409">
        <f>'main page'!G354+'main page'!$K$29*M349</f>
        <v>0</v>
      </c>
      <c r="S350" s="409">
        <f t="shared" ca="1" si="49"/>
        <v>5.9604644775390625E-8</v>
      </c>
      <c r="T350" s="79">
        <f ca="1">IF(controls!$B$10=1,T349,IF(SUM(controls!$B$44:$B$46)=2,U350-'main page'!$K$29*'normal case'!L350-(1-'main page'!$K$29)*'main page'!$K$32,U350-'main page'!$K$29*'normal case'!L350-(1-'main page'!$K$29)*controls!$B$9))</f>
        <v>3.4999999701976776</v>
      </c>
      <c r="U350" s="164">
        <f ca="1">IF(controls!$B$45=1,IF(controls!$B$46=1,'main page'!$K$24+'main page'!$K$11+'main page'!$U$8,'main page'!$K$24+'main page'!$K$11+'main page'!$K$32),IF(controls!$B$44=1,IF(V350&lt;0,0,V350),IF(V350+'main page'!$K$11&lt;0,0,V350+'main page'!$K$11)))</f>
        <v>5.4999998509883881</v>
      </c>
      <c r="V350" s="63">
        <f ca="1">IF(controls!$B$10=1,'normal case'!T350+'normal case'!L350,'normal case'!W350)</f>
        <v>5.4999998509883881</v>
      </c>
      <c r="W350" s="61">
        <f t="shared" ca="1" si="45"/>
        <v>5.4999998509883881</v>
      </c>
      <c r="X350" s="166">
        <f ca="1">IF(controls!$B$44=0,Y350+'main page'!$K$29*L350+(1-'main page'!$K$29)*controls!$B$9+(('main page'!$K$25*'main page'!$U$13*'main page'!$K$29)/('main page'!$K$27*(1+('main page'!$K$25^2)*'main page'!$U$13)))*(L350-controls!$B$9),Y350+'main page'!$K$29*L350+(1-'main page'!$K$29)*controls!$B$9+(('main page'!$K$25*'main page'!$U$13*'normal case'!$AV$3)/'normal case'!$AV$4)*('normal case'!L350-controls!$B$9))</f>
        <v>5.4999998509883881</v>
      </c>
      <c r="Y350" s="81">
        <f ca="1">IF(controls!$B$44=1,'main page'!$K$24+'main page'!$K$11,IF(controls!$B$33=1,((I351-D350*AD351-B351+B350*AC351)/'main page'!$K$27)-'main page'!$K$11,((H351-D350*AD351-B351+B350*AC351)/'main page'!$K$27)-'main page'!$K$11))</f>
        <v>3.5</v>
      </c>
      <c r="AA350" s="58">
        <f>IF(controls!$B$6=1,$AS$3*(1+('main page'!$K$35/100))^AB350-$AS$3*(1+('main page'!$K$35/100))^AB349,$AS$3*(1+('main page'!$G$8/100))*(1+('main page'!$K$35/100))^AB350-$AS$3*(1+('main page'!$G$8/100))*(1+('main page'!$K$35/100))^AB349)</f>
        <v>0</v>
      </c>
      <c r="AB350" s="60">
        <v>343</v>
      </c>
      <c r="AC350" s="125">
        <f ca="1">IF(controls!$B$4=1,IF(controls!$H349=1,controls!$B$34*AC349+RAND()*('main page'!$K$16/100)-RAND()*('main page'!$K$16/100),0),0)</f>
        <v>0</v>
      </c>
      <c r="AD350" s="36">
        <f ca="1">IF(controls!$B$4=1,IF(controls!$I349=1,controls!$B$34*AD349+RAND()*('main page'!$K$16/100)-RAND()*('main page'!$K$16/100),0),0)</f>
        <v>0</v>
      </c>
      <c r="AE350" s="44">
        <f ca="1">IF(controls!$B$33=1,D350-($I$3-'main page'!$K$27*2)*(1+('main page'!$K$35/100))^A349,D350-$AS$4)</f>
        <v>1.0000000596046448</v>
      </c>
      <c r="AF350" s="44">
        <f ca="1">ABS(L350-(controls!$B$9/100)*100)</f>
        <v>1.1920928955078125E-7</v>
      </c>
      <c r="AH350" s="44">
        <f ca="1">IF(controls!$B$33=1,(B351-B350*AC351-I351+D350*AD351+'main page'!$K$27*('main page'!$K$24+'main page'!$K$11))/'main page'!$K$31,(B351-B350*AC351+D350*AD351-H351+'main page'!$K$27*('main page'!$K$24+'main page'!$K$11))/'main page'!$K$31)</f>
        <v>1</v>
      </c>
      <c r="AI350" s="44">
        <f ca="1">IF(controls!$B$45=1,LOG(AM350,1.01)+LOG(AL350,1.01)-LOG(AK350,1.01),-((T350-('main page'!$K$24+'main page'!$K$11))/(1-'normal case'!$AV$3))+'normal case'!AH350)</f>
        <v>2.0000000596046448</v>
      </c>
      <c r="AJ350" s="80">
        <f t="shared" ca="1" si="46"/>
        <v>1.0506250015463039</v>
      </c>
      <c r="AK350" s="44">
        <f t="shared" ca="1" si="47"/>
        <v>945.61831624414924</v>
      </c>
      <c r="AL350" s="44">
        <f>AL349*(1+'main page'!$K$32/100)</f>
        <v>1</v>
      </c>
      <c r="AM350" s="44">
        <f ca="1">IF(ABS(IF(controls!$B$45=1,$AS$13,AK350*AJ350/AL350)-AM349)&lt;0.00001,AM349,IF(controls!$B$45=1,$AS$13,AK350*AJ350/AL350))</f>
        <v>993.49024496622258</v>
      </c>
      <c r="AN350" s="44">
        <f>IF(controls!$B$46=0,0,IF(controls!$B$33=2,B351-B350*AC351-('normal case'!H351-D350*AD351-'main page'!$K$27*'normal case'!T350+'main page'!$K$31*'normal case'!AI350)-(('main page'!$K$25*'main page'!$U$13*'main page'!$K$29)/(1+('main page'!$K$25^2)*'main page'!$U$13))*('normal case'!L350-'main page'!$U$8),B351-B350*AC351-('normal case'!I351-D350*AD351-'main page'!$K$27*'normal case'!T350+'main page'!$K$31*'normal case'!AI350)-(('main page'!$K$25*'main page'!$U$13*'main page'!$K$29)/(1+('main page'!$K$25^2)*'main page'!$U$13))*('normal case'!L350-'main page'!$U$8)))</f>
        <v>0</v>
      </c>
      <c r="AU350" s="36"/>
      <c r="AV350" s="36"/>
    </row>
    <row r="351" spans="1:48">
      <c r="A351" s="43">
        <v>349</v>
      </c>
      <c r="B351" s="62">
        <f ca="1">IF(controls!$B$33=1,B350*(1+AC351)+AA351,B350*(1+AC351))</f>
        <v>101</v>
      </c>
      <c r="C351" s="67">
        <f t="shared" ca="1" si="48"/>
        <v>-1.5107707374006907E-7</v>
      </c>
      <c r="D351" s="64">
        <f t="shared" ca="1" si="44"/>
        <v>101.00000005960464</v>
      </c>
      <c r="E351" s="64">
        <f ca="1">AN350+IF(controls!$B$33=1,G351,F351)</f>
        <v>101.00000005960464</v>
      </c>
      <c r="F351" s="78">
        <f ca="1">IF(controls!$B$44=0,H351-'main page'!$K$27*T350,H351-'main page'!$K$27*T350+'main page'!$K$31*AI350)</f>
        <v>101.00000005960464</v>
      </c>
      <c r="G351" s="62">
        <f ca="1">IF(controls!$B$44=0,I351-'main page'!$K$27*T350,I351-'main page'!$K$27*T350+'main page'!$K$31*'normal case'!AI350)</f>
        <v>101.00000005960464</v>
      </c>
      <c r="H351" s="62">
        <f t="shared" ca="1" si="50"/>
        <v>108</v>
      </c>
      <c r="I351" s="62">
        <f t="shared" ca="1" si="51"/>
        <v>108</v>
      </c>
      <c r="L351" s="62">
        <f ca="1">IF(ABS('main page'!$K$29*L350+(1-'main page'!$K$29)*(controls!$B$9/100)*100+'main page'!$K$25*(D351-B351)-L350)&lt;0.0000001,L350,'main page'!$K$29*L350+(1-'main page'!$K$29)*(controls!$B$9/100)*100+'main page'!$K$25*(D351-B351))</f>
        <v>1.9999998807907104</v>
      </c>
      <c r="Q351" s="409">
        <f ca="1">(1-'main page'!$K$29)*($AS$11/100)*100+'main page'!$K$25*(D351-B351)</f>
        <v>5.9604644775390625E-8</v>
      </c>
      <c r="R351" s="409">
        <f>'main page'!G355+'main page'!$K$29*M350</f>
        <v>0</v>
      </c>
      <c r="S351" s="409">
        <f t="shared" ca="1" si="49"/>
        <v>5.9604644775390625E-8</v>
      </c>
      <c r="T351" s="79">
        <f ca="1">IF(controls!$B$10=1,T350,IF(SUM(controls!$B$44:$B$46)=2,U351-'main page'!$K$29*'normal case'!L351-(1-'main page'!$K$29)*'main page'!$K$32,U351-'main page'!$K$29*'normal case'!L351-(1-'main page'!$K$29)*controls!$B$9))</f>
        <v>3.4999999701976776</v>
      </c>
      <c r="U351" s="164">
        <f ca="1">IF(controls!$B$45=1,IF(controls!$B$46=1,'main page'!$K$24+'main page'!$K$11+'main page'!$U$8,'main page'!$K$24+'main page'!$K$11+'main page'!$K$32),IF(controls!$B$44=1,IF(V351&lt;0,0,V351),IF(V351+'main page'!$K$11&lt;0,0,V351+'main page'!$K$11)))</f>
        <v>5.4999998509883881</v>
      </c>
      <c r="V351" s="63">
        <f ca="1">IF(controls!$B$10=1,'normal case'!T351+'normal case'!L351,'normal case'!W351)</f>
        <v>5.4999998509883881</v>
      </c>
      <c r="W351" s="61">
        <f t="shared" ca="1" si="45"/>
        <v>5.4999998509883881</v>
      </c>
      <c r="X351" s="166">
        <f ca="1">IF(controls!$B$44=0,Y351+'main page'!$K$29*L351+(1-'main page'!$K$29)*controls!$B$9+(('main page'!$K$25*'main page'!$U$13*'main page'!$K$29)/('main page'!$K$27*(1+('main page'!$K$25^2)*'main page'!$U$13)))*(L351-controls!$B$9),Y351+'main page'!$K$29*L351+(1-'main page'!$K$29)*controls!$B$9+(('main page'!$K$25*'main page'!$U$13*'normal case'!$AV$3)/'normal case'!$AV$4)*('normal case'!L351-controls!$B$9))</f>
        <v>5.4999998509883881</v>
      </c>
      <c r="Y351" s="81">
        <f ca="1">IF(controls!$B$44=1,'main page'!$K$24+'main page'!$K$11,IF(controls!$B$33=1,((I352-D351*AD352-B352+B351*AC352)/'main page'!$K$27)-'main page'!$K$11,((H352-D351*AD352-B352+B351*AC352)/'main page'!$K$27)-'main page'!$K$11))</f>
        <v>3.5</v>
      </c>
      <c r="AA351" s="58">
        <f>IF(controls!$B$6=1,$AS$3*(1+('main page'!$K$35/100))^AB351-$AS$3*(1+('main page'!$K$35/100))^AB350,$AS$3*(1+('main page'!$G$8/100))*(1+('main page'!$K$35/100))^AB351-$AS$3*(1+('main page'!$G$8/100))*(1+('main page'!$K$35/100))^AB350)</f>
        <v>0</v>
      </c>
      <c r="AB351" s="60">
        <v>344</v>
      </c>
      <c r="AC351" s="125">
        <v>0</v>
      </c>
      <c r="AD351" s="36">
        <v>0</v>
      </c>
      <c r="AE351" s="44">
        <f ca="1">IF(controls!$B$33=1,D351-($I$3-'main page'!$K$27*2)*(1+('main page'!$K$35/100))^A350,D351-$AS$4)</f>
        <v>1.0000000596046448</v>
      </c>
      <c r="AF351" s="44">
        <f ca="1">ABS(L351-(controls!$B$9/100)*100)</f>
        <v>1.1920928955078125E-7</v>
      </c>
      <c r="AH351" s="44">
        <f ca="1">IF(controls!$B$33=1,(B352-B351*AC352-I352+D351*AD352+'main page'!$K$27*('main page'!$K$24+'main page'!$K$11))/'main page'!$K$31,(B352-B351*AC352+D351*AD352-H352+'main page'!$K$27*('main page'!$K$24+'main page'!$K$11))/'main page'!$K$31)</f>
        <v>1</v>
      </c>
      <c r="AI351" s="44">
        <f ca="1">IF(controls!$B$45=1,LOG(AM351,1.01)+LOG(AL351,1.01)-LOG(AK351,1.01),-((T351-('main page'!$K$24+'main page'!$K$11))/(1-'normal case'!$AV$3))+'normal case'!AH351)</f>
        <v>2.0000000596046448</v>
      </c>
      <c r="AJ351" s="80">
        <f t="shared" ca="1" si="46"/>
        <v>1.0506250015463039</v>
      </c>
      <c r="AK351" s="44">
        <f t="shared" ca="1" si="47"/>
        <v>964.53068144176734</v>
      </c>
      <c r="AL351" s="44">
        <f>AL350*(1+'main page'!$K$32/100)</f>
        <v>1</v>
      </c>
      <c r="AM351" s="44">
        <f ca="1">IF(ABS(IF(controls!$B$45=1,$AS$13,AK351*AJ351/AL351)-AM350)&lt;0.00001,AM350,IF(controls!$B$45=1,$AS$13,AK351*AJ351/AL351))</f>
        <v>1013.3600486812144</v>
      </c>
      <c r="AN351" s="44">
        <f>IF(controls!$B$46=0,0,IF(controls!$B$33=2,B352-B351*AC352-('normal case'!H352-D351*AD352-'main page'!$K$27*'normal case'!T351+'main page'!$K$31*'normal case'!AI351)-(('main page'!$K$25*'main page'!$U$13*'main page'!$K$29)/(1+('main page'!$K$25^2)*'main page'!$U$13))*('normal case'!L351-'main page'!$U$8),B352-B351*AC352-('normal case'!I352-D351*AD352-'main page'!$K$27*'normal case'!T351+'main page'!$K$31*'normal case'!AI351)-(('main page'!$K$25*'main page'!$U$13*'main page'!$K$29)/(1+('main page'!$K$25^2)*'main page'!$U$13))*('normal case'!L351-'main page'!$U$8)))</f>
        <v>0</v>
      </c>
      <c r="AU351" s="36"/>
      <c r="AV351" s="36"/>
    </row>
    <row r="352" spans="1:48">
      <c r="A352" s="43">
        <v>350</v>
      </c>
      <c r="B352" s="62">
        <f ca="1">IF(controls!$B$33=1,B351*(1+AC352)+AA352,B351*(1+AC352))</f>
        <v>101</v>
      </c>
      <c r="C352" s="67">
        <f t="shared" ca="1" si="48"/>
        <v>-1.5107707374006907E-7</v>
      </c>
      <c r="D352" s="64">
        <f t="shared" ca="1" si="44"/>
        <v>101.00000005960464</v>
      </c>
      <c r="E352" s="64">
        <f ca="1">AN351+IF(controls!$B$33=1,G352,F352)</f>
        <v>101.00000005960464</v>
      </c>
      <c r="F352" s="78">
        <f ca="1">IF(controls!$B$44=0,H352-'main page'!$K$27*T351,H352-'main page'!$K$27*T351+'main page'!$K$31*AI351)</f>
        <v>101.00000005960464</v>
      </c>
      <c r="G352" s="62">
        <f ca="1">IF(controls!$B$44=0,I352-'main page'!$K$27*T351,I352-'main page'!$K$27*T351+'main page'!$K$31*'normal case'!AI351)</f>
        <v>101.00000005960464</v>
      </c>
      <c r="H352" s="62">
        <f t="shared" ca="1" si="50"/>
        <v>108</v>
      </c>
      <c r="I352" s="62">
        <f t="shared" ca="1" si="51"/>
        <v>108</v>
      </c>
      <c r="L352" s="62">
        <f ca="1">IF(ABS('main page'!$K$29*L351+(1-'main page'!$K$29)*(controls!$B$9/100)*100+'main page'!$K$25*(D352-B352)-L351)&lt;0.0000001,L351,'main page'!$K$29*L351+(1-'main page'!$K$29)*(controls!$B$9/100)*100+'main page'!$K$25*(D352-B352))</f>
        <v>1.9999998807907104</v>
      </c>
      <c r="Q352" s="409">
        <f ca="1">(1-'main page'!$K$29)*($AS$11/100)*100+'main page'!$K$25*(D352-B352)</f>
        <v>5.9604644775390625E-8</v>
      </c>
      <c r="R352" s="409">
        <f>'main page'!G356+'main page'!$K$29*M351</f>
        <v>0</v>
      </c>
      <c r="S352" s="409">
        <f t="shared" ca="1" si="49"/>
        <v>5.9604644775390625E-8</v>
      </c>
      <c r="T352" s="79">
        <f ca="1">IF(controls!$B$10=1,T351,IF(SUM(controls!$B$44:$B$46)=2,U352-'main page'!$K$29*'normal case'!L352-(1-'main page'!$K$29)*'main page'!$K$32,U352-'main page'!$K$29*'normal case'!L352-(1-'main page'!$K$29)*controls!$B$9))</f>
        <v>3.4999999701976776</v>
      </c>
      <c r="U352" s="164">
        <f ca="1">IF(controls!$B$45=1,IF(controls!$B$46=1,'main page'!$K$24+'main page'!$K$11+'main page'!$U$8,'main page'!$K$24+'main page'!$K$11+'main page'!$K$32),IF(controls!$B$44=1,IF(V352&lt;0,0,V352),IF(V352+'main page'!$K$11&lt;0,0,V352+'main page'!$K$11)))</f>
        <v>5.4999998509883881</v>
      </c>
      <c r="V352" s="63">
        <f ca="1">IF(controls!$B$10=1,'normal case'!T352+'normal case'!L352,'normal case'!W352)</f>
        <v>5.4999998509883881</v>
      </c>
      <c r="W352" s="61">
        <f t="shared" ca="1" si="45"/>
        <v>5.4999998509883881</v>
      </c>
      <c r="X352" s="166">
        <f ca="1">IF(controls!$B$44=0,Y352+'main page'!$K$29*L352+(1-'main page'!$K$29)*controls!$B$9+(('main page'!$K$25*'main page'!$U$13*'main page'!$K$29)/('main page'!$K$27*(1+('main page'!$K$25^2)*'main page'!$U$13)))*(L352-controls!$B$9),Y352+'main page'!$K$29*L352+(1-'main page'!$K$29)*controls!$B$9+(('main page'!$K$25*'main page'!$U$13*'normal case'!$AV$3)/'normal case'!$AV$4)*('normal case'!L352-controls!$B$9))</f>
        <v>5.4999998509883881</v>
      </c>
      <c r="Y352" s="81">
        <f ca="1">IF(controls!$B$44=1,'main page'!$K$24+'main page'!$K$11,IF(controls!$B$33=1,((I353-D352*AD353-B353+B352*AC353)/'main page'!$K$27)-'main page'!$K$11,((H353-D352*AD353-B353+B352*AC353)/'main page'!$K$27)-'main page'!$K$11))</f>
        <v>3.5</v>
      </c>
      <c r="AA352" s="58">
        <f>IF(controls!$B$6=1,$AS$3*(1+('main page'!$K$35/100))^AB352-$AS$3*(1+('main page'!$K$35/100))^AB351,$AS$3*(1+('main page'!$G$8/100))*(1+('main page'!$K$35/100))^AB352-$AS$3*(1+('main page'!$G$8/100))*(1+('main page'!$K$35/100))^AB351)</f>
        <v>0</v>
      </c>
      <c r="AB352" s="60">
        <v>345</v>
      </c>
      <c r="AC352" s="125">
        <v>0</v>
      </c>
      <c r="AD352" s="36">
        <v>0</v>
      </c>
      <c r="AE352" s="44">
        <f ca="1">IF(controls!$B$33=1,D352-($I$3-'main page'!$K$27*2)*(1+('main page'!$K$35/100))^A351,D352-$AS$4)</f>
        <v>1.0000000596046448</v>
      </c>
      <c r="AF352" s="44">
        <f ca="1">ABS(L352-(controls!$B$9/100)*100)</f>
        <v>1.1920928955078125E-7</v>
      </c>
      <c r="AH352" s="44">
        <f ca="1">IF(controls!$B$33=1,(B353-B352*AC353-I353+D352*AD353+'main page'!$K$27*('main page'!$K$24+'main page'!$K$11))/'main page'!$K$31,(B353-B352*AC353+D352*AD353-H353+'main page'!$K$27*('main page'!$K$24+'main page'!$K$11))/'main page'!$K$31)</f>
        <v>1</v>
      </c>
      <c r="AI352" s="44">
        <f ca="1">IF(controls!$B$45=1,LOG(AM352,1.01)+LOG(AL352,1.01)-LOG(AK352,1.01),-((T352-('main page'!$K$24+'main page'!$K$11))/(1-'normal case'!$AV$3))+'normal case'!AH352)</f>
        <v>2.0000000596046448</v>
      </c>
      <c r="AJ352" s="80">
        <f t="shared" ca="1" si="46"/>
        <v>1.0506250015463039</v>
      </c>
      <c r="AK352" s="44">
        <f t="shared" ca="1" si="47"/>
        <v>983.82129392079253</v>
      </c>
      <c r="AL352" s="44">
        <f>AL351*(1+'main page'!$K$32/100)</f>
        <v>1</v>
      </c>
      <c r="AM352" s="44">
        <f ca="1">IF(ABS(IF(controls!$B$45=1,$AS$13,AK352*AJ352/AL352)-AM351)&lt;0.00001,AM351,IF(controls!$B$45=1,$AS$13,AK352*AJ352/AL352))</f>
        <v>1033.6272484468193</v>
      </c>
      <c r="AN352" s="44">
        <f>IF(controls!$B$46=0,0,IF(controls!$B$33=2,B353-B352*AC353-('normal case'!H353-D352*AD353-'main page'!$K$27*'normal case'!T352+'main page'!$K$31*'normal case'!AI352)-(('main page'!$K$25*'main page'!$U$13*'main page'!$K$29)/(1+('main page'!$K$25^2)*'main page'!$U$13))*('normal case'!L352-'main page'!$U$8),B353-B352*AC353-('normal case'!I353-D352*AD353-'main page'!$K$27*'normal case'!T352+'main page'!$K$31*'normal case'!AI352)-(('main page'!$K$25*'main page'!$U$13*'main page'!$K$29)/(1+('main page'!$K$25^2)*'main page'!$U$13))*('normal case'!L352-'main page'!$U$8)))</f>
        <v>0</v>
      </c>
      <c r="AU352" s="36"/>
      <c r="AV352" s="36"/>
    </row>
    <row r="353" spans="1:48">
      <c r="A353" s="43">
        <v>351</v>
      </c>
      <c r="B353" s="62">
        <f ca="1">IF(controls!$B$33=1,B352*(1+AC353)+AA353,B352*(1+AC353))</f>
        <v>101</v>
      </c>
      <c r="C353" s="67">
        <f t="shared" ca="1" si="48"/>
        <v>-1.5107707374006907E-7</v>
      </c>
      <c r="D353" s="64">
        <f t="shared" ca="1" si="44"/>
        <v>101.00000005960464</v>
      </c>
      <c r="E353" s="64">
        <f ca="1">AN352+IF(controls!$B$33=1,G353,F353)</f>
        <v>101.00000005960464</v>
      </c>
      <c r="F353" s="78">
        <f ca="1">IF(controls!$B$44=0,H353-'main page'!$K$27*T352,H353-'main page'!$K$27*T352+'main page'!$K$31*AI352)</f>
        <v>101.00000005960464</v>
      </c>
      <c r="G353" s="62">
        <f ca="1">IF(controls!$B$44=0,I353-'main page'!$K$27*T352,I353-'main page'!$K$27*T352+'main page'!$K$31*'normal case'!AI352)</f>
        <v>101.00000005960464</v>
      </c>
      <c r="H353" s="62">
        <f t="shared" ca="1" si="50"/>
        <v>108</v>
      </c>
      <c r="I353" s="62">
        <f t="shared" ca="1" si="51"/>
        <v>108</v>
      </c>
      <c r="L353" s="62">
        <f ca="1">IF(ABS('main page'!$K$29*L352+(1-'main page'!$K$29)*(controls!$B$9/100)*100+'main page'!$K$25*(D353-B353)-L352)&lt;0.0000001,L352,'main page'!$K$29*L352+(1-'main page'!$K$29)*(controls!$B$9/100)*100+'main page'!$K$25*(D353-B353))</f>
        <v>1.9999998807907104</v>
      </c>
      <c r="Q353" s="409">
        <f ca="1">(1-'main page'!$K$29)*($AS$11/100)*100+'main page'!$K$25*(D353-B353)</f>
        <v>5.9604644775390625E-8</v>
      </c>
      <c r="R353" s="409">
        <f>'main page'!G357+'main page'!$K$29*M352</f>
        <v>0</v>
      </c>
      <c r="S353" s="409">
        <f t="shared" ca="1" si="49"/>
        <v>5.9604644775390625E-8</v>
      </c>
      <c r="T353" s="79">
        <f ca="1">IF(controls!$B$10=1,T352,IF(SUM(controls!$B$44:$B$46)=2,U353-'main page'!$K$29*'normal case'!L353-(1-'main page'!$K$29)*'main page'!$K$32,U353-'main page'!$K$29*'normal case'!L353-(1-'main page'!$K$29)*controls!$B$9))</f>
        <v>3.4999999701976776</v>
      </c>
      <c r="U353" s="164">
        <f ca="1">IF(controls!$B$45=1,IF(controls!$B$46=1,'main page'!$K$24+'main page'!$K$11+'main page'!$U$8,'main page'!$K$24+'main page'!$K$11+'main page'!$K$32),IF(controls!$B$44=1,IF(V353&lt;0,0,V353),IF(V353+'main page'!$K$11&lt;0,0,V353+'main page'!$K$11)))</f>
        <v>5.4999998509883881</v>
      </c>
      <c r="V353" s="63">
        <f ca="1">IF(controls!$B$10=1,'normal case'!T353+'normal case'!L353,'normal case'!W353)</f>
        <v>5.4999998509883881</v>
      </c>
      <c r="W353" s="61">
        <f t="shared" ca="1" si="45"/>
        <v>5.4999998509883881</v>
      </c>
      <c r="X353" s="166">
        <f ca="1">IF(controls!$B$44=0,Y353+'main page'!$K$29*L353+(1-'main page'!$K$29)*controls!$B$9+(('main page'!$K$25*'main page'!$U$13*'main page'!$K$29)/('main page'!$K$27*(1+('main page'!$K$25^2)*'main page'!$U$13)))*(L353-controls!$B$9),Y353+'main page'!$K$29*L353+(1-'main page'!$K$29)*controls!$B$9+(('main page'!$K$25*'main page'!$U$13*'normal case'!$AV$3)/'normal case'!$AV$4)*('normal case'!L353-controls!$B$9))</f>
        <v>5.4999998509883881</v>
      </c>
      <c r="Y353" s="81">
        <f ca="1">IF(controls!$B$44=1,'main page'!$K$24+'main page'!$K$11,IF(controls!$B$33=1,((I354-D353*AD354-B354+B353*AC354)/'main page'!$K$27)-'main page'!$K$11,((H354-D353*AD354-B354+B353*AC354)/'main page'!$K$27)-'main page'!$K$11))</f>
        <v>3.5</v>
      </c>
      <c r="AA353" s="58">
        <f>IF(controls!$B$6=1,$AS$3*(1+('main page'!$K$35/100))^AB353-$AS$3*(1+('main page'!$K$35/100))^AB352,$AS$3*(1+('main page'!$G$8/100))*(1+('main page'!$K$35/100))^AB353-$AS$3*(1+('main page'!$G$8/100))*(1+('main page'!$K$35/100))^AB352)</f>
        <v>0</v>
      </c>
      <c r="AB353" s="60">
        <v>346</v>
      </c>
      <c r="AC353" s="125">
        <f ca="1">IF(controls!$B$4=1,IF(controls!$H352=1,controls!$B$34*AC352+RAND()*('main page'!$K$16/100)-RAND()*('main page'!$K$16/100),0),0)</f>
        <v>0</v>
      </c>
      <c r="AD353" s="36">
        <f ca="1">IF(controls!$B$4=1,IF(controls!$I352=1,controls!$B$34*AD352+RAND()*('main page'!$K$16/100)-RAND()*('main page'!$K$16/100),0),0)</f>
        <v>0</v>
      </c>
      <c r="AE353" s="44">
        <f ca="1">IF(controls!$B$33=1,D353-($I$3-'main page'!$K$27*2)*(1+('main page'!$K$35/100))^A352,D353-$AS$4)</f>
        <v>1.0000000596046448</v>
      </c>
      <c r="AF353" s="44">
        <f ca="1">ABS(L353-(controls!$B$9/100)*100)</f>
        <v>1.1920928955078125E-7</v>
      </c>
      <c r="AH353" s="44">
        <f ca="1">IF(controls!$B$33=1,(B354-B353*AC354-I354+D353*AD354+'main page'!$K$27*('main page'!$K$24+'main page'!$K$11))/'main page'!$K$31,(B354-B353*AC354+D353*AD354-H354+'main page'!$K$27*('main page'!$K$24+'main page'!$K$11))/'main page'!$K$31)</f>
        <v>1</v>
      </c>
      <c r="AI353" s="44">
        <f ca="1">IF(controls!$B$45=1,LOG(AM353,1.01)+LOG(AL353,1.01)-LOG(AK353,1.01),-((T353-('main page'!$K$24+'main page'!$K$11))/(1-'normal case'!$AV$3))+'normal case'!AH353)</f>
        <v>2.0000000596046448</v>
      </c>
      <c r="AJ353" s="80">
        <f t="shared" ca="1" si="46"/>
        <v>1.0506250015463039</v>
      </c>
      <c r="AK353" s="44">
        <f t="shared" ca="1" si="47"/>
        <v>1003.497718626402</v>
      </c>
      <c r="AL353" s="44">
        <f>AL352*(1+'main page'!$K$32/100)</f>
        <v>1</v>
      </c>
      <c r="AM353" s="44">
        <f ca="1">IF(ABS(IF(controls!$B$45=1,$AS$13,AK353*AJ353/AL353)-AM352)&lt;0.00001,AM352,IF(controls!$B$45=1,$AS$13,AK353*AJ353/AL353))</f>
        <v>1054.2997921835761</v>
      </c>
      <c r="AN353" s="44">
        <f>IF(controls!$B$46=0,0,IF(controls!$B$33=2,B354-B353*AC354-('normal case'!H354-D353*AD354-'main page'!$K$27*'normal case'!T353+'main page'!$K$31*'normal case'!AI353)-(('main page'!$K$25*'main page'!$U$13*'main page'!$K$29)/(1+('main page'!$K$25^2)*'main page'!$U$13))*('normal case'!L353-'main page'!$U$8),B354-B353*AC354-('normal case'!I354-D353*AD354-'main page'!$K$27*'normal case'!T353+'main page'!$K$31*'normal case'!AI353)-(('main page'!$K$25*'main page'!$U$13*'main page'!$K$29)/(1+('main page'!$K$25^2)*'main page'!$U$13))*('normal case'!L353-'main page'!$U$8)))</f>
        <v>0</v>
      </c>
      <c r="AU353" s="36"/>
      <c r="AV353" s="36"/>
    </row>
    <row r="354" spans="1:48">
      <c r="A354" s="43">
        <v>352</v>
      </c>
      <c r="B354" s="62">
        <f ca="1">IF(controls!$B$33=1,B353*(1+AC354)+AA354,B353*(1+AC354))</f>
        <v>101</v>
      </c>
      <c r="C354" s="67">
        <f t="shared" ca="1" si="48"/>
        <v>-1.5107707374006907E-7</v>
      </c>
      <c r="D354" s="64">
        <f t="shared" ca="1" si="44"/>
        <v>101.00000005960464</v>
      </c>
      <c r="E354" s="64">
        <f ca="1">AN353+IF(controls!$B$33=1,G354,F354)</f>
        <v>101.00000005960464</v>
      </c>
      <c r="F354" s="78">
        <f ca="1">IF(controls!$B$44=0,H354-'main page'!$K$27*T353,H354-'main page'!$K$27*T353+'main page'!$K$31*AI353)</f>
        <v>101.00000005960464</v>
      </c>
      <c r="G354" s="62">
        <f ca="1">IF(controls!$B$44=0,I354-'main page'!$K$27*T353,I354-'main page'!$K$27*T353+'main page'!$K$31*'normal case'!AI353)</f>
        <v>101.00000005960464</v>
      </c>
      <c r="H354" s="62">
        <f t="shared" ca="1" si="50"/>
        <v>108</v>
      </c>
      <c r="I354" s="62">
        <f t="shared" ca="1" si="51"/>
        <v>108</v>
      </c>
      <c r="L354" s="62">
        <f ca="1">IF(ABS('main page'!$K$29*L353+(1-'main page'!$K$29)*(controls!$B$9/100)*100+'main page'!$K$25*(D354-B354)-L353)&lt;0.0000001,L353,'main page'!$K$29*L353+(1-'main page'!$K$29)*(controls!$B$9/100)*100+'main page'!$K$25*(D354-B354))</f>
        <v>1.9999998807907104</v>
      </c>
      <c r="Q354" s="409">
        <f ca="1">(1-'main page'!$K$29)*($AS$11/100)*100+'main page'!$K$25*(D354-B354)</f>
        <v>5.9604644775390625E-8</v>
      </c>
      <c r="R354" s="409">
        <f>'main page'!G358+'main page'!$K$29*M353</f>
        <v>0</v>
      </c>
      <c r="S354" s="409">
        <f t="shared" ca="1" si="49"/>
        <v>5.9604644775390625E-8</v>
      </c>
      <c r="T354" s="79">
        <f ca="1">IF(controls!$B$10=1,T353,IF(SUM(controls!$B$44:$B$46)=2,U354-'main page'!$K$29*'normal case'!L354-(1-'main page'!$K$29)*'main page'!$K$32,U354-'main page'!$K$29*'normal case'!L354-(1-'main page'!$K$29)*controls!$B$9))</f>
        <v>3.4999999701976776</v>
      </c>
      <c r="U354" s="164">
        <f ca="1">IF(controls!$B$45=1,IF(controls!$B$46=1,'main page'!$K$24+'main page'!$K$11+'main page'!$U$8,'main page'!$K$24+'main page'!$K$11+'main page'!$K$32),IF(controls!$B$44=1,IF(V354&lt;0,0,V354),IF(V354+'main page'!$K$11&lt;0,0,V354+'main page'!$K$11)))</f>
        <v>5.4999998509883881</v>
      </c>
      <c r="V354" s="63">
        <f ca="1">IF(controls!$B$10=1,'normal case'!T354+'normal case'!L354,'normal case'!W354)</f>
        <v>5.4999998509883881</v>
      </c>
      <c r="W354" s="61">
        <f t="shared" ca="1" si="45"/>
        <v>5.4999998509883881</v>
      </c>
      <c r="X354" s="166">
        <f ca="1">IF(controls!$B$44=0,Y354+'main page'!$K$29*L354+(1-'main page'!$K$29)*controls!$B$9+(('main page'!$K$25*'main page'!$U$13*'main page'!$K$29)/('main page'!$K$27*(1+('main page'!$K$25^2)*'main page'!$U$13)))*(L354-controls!$B$9),Y354+'main page'!$K$29*L354+(1-'main page'!$K$29)*controls!$B$9+(('main page'!$K$25*'main page'!$U$13*'normal case'!$AV$3)/'normal case'!$AV$4)*('normal case'!L354-controls!$B$9))</f>
        <v>5.4999998509883881</v>
      </c>
      <c r="Y354" s="81">
        <f ca="1">IF(controls!$B$44=1,'main page'!$K$24+'main page'!$K$11,IF(controls!$B$33=1,((I355-D354*AD355-B355+B354*AC355)/'main page'!$K$27)-'main page'!$K$11,((H355-D354*AD355-B355+B354*AC355)/'main page'!$K$27)-'main page'!$K$11))</f>
        <v>3.5</v>
      </c>
      <c r="AA354" s="58">
        <f>IF(controls!$B$6=1,$AS$3*(1+('main page'!$K$35/100))^AB354-$AS$3*(1+('main page'!$K$35/100))^AB353,$AS$3*(1+('main page'!$G$8/100))*(1+('main page'!$K$35/100))^AB354-$AS$3*(1+('main page'!$G$8/100))*(1+('main page'!$K$35/100))^AB353)</f>
        <v>0</v>
      </c>
      <c r="AB354" s="60">
        <v>347</v>
      </c>
      <c r="AC354" s="125">
        <v>0</v>
      </c>
      <c r="AD354" s="36">
        <v>0</v>
      </c>
      <c r="AE354" s="44">
        <f ca="1">IF(controls!$B$33=1,D354-($I$3-'main page'!$K$27*2)*(1+('main page'!$K$35/100))^A353,D354-$AS$4)</f>
        <v>1.0000000596046448</v>
      </c>
      <c r="AF354" s="44">
        <f ca="1">ABS(L354-(controls!$B$9/100)*100)</f>
        <v>1.1920928955078125E-7</v>
      </c>
      <c r="AH354" s="44">
        <f ca="1">IF(controls!$B$33=1,(B355-B354*AC355-I355+D354*AD355+'main page'!$K$27*('main page'!$K$24+'main page'!$K$11))/'main page'!$K$31,(B355-B354*AC355+D354*AD355-H355+'main page'!$K$27*('main page'!$K$24+'main page'!$K$11))/'main page'!$K$31)</f>
        <v>1</v>
      </c>
      <c r="AI354" s="44">
        <f ca="1">IF(controls!$B$45=1,LOG(AM354,1.01)+LOG(AL354,1.01)-LOG(AK354,1.01),-((T354-('main page'!$K$24+'main page'!$K$11))/(1-'normal case'!$AV$3))+'normal case'!AH354)</f>
        <v>2.0000000596046448</v>
      </c>
      <c r="AJ354" s="80">
        <f t="shared" ca="1" si="46"/>
        <v>1.0506250015463039</v>
      </c>
      <c r="AK354" s="44">
        <f t="shared" ca="1" si="47"/>
        <v>1023.5676718026676</v>
      </c>
      <c r="AL354" s="44">
        <f>AL353*(1+'main page'!$K$32/100)</f>
        <v>1</v>
      </c>
      <c r="AM354" s="44">
        <f ca="1">IF(ABS(IF(controls!$B$45=1,$AS$13,AK354*AJ354/AL354)-AM353)&lt;0.00001,AM353,IF(controls!$B$45=1,$AS$13,AK354*AJ354/AL354))</f>
        <v>1075.3857867704244</v>
      </c>
      <c r="AN354" s="44">
        <f>IF(controls!$B$46=0,0,IF(controls!$B$33=2,B355-B354*AC355-('normal case'!H355-D354*AD355-'main page'!$K$27*'normal case'!T354+'main page'!$K$31*'normal case'!AI354)-(('main page'!$K$25*'main page'!$U$13*'main page'!$K$29)/(1+('main page'!$K$25^2)*'main page'!$U$13))*('normal case'!L354-'main page'!$U$8),B355-B354*AC355-('normal case'!I355-D354*AD355-'main page'!$K$27*'normal case'!T354+'main page'!$K$31*'normal case'!AI354)-(('main page'!$K$25*'main page'!$U$13*'main page'!$K$29)/(1+('main page'!$K$25^2)*'main page'!$U$13))*('normal case'!L354-'main page'!$U$8)))</f>
        <v>0</v>
      </c>
      <c r="AU354" s="36"/>
      <c r="AV354" s="36"/>
    </row>
    <row r="355" spans="1:48">
      <c r="A355" s="43">
        <v>353</v>
      </c>
      <c r="B355" s="62">
        <f ca="1">IF(controls!$B$33=1,B354*(1+AC355)+AA355,B354*(1+AC355))</f>
        <v>101</v>
      </c>
      <c r="C355" s="67">
        <f t="shared" ca="1" si="48"/>
        <v>-1.5107707374006907E-7</v>
      </c>
      <c r="D355" s="64">
        <f t="shared" ca="1" si="44"/>
        <v>101.00000005960464</v>
      </c>
      <c r="E355" s="64">
        <f ca="1">AN354+IF(controls!$B$33=1,G355,F355)</f>
        <v>101.00000005960464</v>
      </c>
      <c r="F355" s="78">
        <f ca="1">IF(controls!$B$44=0,H355-'main page'!$K$27*T354,H355-'main page'!$K$27*T354+'main page'!$K$31*AI354)</f>
        <v>101.00000005960464</v>
      </c>
      <c r="G355" s="62">
        <f ca="1">IF(controls!$B$44=0,I355-'main page'!$K$27*T354,I355-'main page'!$K$27*T354+'main page'!$K$31*'normal case'!AI354)</f>
        <v>101.00000005960464</v>
      </c>
      <c r="H355" s="62">
        <f t="shared" ca="1" si="50"/>
        <v>108</v>
      </c>
      <c r="I355" s="62">
        <f t="shared" ca="1" si="51"/>
        <v>108</v>
      </c>
      <c r="L355" s="62">
        <f ca="1">IF(ABS('main page'!$K$29*L354+(1-'main page'!$K$29)*(controls!$B$9/100)*100+'main page'!$K$25*(D355-B355)-L354)&lt;0.0000001,L354,'main page'!$K$29*L354+(1-'main page'!$K$29)*(controls!$B$9/100)*100+'main page'!$K$25*(D355-B355))</f>
        <v>1.9999998807907104</v>
      </c>
      <c r="Q355" s="409">
        <f ca="1">(1-'main page'!$K$29)*($AS$11/100)*100+'main page'!$K$25*(D355-B355)</f>
        <v>5.9604644775390625E-8</v>
      </c>
      <c r="R355" s="409">
        <f>'main page'!G359+'main page'!$K$29*M354</f>
        <v>0</v>
      </c>
      <c r="S355" s="409">
        <f t="shared" ca="1" si="49"/>
        <v>5.9604644775390625E-8</v>
      </c>
      <c r="T355" s="79">
        <f ca="1">IF(controls!$B$10=1,T354,IF(SUM(controls!$B$44:$B$46)=2,U355-'main page'!$K$29*'normal case'!L355-(1-'main page'!$K$29)*'main page'!$K$32,U355-'main page'!$K$29*'normal case'!L355-(1-'main page'!$K$29)*controls!$B$9))</f>
        <v>3.4999999701976776</v>
      </c>
      <c r="U355" s="164">
        <f ca="1">IF(controls!$B$45=1,IF(controls!$B$46=1,'main page'!$K$24+'main page'!$K$11+'main page'!$U$8,'main page'!$K$24+'main page'!$K$11+'main page'!$K$32),IF(controls!$B$44=1,IF(V355&lt;0,0,V355),IF(V355+'main page'!$K$11&lt;0,0,V355+'main page'!$K$11)))</f>
        <v>5.4999998509883881</v>
      </c>
      <c r="V355" s="63">
        <f ca="1">IF(controls!$B$10=1,'normal case'!T355+'normal case'!L355,'normal case'!W355)</f>
        <v>5.4999998509883881</v>
      </c>
      <c r="W355" s="61">
        <f t="shared" ca="1" si="45"/>
        <v>5.4999998509883881</v>
      </c>
      <c r="X355" s="166">
        <f ca="1">IF(controls!$B$44=0,Y355+'main page'!$K$29*L355+(1-'main page'!$K$29)*controls!$B$9+(('main page'!$K$25*'main page'!$U$13*'main page'!$K$29)/('main page'!$K$27*(1+('main page'!$K$25^2)*'main page'!$U$13)))*(L355-controls!$B$9),Y355+'main page'!$K$29*L355+(1-'main page'!$K$29)*controls!$B$9+(('main page'!$K$25*'main page'!$U$13*'normal case'!$AV$3)/'normal case'!$AV$4)*('normal case'!L355-controls!$B$9))</f>
        <v>5.4999998509883881</v>
      </c>
      <c r="Y355" s="81">
        <f ca="1">IF(controls!$B$44=1,'main page'!$K$24+'main page'!$K$11,IF(controls!$B$33=1,((I356-D355*AD356-B356+B355*AC356)/'main page'!$K$27)-'main page'!$K$11,((H356-D355*AD356-B356+B355*AC356)/'main page'!$K$27)-'main page'!$K$11))</f>
        <v>3.5</v>
      </c>
      <c r="AA355" s="58">
        <f>IF(controls!$B$6=1,$AS$3*(1+('main page'!$K$35/100))^AB355-$AS$3*(1+('main page'!$K$35/100))^AB354,$AS$3*(1+('main page'!$G$8/100))*(1+('main page'!$K$35/100))^AB355-$AS$3*(1+('main page'!$G$8/100))*(1+('main page'!$K$35/100))^AB354)</f>
        <v>0</v>
      </c>
      <c r="AB355" s="60">
        <v>348</v>
      </c>
      <c r="AC355" s="125">
        <v>0</v>
      </c>
      <c r="AD355" s="36">
        <v>0</v>
      </c>
      <c r="AE355" s="44">
        <f ca="1">IF(controls!$B$33=1,D355-($I$3-'main page'!$K$27*2)*(1+('main page'!$K$35/100))^A354,D355-$AS$4)</f>
        <v>1.0000000596046448</v>
      </c>
      <c r="AF355" s="44">
        <f ca="1">ABS(L355-(controls!$B$9/100)*100)</f>
        <v>1.1920928955078125E-7</v>
      </c>
      <c r="AH355" s="44">
        <f ca="1">IF(controls!$B$33=1,(B356-B355*AC356-I356+D355*AD356+'main page'!$K$27*('main page'!$K$24+'main page'!$K$11))/'main page'!$K$31,(B356-B355*AC356+D355*AD356-H356+'main page'!$K$27*('main page'!$K$24+'main page'!$K$11))/'main page'!$K$31)</f>
        <v>1</v>
      </c>
      <c r="AI355" s="44">
        <f ca="1">IF(controls!$B$45=1,LOG(AM355,1.01)+LOG(AL355,1.01)-LOG(AK355,1.01),-((T355-('main page'!$K$24+'main page'!$K$11))/(1-'normal case'!$AV$3))+'normal case'!AH355)</f>
        <v>2.0000000596046448</v>
      </c>
      <c r="AJ355" s="80">
        <f t="shared" ca="1" si="46"/>
        <v>1.0506250015463039</v>
      </c>
      <c r="AK355" s="44">
        <f t="shared" ca="1" si="47"/>
        <v>1044.0390240185334</v>
      </c>
      <c r="AL355" s="44">
        <f>AL354*(1+'main page'!$K$32/100)</f>
        <v>1</v>
      </c>
      <c r="AM355" s="44">
        <f ca="1">IF(ABS(IF(controls!$B$45=1,$AS$13,AK355*AJ355/AL355)-AM354)&lt;0.00001,AM354,IF(controls!$B$45=1,$AS$13,AK355*AJ355/AL355))</f>
        <v>1096.8935012238733</v>
      </c>
      <c r="AN355" s="44">
        <f>IF(controls!$B$46=0,0,IF(controls!$B$33=2,B356-B355*AC356-('normal case'!H356-D355*AD356-'main page'!$K$27*'normal case'!T355+'main page'!$K$31*'normal case'!AI355)-(('main page'!$K$25*'main page'!$U$13*'main page'!$K$29)/(1+('main page'!$K$25^2)*'main page'!$U$13))*('normal case'!L355-'main page'!$U$8),B356-B355*AC356-('normal case'!I356-D355*AD356-'main page'!$K$27*'normal case'!T355+'main page'!$K$31*'normal case'!AI355)-(('main page'!$K$25*'main page'!$U$13*'main page'!$K$29)/(1+('main page'!$K$25^2)*'main page'!$U$13))*('normal case'!L355-'main page'!$U$8)))</f>
        <v>0</v>
      </c>
      <c r="AU355" s="36"/>
      <c r="AV355" s="36"/>
    </row>
    <row r="356" spans="1:48">
      <c r="A356" s="43">
        <v>354</v>
      </c>
      <c r="B356" s="62">
        <f ca="1">IF(controls!$B$33=1,B355*(1+AC356)+AA356,B355*(1+AC356))</f>
        <v>101</v>
      </c>
      <c r="C356" s="67">
        <f t="shared" ca="1" si="48"/>
        <v>-1.5107707374006907E-7</v>
      </c>
      <c r="D356" s="64">
        <f t="shared" ca="1" si="44"/>
        <v>101.00000005960464</v>
      </c>
      <c r="E356" s="64">
        <f ca="1">AN355+IF(controls!$B$33=1,G356,F356)</f>
        <v>101.00000005960464</v>
      </c>
      <c r="F356" s="78">
        <f ca="1">IF(controls!$B$44=0,H356-'main page'!$K$27*T355,H356-'main page'!$K$27*T355+'main page'!$K$31*AI355)</f>
        <v>101.00000005960464</v>
      </c>
      <c r="G356" s="62">
        <f ca="1">IF(controls!$B$44=0,I356-'main page'!$K$27*T355,I356-'main page'!$K$27*T355+'main page'!$K$31*'normal case'!AI355)</f>
        <v>101.00000005960464</v>
      </c>
      <c r="H356" s="62">
        <f t="shared" ca="1" si="50"/>
        <v>108</v>
      </c>
      <c r="I356" s="62">
        <f t="shared" ca="1" si="51"/>
        <v>108</v>
      </c>
      <c r="L356" s="62">
        <f ca="1">IF(ABS('main page'!$K$29*L355+(1-'main page'!$K$29)*(controls!$B$9/100)*100+'main page'!$K$25*(D356-B356)-L355)&lt;0.0000001,L355,'main page'!$K$29*L355+(1-'main page'!$K$29)*(controls!$B$9/100)*100+'main page'!$K$25*(D356-B356))</f>
        <v>1.9999998807907104</v>
      </c>
      <c r="Q356" s="409">
        <f ca="1">(1-'main page'!$K$29)*($AS$11/100)*100+'main page'!$K$25*(D356-B356)</f>
        <v>5.9604644775390625E-8</v>
      </c>
      <c r="R356" s="409">
        <f>'main page'!G360+'main page'!$K$29*M355</f>
        <v>0</v>
      </c>
      <c r="S356" s="409">
        <f t="shared" ca="1" si="49"/>
        <v>5.9604644775390625E-8</v>
      </c>
      <c r="T356" s="79">
        <f ca="1">IF(controls!$B$10=1,T355,IF(SUM(controls!$B$44:$B$46)=2,U356-'main page'!$K$29*'normal case'!L356-(1-'main page'!$K$29)*'main page'!$K$32,U356-'main page'!$K$29*'normal case'!L356-(1-'main page'!$K$29)*controls!$B$9))</f>
        <v>3.4999999701976776</v>
      </c>
      <c r="U356" s="164">
        <f ca="1">IF(controls!$B$45=1,IF(controls!$B$46=1,'main page'!$K$24+'main page'!$K$11+'main page'!$U$8,'main page'!$K$24+'main page'!$K$11+'main page'!$K$32),IF(controls!$B$44=1,IF(V356&lt;0,0,V356),IF(V356+'main page'!$K$11&lt;0,0,V356+'main page'!$K$11)))</f>
        <v>5.4999998509883881</v>
      </c>
      <c r="V356" s="63">
        <f ca="1">IF(controls!$B$10=1,'normal case'!T356+'normal case'!L356,'normal case'!W356)</f>
        <v>5.4999998509883881</v>
      </c>
      <c r="W356" s="61">
        <f t="shared" ca="1" si="45"/>
        <v>5.4999998509883881</v>
      </c>
      <c r="X356" s="166">
        <f ca="1">IF(controls!$B$44=0,Y356+'main page'!$K$29*L356+(1-'main page'!$K$29)*controls!$B$9+(('main page'!$K$25*'main page'!$U$13*'main page'!$K$29)/('main page'!$K$27*(1+('main page'!$K$25^2)*'main page'!$U$13)))*(L356-controls!$B$9),Y356+'main page'!$K$29*L356+(1-'main page'!$K$29)*controls!$B$9+(('main page'!$K$25*'main page'!$U$13*'normal case'!$AV$3)/'normal case'!$AV$4)*('normal case'!L356-controls!$B$9))</f>
        <v>5.4999998509883881</v>
      </c>
      <c r="Y356" s="81">
        <f ca="1">IF(controls!$B$44=1,'main page'!$K$24+'main page'!$K$11,IF(controls!$B$33=1,((I357-D356*AD357-B357+B356*AC357)/'main page'!$K$27)-'main page'!$K$11,((H357-D356*AD357-B357+B356*AC357)/'main page'!$K$27)-'main page'!$K$11))</f>
        <v>3.5</v>
      </c>
      <c r="AA356" s="58">
        <f>IF(controls!$B$6=1,$AS$3*(1+('main page'!$K$35/100))^AB356-$AS$3*(1+('main page'!$K$35/100))^AB355,$AS$3*(1+('main page'!$G$8/100))*(1+('main page'!$K$35/100))^AB356-$AS$3*(1+('main page'!$G$8/100))*(1+('main page'!$K$35/100))^AB355)</f>
        <v>0</v>
      </c>
      <c r="AB356" s="60">
        <v>349</v>
      </c>
      <c r="AC356" s="125">
        <f ca="1">IF(controls!$B$4=1,IF(controls!$H355=1,controls!$B$34*AC355+RAND()*('main page'!$K$16/100)-RAND()*('main page'!$K$16/100),0),0)</f>
        <v>0</v>
      </c>
      <c r="AD356" s="36">
        <f ca="1">IF(controls!$B$4=1,IF(controls!$I355=1,controls!$B$34*AD355+RAND()*('main page'!$K$16/100)-RAND()*('main page'!$K$16/100),0),0)</f>
        <v>0</v>
      </c>
      <c r="AE356" s="44">
        <f ca="1">IF(controls!$B$33=1,D356-($I$3-'main page'!$K$27*2)*(1+('main page'!$K$35/100))^A355,D356-$AS$4)</f>
        <v>1.0000000596046448</v>
      </c>
      <c r="AF356" s="44">
        <f ca="1">ABS(L356-(controls!$B$9/100)*100)</f>
        <v>1.1920928955078125E-7</v>
      </c>
      <c r="AH356" s="44">
        <f ca="1">IF(controls!$B$33=1,(B357-B356*AC357-I357+D356*AD357+'main page'!$K$27*('main page'!$K$24+'main page'!$K$11))/'main page'!$K$31,(B357-B356*AC357+D356*AD357-H357+'main page'!$K$27*('main page'!$K$24+'main page'!$K$11))/'main page'!$K$31)</f>
        <v>1</v>
      </c>
      <c r="AI356" s="44">
        <f ca="1">IF(controls!$B$45=1,LOG(AM356,1.01)+LOG(AL356,1.01)-LOG(AK356,1.01),-((T356-('main page'!$K$24+'main page'!$K$11))/(1-'normal case'!$AV$3))+'normal case'!AH356)</f>
        <v>2.0000000596046448</v>
      </c>
      <c r="AJ356" s="80">
        <f t="shared" ca="1" si="46"/>
        <v>1.0506250015463039</v>
      </c>
      <c r="AK356" s="44">
        <f t="shared" ca="1" si="47"/>
        <v>1064.9198032543127</v>
      </c>
      <c r="AL356" s="44">
        <f>AL355*(1+'main page'!$K$32/100)</f>
        <v>1</v>
      </c>
      <c r="AM356" s="44">
        <f ca="1">IF(ABS(IF(controls!$B$45=1,$AS$13,AK356*AJ356/AL356)-AM355)&lt;0.00001,AM355,IF(controls!$B$45=1,$AS$13,AK356*AJ356/AL356))</f>
        <v>1118.831369940752</v>
      </c>
      <c r="AN356" s="44">
        <f>IF(controls!$B$46=0,0,IF(controls!$B$33=2,B357-B356*AC357-('normal case'!H357-D356*AD357-'main page'!$K$27*'normal case'!T356+'main page'!$K$31*'normal case'!AI356)-(('main page'!$K$25*'main page'!$U$13*'main page'!$K$29)/(1+('main page'!$K$25^2)*'main page'!$U$13))*('normal case'!L356-'main page'!$U$8),B357-B356*AC357-('normal case'!I357-D356*AD357-'main page'!$K$27*'normal case'!T356+'main page'!$K$31*'normal case'!AI356)-(('main page'!$K$25*'main page'!$U$13*'main page'!$K$29)/(1+('main page'!$K$25^2)*'main page'!$U$13))*('normal case'!L356-'main page'!$U$8)))</f>
        <v>0</v>
      </c>
      <c r="AU356" s="36"/>
      <c r="AV356" s="36"/>
    </row>
    <row r="357" spans="1:48">
      <c r="A357" s="43">
        <v>355</v>
      </c>
      <c r="B357" s="62">
        <f ca="1">IF(controls!$B$33=1,B356*(1+AC357)+AA357,B356*(1+AC357))</f>
        <v>101</v>
      </c>
      <c r="C357" s="67">
        <f t="shared" ca="1" si="48"/>
        <v>-1.5107707374006907E-7</v>
      </c>
      <c r="D357" s="64">
        <f t="shared" ca="1" si="44"/>
        <v>101.00000005960464</v>
      </c>
      <c r="E357" s="64">
        <f ca="1">AN356+IF(controls!$B$33=1,G357,F357)</f>
        <v>101.00000005960464</v>
      </c>
      <c r="F357" s="78">
        <f ca="1">IF(controls!$B$44=0,H357-'main page'!$K$27*T356,H357-'main page'!$K$27*T356+'main page'!$K$31*AI356)</f>
        <v>101.00000005960464</v>
      </c>
      <c r="G357" s="62">
        <f ca="1">IF(controls!$B$44=0,I357-'main page'!$K$27*T356,I357-'main page'!$K$27*T356+'main page'!$K$31*'normal case'!AI356)</f>
        <v>101.00000005960464</v>
      </c>
      <c r="H357" s="62">
        <f t="shared" ca="1" si="50"/>
        <v>108</v>
      </c>
      <c r="I357" s="62">
        <f t="shared" ca="1" si="51"/>
        <v>108</v>
      </c>
      <c r="L357" s="62">
        <f ca="1">IF(ABS('main page'!$K$29*L356+(1-'main page'!$K$29)*(controls!$B$9/100)*100+'main page'!$K$25*(D357-B357)-L356)&lt;0.0000001,L356,'main page'!$K$29*L356+(1-'main page'!$K$29)*(controls!$B$9/100)*100+'main page'!$K$25*(D357-B357))</f>
        <v>1.9999998807907104</v>
      </c>
      <c r="Q357" s="409">
        <f ca="1">(1-'main page'!$K$29)*($AS$11/100)*100+'main page'!$K$25*(D357-B357)</f>
        <v>5.9604644775390625E-8</v>
      </c>
      <c r="R357" s="409">
        <f>'main page'!G361+'main page'!$K$29*M356</f>
        <v>0</v>
      </c>
      <c r="S357" s="409">
        <f t="shared" ca="1" si="49"/>
        <v>5.9604644775390625E-8</v>
      </c>
      <c r="T357" s="79">
        <f ca="1">IF(controls!$B$10=1,T356,IF(SUM(controls!$B$44:$B$46)=2,U357-'main page'!$K$29*'normal case'!L357-(1-'main page'!$K$29)*'main page'!$K$32,U357-'main page'!$K$29*'normal case'!L357-(1-'main page'!$K$29)*controls!$B$9))</f>
        <v>3.4999999701976776</v>
      </c>
      <c r="U357" s="164">
        <f ca="1">IF(controls!$B$45=1,IF(controls!$B$46=1,'main page'!$K$24+'main page'!$K$11+'main page'!$U$8,'main page'!$K$24+'main page'!$K$11+'main page'!$K$32),IF(controls!$B$44=1,IF(V357&lt;0,0,V357),IF(V357+'main page'!$K$11&lt;0,0,V357+'main page'!$K$11)))</f>
        <v>5.4999998509883881</v>
      </c>
      <c r="V357" s="63">
        <f ca="1">IF(controls!$B$10=1,'normal case'!T357+'normal case'!L357,'normal case'!W357)</f>
        <v>5.4999998509883881</v>
      </c>
      <c r="W357" s="61">
        <f t="shared" ca="1" si="45"/>
        <v>5.4999998509883881</v>
      </c>
      <c r="X357" s="166">
        <f ca="1">IF(controls!$B$44=0,Y357+'main page'!$K$29*L357+(1-'main page'!$K$29)*controls!$B$9+(('main page'!$K$25*'main page'!$U$13*'main page'!$K$29)/('main page'!$K$27*(1+('main page'!$K$25^2)*'main page'!$U$13)))*(L357-controls!$B$9),Y357+'main page'!$K$29*L357+(1-'main page'!$K$29)*controls!$B$9+(('main page'!$K$25*'main page'!$U$13*'normal case'!$AV$3)/'normal case'!$AV$4)*('normal case'!L357-controls!$B$9))</f>
        <v>5.4999998509883881</v>
      </c>
      <c r="Y357" s="81">
        <f ca="1">IF(controls!$B$44=1,'main page'!$K$24+'main page'!$K$11,IF(controls!$B$33=1,((I358-D357*AD358-B358+B357*AC358)/'main page'!$K$27)-'main page'!$K$11,((H358-D357*AD358-B358+B357*AC358)/'main page'!$K$27)-'main page'!$K$11))</f>
        <v>3.5</v>
      </c>
      <c r="AA357" s="58">
        <f>IF(controls!$B$6=1,$AS$3*(1+('main page'!$K$35/100))^AB357-$AS$3*(1+('main page'!$K$35/100))^AB356,$AS$3*(1+('main page'!$G$8/100))*(1+('main page'!$K$35/100))^AB357-$AS$3*(1+('main page'!$G$8/100))*(1+('main page'!$K$35/100))^AB356)</f>
        <v>0</v>
      </c>
      <c r="AB357" s="60">
        <v>350</v>
      </c>
      <c r="AC357" s="125">
        <v>0</v>
      </c>
      <c r="AD357" s="36">
        <v>0</v>
      </c>
      <c r="AE357" s="44">
        <f ca="1">IF(controls!$B$33=1,D357-($I$3-'main page'!$K$27*2)*(1+('main page'!$K$35/100))^A356,D357-$AS$4)</f>
        <v>1.0000000596046448</v>
      </c>
      <c r="AF357" s="44">
        <f ca="1">ABS(L357-(controls!$B$9/100)*100)</f>
        <v>1.1920928955078125E-7</v>
      </c>
      <c r="AH357" s="44">
        <f ca="1">IF(controls!$B$33=1,(B358-B357*AC358-I358+D357*AD358+'main page'!$K$27*('main page'!$K$24+'main page'!$K$11))/'main page'!$K$31,(B358-B357*AC358+D357*AD358-H358+'main page'!$K$27*('main page'!$K$24+'main page'!$K$11))/'main page'!$K$31)</f>
        <v>1</v>
      </c>
      <c r="AI357" s="44">
        <f ca="1">IF(controls!$B$45=1,LOG(AM357,1.01)+LOG(AL357,1.01)-LOG(AK357,1.01),-((T357-('main page'!$K$24+'main page'!$K$11))/(1-'normal case'!$AV$3))+'normal case'!AH357)</f>
        <v>2.0000000596046448</v>
      </c>
      <c r="AJ357" s="80">
        <f t="shared" ca="1" si="46"/>
        <v>1.0506250015463039</v>
      </c>
      <c r="AK357" s="44">
        <f t="shared" ca="1" si="47"/>
        <v>1086.2181980499156</v>
      </c>
      <c r="AL357" s="44">
        <f>AL356*(1+'main page'!$K$32/100)</f>
        <v>1</v>
      </c>
      <c r="AM357" s="44">
        <f ca="1">IF(ABS(IF(controls!$B$45=1,$AS$13,AK357*AJ357/AL357)-AM356)&lt;0.00001,AM356,IF(controls!$B$45=1,$AS$13,AK357*AJ357/AL357))</f>
        <v>1141.2079960058161</v>
      </c>
      <c r="AN357" s="44">
        <f>IF(controls!$B$46=0,0,IF(controls!$B$33=2,B358-B357*AC358-('normal case'!H358-D357*AD358-'main page'!$K$27*'normal case'!T357+'main page'!$K$31*'normal case'!AI357)-(('main page'!$K$25*'main page'!$U$13*'main page'!$K$29)/(1+('main page'!$K$25^2)*'main page'!$U$13))*('normal case'!L357-'main page'!$U$8),B358-B357*AC358-('normal case'!I358-D357*AD358-'main page'!$K$27*'normal case'!T357+'main page'!$K$31*'normal case'!AI357)-(('main page'!$K$25*'main page'!$U$13*'main page'!$K$29)/(1+('main page'!$K$25^2)*'main page'!$U$13))*('normal case'!L357-'main page'!$U$8)))</f>
        <v>0</v>
      </c>
      <c r="AU357" s="36"/>
      <c r="AV357" s="36"/>
    </row>
    <row r="358" spans="1:48">
      <c r="A358" s="43">
        <v>356</v>
      </c>
      <c r="B358" s="62">
        <f ca="1">IF(controls!$B$33=1,B357*(1+AC358)+AA358,B357*(1+AC358))</f>
        <v>101</v>
      </c>
      <c r="C358" s="67">
        <f t="shared" ca="1" si="48"/>
        <v>-1.5107707374006907E-7</v>
      </c>
      <c r="D358" s="64">
        <f t="shared" ca="1" si="44"/>
        <v>101.00000005960464</v>
      </c>
      <c r="E358" s="64">
        <f ca="1">AN357+IF(controls!$B$33=1,G358,F358)</f>
        <v>101.00000005960464</v>
      </c>
      <c r="F358" s="78">
        <f ca="1">IF(controls!$B$44=0,H358-'main page'!$K$27*T357,H358-'main page'!$K$27*T357+'main page'!$K$31*AI357)</f>
        <v>101.00000005960464</v>
      </c>
      <c r="G358" s="62">
        <f ca="1">IF(controls!$B$44=0,I358-'main page'!$K$27*T357,I358-'main page'!$K$27*T357+'main page'!$K$31*'normal case'!AI357)</f>
        <v>101.00000005960464</v>
      </c>
      <c r="H358" s="62">
        <f t="shared" ca="1" si="50"/>
        <v>108</v>
      </c>
      <c r="I358" s="62">
        <f t="shared" ca="1" si="51"/>
        <v>108</v>
      </c>
      <c r="L358" s="62">
        <f ca="1">IF(ABS('main page'!$K$29*L357+(1-'main page'!$K$29)*(controls!$B$9/100)*100+'main page'!$K$25*(D358-B358)-L357)&lt;0.0000001,L357,'main page'!$K$29*L357+(1-'main page'!$K$29)*(controls!$B$9/100)*100+'main page'!$K$25*(D358-B358))</f>
        <v>1.9999998807907104</v>
      </c>
      <c r="Q358" s="409">
        <f ca="1">(1-'main page'!$K$29)*($AS$11/100)*100+'main page'!$K$25*(D358-B358)</f>
        <v>5.9604644775390625E-8</v>
      </c>
      <c r="R358" s="409">
        <f>'main page'!G362+'main page'!$K$29*M357</f>
        <v>0</v>
      </c>
      <c r="S358" s="409">
        <f t="shared" ca="1" si="49"/>
        <v>5.9604644775390625E-8</v>
      </c>
      <c r="T358" s="79">
        <f ca="1">IF(controls!$B$10=1,T357,IF(SUM(controls!$B$44:$B$46)=2,U358-'main page'!$K$29*'normal case'!L358-(1-'main page'!$K$29)*'main page'!$K$32,U358-'main page'!$K$29*'normal case'!L358-(1-'main page'!$K$29)*controls!$B$9))</f>
        <v>3.4999999701976776</v>
      </c>
      <c r="U358" s="164">
        <f ca="1">IF(controls!$B$45=1,IF(controls!$B$46=1,'main page'!$K$24+'main page'!$K$11+'main page'!$U$8,'main page'!$K$24+'main page'!$K$11+'main page'!$K$32),IF(controls!$B$44=1,IF(V358&lt;0,0,V358),IF(V358+'main page'!$K$11&lt;0,0,V358+'main page'!$K$11)))</f>
        <v>5.4999998509883881</v>
      </c>
      <c r="V358" s="63">
        <f ca="1">IF(controls!$B$10=1,'normal case'!T358+'normal case'!L358,'normal case'!W358)</f>
        <v>5.4999998509883881</v>
      </c>
      <c r="W358" s="61">
        <f t="shared" ca="1" si="45"/>
        <v>5.4999998509883881</v>
      </c>
      <c r="X358" s="166">
        <f ca="1">IF(controls!$B$44=0,Y358+'main page'!$K$29*L358+(1-'main page'!$K$29)*controls!$B$9+(('main page'!$K$25*'main page'!$U$13*'main page'!$K$29)/('main page'!$K$27*(1+('main page'!$K$25^2)*'main page'!$U$13)))*(L358-controls!$B$9),Y358+'main page'!$K$29*L358+(1-'main page'!$K$29)*controls!$B$9+(('main page'!$K$25*'main page'!$U$13*'normal case'!$AV$3)/'normal case'!$AV$4)*('normal case'!L358-controls!$B$9))</f>
        <v>5.4999998509883881</v>
      </c>
      <c r="Y358" s="81">
        <f ca="1">IF(controls!$B$44=1,'main page'!$K$24+'main page'!$K$11,IF(controls!$B$33=1,((I359-D358*AD359-B359+B358*AC359)/'main page'!$K$27)-'main page'!$K$11,((H359-D358*AD359-B359+B358*AC359)/'main page'!$K$27)-'main page'!$K$11))</f>
        <v>3.5</v>
      </c>
      <c r="AA358" s="58">
        <f>IF(controls!$B$6=1,$AS$3*(1+('main page'!$K$35/100))^AB358-$AS$3*(1+('main page'!$K$35/100))^AB357,$AS$3*(1+('main page'!$G$8/100))*(1+('main page'!$K$35/100))^AB358-$AS$3*(1+('main page'!$G$8/100))*(1+('main page'!$K$35/100))^AB357)</f>
        <v>0</v>
      </c>
      <c r="AB358" s="60">
        <v>351</v>
      </c>
      <c r="AC358" s="125">
        <v>0</v>
      </c>
      <c r="AD358" s="36">
        <v>0</v>
      </c>
      <c r="AE358" s="44">
        <f ca="1">IF(controls!$B$33=1,D358-($I$3-'main page'!$K$27*2)*(1+('main page'!$K$35/100))^A357,D358-$AS$4)</f>
        <v>1.0000000596046448</v>
      </c>
      <c r="AF358" s="44">
        <f ca="1">ABS(L358-(controls!$B$9/100)*100)</f>
        <v>1.1920928955078125E-7</v>
      </c>
      <c r="AH358" s="44">
        <f ca="1">IF(controls!$B$33=1,(B359-B358*AC359-I359+D358*AD359+'main page'!$K$27*('main page'!$K$24+'main page'!$K$11))/'main page'!$K$31,(B359-B358*AC359+D358*AD359-H359+'main page'!$K$27*('main page'!$K$24+'main page'!$K$11))/'main page'!$K$31)</f>
        <v>1</v>
      </c>
      <c r="AI358" s="44">
        <f ca="1">IF(controls!$B$45=1,LOG(AM358,1.01)+LOG(AL358,1.01)-LOG(AK358,1.01),-((T358-('main page'!$K$24+'main page'!$K$11))/(1-'normal case'!$AV$3))+'normal case'!AH358)</f>
        <v>2.0000000596046448</v>
      </c>
      <c r="AJ358" s="80">
        <f t="shared" ca="1" si="46"/>
        <v>1.0506250015463039</v>
      </c>
      <c r="AK358" s="44">
        <f t="shared" ca="1" si="47"/>
        <v>1107.942560716041</v>
      </c>
      <c r="AL358" s="44">
        <f>AL357*(1+'main page'!$K$32/100)</f>
        <v>1</v>
      </c>
      <c r="AM358" s="44">
        <f ca="1">IF(ABS(IF(controls!$B$45=1,$AS$13,AK358*AJ358/AL358)-AM357)&lt;0.00001,AM357,IF(controls!$B$45=1,$AS$13,AK358*AJ358/AL358))</f>
        <v>1164.0321545655065</v>
      </c>
      <c r="AN358" s="44">
        <f>IF(controls!$B$46=0,0,IF(controls!$B$33=2,B359-B358*AC359-('normal case'!H359-D358*AD359-'main page'!$K$27*'normal case'!T358+'main page'!$K$31*'normal case'!AI358)-(('main page'!$K$25*'main page'!$U$13*'main page'!$K$29)/(1+('main page'!$K$25^2)*'main page'!$U$13))*('normal case'!L358-'main page'!$U$8),B359-B358*AC359-('normal case'!I359-D358*AD359-'main page'!$K$27*'normal case'!T358+'main page'!$K$31*'normal case'!AI358)-(('main page'!$K$25*'main page'!$U$13*'main page'!$K$29)/(1+('main page'!$K$25^2)*'main page'!$U$13))*('normal case'!L358-'main page'!$U$8)))</f>
        <v>0</v>
      </c>
      <c r="AU358" s="36"/>
      <c r="AV358" s="36"/>
    </row>
    <row r="359" spans="1:48">
      <c r="A359" s="43">
        <v>357</v>
      </c>
      <c r="B359" s="62">
        <f ca="1">IF(controls!$B$33=1,B358*(1+AC359)+AA359,B358*(1+AC359))</f>
        <v>101</v>
      </c>
      <c r="C359" s="67">
        <f t="shared" ca="1" si="48"/>
        <v>-1.5107707374006907E-7</v>
      </c>
      <c r="D359" s="64">
        <f t="shared" ca="1" si="44"/>
        <v>101.00000005960464</v>
      </c>
      <c r="E359" s="64">
        <f ca="1">AN358+IF(controls!$B$33=1,G359,F359)</f>
        <v>101.00000005960464</v>
      </c>
      <c r="F359" s="78">
        <f ca="1">IF(controls!$B$44=0,H359-'main page'!$K$27*T358,H359-'main page'!$K$27*T358+'main page'!$K$31*AI358)</f>
        <v>101.00000005960464</v>
      </c>
      <c r="G359" s="62">
        <f ca="1">IF(controls!$B$44=0,I359-'main page'!$K$27*T358,I359-'main page'!$K$27*T358+'main page'!$K$31*'normal case'!AI358)</f>
        <v>101.00000005960464</v>
      </c>
      <c r="H359" s="62">
        <f t="shared" ca="1" si="50"/>
        <v>108</v>
      </c>
      <c r="I359" s="62">
        <f t="shared" ca="1" si="51"/>
        <v>108</v>
      </c>
      <c r="L359" s="62">
        <f ca="1">IF(ABS('main page'!$K$29*L358+(1-'main page'!$K$29)*(controls!$B$9/100)*100+'main page'!$K$25*(D359-B359)-L358)&lt;0.0000001,L358,'main page'!$K$29*L358+(1-'main page'!$K$29)*(controls!$B$9/100)*100+'main page'!$K$25*(D359-B359))</f>
        <v>1.9999998807907104</v>
      </c>
      <c r="Q359" s="409">
        <f ca="1">(1-'main page'!$K$29)*($AS$11/100)*100+'main page'!$K$25*(D359-B359)</f>
        <v>5.9604644775390625E-8</v>
      </c>
      <c r="R359" s="409">
        <f>'main page'!G363+'main page'!$K$29*M358</f>
        <v>0</v>
      </c>
      <c r="S359" s="409">
        <f t="shared" ca="1" si="49"/>
        <v>5.9604644775390625E-8</v>
      </c>
      <c r="T359" s="79">
        <f ca="1">IF(controls!$B$10=1,T358,IF(SUM(controls!$B$44:$B$46)=2,U359-'main page'!$K$29*'normal case'!L359-(1-'main page'!$K$29)*'main page'!$K$32,U359-'main page'!$K$29*'normal case'!L359-(1-'main page'!$K$29)*controls!$B$9))</f>
        <v>3.4999999701976776</v>
      </c>
      <c r="U359" s="164">
        <f ca="1">IF(controls!$B$45=1,IF(controls!$B$46=1,'main page'!$K$24+'main page'!$K$11+'main page'!$U$8,'main page'!$K$24+'main page'!$K$11+'main page'!$K$32),IF(controls!$B$44=1,IF(V359&lt;0,0,V359),IF(V359+'main page'!$K$11&lt;0,0,V359+'main page'!$K$11)))</f>
        <v>5.4999998509883881</v>
      </c>
      <c r="V359" s="63">
        <f ca="1">IF(controls!$B$10=1,'normal case'!T359+'normal case'!L359,'normal case'!W359)</f>
        <v>5.4999998509883881</v>
      </c>
      <c r="W359" s="61">
        <f t="shared" ca="1" si="45"/>
        <v>5.4999998509883881</v>
      </c>
      <c r="X359" s="166">
        <f ca="1">IF(controls!$B$44=0,Y359+'main page'!$K$29*L359+(1-'main page'!$K$29)*controls!$B$9+(('main page'!$K$25*'main page'!$U$13*'main page'!$K$29)/('main page'!$K$27*(1+('main page'!$K$25^2)*'main page'!$U$13)))*(L359-controls!$B$9),Y359+'main page'!$K$29*L359+(1-'main page'!$K$29)*controls!$B$9+(('main page'!$K$25*'main page'!$U$13*'normal case'!$AV$3)/'normal case'!$AV$4)*('normal case'!L359-controls!$B$9))</f>
        <v>5.4999998509883881</v>
      </c>
      <c r="Y359" s="81">
        <f ca="1">IF(controls!$B$44=1,'main page'!$K$24+'main page'!$K$11,IF(controls!$B$33=1,((I360-D359*AD360-B360+B359*AC360)/'main page'!$K$27)-'main page'!$K$11,((H360-D359*AD360-B360+B359*AC360)/'main page'!$K$27)-'main page'!$K$11))</f>
        <v>3.5</v>
      </c>
      <c r="AA359" s="58">
        <f>IF(controls!$B$6=1,$AS$3*(1+('main page'!$K$35/100))^AB359-$AS$3*(1+('main page'!$K$35/100))^AB358,$AS$3*(1+('main page'!$G$8/100))*(1+('main page'!$K$35/100))^AB359-$AS$3*(1+('main page'!$G$8/100))*(1+('main page'!$K$35/100))^AB358)</f>
        <v>0</v>
      </c>
      <c r="AB359" s="60">
        <v>352</v>
      </c>
      <c r="AC359" s="125">
        <f ca="1">IF(controls!$B$4=1,IF(controls!$H358=1,controls!$B$34*AC358+RAND()*('main page'!$K$16/100)-RAND()*('main page'!$K$16/100),0),0)</f>
        <v>0</v>
      </c>
      <c r="AD359" s="36">
        <f ca="1">IF(controls!$B$4=1,IF(controls!$I358=1,controls!$B$34*AD358+RAND()*('main page'!$K$16/100)-RAND()*('main page'!$K$16/100),0),0)</f>
        <v>0</v>
      </c>
      <c r="AE359" s="44">
        <f ca="1">IF(controls!$B$33=1,D359-($I$3-'main page'!$K$27*2)*(1+('main page'!$K$35/100))^A358,D359-$AS$4)</f>
        <v>1.0000000596046448</v>
      </c>
      <c r="AF359" s="44">
        <f ca="1">ABS(L359-(controls!$B$9/100)*100)</f>
        <v>1.1920928955078125E-7</v>
      </c>
      <c r="AH359" s="44">
        <f ca="1">IF(controls!$B$33=1,(B360-B359*AC360-I360+D359*AD360+'main page'!$K$27*('main page'!$K$24+'main page'!$K$11))/'main page'!$K$31,(B360-B359*AC360+D359*AD360-H360+'main page'!$K$27*('main page'!$K$24+'main page'!$K$11))/'main page'!$K$31)</f>
        <v>1</v>
      </c>
      <c r="AI359" s="44">
        <f ca="1">IF(controls!$B$45=1,LOG(AM359,1.01)+LOG(AL359,1.01)-LOG(AK359,1.01),-((T359-('main page'!$K$24+'main page'!$K$11))/(1-'normal case'!$AV$3))+'normal case'!AH359)</f>
        <v>2.0000000596046448</v>
      </c>
      <c r="AJ359" s="80">
        <f t="shared" ca="1" si="46"/>
        <v>1.0506250015463039</v>
      </c>
      <c r="AK359" s="44">
        <f t="shared" ca="1" si="47"/>
        <v>1130.1014106095915</v>
      </c>
      <c r="AL359" s="44">
        <f>AL358*(1+'main page'!$K$32/100)</f>
        <v>1</v>
      </c>
      <c r="AM359" s="44">
        <f ca="1">IF(ABS(IF(controls!$B$45=1,$AS$13,AK359*AJ359/AL359)-AM358)&lt;0.00001,AM358,IF(controls!$B$45=1,$AS$13,AK359*AJ359/AL359))</f>
        <v>1187.3127962691824</v>
      </c>
      <c r="AN359" s="44">
        <f>IF(controls!$B$46=0,0,IF(controls!$B$33=2,B360-B359*AC360-('normal case'!H360-D359*AD360-'main page'!$K$27*'normal case'!T359+'main page'!$K$31*'normal case'!AI359)-(('main page'!$K$25*'main page'!$U$13*'main page'!$K$29)/(1+('main page'!$K$25^2)*'main page'!$U$13))*('normal case'!L359-'main page'!$U$8),B360-B359*AC360-('normal case'!I360-D359*AD360-'main page'!$K$27*'normal case'!T359+'main page'!$K$31*'normal case'!AI359)-(('main page'!$K$25*'main page'!$U$13*'main page'!$K$29)/(1+('main page'!$K$25^2)*'main page'!$U$13))*('normal case'!L359-'main page'!$U$8)))</f>
        <v>0</v>
      </c>
      <c r="AU359" s="36"/>
      <c r="AV359" s="36"/>
    </row>
    <row r="360" spans="1:48">
      <c r="A360" s="43">
        <v>358</v>
      </c>
      <c r="B360" s="62">
        <f ca="1">IF(controls!$B$33=1,B359*(1+AC360)+AA360,B359*(1+AC360))</f>
        <v>101</v>
      </c>
      <c r="C360" s="67">
        <f t="shared" ca="1" si="48"/>
        <v>-1.5107707374006907E-7</v>
      </c>
      <c r="D360" s="64">
        <f t="shared" ca="1" si="44"/>
        <v>101.00000005960464</v>
      </c>
      <c r="E360" s="64">
        <f ca="1">AN359+IF(controls!$B$33=1,G360,F360)</f>
        <v>101.00000005960464</v>
      </c>
      <c r="F360" s="78">
        <f ca="1">IF(controls!$B$44=0,H360-'main page'!$K$27*T359,H360-'main page'!$K$27*T359+'main page'!$K$31*AI359)</f>
        <v>101.00000005960464</v>
      </c>
      <c r="G360" s="62">
        <f ca="1">IF(controls!$B$44=0,I360-'main page'!$K$27*T359,I360-'main page'!$K$27*T359+'main page'!$K$31*'normal case'!AI359)</f>
        <v>101.00000005960464</v>
      </c>
      <c r="H360" s="62">
        <f t="shared" ca="1" si="50"/>
        <v>108</v>
      </c>
      <c r="I360" s="62">
        <f t="shared" ca="1" si="51"/>
        <v>108</v>
      </c>
      <c r="L360" s="62">
        <f ca="1">IF(ABS('main page'!$K$29*L359+(1-'main page'!$K$29)*(controls!$B$9/100)*100+'main page'!$K$25*(D360-B360)-L359)&lt;0.0000001,L359,'main page'!$K$29*L359+(1-'main page'!$K$29)*(controls!$B$9/100)*100+'main page'!$K$25*(D360-B360))</f>
        <v>1.9999998807907104</v>
      </c>
      <c r="Q360" s="409">
        <f ca="1">(1-'main page'!$K$29)*($AS$11/100)*100+'main page'!$K$25*(D360-B360)</f>
        <v>5.9604644775390625E-8</v>
      </c>
      <c r="R360" s="409">
        <f>'main page'!G364+'main page'!$K$29*M359</f>
        <v>0</v>
      </c>
      <c r="S360" s="409">
        <f t="shared" ca="1" si="49"/>
        <v>5.9604644775390625E-8</v>
      </c>
      <c r="T360" s="79">
        <f ca="1">IF(controls!$B$10=1,T359,IF(SUM(controls!$B$44:$B$46)=2,U360-'main page'!$K$29*'normal case'!L360-(1-'main page'!$K$29)*'main page'!$K$32,U360-'main page'!$K$29*'normal case'!L360-(1-'main page'!$K$29)*controls!$B$9))</f>
        <v>3.4999999701976776</v>
      </c>
      <c r="U360" s="164">
        <f ca="1">IF(controls!$B$45=1,IF(controls!$B$46=1,'main page'!$K$24+'main page'!$K$11+'main page'!$U$8,'main page'!$K$24+'main page'!$K$11+'main page'!$K$32),IF(controls!$B$44=1,IF(V360&lt;0,0,V360),IF(V360+'main page'!$K$11&lt;0,0,V360+'main page'!$K$11)))</f>
        <v>5.4999998509883881</v>
      </c>
      <c r="V360" s="63">
        <f ca="1">IF(controls!$B$10=1,'normal case'!T360+'normal case'!L360,'normal case'!W360)</f>
        <v>5.4999998509883881</v>
      </c>
      <c r="W360" s="61">
        <f t="shared" ca="1" si="45"/>
        <v>5.4999998509883881</v>
      </c>
      <c r="X360" s="166">
        <f ca="1">IF(controls!$B$44=0,Y360+'main page'!$K$29*L360+(1-'main page'!$K$29)*controls!$B$9+(('main page'!$K$25*'main page'!$U$13*'main page'!$K$29)/('main page'!$K$27*(1+('main page'!$K$25^2)*'main page'!$U$13)))*(L360-controls!$B$9),Y360+'main page'!$K$29*L360+(1-'main page'!$K$29)*controls!$B$9+(('main page'!$K$25*'main page'!$U$13*'normal case'!$AV$3)/'normal case'!$AV$4)*('normal case'!L360-controls!$B$9))</f>
        <v>5.4999998509883881</v>
      </c>
      <c r="Y360" s="81">
        <f ca="1">IF(controls!$B$44=1,'main page'!$K$24+'main page'!$K$11,IF(controls!$B$33=1,((I361-D360*AD361-B361+B360*AC361)/'main page'!$K$27)-'main page'!$K$11,((H361-D360*AD361-B361+B360*AC361)/'main page'!$K$27)-'main page'!$K$11))</f>
        <v>3.5</v>
      </c>
      <c r="AA360" s="58">
        <f>IF(controls!$B$6=1,$AS$3*(1+('main page'!$K$35/100))^AB360-$AS$3*(1+('main page'!$K$35/100))^AB359,$AS$3*(1+('main page'!$G$8/100))*(1+('main page'!$K$35/100))^AB360-$AS$3*(1+('main page'!$G$8/100))*(1+('main page'!$K$35/100))^AB359)</f>
        <v>0</v>
      </c>
      <c r="AB360" s="60">
        <v>353</v>
      </c>
      <c r="AC360" s="125">
        <v>0</v>
      </c>
      <c r="AD360" s="36">
        <v>0</v>
      </c>
      <c r="AE360" s="44">
        <f ca="1">IF(controls!$B$33=1,D360-($I$3-'main page'!$K$27*2)*(1+('main page'!$K$35/100))^A359,D360-$AS$4)</f>
        <v>1.0000000596046448</v>
      </c>
      <c r="AF360" s="44">
        <f ca="1">ABS(L360-(controls!$B$9/100)*100)</f>
        <v>1.1920928955078125E-7</v>
      </c>
      <c r="AH360" s="44">
        <f ca="1">IF(controls!$B$33=1,(B361-B360*AC361-I361+D360*AD361+'main page'!$K$27*('main page'!$K$24+'main page'!$K$11))/'main page'!$K$31,(B361-B360*AC361+D360*AD361-H361+'main page'!$K$27*('main page'!$K$24+'main page'!$K$11))/'main page'!$K$31)</f>
        <v>1</v>
      </c>
      <c r="AI360" s="44">
        <f ca="1">IF(controls!$B$45=1,LOG(AM360,1.01)+LOG(AL360,1.01)-LOG(AK360,1.01),-((T360-('main page'!$K$24+'main page'!$K$11))/(1-'normal case'!$AV$3))+'normal case'!AH360)</f>
        <v>2.0000000596046448</v>
      </c>
      <c r="AJ360" s="80">
        <f t="shared" ca="1" si="46"/>
        <v>1.0506250015463039</v>
      </c>
      <c r="AK360" s="44">
        <f t="shared" ca="1" si="47"/>
        <v>1152.7034374745976</v>
      </c>
      <c r="AL360" s="44">
        <f>AL359*(1+'main page'!$K$32/100)</f>
        <v>1</v>
      </c>
      <c r="AM360" s="44">
        <f ca="1">IF(ABS(IF(controls!$B$45=1,$AS$13,AK360*AJ360/AL360)-AM359)&lt;0.00001,AM359,IF(controls!$B$45=1,$AS$13,AK360*AJ360/AL360))</f>
        <v>1211.059050779179</v>
      </c>
      <c r="AN360" s="44">
        <f>IF(controls!$B$46=0,0,IF(controls!$B$33=2,B361-B360*AC361-('normal case'!H361-D360*AD361-'main page'!$K$27*'normal case'!T360+'main page'!$K$31*'normal case'!AI360)-(('main page'!$K$25*'main page'!$U$13*'main page'!$K$29)/(1+('main page'!$K$25^2)*'main page'!$U$13))*('normal case'!L360-'main page'!$U$8),B361-B360*AC361-('normal case'!I361-D360*AD361-'main page'!$K$27*'normal case'!T360+'main page'!$K$31*'normal case'!AI360)-(('main page'!$K$25*'main page'!$U$13*'main page'!$K$29)/(1+('main page'!$K$25^2)*'main page'!$U$13))*('normal case'!L360-'main page'!$U$8)))</f>
        <v>0</v>
      </c>
      <c r="AU360" s="36"/>
      <c r="AV360" s="36"/>
    </row>
    <row r="361" spans="1:48">
      <c r="A361" s="43">
        <v>359</v>
      </c>
      <c r="B361" s="62">
        <f ca="1">IF(controls!$B$33=1,B360*(1+AC361)+AA361,B360*(1+AC361))</f>
        <v>101</v>
      </c>
      <c r="C361" s="67">
        <f t="shared" ca="1" si="48"/>
        <v>-1.5107707374006907E-7</v>
      </c>
      <c r="D361" s="64">
        <f t="shared" ca="1" si="44"/>
        <v>101.00000005960464</v>
      </c>
      <c r="E361" s="64">
        <f ca="1">AN360+IF(controls!$B$33=1,G361,F361)</f>
        <v>101.00000005960464</v>
      </c>
      <c r="F361" s="78">
        <f ca="1">IF(controls!$B$44=0,H361-'main page'!$K$27*T360,H361-'main page'!$K$27*T360+'main page'!$K$31*AI360)</f>
        <v>101.00000005960464</v>
      </c>
      <c r="G361" s="62">
        <f ca="1">IF(controls!$B$44=0,I361-'main page'!$K$27*T360,I361-'main page'!$K$27*T360+'main page'!$K$31*'normal case'!AI360)</f>
        <v>101.00000005960464</v>
      </c>
      <c r="H361" s="62">
        <f t="shared" ca="1" si="50"/>
        <v>108</v>
      </c>
      <c r="I361" s="62">
        <f t="shared" ca="1" si="51"/>
        <v>108</v>
      </c>
      <c r="L361" s="62">
        <f ca="1">IF(ABS('main page'!$K$29*L360+(1-'main page'!$K$29)*(controls!$B$9/100)*100+'main page'!$K$25*(D361-B361)-L360)&lt;0.0000001,L360,'main page'!$K$29*L360+(1-'main page'!$K$29)*(controls!$B$9/100)*100+'main page'!$K$25*(D361-B361))</f>
        <v>1.9999998807907104</v>
      </c>
      <c r="Q361" s="409">
        <f ca="1">(1-'main page'!$K$29)*($AS$11/100)*100+'main page'!$K$25*(D361-B361)</f>
        <v>5.9604644775390625E-8</v>
      </c>
      <c r="R361" s="409">
        <f>'main page'!G365+'main page'!$K$29*M360</f>
        <v>0</v>
      </c>
      <c r="S361" s="409">
        <f t="shared" ca="1" si="49"/>
        <v>5.9604644775390625E-8</v>
      </c>
      <c r="T361" s="79">
        <f ca="1">IF(controls!$B$10=1,T360,IF(SUM(controls!$B$44:$B$46)=2,U361-'main page'!$K$29*'normal case'!L361-(1-'main page'!$K$29)*'main page'!$K$32,U361-'main page'!$K$29*'normal case'!L361-(1-'main page'!$K$29)*controls!$B$9))</f>
        <v>3.4999999701976776</v>
      </c>
      <c r="U361" s="164">
        <f ca="1">IF(controls!$B$45=1,IF(controls!$B$46=1,'main page'!$K$24+'main page'!$K$11+'main page'!$U$8,'main page'!$K$24+'main page'!$K$11+'main page'!$K$32),IF(controls!$B$44=1,IF(V361&lt;0,0,V361),IF(V361+'main page'!$K$11&lt;0,0,V361+'main page'!$K$11)))</f>
        <v>5.4999998509883881</v>
      </c>
      <c r="V361" s="63">
        <f ca="1">IF(controls!$B$10=1,'normal case'!T361+'normal case'!L361,'normal case'!W361)</f>
        <v>5.4999998509883881</v>
      </c>
      <c r="W361" s="61">
        <f t="shared" ca="1" si="45"/>
        <v>5.4999998509883881</v>
      </c>
      <c r="X361" s="166">
        <f ca="1">IF(controls!$B$44=0,Y361+'main page'!$K$29*L361+(1-'main page'!$K$29)*controls!$B$9+(('main page'!$K$25*'main page'!$U$13*'main page'!$K$29)/('main page'!$K$27*(1+('main page'!$K$25^2)*'main page'!$U$13)))*(L361-controls!$B$9),Y361+'main page'!$K$29*L361+(1-'main page'!$K$29)*controls!$B$9+(('main page'!$K$25*'main page'!$U$13*'normal case'!$AV$3)/'normal case'!$AV$4)*('normal case'!L361-controls!$B$9))</f>
        <v>5.4999998509883881</v>
      </c>
      <c r="Y361" s="81">
        <f ca="1">IF(controls!$B$44=1,'main page'!$K$24+'main page'!$K$11,IF(controls!$B$33=1,((I362-D361*AD362-B362+B361*AC362)/'main page'!$K$27)-'main page'!$K$11,((H362-D361*AD362-B362+B361*AC362)/'main page'!$K$27)-'main page'!$K$11))</f>
        <v>3.5</v>
      </c>
      <c r="AA361" s="58">
        <f>IF(controls!$B$6=1,$AS$3*(1+('main page'!$K$35/100))^AB361-$AS$3*(1+('main page'!$K$35/100))^AB360,$AS$3*(1+('main page'!$G$8/100))*(1+('main page'!$K$35/100))^AB361-$AS$3*(1+('main page'!$G$8/100))*(1+('main page'!$K$35/100))^AB360)</f>
        <v>0</v>
      </c>
      <c r="AB361" s="60">
        <v>354</v>
      </c>
      <c r="AC361" s="125">
        <v>0</v>
      </c>
      <c r="AD361" s="36">
        <v>0</v>
      </c>
      <c r="AE361" s="44">
        <f ca="1">IF(controls!$B$33=1,D361-($I$3-'main page'!$K$27*2)*(1+('main page'!$K$35/100))^A360,D361-$AS$4)</f>
        <v>1.0000000596046448</v>
      </c>
      <c r="AF361" s="44">
        <f ca="1">ABS(L361-(controls!$B$9/100)*100)</f>
        <v>1.1920928955078125E-7</v>
      </c>
      <c r="AH361" s="44">
        <f ca="1">IF(controls!$B$33=1,(B362-B361*AC362-I362+D361*AD362+'main page'!$K$27*('main page'!$K$24+'main page'!$K$11))/'main page'!$K$31,(B362-B361*AC362+D361*AD362-H362+'main page'!$K$27*('main page'!$K$24+'main page'!$K$11))/'main page'!$K$31)</f>
        <v>1</v>
      </c>
      <c r="AI361" s="44">
        <f ca="1">IF(controls!$B$45=1,LOG(AM361,1.01)+LOG(AL361,1.01)-LOG(AK361,1.01),-((T361-('main page'!$K$24+'main page'!$K$11))/(1-'normal case'!$AV$3))+'normal case'!AH361)</f>
        <v>2.0000000596046448</v>
      </c>
      <c r="AJ361" s="80">
        <f t="shared" ca="1" si="46"/>
        <v>1.0506250015463039</v>
      </c>
      <c r="AK361" s="44">
        <f t="shared" ca="1" si="47"/>
        <v>1175.75750484996</v>
      </c>
      <c r="AL361" s="44">
        <f>AL360*(1+'main page'!$K$32/100)</f>
        <v>1</v>
      </c>
      <c r="AM361" s="44">
        <f ca="1">IF(ABS(IF(controls!$B$45=1,$AS$13,AK361*AJ361/AL361)-AM360)&lt;0.00001,AM360,IF(controls!$B$45=1,$AS$13,AK361*AJ361/AL361))</f>
        <v>1235.2802303510678</v>
      </c>
      <c r="AN361" s="44">
        <f>IF(controls!$B$46=0,0,IF(controls!$B$33=2,B362-B361*AC362-('normal case'!H362-D361*AD362-'main page'!$K$27*'normal case'!T361+'main page'!$K$31*'normal case'!AI361)-(('main page'!$K$25*'main page'!$U$13*'main page'!$K$29)/(1+('main page'!$K$25^2)*'main page'!$U$13))*('normal case'!L361-'main page'!$U$8),B362-B361*AC362-('normal case'!I362-D361*AD362-'main page'!$K$27*'normal case'!T361+'main page'!$K$31*'normal case'!AI361)-(('main page'!$K$25*'main page'!$U$13*'main page'!$K$29)/(1+('main page'!$K$25^2)*'main page'!$U$13))*('normal case'!L361-'main page'!$U$8)))</f>
        <v>0</v>
      </c>
      <c r="AU361" s="36"/>
      <c r="AV361" s="36"/>
    </row>
    <row r="362" spans="1:48">
      <c r="A362" s="43">
        <v>360</v>
      </c>
      <c r="B362" s="62">
        <f ca="1">IF(controls!$B$33=1,B361*(1+AC362)+AA362,B361*(1+AC362))</f>
        <v>101</v>
      </c>
      <c r="C362" s="67">
        <f t="shared" ca="1" si="48"/>
        <v>-1.5107707374006907E-7</v>
      </c>
      <c r="D362" s="64">
        <f t="shared" ca="1" si="44"/>
        <v>101.00000005960464</v>
      </c>
      <c r="E362" s="64">
        <f ca="1">AN361+IF(controls!$B$33=1,G362,F362)</f>
        <v>101.00000005960464</v>
      </c>
      <c r="F362" s="78">
        <f ca="1">IF(controls!$B$44=0,H362-'main page'!$K$27*T361,H362-'main page'!$K$27*T361+'main page'!$K$31*AI361)</f>
        <v>101.00000005960464</v>
      </c>
      <c r="G362" s="62">
        <f ca="1">IF(controls!$B$44=0,I362-'main page'!$K$27*T361,I362-'main page'!$K$27*T361+'main page'!$K$31*'normal case'!AI361)</f>
        <v>101.00000005960464</v>
      </c>
      <c r="H362" s="62">
        <f t="shared" ca="1" si="50"/>
        <v>108</v>
      </c>
      <c r="I362" s="62">
        <f t="shared" ca="1" si="51"/>
        <v>108</v>
      </c>
      <c r="L362" s="62">
        <f ca="1">IF(ABS('main page'!$K$29*L361+(1-'main page'!$K$29)*(controls!$B$9/100)*100+'main page'!$K$25*(D362-B362)-L361)&lt;0.0000001,L361,'main page'!$K$29*L361+(1-'main page'!$K$29)*(controls!$B$9/100)*100+'main page'!$K$25*(D362-B362))</f>
        <v>1.9999998807907104</v>
      </c>
      <c r="Q362" s="409">
        <f ca="1">(1-'main page'!$K$29)*($AS$11/100)*100+'main page'!$K$25*(D362-B362)</f>
        <v>5.9604644775390625E-8</v>
      </c>
      <c r="R362" s="409">
        <f>'main page'!G366+'main page'!$K$29*M361</f>
        <v>0</v>
      </c>
      <c r="S362" s="409">
        <f t="shared" ca="1" si="49"/>
        <v>5.9604644775390625E-8</v>
      </c>
      <c r="T362" s="79">
        <f ca="1">IF(controls!$B$10=1,T361,IF(SUM(controls!$B$44:$B$46)=2,U362-'main page'!$K$29*'normal case'!L362-(1-'main page'!$K$29)*'main page'!$K$32,U362-'main page'!$K$29*'normal case'!L362-(1-'main page'!$K$29)*controls!$B$9))</f>
        <v>3.4999999701976776</v>
      </c>
      <c r="U362" s="164">
        <f ca="1">IF(controls!$B$45=1,IF(controls!$B$46=1,'main page'!$K$24+'main page'!$K$11+'main page'!$U$8,'main page'!$K$24+'main page'!$K$11+'main page'!$K$32),IF(controls!$B$44=1,IF(V362&lt;0,0,V362),IF(V362+'main page'!$K$11&lt;0,0,V362+'main page'!$K$11)))</f>
        <v>5.4999998509883881</v>
      </c>
      <c r="V362" s="63">
        <f ca="1">IF(controls!$B$10=1,'normal case'!T362+'normal case'!L362,'normal case'!W362)</f>
        <v>5.4999998509883881</v>
      </c>
      <c r="W362" s="61">
        <f t="shared" ca="1" si="45"/>
        <v>5.4999998509883881</v>
      </c>
      <c r="X362" s="166">
        <f ca="1">IF(controls!$B$44=0,Y362+'main page'!$K$29*L362+(1-'main page'!$K$29)*controls!$B$9+(('main page'!$K$25*'main page'!$U$13*'main page'!$K$29)/('main page'!$K$27*(1+('main page'!$K$25^2)*'main page'!$U$13)))*(L362-controls!$B$9),Y362+'main page'!$K$29*L362+(1-'main page'!$K$29)*controls!$B$9+(('main page'!$K$25*'main page'!$U$13*'normal case'!$AV$3)/'normal case'!$AV$4)*('normal case'!L362-controls!$B$9))</f>
        <v>5.4999998509883881</v>
      </c>
      <c r="Y362" s="81">
        <f ca="1">IF(controls!$B$44=1,'main page'!$K$24+'main page'!$K$11,IF(controls!$B$33=1,((I363-D362*AD363-B363+B362*AC363)/'main page'!$K$27)-'main page'!$K$11,((H363-D362*AD363-B363+B362*AC363)/'main page'!$K$27)-'main page'!$K$11))</f>
        <v>3.5</v>
      </c>
      <c r="AA362" s="58">
        <f>IF(controls!$B$6=1,$AS$3*(1+('main page'!$K$35/100))^AB362-$AS$3*(1+('main page'!$K$35/100))^AB361,$AS$3*(1+('main page'!$G$8/100))*(1+('main page'!$K$35/100))^AB362-$AS$3*(1+('main page'!$G$8/100))*(1+('main page'!$K$35/100))^AB361)</f>
        <v>0</v>
      </c>
      <c r="AB362" s="60">
        <v>355</v>
      </c>
      <c r="AC362" s="125">
        <f ca="1">IF(controls!$B$4=1,IF(controls!$H361=1,controls!$B$34*AC361+RAND()*('main page'!$K$16/100)-RAND()*('main page'!$K$16/100),0),0)</f>
        <v>0</v>
      </c>
      <c r="AD362" s="36">
        <f ca="1">IF(controls!$B$4=1,IF(controls!$I361=1,controls!$B$34*AD361+RAND()*('main page'!$K$16/100)-RAND()*('main page'!$K$16/100),0),0)</f>
        <v>0</v>
      </c>
      <c r="AE362" s="44">
        <f ca="1">IF(controls!$B$33=1,D362-($I$3-'main page'!$K$27*2)*(1+('main page'!$K$35/100))^A361,D362-$AS$4)</f>
        <v>1.0000000596046448</v>
      </c>
      <c r="AF362" s="44">
        <f ca="1">ABS(L362-(controls!$B$9/100)*100)</f>
        <v>1.1920928955078125E-7</v>
      </c>
      <c r="AH362" s="44">
        <f ca="1">IF(controls!$B$33=1,(B363-B362*AC363-I363+D362*AD363+'main page'!$K$27*('main page'!$K$24+'main page'!$K$11))/'main page'!$K$31,(B363-B362*AC363+D362*AD363-H363+'main page'!$K$27*('main page'!$K$24+'main page'!$K$11))/'main page'!$K$31)</f>
        <v>1</v>
      </c>
      <c r="AI362" s="44">
        <f ca="1">IF(controls!$B$45=1,LOG(AM362,1.01)+LOG(AL362,1.01)-LOG(AK362,1.01),-((T362-('main page'!$K$24+'main page'!$K$11))/(1-'normal case'!$AV$3))+'normal case'!AH362)</f>
        <v>2.0000000596046448</v>
      </c>
      <c r="AJ362" s="80">
        <f t="shared" ca="1" si="46"/>
        <v>1.0506250015463039</v>
      </c>
      <c r="AK362" s="44">
        <f t="shared" ca="1" si="47"/>
        <v>1199.2726535453471</v>
      </c>
      <c r="AL362" s="44">
        <f>AL361*(1+'main page'!$K$32/100)</f>
        <v>1</v>
      </c>
      <c r="AM362" s="44">
        <f ca="1">IF(ABS(IF(controls!$B$45=1,$AS$13,AK362*AJ362/AL362)-AM361)&lt;0.00001,AM361,IF(controls!$B$45=1,$AS$13,AK362*AJ362/AL362))</f>
        <v>1259.9858334855203</v>
      </c>
      <c r="AN362" s="44">
        <f>IF(controls!$B$46=0,0,IF(controls!$B$33=2,B363-B362*AC363-('normal case'!H363-D362*AD363-'main page'!$K$27*'normal case'!T362+'main page'!$K$31*'normal case'!AI362)-(('main page'!$K$25*'main page'!$U$13*'main page'!$K$29)/(1+('main page'!$K$25^2)*'main page'!$U$13))*('normal case'!L362-'main page'!$U$8),B363-B362*AC363-('normal case'!I363-D362*AD363-'main page'!$K$27*'normal case'!T362+'main page'!$K$31*'normal case'!AI362)-(('main page'!$K$25*'main page'!$U$13*'main page'!$K$29)/(1+('main page'!$K$25^2)*'main page'!$U$13))*('normal case'!L362-'main page'!$U$8)))</f>
        <v>0</v>
      </c>
      <c r="AU362" s="36"/>
      <c r="AV362" s="36"/>
    </row>
    <row r="363" spans="1:48">
      <c r="A363" s="43">
        <v>361</v>
      </c>
      <c r="B363" s="62">
        <f ca="1">IF(controls!$B$33=1,B362*(1+AC363)+AA363,B362*(1+AC363))</f>
        <v>101</v>
      </c>
      <c r="C363" s="67">
        <f t="shared" ca="1" si="48"/>
        <v>-1.5107707374006907E-7</v>
      </c>
      <c r="D363" s="64">
        <f t="shared" ca="1" si="44"/>
        <v>101.00000005960464</v>
      </c>
      <c r="E363" s="64">
        <f ca="1">AN362+IF(controls!$B$33=1,G363,F363)</f>
        <v>101.00000005960464</v>
      </c>
      <c r="F363" s="78">
        <f ca="1">IF(controls!$B$44=0,H363-'main page'!$K$27*T362,H363-'main page'!$K$27*T362+'main page'!$K$31*AI362)</f>
        <v>101.00000005960464</v>
      </c>
      <c r="G363" s="62">
        <f ca="1">IF(controls!$B$44=0,I363-'main page'!$K$27*T362,I363-'main page'!$K$27*T362+'main page'!$K$31*'normal case'!AI362)</f>
        <v>101.00000005960464</v>
      </c>
      <c r="H363" s="62">
        <f t="shared" ca="1" si="50"/>
        <v>108</v>
      </c>
      <c r="I363" s="62">
        <f t="shared" ca="1" si="51"/>
        <v>108</v>
      </c>
      <c r="L363" s="62">
        <f ca="1">IF(ABS('main page'!$K$29*L362+(1-'main page'!$K$29)*(controls!$B$9/100)*100+'main page'!$K$25*(D363-B363)-L362)&lt;0.0000001,L362,'main page'!$K$29*L362+(1-'main page'!$K$29)*(controls!$B$9/100)*100+'main page'!$K$25*(D363-B363))</f>
        <v>1.9999998807907104</v>
      </c>
      <c r="Q363" s="409">
        <f ca="1">(1-'main page'!$K$29)*($AS$11/100)*100+'main page'!$K$25*(D363-B363)</f>
        <v>5.9604644775390625E-8</v>
      </c>
      <c r="R363" s="409">
        <f>'main page'!G367+'main page'!$K$29*M362</f>
        <v>0</v>
      </c>
      <c r="S363" s="409">
        <f t="shared" ca="1" si="49"/>
        <v>5.9604644775390625E-8</v>
      </c>
      <c r="T363" s="79">
        <f ca="1">IF(controls!$B$10=1,T362,IF(SUM(controls!$B$44:$B$46)=2,U363-'main page'!$K$29*'normal case'!L363-(1-'main page'!$K$29)*'main page'!$K$32,U363-'main page'!$K$29*'normal case'!L363-(1-'main page'!$K$29)*controls!$B$9))</f>
        <v>3.4999999701976776</v>
      </c>
      <c r="U363" s="164">
        <f ca="1">IF(controls!$B$45=1,IF(controls!$B$46=1,'main page'!$K$24+'main page'!$K$11+'main page'!$U$8,'main page'!$K$24+'main page'!$K$11+'main page'!$K$32),IF(controls!$B$44=1,IF(V363&lt;0,0,V363),IF(V363+'main page'!$K$11&lt;0,0,V363+'main page'!$K$11)))</f>
        <v>5.4999998509883881</v>
      </c>
      <c r="V363" s="63">
        <f ca="1">IF(controls!$B$10=1,'normal case'!T363+'normal case'!L363,'normal case'!W363)</f>
        <v>5.4999998509883881</v>
      </c>
      <c r="W363" s="61">
        <f t="shared" ca="1" si="45"/>
        <v>5.4999998509883881</v>
      </c>
      <c r="X363" s="166">
        <f ca="1">IF(controls!$B$44=0,Y363+'main page'!$K$29*L363+(1-'main page'!$K$29)*controls!$B$9+(('main page'!$K$25*'main page'!$U$13*'main page'!$K$29)/('main page'!$K$27*(1+('main page'!$K$25^2)*'main page'!$U$13)))*(L363-controls!$B$9),Y363+'main page'!$K$29*L363+(1-'main page'!$K$29)*controls!$B$9+(('main page'!$K$25*'main page'!$U$13*'normal case'!$AV$3)/'normal case'!$AV$4)*('normal case'!L363-controls!$B$9))</f>
        <v>5.4999998509883881</v>
      </c>
      <c r="Y363" s="81">
        <f ca="1">IF(controls!$B$44=1,'main page'!$K$24+'main page'!$K$11,IF(controls!$B$33=1,((I364-D363*AD364-B364+B363*AC364)/'main page'!$K$27)-'main page'!$K$11,((H364-D363*AD364-B364+B363*AC364)/'main page'!$K$27)-'main page'!$K$11))</f>
        <v>3.5</v>
      </c>
      <c r="AA363" s="58">
        <f>IF(controls!$B$6=1,$AS$3*(1+('main page'!$K$35/100))^AB363-$AS$3*(1+('main page'!$K$35/100))^AB362,$AS$3*(1+('main page'!$G$8/100))*(1+('main page'!$K$35/100))^AB363-$AS$3*(1+('main page'!$G$8/100))*(1+('main page'!$K$35/100))^AB362)</f>
        <v>0</v>
      </c>
      <c r="AB363" s="60">
        <v>356</v>
      </c>
      <c r="AC363" s="125">
        <v>0</v>
      </c>
      <c r="AD363" s="36">
        <v>0</v>
      </c>
      <c r="AE363" s="44">
        <f ca="1">IF(controls!$B$33=1,D363-($I$3-'main page'!$K$27*2)*(1+('main page'!$K$35/100))^A362,D363-$AS$4)</f>
        <v>1.0000000596046448</v>
      </c>
      <c r="AF363" s="44">
        <f ca="1">ABS(L363-(controls!$B$9/100)*100)</f>
        <v>1.1920928955078125E-7</v>
      </c>
      <c r="AH363" s="44">
        <f ca="1">IF(controls!$B$33=1,(B364-B363*AC364-I364+D363*AD364+'main page'!$K$27*('main page'!$K$24+'main page'!$K$11))/'main page'!$K$31,(B364-B363*AC364+D363*AD364-H364+'main page'!$K$27*('main page'!$K$24+'main page'!$K$11))/'main page'!$K$31)</f>
        <v>1</v>
      </c>
      <c r="AI363" s="44">
        <f ca="1">IF(controls!$B$45=1,LOG(AM363,1.01)+LOG(AL363,1.01)-LOG(AK363,1.01),-((T363-('main page'!$K$24+'main page'!$K$11))/(1-'normal case'!$AV$3))+'normal case'!AH363)</f>
        <v>2.0000000596046448</v>
      </c>
      <c r="AJ363" s="80">
        <f t="shared" ca="1" si="46"/>
        <v>1.0506250015463039</v>
      </c>
      <c r="AK363" s="44">
        <f t="shared" ca="1" si="47"/>
        <v>1223.2581051866098</v>
      </c>
      <c r="AL363" s="44">
        <f>AL362*(1+'main page'!$K$32/100)</f>
        <v>1</v>
      </c>
      <c r="AM363" s="44">
        <f ca="1">IF(ABS(IF(controls!$B$45=1,$AS$13,AK363*AJ363/AL363)-AM362)&lt;0.00001,AM362,IF(controls!$B$45=1,$AS$13,AK363*AJ363/AL363))</f>
        <v>1285.1855486532106</v>
      </c>
      <c r="AN363" s="44">
        <f>IF(controls!$B$46=0,0,IF(controls!$B$33=2,B364-B363*AC364-('normal case'!H364-D363*AD364-'main page'!$K$27*'normal case'!T363+'main page'!$K$31*'normal case'!AI363)-(('main page'!$K$25*'main page'!$U$13*'main page'!$K$29)/(1+('main page'!$K$25^2)*'main page'!$U$13))*('normal case'!L363-'main page'!$U$8),B364-B363*AC364-('normal case'!I364-D363*AD364-'main page'!$K$27*'normal case'!T363+'main page'!$K$31*'normal case'!AI363)-(('main page'!$K$25*'main page'!$U$13*'main page'!$K$29)/(1+('main page'!$K$25^2)*'main page'!$U$13))*('normal case'!L363-'main page'!$U$8)))</f>
        <v>0</v>
      </c>
      <c r="AU363" s="36"/>
      <c r="AV363" s="36"/>
    </row>
    <row r="364" spans="1:48">
      <c r="A364" s="43">
        <v>362</v>
      </c>
      <c r="B364" s="62">
        <f ca="1">IF(controls!$B$33=1,B363*(1+AC364)+AA364,B363*(1+AC364))</f>
        <v>101</v>
      </c>
      <c r="C364" s="67">
        <f t="shared" ca="1" si="48"/>
        <v>-1.5107707374006907E-7</v>
      </c>
      <c r="D364" s="64">
        <f t="shared" ca="1" si="44"/>
        <v>101.00000005960464</v>
      </c>
      <c r="E364" s="64">
        <f ca="1">AN363+IF(controls!$B$33=1,G364,F364)</f>
        <v>101.00000005960464</v>
      </c>
      <c r="F364" s="78">
        <f ca="1">IF(controls!$B$44=0,H364-'main page'!$K$27*T363,H364-'main page'!$K$27*T363+'main page'!$K$31*AI363)</f>
        <v>101.00000005960464</v>
      </c>
      <c r="G364" s="62">
        <f ca="1">IF(controls!$B$44=0,I364-'main page'!$K$27*T363,I364-'main page'!$K$27*T363+'main page'!$K$31*'normal case'!AI363)</f>
        <v>101.00000005960464</v>
      </c>
      <c r="H364" s="62">
        <f t="shared" ca="1" si="50"/>
        <v>108</v>
      </c>
      <c r="I364" s="62">
        <f t="shared" ca="1" si="51"/>
        <v>108</v>
      </c>
      <c r="L364" s="62">
        <f ca="1">IF(ABS('main page'!$K$29*L363+(1-'main page'!$K$29)*(controls!$B$9/100)*100+'main page'!$K$25*(D364-B364)-L363)&lt;0.0000001,L363,'main page'!$K$29*L363+(1-'main page'!$K$29)*(controls!$B$9/100)*100+'main page'!$K$25*(D364-B364))</f>
        <v>1.9999998807907104</v>
      </c>
      <c r="Q364" s="409">
        <f ca="1">(1-'main page'!$K$29)*($AS$11/100)*100+'main page'!$K$25*(D364-B364)</f>
        <v>5.9604644775390625E-8</v>
      </c>
      <c r="R364" s="409">
        <f>'main page'!G368+'main page'!$K$29*M363</f>
        <v>0</v>
      </c>
      <c r="S364" s="409">
        <f t="shared" ca="1" si="49"/>
        <v>5.9604644775390625E-8</v>
      </c>
      <c r="T364" s="79">
        <f ca="1">IF(controls!$B$10=1,T363,IF(SUM(controls!$B$44:$B$46)=2,U364-'main page'!$K$29*'normal case'!L364-(1-'main page'!$K$29)*'main page'!$K$32,U364-'main page'!$K$29*'normal case'!L364-(1-'main page'!$K$29)*controls!$B$9))</f>
        <v>3.4999999701976776</v>
      </c>
      <c r="U364" s="164">
        <f ca="1">IF(controls!$B$45=1,IF(controls!$B$46=1,'main page'!$K$24+'main page'!$K$11+'main page'!$U$8,'main page'!$K$24+'main page'!$K$11+'main page'!$K$32),IF(controls!$B$44=1,IF(V364&lt;0,0,V364),IF(V364+'main page'!$K$11&lt;0,0,V364+'main page'!$K$11)))</f>
        <v>5.4999998509883881</v>
      </c>
      <c r="V364" s="63">
        <f ca="1">IF(controls!$B$10=1,'normal case'!T364+'normal case'!L364,'normal case'!W364)</f>
        <v>5.4999998509883881</v>
      </c>
      <c r="W364" s="61">
        <f t="shared" ca="1" si="45"/>
        <v>5.4999998509883881</v>
      </c>
      <c r="X364" s="166">
        <f ca="1">IF(controls!$B$44=0,Y364+'main page'!$K$29*L364+(1-'main page'!$K$29)*controls!$B$9+(('main page'!$K$25*'main page'!$U$13*'main page'!$K$29)/('main page'!$K$27*(1+('main page'!$K$25^2)*'main page'!$U$13)))*(L364-controls!$B$9),Y364+'main page'!$K$29*L364+(1-'main page'!$K$29)*controls!$B$9+(('main page'!$K$25*'main page'!$U$13*'normal case'!$AV$3)/'normal case'!$AV$4)*('normal case'!L364-controls!$B$9))</f>
        <v>5.4999998509883881</v>
      </c>
      <c r="Y364" s="81">
        <f ca="1">IF(controls!$B$44=1,'main page'!$K$24+'main page'!$K$11,IF(controls!$B$33=1,((I365-D364*AD365-B365+B364*AC365)/'main page'!$K$27)-'main page'!$K$11,((H365-D364*AD365-B365+B364*AC365)/'main page'!$K$27)-'main page'!$K$11))</f>
        <v>3.5</v>
      </c>
      <c r="AA364" s="58">
        <f>IF(controls!$B$6=1,$AS$3*(1+('main page'!$K$35/100))^AB364-$AS$3*(1+('main page'!$K$35/100))^AB363,$AS$3*(1+('main page'!$G$8/100))*(1+('main page'!$K$35/100))^AB364-$AS$3*(1+('main page'!$G$8/100))*(1+('main page'!$K$35/100))^AB363)</f>
        <v>0</v>
      </c>
      <c r="AB364" s="60">
        <v>357</v>
      </c>
      <c r="AC364" s="125">
        <v>0</v>
      </c>
      <c r="AD364" s="36">
        <v>0</v>
      </c>
      <c r="AE364" s="44">
        <f ca="1">IF(controls!$B$33=1,D364-($I$3-'main page'!$K$27*2)*(1+('main page'!$K$35/100))^A363,D364-$AS$4)</f>
        <v>1.0000000596046448</v>
      </c>
      <c r="AF364" s="44">
        <f ca="1">ABS(L364-(controls!$B$9/100)*100)</f>
        <v>1.1920928955078125E-7</v>
      </c>
      <c r="AH364" s="44">
        <f ca="1">IF(controls!$B$33=1,(B365-B364*AC365-I365+D364*AD365+'main page'!$K$27*('main page'!$K$24+'main page'!$K$11))/'main page'!$K$31,(B365-B364*AC365+D364*AD365-H365+'main page'!$K$27*('main page'!$K$24+'main page'!$K$11))/'main page'!$K$31)</f>
        <v>1</v>
      </c>
      <c r="AI364" s="44">
        <f ca="1">IF(controls!$B$45=1,LOG(AM364,1.01)+LOG(AL364,1.01)-LOG(AK364,1.01),-((T364-('main page'!$K$24+'main page'!$K$11))/(1-'normal case'!$AV$3))+'normal case'!AH364)</f>
        <v>2.0000000596046448</v>
      </c>
      <c r="AJ364" s="80">
        <f t="shared" ca="1" si="46"/>
        <v>1.0506250015463039</v>
      </c>
      <c r="AK364" s="44">
        <f t="shared" ca="1" si="47"/>
        <v>1247.7232658321047</v>
      </c>
      <c r="AL364" s="44">
        <f>AL363*(1+'main page'!$K$32/100)</f>
        <v>1</v>
      </c>
      <c r="AM364" s="44">
        <f ca="1">IF(ABS(IF(controls!$B$45=1,$AS$13,AK364*AJ364/AL364)-AM363)&lt;0.00001,AM363,IF(controls!$B$45=1,$AS$13,AK364*AJ364/AL364))</f>
        <v>1310.8892580942145</v>
      </c>
      <c r="AN364" s="44">
        <f>IF(controls!$B$46=0,0,IF(controls!$B$33=2,B365-B364*AC365-('normal case'!H365-D364*AD365-'main page'!$K$27*'normal case'!T364+'main page'!$K$31*'normal case'!AI364)-(('main page'!$K$25*'main page'!$U$13*'main page'!$K$29)/(1+('main page'!$K$25^2)*'main page'!$U$13))*('normal case'!L364-'main page'!$U$8),B365-B364*AC365-('normal case'!I365-D364*AD365-'main page'!$K$27*'normal case'!T364+'main page'!$K$31*'normal case'!AI364)-(('main page'!$K$25*'main page'!$U$13*'main page'!$K$29)/(1+('main page'!$K$25^2)*'main page'!$U$13))*('normal case'!L364-'main page'!$U$8)))</f>
        <v>0</v>
      </c>
      <c r="AU364" s="36"/>
      <c r="AV364" s="36"/>
    </row>
    <row r="365" spans="1:48">
      <c r="A365" s="43">
        <v>363</v>
      </c>
      <c r="B365" s="62">
        <f ca="1">IF(controls!$B$33=1,B364*(1+AC365)+AA365,B364*(1+AC365))</f>
        <v>101</v>
      </c>
      <c r="C365" s="67">
        <f t="shared" ca="1" si="48"/>
        <v>-1.5107707374006907E-7</v>
      </c>
      <c r="D365" s="64">
        <f t="shared" ca="1" si="44"/>
        <v>101.00000005960464</v>
      </c>
      <c r="E365" s="64">
        <f ca="1">AN364+IF(controls!$B$33=1,G365,F365)</f>
        <v>101.00000005960464</v>
      </c>
      <c r="F365" s="78">
        <f ca="1">IF(controls!$B$44=0,H365-'main page'!$K$27*T364,H365-'main page'!$K$27*T364+'main page'!$K$31*AI364)</f>
        <v>101.00000005960464</v>
      </c>
      <c r="G365" s="62">
        <f ca="1">IF(controls!$B$44=0,I365-'main page'!$K$27*T364,I365-'main page'!$K$27*T364+'main page'!$K$31*'normal case'!AI364)</f>
        <v>101.00000005960464</v>
      </c>
      <c r="H365" s="62">
        <f t="shared" ca="1" si="50"/>
        <v>108</v>
      </c>
      <c r="I365" s="62">
        <f t="shared" ca="1" si="51"/>
        <v>108</v>
      </c>
      <c r="L365" s="62">
        <f ca="1">IF(ABS('main page'!$K$29*L364+(1-'main page'!$K$29)*(controls!$B$9/100)*100+'main page'!$K$25*(D365-B365)-L364)&lt;0.0000001,L364,'main page'!$K$29*L364+(1-'main page'!$K$29)*(controls!$B$9/100)*100+'main page'!$K$25*(D365-B365))</f>
        <v>1.9999998807907104</v>
      </c>
      <c r="Q365" s="409">
        <f ca="1">(1-'main page'!$K$29)*($AS$11/100)*100+'main page'!$K$25*(D365-B365)</f>
        <v>5.9604644775390625E-8</v>
      </c>
      <c r="R365" s="409">
        <f>'main page'!G369+'main page'!$K$29*M364</f>
        <v>0</v>
      </c>
      <c r="S365" s="409">
        <f t="shared" ca="1" si="49"/>
        <v>5.9604644775390625E-8</v>
      </c>
      <c r="T365" s="79">
        <f ca="1">IF(controls!$B$10=1,T364,IF(SUM(controls!$B$44:$B$46)=2,U365-'main page'!$K$29*'normal case'!L365-(1-'main page'!$K$29)*'main page'!$K$32,U365-'main page'!$K$29*'normal case'!L365-(1-'main page'!$K$29)*controls!$B$9))</f>
        <v>3.4999999701976776</v>
      </c>
      <c r="U365" s="164">
        <f ca="1">IF(controls!$B$45=1,IF(controls!$B$46=1,'main page'!$K$24+'main page'!$K$11+'main page'!$U$8,'main page'!$K$24+'main page'!$K$11+'main page'!$K$32),IF(controls!$B$44=1,IF(V365&lt;0,0,V365),IF(V365+'main page'!$K$11&lt;0,0,V365+'main page'!$K$11)))</f>
        <v>5.4999998509883881</v>
      </c>
      <c r="V365" s="63">
        <f ca="1">IF(controls!$B$10=1,'normal case'!T365+'normal case'!L365,'normal case'!W365)</f>
        <v>5.4999998509883881</v>
      </c>
      <c r="W365" s="61">
        <f t="shared" ca="1" si="45"/>
        <v>5.4999998509883881</v>
      </c>
      <c r="X365" s="166">
        <f ca="1">IF(controls!$B$44=0,Y365+'main page'!$K$29*L365+(1-'main page'!$K$29)*controls!$B$9+(('main page'!$K$25*'main page'!$U$13*'main page'!$K$29)/('main page'!$K$27*(1+('main page'!$K$25^2)*'main page'!$U$13)))*(L365-controls!$B$9),Y365+'main page'!$K$29*L365+(1-'main page'!$K$29)*controls!$B$9+(('main page'!$K$25*'main page'!$U$13*'normal case'!$AV$3)/'normal case'!$AV$4)*('normal case'!L365-controls!$B$9))</f>
        <v>5.4999998509883881</v>
      </c>
      <c r="Y365" s="81">
        <f ca="1">IF(controls!$B$44=1,'main page'!$K$24+'main page'!$K$11,IF(controls!$B$33=1,((I366-D365*AD366-B366+B365*AC366)/'main page'!$K$27)-'main page'!$K$11,((H366-D365*AD366-B366+B365*AC366)/'main page'!$K$27)-'main page'!$K$11))</f>
        <v>3.5</v>
      </c>
      <c r="AA365" s="58">
        <f>IF(controls!$B$6=1,$AS$3*(1+('main page'!$K$35/100))^AB365-$AS$3*(1+('main page'!$K$35/100))^AB364,$AS$3*(1+('main page'!$G$8/100))*(1+('main page'!$K$35/100))^AB365-$AS$3*(1+('main page'!$G$8/100))*(1+('main page'!$K$35/100))^AB364)</f>
        <v>0</v>
      </c>
      <c r="AB365" s="60">
        <v>358</v>
      </c>
      <c r="AC365" s="125">
        <f ca="1">IF(controls!$B$4=1,IF(controls!$H364=1,controls!$B$34*AC364+RAND()*('main page'!$K$16/100)-RAND()*('main page'!$K$16/100),0),0)</f>
        <v>0</v>
      </c>
      <c r="AD365" s="36">
        <f ca="1">IF(controls!$B$4=1,IF(controls!$I364=1,controls!$B$34*AD364+RAND()*('main page'!$K$16/100)-RAND()*('main page'!$K$16/100),0),0)</f>
        <v>0</v>
      </c>
      <c r="AE365" s="44">
        <f ca="1">IF(controls!$B$33=1,D365-($I$3-'main page'!$K$27*2)*(1+('main page'!$K$35/100))^A364,D365-$AS$4)</f>
        <v>1.0000000596046448</v>
      </c>
      <c r="AF365" s="44">
        <f ca="1">ABS(L365-(controls!$B$9/100)*100)</f>
        <v>1.1920928955078125E-7</v>
      </c>
      <c r="AH365" s="44">
        <f ca="1">IF(controls!$B$33=1,(B366-B365*AC366-I366+D365*AD366+'main page'!$K$27*('main page'!$K$24+'main page'!$K$11))/'main page'!$K$31,(B366-B365*AC366+D365*AD366-H366+'main page'!$K$27*('main page'!$K$24+'main page'!$K$11))/'main page'!$K$31)</f>
        <v>1</v>
      </c>
      <c r="AI365" s="44">
        <f ca="1">IF(controls!$B$45=1,LOG(AM365,1.01)+LOG(AL365,1.01)-LOG(AK365,1.01),-((T365-('main page'!$K$24+'main page'!$K$11))/(1-'normal case'!$AV$3))+'normal case'!AH365)</f>
        <v>2.0000000596046448</v>
      </c>
      <c r="AJ365" s="80">
        <f t="shared" ca="1" si="46"/>
        <v>1.0506250015463039</v>
      </c>
      <c r="AK365" s="44">
        <f t="shared" ca="1" si="47"/>
        <v>1272.6777296613448</v>
      </c>
      <c r="AL365" s="44">
        <f>AL364*(1+'main page'!$K$32/100)</f>
        <v>1</v>
      </c>
      <c r="AM365" s="44">
        <f ca="1">IF(ABS(IF(controls!$B$45=1,$AS$13,AK365*AJ365/AL365)-AM364)&lt;0.00001,AM364,IF(controls!$B$45=1,$AS$13,AK365*AJ365/AL365))</f>
        <v>1337.1070416933969</v>
      </c>
      <c r="AN365" s="44">
        <f>IF(controls!$B$46=0,0,IF(controls!$B$33=2,B366-B365*AC366-('normal case'!H366-D365*AD366-'main page'!$K$27*'normal case'!T365+'main page'!$K$31*'normal case'!AI365)-(('main page'!$K$25*'main page'!$U$13*'main page'!$K$29)/(1+('main page'!$K$25^2)*'main page'!$U$13))*('normal case'!L365-'main page'!$U$8),B366-B365*AC366-('normal case'!I366-D365*AD366-'main page'!$K$27*'normal case'!T365+'main page'!$K$31*'normal case'!AI365)-(('main page'!$K$25*'main page'!$U$13*'main page'!$K$29)/(1+('main page'!$K$25^2)*'main page'!$U$13))*('normal case'!L365-'main page'!$U$8)))</f>
        <v>0</v>
      </c>
      <c r="AU365" s="36"/>
      <c r="AV365" s="36"/>
    </row>
    <row r="366" spans="1:48">
      <c r="A366" s="43">
        <v>364</v>
      </c>
      <c r="B366" s="62">
        <f ca="1">IF(controls!$B$33=1,B365*(1+AC366)+AA366,B365*(1+AC366))</f>
        <v>101</v>
      </c>
      <c r="C366" s="67">
        <f t="shared" ca="1" si="48"/>
        <v>-1.5107707374006907E-7</v>
      </c>
      <c r="D366" s="64">
        <f t="shared" ca="1" si="44"/>
        <v>101.00000005960464</v>
      </c>
      <c r="E366" s="64">
        <f ca="1">AN365+IF(controls!$B$33=1,G366,F366)</f>
        <v>101.00000005960464</v>
      </c>
      <c r="F366" s="78">
        <f ca="1">IF(controls!$B$44=0,H366-'main page'!$K$27*T365,H366-'main page'!$K$27*T365+'main page'!$K$31*AI365)</f>
        <v>101.00000005960464</v>
      </c>
      <c r="G366" s="62">
        <f ca="1">IF(controls!$B$44=0,I366-'main page'!$K$27*T365,I366-'main page'!$K$27*T365+'main page'!$K$31*'normal case'!AI365)</f>
        <v>101.00000005960464</v>
      </c>
      <c r="H366" s="62">
        <f t="shared" ca="1" si="50"/>
        <v>108</v>
      </c>
      <c r="I366" s="62">
        <f t="shared" ca="1" si="51"/>
        <v>108</v>
      </c>
      <c r="L366" s="62">
        <f ca="1">IF(ABS('main page'!$K$29*L365+(1-'main page'!$K$29)*(controls!$B$9/100)*100+'main page'!$K$25*(D366-B366)-L365)&lt;0.0000001,L365,'main page'!$K$29*L365+(1-'main page'!$K$29)*(controls!$B$9/100)*100+'main page'!$K$25*(D366-B366))</f>
        <v>1.9999998807907104</v>
      </c>
      <c r="Q366" s="409">
        <f ca="1">(1-'main page'!$K$29)*($AS$11/100)*100+'main page'!$K$25*(D366-B366)</f>
        <v>5.9604644775390625E-8</v>
      </c>
      <c r="R366" s="409">
        <f>'main page'!G370+'main page'!$K$29*M365</f>
        <v>0</v>
      </c>
      <c r="S366" s="409">
        <f t="shared" ca="1" si="49"/>
        <v>5.9604644775390625E-8</v>
      </c>
      <c r="T366" s="79">
        <f ca="1">IF(controls!$B$10=1,T365,IF(SUM(controls!$B$44:$B$46)=2,U366-'main page'!$K$29*'normal case'!L366-(1-'main page'!$K$29)*'main page'!$K$32,U366-'main page'!$K$29*'normal case'!L366-(1-'main page'!$K$29)*controls!$B$9))</f>
        <v>3.4999999701976776</v>
      </c>
      <c r="U366" s="164">
        <f ca="1">IF(controls!$B$45=1,IF(controls!$B$46=1,'main page'!$K$24+'main page'!$K$11+'main page'!$U$8,'main page'!$K$24+'main page'!$K$11+'main page'!$K$32),IF(controls!$B$44=1,IF(V366&lt;0,0,V366),IF(V366+'main page'!$K$11&lt;0,0,V366+'main page'!$K$11)))</f>
        <v>5.4999998509883881</v>
      </c>
      <c r="V366" s="63">
        <f ca="1">IF(controls!$B$10=1,'normal case'!T366+'normal case'!L366,'normal case'!W366)</f>
        <v>5.4999998509883881</v>
      </c>
      <c r="W366" s="61">
        <f t="shared" ca="1" si="45"/>
        <v>5.4999998509883881</v>
      </c>
      <c r="X366" s="166">
        <f ca="1">IF(controls!$B$44=0,Y366+'main page'!$K$29*L366+(1-'main page'!$K$29)*controls!$B$9+(('main page'!$K$25*'main page'!$U$13*'main page'!$K$29)/('main page'!$K$27*(1+('main page'!$K$25^2)*'main page'!$U$13)))*(L366-controls!$B$9),Y366+'main page'!$K$29*L366+(1-'main page'!$K$29)*controls!$B$9+(('main page'!$K$25*'main page'!$U$13*'normal case'!$AV$3)/'normal case'!$AV$4)*('normal case'!L366-controls!$B$9))</f>
        <v>5.4999998509883881</v>
      </c>
      <c r="Y366" s="81">
        <f ca="1">IF(controls!$B$44=1,'main page'!$K$24+'main page'!$K$11,IF(controls!$B$33=1,((I367-D366*AD367-B367+B366*AC367)/'main page'!$K$27)-'main page'!$K$11,((H367-D366*AD367-B367+B366*AC367)/'main page'!$K$27)-'main page'!$K$11))</f>
        <v>3.5</v>
      </c>
      <c r="AA366" s="58">
        <f>IF(controls!$B$6=1,$AS$3*(1+('main page'!$K$35/100))^AB366-$AS$3*(1+('main page'!$K$35/100))^AB365,$AS$3*(1+('main page'!$G$8/100))*(1+('main page'!$K$35/100))^AB366-$AS$3*(1+('main page'!$G$8/100))*(1+('main page'!$K$35/100))^AB365)</f>
        <v>0</v>
      </c>
      <c r="AB366" s="60">
        <v>359</v>
      </c>
      <c r="AC366" s="125">
        <v>0</v>
      </c>
      <c r="AD366" s="36">
        <v>0</v>
      </c>
      <c r="AE366" s="44">
        <f ca="1">IF(controls!$B$33=1,D366-($I$3-'main page'!$K$27*2)*(1+('main page'!$K$35/100))^A365,D366-$AS$4)</f>
        <v>1.0000000596046448</v>
      </c>
      <c r="AF366" s="44">
        <f ca="1">ABS(L366-(controls!$B$9/100)*100)</f>
        <v>1.1920928955078125E-7</v>
      </c>
      <c r="AH366" s="44">
        <f ca="1">IF(controls!$B$33=1,(B367-B366*AC367-I367+D366*AD367+'main page'!$K$27*('main page'!$K$24+'main page'!$K$11))/'main page'!$K$31,(B367-B366*AC367+D366*AD367-H367+'main page'!$K$27*('main page'!$K$24+'main page'!$K$11))/'main page'!$K$31)</f>
        <v>1</v>
      </c>
      <c r="AI366" s="44">
        <f ca="1">IF(controls!$B$45=1,LOG(AM366,1.01)+LOG(AL366,1.01)-LOG(AK366,1.01),-((T366-('main page'!$K$24+'main page'!$K$11))/(1-'normal case'!$AV$3))+'normal case'!AH366)</f>
        <v>2.0000000596046448</v>
      </c>
      <c r="AJ366" s="80">
        <f t="shared" ca="1" si="46"/>
        <v>1.0506250015463039</v>
      </c>
      <c r="AK366" s="44">
        <f t="shared" ca="1" si="47"/>
        <v>1298.1312827374215</v>
      </c>
      <c r="AL366" s="44">
        <f>AL365*(1+'main page'!$K$32/100)</f>
        <v>1</v>
      </c>
      <c r="AM366" s="44">
        <f ca="1">IF(ABS(IF(controls!$B$45=1,$AS$13,AK366*AJ366/AL366)-AM365)&lt;0.00001,AM365,IF(controls!$B$45=1,$AS$13,AK366*AJ366/AL366))</f>
        <v>1363.8491809333091</v>
      </c>
      <c r="AN366" s="44">
        <f>IF(controls!$B$46=0,0,IF(controls!$B$33=2,B367-B366*AC367-('normal case'!H367-D366*AD367-'main page'!$K$27*'normal case'!T366+'main page'!$K$31*'normal case'!AI366)-(('main page'!$K$25*'main page'!$U$13*'main page'!$K$29)/(1+('main page'!$K$25^2)*'main page'!$U$13))*('normal case'!L366-'main page'!$U$8),B367-B366*AC367-('normal case'!I367-D366*AD367-'main page'!$K$27*'normal case'!T366+'main page'!$K$31*'normal case'!AI366)-(('main page'!$K$25*'main page'!$U$13*'main page'!$K$29)/(1+('main page'!$K$25^2)*'main page'!$U$13))*('normal case'!L366-'main page'!$U$8)))</f>
        <v>0</v>
      </c>
      <c r="AU366" s="36"/>
      <c r="AV366" s="36"/>
    </row>
    <row r="367" spans="1:48">
      <c r="A367" s="43">
        <v>365</v>
      </c>
      <c r="B367" s="62">
        <f ca="1">IF(controls!$B$33=1,B366*(1+AC367)+AA367,B366*(1+AC367))</f>
        <v>101</v>
      </c>
      <c r="C367" s="67">
        <f t="shared" ca="1" si="48"/>
        <v>-1.5107707374006907E-7</v>
      </c>
      <c r="D367" s="64">
        <f t="shared" ca="1" si="44"/>
        <v>101.00000005960464</v>
      </c>
      <c r="E367" s="64">
        <f ca="1">AN366+IF(controls!$B$33=1,G367,F367)</f>
        <v>101.00000005960464</v>
      </c>
      <c r="F367" s="78">
        <f ca="1">IF(controls!$B$44=0,H367-'main page'!$K$27*T366,H367-'main page'!$K$27*T366+'main page'!$K$31*AI366)</f>
        <v>101.00000005960464</v>
      </c>
      <c r="G367" s="62">
        <f ca="1">IF(controls!$B$44=0,I367-'main page'!$K$27*T366,I367-'main page'!$K$27*T366+'main page'!$K$31*'normal case'!AI366)</f>
        <v>101.00000005960464</v>
      </c>
      <c r="H367" s="62">
        <f t="shared" ca="1" si="50"/>
        <v>108</v>
      </c>
      <c r="I367" s="62">
        <f t="shared" ca="1" si="51"/>
        <v>108</v>
      </c>
      <c r="L367" s="62">
        <f ca="1">IF(ABS('main page'!$K$29*L366+(1-'main page'!$K$29)*(controls!$B$9/100)*100+'main page'!$K$25*(D367-B367)-L366)&lt;0.0000001,L366,'main page'!$K$29*L366+(1-'main page'!$K$29)*(controls!$B$9/100)*100+'main page'!$K$25*(D367-B367))</f>
        <v>1.9999998807907104</v>
      </c>
      <c r="Q367" s="409">
        <f ca="1">(1-'main page'!$K$29)*($AS$11/100)*100+'main page'!$K$25*(D367-B367)</f>
        <v>5.9604644775390625E-8</v>
      </c>
      <c r="R367" s="409">
        <f>'main page'!G371+'main page'!$K$29*M366</f>
        <v>0</v>
      </c>
      <c r="S367" s="409">
        <f t="shared" ca="1" si="49"/>
        <v>5.9604644775390625E-8</v>
      </c>
      <c r="T367" s="79">
        <f ca="1">IF(controls!$B$10=1,T366,IF(SUM(controls!$B$44:$B$46)=2,U367-'main page'!$K$29*'normal case'!L367-(1-'main page'!$K$29)*'main page'!$K$32,U367-'main page'!$K$29*'normal case'!L367-(1-'main page'!$K$29)*controls!$B$9))</f>
        <v>3.4999999701976776</v>
      </c>
      <c r="U367" s="164">
        <f ca="1">IF(controls!$B$45=1,IF(controls!$B$46=1,'main page'!$K$24+'main page'!$K$11+'main page'!$U$8,'main page'!$K$24+'main page'!$K$11+'main page'!$K$32),IF(controls!$B$44=1,IF(V367&lt;0,0,V367),IF(V367+'main page'!$K$11&lt;0,0,V367+'main page'!$K$11)))</f>
        <v>5.4999998509883881</v>
      </c>
      <c r="V367" s="63">
        <f ca="1">IF(controls!$B$10=1,'normal case'!T367+'normal case'!L367,'normal case'!W367)</f>
        <v>5.4999998509883881</v>
      </c>
      <c r="W367" s="61">
        <f t="shared" ca="1" si="45"/>
        <v>5.4999998509883881</v>
      </c>
      <c r="X367" s="166">
        <f ca="1">IF(controls!$B$44=0,Y367+'main page'!$K$29*L367+(1-'main page'!$K$29)*controls!$B$9+(('main page'!$K$25*'main page'!$U$13*'main page'!$K$29)/('main page'!$K$27*(1+('main page'!$K$25^2)*'main page'!$U$13)))*(L367-controls!$B$9),Y367+'main page'!$K$29*L367+(1-'main page'!$K$29)*controls!$B$9+(('main page'!$K$25*'main page'!$U$13*'normal case'!$AV$3)/'normal case'!$AV$4)*('normal case'!L367-controls!$B$9))</f>
        <v>5.4999998509883881</v>
      </c>
      <c r="Y367" s="81">
        <f ca="1">IF(controls!$B$44=1,'main page'!$K$24+'main page'!$K$11,IF(controls!$B$33=1,((I368-D367*AD368-B368+B367*AC368)/'main page'!$K$27)-'main page'!$K$11,((H368-D367*AD368-B368+B367*AC368)/'main page'!$K$27)-'main page'!$K$11))</f>
        <v>3.5</v>
      </c>
      <c r="AA367" s="58">
        <f>IF(controls!$B$6=1,$AS$3*(1+('main page'!$K$35/100))^AB367-$AS$3*(1+('main page'!$K$35/100))^AB366,$AS$3*(1+('main page'!$G$8/100))*(1+('main page'!$K$35/100))^AB367-$AS$3*(1+('main page'!$G$8/100))*(1+('main page'!$K$35/100))^AB366)</f>
        <v>0</v>
      </c>
      <c r="AB367" s="60">
        <v>360</v>
      </c>
      <c r="AC367" s="125">
        <v>0</v>
      </c>
      <c r="AD367" s="36">
        <v>0</v>
      </c>
      <c r="AE367" s="44">
        <f ca="1">IF(controls!$B$33=1,D367-($I$3-'main page'!$K$27*2)*(1+('main page'!$K$35/100))^A366,D367-$AS$4)</f>
        <v>1.0000000596046448</v>
      </c>
      <c r="AF367" s="44">
        <f ca="1">ABS(L367-(controls!$B$9/100)*100)</f>
        <v>1.1920928955078125E-7</v>
      </c>
      <c r="AH367" s="44">
        <f ca="1">IF(controls!$B$33=1,(B368-B367*AC368-I368+D367*AD368+'main page'!$K$27*('main page'!$K$24+'main page'!$K$11))/'main page'!$K$31,(B368-B367*AC368+D367*AD368-H368+'main page'!$K$27*('main page'!$K$24+'main page'!$K$11))/'main page'!$K$31)</f>
        <v>1</v>
      </c>
      <c r="AI367" s="44">
        <f ca="1">IF(controls!$B$45=1,LOG(AM367,1.01)+LOG(AL367,1.01)-LOG(AK367,1.01),-((T367-('main page'!$K$24+'main page'!$K$11))/(1-'normal case'!$AV$3))+'normal case'!AH367)</f>
        <v>2.0000000596046448</v>
      </c>
      <c r="AJ367" s="80">
        <f t="shared" ca="1" si="46"/>
        <v>1.0506250015463039</v>
      </c>
      <c r="AK367" s="44">
        <f t="shared" ca="1" si="47"/>
        <v>1324.0939068446769</v>
      </c>
      <c r="AL367" s="44">
        <f>AL366*(1+'main page'!$K$32/100)</f>
        <v>1</v>
      </c>
      <c r="AM367" s="44">
        <f ca="1">IF(ABS(IF(controls!$B$45=1,$AS$13,AK367*AJ367/AL367)-AM366)&lt;0.00001,AM366,IF(controls!$B$45=1,$AS$13,AK367*AJ367/AL367))</f>
        <v>1391.1261629261403</v>
      </c>
      <c r="AN367" s="44">
        <f>IF(controls!$B$46=0,0,IF(controls!$B$33=2,B368-B367*AC368-('normal case'!H368-D367*AD368-'main page'!$K$27*'normal case'!T367+'main page'!$K$31*'normal case'!AI367)-(('main page'!$K$25*'main page'!$U$13*'main page'!$K$29)/(1+('main page'!$K$25^2)*'main page'!$U$13))*('normal case'!L367-'main page'!$U$8),B368-B367*AC368-('normal case'!I368-D367*AD368-'main page'!$K$27*'normal case'!T367+'main page'!$K$31*'normal case'!AI367)-(('main page'!$K$25*'main page'!$U$13*'main page'!$K$29)/(1+('main page'!$K$25^2)*'main page'!$U$13))*('normal case'!L367-'main page'!$U$8)))</f>
        <v>0</v>
      </c>
      <c r="AU367" s="36"/>
      <c r="AV367" s="36"/>
    </row>
    <row r="368" spans="1:48">
      <c r="A368" s="43">
        <v>366</v>
      </c>
      <c r="B368" s="62">
        <f ca="1">IF(controls!$B$33=1,B367*(1+AC368)+AA368,B367*(1+AC368))</f>
        <v>101</v>
      </c>
      <c r="C368" s="67">
        <f t="shared" ca="1" si="48"/>
        <v>-1.5107707374006907E-7</v>
      </c>
      <c r="D368" s="64">
        <f t="shared" ca="1" si="44"/>
        <v>101.00000005960464</v>
      </c>
      <c r="E368" s="64">
        <f ca="1">AN367+IF(controls!$B$33=1,G368,F368)</f>
        <v>101.00000005960464</v>
      </c>
      <c r="F368" s="78">
        <f ca="1">IF(controls!$B$44=0,H368-'main page'!$K$27*T367,H368-'main page'!$K$27*T367+'main page'!$K$31*AI367)</f>
        <v>101.00000005960464</v>
      </c>
      <c r="G368" s="62">
        <f ca="1">IF(controls!$B$44=0,I368-'main page'!$K$27*T367,I368-'main page'!$K$27*T367+'main page'!$K$31*'normal case'!AI367)</f>
        <v>101.00000005960464</v>
      </c>
      <c r="H368" s="62">
        <f t="shared" ca="1" si="50"/>
        <v>108</v>
      </c>
      <c r="I368" s="62">
        <f t="shared" ca="1" si="51"/>
        <v>108</v>
      </c>
      <c r="L368" s="62">
        <f ca="1">IF(ABS('main page'!$K$29*L367+(1-'main page'!$K$29)*(controls!$B$9/100)*100+'main page'!$K$25*(D368-B368)-L367)&lt;0.0000001,L367,'main page'!$K$29*L367+(1-'main page'!$K$29)*(controls!$B$9/100)*100+'main page'!$K$25*(D368-B368))</f>
        <v>1.9999998807907104</v>
      </c>
      <c r="Q368" s="409">
        <f ca="1">(1-'main page'!$K$29)*($AS$11/100)*100+'main page'!$K$25*(D368-B368)</f>
        <v>5.9604644775390625E-8</v>
      </c>
      <c r="R368" s="409">
        <f>'main page'!G372+'main page'!$K$29*M367</f>
        <v>0</v>
      </c>
      <c r="S368" s="409">
        <f t="shared" ca="1" si="49"/>
        <v>5.9604644775390625E-8</v>
      </c>
      <c r="T368" s="79">
        <f ca="1">IF(controls!$B$10=1,T367,IF(SUM(controls!$B$44:$B$46)=2,U368-'main page'!$K$29*'normal case'!L368-(1-'main page'!$K$29)*'main page'!$K$32,U368-'main page'!$K$29*'normal case'!L368-(1-'main page'!$K$29)*controls!$B$9))</f>
        <v>3.4999999701976776</v>
      </c>
      <c r="U368" s="164">
        <f ca="1">IF(controls!$B$45=1,IF(controls!$B$46=1,'main page'!$K$24+'main page'!$K$11+'main page'!$U$8,'main page'!$K$24+'main page'!$K$11+'main page'!$K$32),IF(controls!$B$44=1,IF(V368&lt;0,0,V368),IF(V368+'main page'!$K$11&lt;0,0,V368+'main page'!$K$11)))</f>
        <v>5.4999998509883881</v>
      </c>
      <c r="V368" s="63">
        <f ca="1">IF(controls!$B$10=1,'normal case'!T368+'normal case'!L368,'normal case'!W368)</f>
        <v>5.4999998509883881</v>
      </c>
      <c r="W368" s="61">
        <f t="shared" ca="1" si="45"/>
        <v>5.4999998509883881</v>
      </c>
      <c r="X368" s="166">
        <f ca="1">IF(controls!$B$44=0,Y368+'main page'!$K$29*L368+(1-'main page'!$K$29)*controls!$B$9+(('main page'!$K$25*'main page'!$U$13*'main page'!$K$29)/('main page'!$K$27*(1+('main page'!$K$25^2)*'main page'!$U$13)))*(L368-controls!$B$9),Y368+'main page'!$K$29*L368+(1-'main page'!$K$29)*controls!$B$9+(('main page'!$K$25*'main page'!$U$13*'normal case'!$AV$3)/'normal case'!$AV$4)*('normal case'!L368-controls!$B$9))</f>
        <v>5.4999998509883881</v>
      </c>
      <c r="Y368" s="81">
        <f ca="1">IF(controls!$B$44=1,'main page'!$K$24+'main page'!$K$11,IF(controls!$B$33=1,((I369-D368*AD369-B369+B368*AC369)/'main page'!$K$27)-'main page'!$K$11,((H369-D368*AD369-B369+B368*AC369)/'main page'!$K$27)-'main page'!$K$11))</f>
        <v>3.5</v>
      </c>
      <c r="AA368" s="58">
        <f>IF(controls!$B$6=1,$AS$3*(1+('main page'!$K$35/100))^AB368-$AS$3*(1+('main page'!$K$35/100))^AB367,$AS$3*(1+('main page'!$G$8/100))*(1+('main page'!$K$35/100))^AB368-$AS$3*(1+('main page'!$G$8/100))*(1+('main page'!$K$35/100))^AB367)</f>
        <v>0</v>
      </c>
      <c r="AB368" s="60">
        <v>361</v>
      </c>
      <c r="AC368" s="125">
        <f ca="1">IF(controls!$B$4=1,IF(controls!$H367=1,controls!$B$34*AC367+RAND()*('main page'!$K$16/100)-RAND()*('main page'!$K$16/100),0),0)</f>
        <v>0</v>
      </c>
      <c r="AD368" s="36">
        <f ca="1">IF(controls!$B$4=1,IF(controls!$I367=1,controls!$B$34*AD367+RAND()*('main page'!$K$16/100)-RAND()*('main page'!$K$16/100),0),0)</f>
        <v>0</v>
      </c>
      <c r="AE368" s="44">
        <f ca="1">IF(controls!$B$33=1,D368-($I$3-'main page'!$K$27*2)*(1+('main page'!$K$35/100))^A367,D368-$AS$4)</f>
        <v>1.0000000596046448</v>
      </c>
      <c r="AF368" s="44">
        <f ca="1">ABS(L368-(controls!$B$9/100)*100)</f>
        <v>1.1920928955078125E-7</v>
      </c>
      <c r="AH368" s="44">
        <f ca="1">IF(controls!$B$33=1,(B369-B368*AC369-I369+D368*AD369+'main page'!$K$27*('main page'!$K$24+'main page'!$K$11))/'main page'!$K$31,(B369-B368*AC369+D368*AD369-H369+'main page'!$K$27*('main page'!$K$24+'main page'!$K$11))/'main page'!$K$31)</f>
        <v>1</v>
      </c>
      <c r="AI368" s="44">
        <f ca="1">IF(controls!$B$45=1,LOG(AM368,1.01)+LOG(AL368,1.01)-LOG(AK368,1.01),-((T368-('main page'!$K$24+'main page'!$K$11))/(1-'normal case'!$AV$3))+'normal case'!AH368)</f>
        <v>2.0000000596046448</v>
      </c>
      <c r="AJ368" s="80">
        <f t="shared" ca="1" si="46"/>
        <v>1.0506250015463039</v>
      </c>
      <c r="AK368" s="44">
        <f t="shared" ca="1" si="47"/>
        <v>1350.5757834031276</v>
      </c>
      <c r="AL368" s="44">
        <f>AL367*(1+'main page'!$K$32/100)</f>
        <v>1</v>
      </c>
      <c r="AM368" s="44">
        <f ca="1">IF(ABS(IF(controls!$B$45=1,$AS$13,AK368*AJ368/AL368)-AM367)&lt;0.00001,AM367,IF(controls!$B$45=1,$AS$13,AK368*AJ368/AL368))</f>
        <v>1418.9486845263116</v>
      </c>
      <c r="AN368" s="44">
        <f>IF(controls!$B$46=0,0,IF(controls!$B$33=2,B369-B368*AC369-('normal case'!H369-D368*AD369-'main page'!$K$27*'normal case'!T368+'main page'!$K$31*'normal case'!AI368)-(('main page'!$K$25*'main page'!$U$13*'main page'!$K$29)/(1+('main page'!$K$25^2)*'main page'!$U$13))*('normal case'!L368-'main page'!$U$8),B369-B368*AC369-('normal case'!I369-D368*AD369-'main page'!$K$27*'normal case'!T368+'main page'!$K$31*'normal case'!AI368)-(('main page'!$K$25*'main page'!$U$13*'main page'!$K$29)/(1+('main page'!$K$25^2)*'main page'!$U$13))*('normal case'!L368-'main page'!$U$8)))</f>
        <v>0</v>
      </c>
      <c r="AU368" s="36"/>
      <c r="AV368" s="36"/>
    </row>
    <row r="369" spans="1:48">
      <c r="A369" s="43">
        <v>367</v>
      </c>
      <c r="B369" s="62">
        <f ca="1">IF(controls!$B$33=1,B368*(1+AC369)+AA369,B368*(1+AC369))</f>
        <v>101</v>
      </c>
      <c r="C369" s="67">
        <f t="shared" ca="1" si="48"/>
        <v>-1.5107707374006907E-7</v>
      </c>
      <c r="D369" s="64">
        <f t="shared" ca="1" si="44"/>
        <v>101.00000005960464</v>
      </c>
      <c r="E369" s="64">
        <f ca="1">AN368+IF(controls!$B$33=1,G369,F369)</f>
        <v>101.00000005960464</v>
      </c>
      <c r="F369" s="78">
        <f ca="1">IF(controls!$B$44=0,H369-'main page'!$K$27*T368,H369-'main page'!$K$27*T368+'main page'!$K$31*AI368)</f>
        <v>101.00000005960464</v>
      </c>
      <c r="G369" s="62">
        <f ca="1">IF(controls!$B$44=0,I369-'main page'!$K$27*T368,I369-'main page'!$K$27*T368+'main page'!$K$31*'normal case'!AI368)</f>
        <v>101.00000005960464</v>
      </c>
      <c r="H369" s="62">
        <f t="shared" ca="1" si="50"/>
        <v>108</v>
      </c>
      <c r="I369" s="62">
        <f t="shared" ca="1" si="51"/>
        <v>108</v>
      </c>
      <c r="L369" s="62">
        <f ca="1">IF(ABS('main page'!$K$29*L368+(1-'main page'!$K$29)*(controls!$B$9/100)*100+'main page'!$K$25*(D369-B369)-L368)&lt;0.0000001,L368,'main page'!$K$29*L368+(1-'main page'!$K$29)*(controls!$B$9/100)*100+'main page'!$K$25*(D369-B369))</f>
        <v>1.9999998807907104</v>
      </c>
      <c r="Q369" s="409">
        <f ca="1">(1-'main page'!$K$29)*($AS$11/100)*100+'main page'!$K$25*(D369-B369)</f>
        <v>5.9604644775390625E-8</v>
      </c>
      <c r="R369" s="409">
        <f>'main page'!G373+'main page'!$K$29*M368</f>
        <v>0</v>
      </c>
      <c r="S369" s="409">
        <f t="shared" ca="1" si="49"/>
        <v>5.9604644775390625E-8</v>
      </c>
      <c r="T369" s="79">
        <f ca="1">IF(controls!$B$10=1,T368,IF(SUM(controls!$B$44:$B$46)=2,U369-'main page'!$K$29*'normal case'!L369-(1-'main page'!$K$29)*'main page'!$K$32,U369-'main page'!$K$29*'normal case'!L369-(1-'main page'!$K$29)*controls!$B$9))</f>
        <v>3.4999999701976776</v>
      </c>
      <c r="U369" s="164">
        <f ca="1">IF(controls!$B$45=1,IF(controls!$B$46=1,'main page'!$K$24+'main page'!$K$11+'main page'!$U$8,'main page'!$K$24+'main page'!$K$11+'main page'!$K$32),IF(controls!$B$44=1,IF(V369&lt;0,0,V369),IF(V369+'main page'!$K$11&lt;0,0,V369+'main page'!$K$11)))</f>
        <v>5.4999998509883881</v>
      </c>
      <c r="V369" s="63">
        <f ca="1">IF(controls!$B$10=1,'normal case'!T369+'normal case'!L369,'normal case'!W369)</f>
        <v>5.4999998509883881</v>
      </c>
      <c r="W369" s="61">
        <f t="shared" ca="1" si="45"/>
        <v>5.4999998509883881</v>
      </c>
      <c r="X369" s="166">
        <f ca="1">IF(controls!$B$44=0,Y369+'main page'!$K$29*L369+(1-'main page'!$K$29)*controls!$B$9+(('main page'!$K$25*'main page'!$U$13*'main page'!$K$29)/('main page'!$K$27*(1+('main page'!$K$25^2)*'main page'!$U$13)))*(L369-controls!$B$9),Y369+'main page'!$K$29*L369+(1-'main page'!$K$29)*controls!$B$9+(('main page'!$K$25*'main page'!$U$13*'normal case'!$AV$3)/'normal case'!$AV$4)*('normal case'!L369-controls!$B$9))</f>
        <v>5.4999998509883881</v>
      </c>
      <c r="Y369" s="81">
        <f ca="1">IF(controls!$B$44=1,'main page'!$K$24+'main page'!$K$11,IF(controls!$B$33=1,((I370-D369*AD370-B370+B369*AC370)/'main page'!$K$27)-'main page'!$K$11,((H370-D369*AD370-B370+B369*AC370)/'main page'!$K$27)-'main page'!$K$11))</f>
        <v>3.5</v>
      </c>
      <c r="AA369" s="58">
        <f>IF(controls!$B$6=1,$AS$3*(1+('main page'!$K$35/100))^AB369-$AS$3*(1+('main page'!$K$35/100))^AB368,$AS$3*(1+('main page'!$G$8/100))*(1+('main page'!$K$35/100))^AB369-$AS$3*(1+('main page'!$G$8/100))*(1+('main page'!$K$35/100))^AB368)</f>
        <v>0</v>
      </c>
      <c r="AB369" s="60">
        <v>362</v>
      </c>
      <c r="AC369" s="125">
        <v>0</v>
      </c>
      <c r="AD369" s="36">
        <v>0</v>
      </c>
      <c r="AE369" s="44">
        <f ca="1">IF(controls!$B$33=1,D369-($I$3-'main page'!$K$27*2)*(1+('main page'!$K$35/100))^A368,D369-$AS$4)</f>
        <v>1.0000000596046448</v>
      </c>
      <c r="AF369" s="44">
        <f ca="1">ABS(L369-(controls!$B$9/100)*100)</f>
        <v>1.1920928955078125E-7</v>
      </c>
      <c r="AH369" s="44">
        <f ca="1">IF(controls!$B$33=1,(B370-B369*AC370-I370+D369*AD370+'main page'!$K$27*('main page'!$K$24+'main page'!$K$11))/'main page'!$K$31,(B370-B369*AC370+D369*AD370-H370+'main page'!$K$27*('main page'!$K$24+'main page'!$K$11))/'main page'!$K$31)</f>
        <v>1</v>
      </c>
      <c r="AI369" s="44">
        <f ca="1">IF(controls!$B$45=1,LOG(AM369,1.01)+LOG(AL369,1.01)-LOG(AK369,1.01),-((T369-('main page'!$K$24+'main page'!$K$11))/(1-'normal case'!$AV$3))+'normal case'!AH369)</f>
        <v>2.0000000596046448</v>
      </c>
      <c r="AJ369" s="80">
        <f t="shared" ca="1" si="46"/>
        <v>1.0506250015463039</v>
      </c>
      <c r="AK369" s="44">
        <f t="shared" ca="1" si="47"/>
        <v>1377.5872974611784</v>
      </c>
      <c r="AL369" s="44">
        <f>AL368*(1+'main page'!$K$32/100)</f>
        <v>1</v>
      </c>
      <c r="AM369" s="44">
        <f ca="1">IF(ABS(IF(controls!$B$45=1,$AS$13,AK369*AJ369/AL369)-AM368)&lt;0.00001,AM368,IF(controls!$B$45=1,$AS$13,AK369*AJ369/AL369))</f>
        <v>1447.3276565253191</v>
      </c>
      <c r="AN369" s="44">
        <f>IF(controls!$B$46=0,0,IF(controls!$B$33=2,B370-B369*AC370-('normal case'!H370-D369*AD370-'main page'!$K$27*'normal case'!T369+'main page'!$K$31*'normal case'!AI369)-(('main page'!$K$25*'main page'!$U$13*'main page'!$K$29)/(1+('main page'!$K$25^2)*'main page'!$U$13))*('normal case'!L369-'main page'!$U$8),B370-B369*AC370-('normal case'!I370-D369*AD370-'main page'!$K$27*'normal case'!T369+'main page'!$K$31*'normal case'!AI369)-(('main page'!$K$25*'main page'!$U$13*'main page'!$K$29)/(1+('main page'!$K$25^2)*'main page'!$U$13))*('normal case'!L369-'main page'!$U$8)))</f>
        <v>0</v>
      </c>
      <c r="AU369" s="36"/>
      <c r="AV369" s="36"/>
    </row>
    <row r="370" spans="1:48">
      <c r="A370" s="43">
        <v>368</v>
      </c>
      <c r="B370" s="62">
        <f ca="1">IF(controls!$B$33=1,B369*(1+AC370)+AA370,B369*(1+AC370))</f>
        <v>101</v>
      </c>
      <c r="C370" s="67">
        <f t="shared" ca="1" si="48"/>
        <v>-1.5107707374006907E-7</v>
      </c>
      <c r="D370" s="64">
        <f t="shared" ca="1" si="44"/>
        <v>101.00000005960464</v>
      </c>
      <c r="E370" s="64">
        <f ca="1">AN369+IF(controls!$B$33=1,G370,F370)</f>
        <v>101.00000005960464</v>
      </c>
      <c r="F370" s="78">
        <f ca="1">IF(controls!$B$44=0,H370-'main page'!$K$27*T369,H370-'main page'!$K$27*T369+'main page'!$K$31*AI369)</f>
        <v>101.00000005960464</v>
      </c>
      <c r="G370" s="62">
        <f ca="1">IF(controls!$B$44=0,I370-'main page'!$K$27*T369,I370-'main page'!$K$27*T369+'main page'!$K$31*'normal case'!AI369)</f>
        <v>101.00000005960464</v>
      </c>
      <c r="H370" s="62">
        <f t="shared" ca="1" si="50"/>
        <v>108</v>
      </c>
      <c r="I370" s="62">
        <f t="shared" ca="1" si="51"/>
        <v>108</v>
      </c>
      <c r="L370" s="62">
        <f ca="1">IF(ABS('main page'!$K$29*L369+(1-'main page'!$K$29)*(controls!$B$9/100)*100+'main page'!$K$25*(D370-B370)-L369)&lt;0.0000001,L369,'main page'!$K$29*L369+(1-'main page'!$K$29)*(controls!$B$9/100)*100+'main page'!$K$25*(D370-B370))</f>
        <v>1.9999998807907104</v>
      </c>
      <c r="Q370" s="409">
        <f ca="1">(1-'main page'!$K$29)*($AS$11/100)*100+'main page'!$K$25*(D370-B370)</f>
        <v>5.9604644775390625E-8</v>
      </c>
      <c r="R370" s="409">
        <f>'main page'!G374+'main page'!$K$29*M369</f>
        <v>0</v>
      </c>
      <c r="S370" s="409">
        <f t="shared" ca="1" si="49"/>
        <v>5.9604644775390625E-8</v>
      </c>
      <c r="T370" s="79">
        <f ca="1">IF(controls!$B$10=1,T369,IF(SUM(controls!$B$44:$B$46)=2,U370-'main page'!$K$29*'normal case'!L370-(1-'main page'!$K$29)*'main page'!$K$32,U370-'main page'!$K$29*'normal case'!L370-(1-'main page'!$K$29)*controls!$B$9))</f>
        <v>3.4999999701976776</v>
      </c>
      <c r="U370" s="164">
        <f ca="1">IF(controls!$B$45=1,IF(controls!$B$46=1,'main page'!$K$24+'main page'!$K$11+'main page'!$U$8,'main page'!$K$24+'main page'!$K$11+'main page'!$K$32),IF(controls!$B$44=1,IF(V370&lt;0,0,V370),IF(V370+'main page'!$K$11&lt;0,0,V370+'main page'!$K$11)))</f>
        <v>5.4999998509883881</v>
      </c>
      <c r="V370" s="63">
        <f ca="1">IF(controls!$B$10=1,'normal case'!T370+'normal case'!L370,'normal case'!W370)</f>
        <v>5.4999998509883881</v>
      </c>
      <c r="W370" s="61">
        <f t="shared" ca="1" si="45"/>
        <v>5.4999998509883881</v>
      </c>
      <c r="X370" s="166">
        <f ca="1">IF(controls!$B$44=0,Y370+'main page'!$K$29*L370+(1-'main page'!$K$29)*controls!$B$9+(('main page'!$K$25*'main page'!$U$13*'main page'!$K$29)/('main page'!$K$27*(1+('main page'!$K$25^2)*'main page'!$U$13)))*(L370-controls!$B$9),Y370+'main page'!$K$29*L370+(1-'main page'!$K$29)*controls!$B$9+(('main page'!$K$25*'main page'!$U$13*'normal case'!$AV$3)/'normal case'!$AV$4)*('normal case'!L370-controls!$B$9))</f>
        <v>5.4999998509883881</v>
      </c>
      <c r="Y370" s="81">
        <f ca="1">IF(controls!$B$44=1,'main page'!$K$24+'main page'!$K$11,IF(controls!$B$33=1,((I371-D370*AD371-B371+B370*AC371)/'main page'!$K$27)-'main page'!$K$11,((H371-D370*AD371-B371+B370*AC371)/'main page'!$K$27)-'main page'!$K$11))</f>
        <v>3.5</v>
      </c>
      <c r="AA370" s="58">
        <f>IF(controls!$B$6=1,$AS$3*(1+('main page'!$K$35/100))^AB370-$AS$3*(1+('main page'!$K$35/100))^AB369,$AS$3*(1+('main page'!$G$8/100))*(1+('main page'!$K$35/100))^AB370-$AS$3*(1+('main page'!$G$8/100))*(1+('main page'!$K$35/100))^AB369)</f>
        <v>0</v>
      </c>
      <c r="AB370" s="60">
        <v>363</v>
      </c>
      <c r="AC370" s="125">
        <v>0</v>
      </c>
      <c r="AD370" s="36">
        <v>0</v>
      </c>
      <c r="AE370" s="44">
        <f ca="1">IF(controls!$B$33=1,D370-($I$3-'main page'!$K$27*2)*(1+('main page'!$K$35/100))^A369,D370-$AS$4)</f>
        <v>1.0000000596046448</v>
      </c>
      <c r="AF370" s="44">
        <f ca="1">ABS(L370-(controls!$B$9/100)*100)</f>
        <v>1.1920928955078125E-7</v>
      </c>
      <c r="AH370" s="44">
        <f ca="1">IF(controls!$B$33=1,(B371-B370*AC371-I371+D370*AD371+'main page'!$K$27*('main page'!$K$24+'main page'!$K$11))/'main page'!$K$31,(B371-B370*AC371+D370*AD371-H371+'main page'!$K$27*('main page'!$K$24+'main page'!$K$11))/'main page'!$K$31)</f>
        <v>1</v>
      </c>
      <c r="AI370" s="44">
        <f ca="1">IF(controls!$B$45=1,LOG(AM370,1.01)+LOG(AL370,1.01)-LOG(AK370,1.01),-((T370-('main page'!$K$24+'main page'!$K$11))/(1-'normal case'!$AV$3))+'normal case'!AH370)</f>
        <v>2.0000000596046448</v>
      </c>
      <c r="AJ370" s="80">
        <f t="shared" ca="1" si="46"/>
        <v>1.0506250015463039</v>
      </c>
      <c r="AK370" s="44">
        <f t="shared" ca="1" si="47"/>
        <v>1405.1390417681901</v>
      </c>
      <c r="AL370" s="44">
        <f>AL369*(1+'main page'!$K$32/100)</f>
        <v>1</v>
      </c>
      <c r="AM370" s="44">
        <f ca="1">IF(ABS(IF(controls!$B$45=1,$AS$13,AK370*AJ370/AL370)-AM369)&lt;0.00001,AM369,IF(controls!$B$45=1,$AS$13,AK370*AJ370/AL370))</f>
        <v>1476.2742079304767</v>
      </c>
      <c r="AN370" s="44">
        <f>IF(controls!$B$46=0,0,IF(controls!$B$33=2,B371-B370*AC371-('normal case'!H371-D370*AD371-'main page'!$K$27*'normal case'!T370+'main page'!$K$31*'normal case'!AI370)-(('main page'!$K$25*'main page'!$U$13*'main page'!$K$29)/(1+('main page'!$K$25^2)*'main page'!$U$13))*('normal case'!L370-'main page'!$U$8),B371-B370*AC371-('normal case'!I371-D370*AD371-'main page'!$K$27*'normal case'!T370+'main page'!$K$31*'normal case'!AI370)-(('main page'!$K$25*'main page'!$U$13*'main page'!$K$29)/(1+('main page'!$K$25^2)*'main page'!$U$13))*('normal case'!L370-'main page'!$U$8)))</f>
        <v>0</v>
      </c>
      <c r="AU370" s="36"/>
      <c r="AV370" s="36"/>
    </row>
    <row r="371" spans="1:48">
      <c r="A371" s="43">
        <v>369</v>
      </c>
      <c r="B371" s="62">
        <f ca="1">IF(controls!$B$33=1,B370*(1+AC371)+AA371,B370*(1+AC371))</f>
        <v>101</v>
      </c>
      <c r="C371" s="67">
        <f t="shared" ca="1" si="48"/>
        <v>-1.5107707374006907E-7</v>
      </c>
      <c r="D371" s="64">
        <f t="shared" ca="1" si="44"/>
        <v>101.00000005960464</v>
      </c>
      <c r="E371" s="64">
        <f ca="1">AN370+IF(controls!$B$33=1,G371,F371)</f>
        <v>101.00000005960464</v>
      </c>
      <c r="F371" s="78">
        <f ca="1">IF(controls!$B$44=0,H371-'main page'!$K$27*T370,H371-'main page'!$K$27*T370+'main page'!$K$31*AI370)</f>
        <v>101.00000005960464</v>
      </c>
      <c r="G371" s="62">
        <f ca="1">IF(controls!$B$44=0,I371-'main page'!$K$27*T370,I371-'main page'!$K$27*T370+'main page'!$K$31*'normal case'!AI370)</f>
        <v>101.00000005960464</v>
      </c>
      <c r="H371" s="62">
        <f t="shared" ca="1" si="50"/>
        <v>108</v>
      </c>
      <c r="I371" s="62">
        <f t="shared" ca="1" si="51"/>
        <v>108</v>
      </c>
      <c r="L371" s="62">
        <f ca="1">IF(ABS('main page'!$K$29*L370+(1-'main page'!$K$29)*(controls!$B$9/100)*100+'main page'!$K$25*(D371-B371)-L370)&lt;0.0000001,L370,'main page'!$K$29*L370+(1-'main page'!$K$29)*(controls!$B$9/100)*100+'main page'!$K$25*(D371-B371))</f>
        <v>1.9999998807907104</v>
      </c>
      <c r="Q371" s="409">
        <f ca="1">(1-'main page'!$K$29)*($AS$11/100)*100+'main page'!$K$25*(D371-B371)</f>
        <v>5.9604644775390625E-8</v>
      </c>
      <c r="R371" s="409">
        <f>'main page'!G375+'main page'!$K$29*M370</f>
        <v>0</v>
      </c>
      <c r="S371" s="409">
        <f t="shared" ca="1" si="49"/>
        <v>5.9604644775390625E-8</v>
      </c>
      <c r="T371" s="79">
        <f ca="1">IF(controls!$B$10=1,T370,IF(SUM(controls!$B$44:$B$46)=2,U371-'main page'!$K$29*'normal case'!L371-(1-'main page'!$K$29)*'main page'!$K$32,U371-'main page'!$K$29*'normal case'!L371-(1-'main page'!$K$29)*controls!$B$9))</f>
        <v>3.4999999701976776</v>
      </c>
      <c r="U371" s="164">
        <f ca="1">IF(controls!$B$45=1,IF(controls!$B$46=1,'main page'!$K$24+'main page'!$K$11+'main page'!$U$8,'main page'!$K$24+'main page'!$K$11+'main page'!$K$32),IF(controls!$B$44=1,IF(V371&lt;0,0,V371),IF(V371+'main page'!$K$11&lt;0,0,V371+'main page'!$K$11)))</f>
        <v>5.4999998509883881</v>
      </c>
      <c r="V371" s="63">
        <f ca="1">IF(controls!$B$10=1,'normal case'!T371+'normal case'!L371,'normal case'!W371)</f>
        <v>5.4999998509883881</v>
      </c>
      <c r="W371" s="61">
        <f t="shared" ca="1" si="45"/>
        <v>5.4999998509883881</v>
      </c>
      <c r="X371" s="166">
        <f ca="1">IF(controls!$B$44=0,Y371+'main page'!$K$29*L371+(1-'main page'!$K$29)*controls!$B$9+(('main page'!$K$25*'main page'!$U$13*'main page'!$K$29)/('main page'!$K$27*(1+('main page'!$K$25^2)*'main page'!$U$13)))*(L371-controls!$B$9),Y371+'main page'!$K$29*L371+(1-'main page'!$K$29)*controls!$B$9+(('main page'!$K$25*'main page'!$U$13*'normal case'!$AV$3)/'normal case'!$AV$4)*('normal case'!L371-controls!$B$9))</f>
        <v>5.4999998509883881</v>
      </c>
      <c r="Y371" s="81">
        <f ca="1">IF(controls!$B$44=1,'main page'!$K$24+'main page'!$K$11,IF(controls!$B$33=1,((I372-D371*AD372-B372+B371*AC372)/'main page'!$K$27)-'main page'!$K$11,((H372-D371*AD372-B372+B371*AC372)/'main page'!$K$27)-'main page'!$K$11))</f>
        <v>3.5</v>
      </c>
      <c r="AA371" s="58">
        <f>IF(controls!$B$6=1,$AS$3*(1+('main page'!$K$35/100))^AB371-$AS$3*(1+('main page'!$K$35/100))^AB370,$AS$3*(1+('main page'!$G$8/100))*(1+('main page'!$K$35/100))^AB371-$AS$3*(1+('main page'!$G$8/100))*(1+('main page'!$K$35/100))^AB370)</f>
        <v>0</v>
      </c>
      <c r="AB371" s="60">
        <v>364</v>
      </c>
      <c r="AC371" s="125">
        <f ca="1">IF(controls!$B$4=1,IF(controls!$H370=1,controls!$B$34*AC370+RAND()*('main page'!$K$16/100)-RAND()*('main page'!$K$16/100),0),0)</f>
        <v>0</v>
      </c>
      <c r="AD371" s="36">
        <f ca="1">IF(controls!$B$4=1,IF(controls!$I370=1,controls!$B$34*AD370+RAND()*('main page'!$K$16/100)-RAND()*('main page'!$K$16/100),0),0)</f>
        <v>0</v>
      </c>
      <c r="AE371" s="44">
        <f ca="1">IF(controls!$B$33=1,D371-($I$3-'main page'!$K$27*2)*(1+('main page'!$K$35/100))^A370,D371-$AS$4)</f>
        <v>1.0000000596046448</v>
      </c>
      <c r="AF371" s="44">
        <f ca="1">ABS(L371-(controls!$B$9/100)*100)</f>
        <v>1.1920928955078125E-7</v>
      </c>
      <c r="AH371" s="44">
        <f ca="1">IF(controls!$B$33=1,(B372-B371*AC372-I372+D371*AD372+'main page'!$K$27*('main page'!$K$24+'main page'!$K$11))/'main page'!$K$31,(B372-B371*AC372+D371*AD372-H372+'main page'!$K$27*('main page'!$K$24+'main page'!$K$11))/'main page'!$K$31)</f>
        <v>1</v>
      </c>
      <c r="AI371" s="44">
        <f ca="1">IF(controls!$B$45=1,LOG(AM371,1.01)+LOG(AL371,1.01)-LOG(AK371,1.01),-((T371-('main page'!$K$24+'main page'!$K$11))/(1-'normal case'!$AV$3))+'normal case'!AH371)</f>
        <v>2.0000000596046448</v>
      </c>
      <c r="AJ371" s="80">
        <f t="shared" ca="1" si="46"/>
        <v>1.0506250015463039</v>
      </c>
      <c r="AK371" s="44">
        <f t="shared" ca="1" si="47"/>
        <v>1433.2418209284976</v>
      </c>
      <c r="AL371" s="44">
        <f>AL370*(1+'main page'!$K$32/100)</f>
        <v>1</v>
      </c>
      <c r="AM371" s="44">
        <f ca="1">IF(ABS(IF(controls!$B$45=1,$AS$13,AK371*AJ371/AL371)-AM370)&lt;0.00001,AM370,IF(controls!$B$45=1,$AS$13,AK371*AJ371/AL371))</f>
        <v>1505.7996903292303</v>
      </c>
      <c r="AN371" s="44">
        <f>IF(controls!$B$46=0,0,IF(controls!$B$33=2,B372-B371*AC372-('normal case'!H372-D371*AD372-'main page'!$K$27*'normal case'!T371+'main page'!$K$31*'normal case'!AI371)-(('main page'!$K$25*'main page'!$U$13*'main page'!$K$29)/(1+('main page'!$K$25^2)*'main page'!$U$13))*('normal case'!L371-'main page'!$U$8),B372-B371*AC372-('normal case'!I372-D371*AD372-'main page'!$K$27*'normal case'!T371+'main page'!$K$31*'normal case'!AI371)-(('main page'!$K$25*'main page'!$U$13*'main page'!$K$29)/(1+('main page'!$K$25^2)*'main page'!$U$13))*('normal case'!L371-'main page'!$U$8)))</f>
        <v>0</v>
      </c>
      <c r="AU371" s="36"/>
      <c r="AV371" s="36"/>
    </row>
    <row r="372" spans="1:48">
      <c r="A372" s="43">
        <v>370</v>
      </c>
      <c r="B372" s="62">
        <f ca="1">IF(controls!$B$33=1,B371*(1+AC372)+AA372,B371*(1+AC372))</f>
        <v>101</v>
      </c>
      <c r="C372" s="67">
        <f t="shared" ca="1" si="48"/>
        <v>-1.5107707374006907E-7</v>
      </c>
      <c r="D372" s="64">
        <f t="shared" ca="1" si="44"/>
        <v>101.00000005960464</v>
      </c>
      <c r="E372" s="64">
        <f ca="1">AN371+IF(controls!$B$33=1,G372,F372)</f>
        <v>101.00000005960464</v>
      </c>
      <c r="F372" s="78">
        <f ca="1">IF(controls!$B$44=0,H372-'main page'!$K$27*T371,H372-'main page'!$K$27*T371+'main page'!$K$31*AI371)</f>
        <v>101.00000005960464</v>
      </c>
      <c r="G372" s="62">
        <f ca="1">IF(controls!$B$44=0,I372-'main page'!$K$27*T371,I372-'main page'!$K$27*T371+'main page'!$K$31*'normal case'!AI371)</f>
        <v>101.00000005960464</v>
      </c>
      <c r="H372" s="62">
        <f t="shared" ca="1" si="50"/>
        <v>108</v>
      </c>
      <c r="I372" s="62">
        <f t="shared" ca="1" si="51"/>
        <v>108</v>
      </c>
      <c r="L372" s="62">
        <f ca="1">IF(ABS('main page'!$K$29*L371+(1-'main page'!$K$29)*(controls!$B$9/100)*100+'main page'!$K$25*(D372-B372)-L371)&lt;0.0000001,L371,'main page'!$K$29*L371+(1-'main page'!$K$29)*(controls!$B$9/100)*100+'main page'!$K$25*(D372-B372))</f>
        <v>1.9999998807907104</v>
      </c>
      <c r="Q372" s="409">
        <f ca="1">(1-'main page'!$K$29)*($AS$11/100)*100+'main page'!$K$25*(D372-B372)</f>
        <v>5.9604644775390625E-8</v>
      </c>
      <c r="R372" s="409">
        <f>'main page'!G376+'main page'!$K$29*M371</f>
        <v>0</v>
      </c>
      <c r="S372" s="409">
        <f t="shared" ca="1" si="49"/>
        <v>5.9604644775390625E-8</v>
      </c>
      <c r="T372" s="79">
        <f ca="1">IF(controls!$B$10=1,T371,IF(SUM(controls!$B$44:$B$46)=2,U372-'main page'!$K$29*'normal case'!L372-(1-'main page'!$K$29)*'main page'!$K$32,U372-'main page'!$K$29*'normal case'!L372-(1-'main page'!$K$29)*controls!$B$9))</f>
        <v>3.4999999701976776</v>
      </c>
      <c r="U372" s="164">
        <f ca="1">IF(controls!$B$45=1,IF(controls!$B$46=1,'main page'!$K$24+'main page'!$K$11+'main page'!$U$8,'main page'!$K$24+'main page'!$K$11+'main page'!$K$32),IF(controls!$B$44=1,IF(V372&lt;0,0,V372),IF(V372+'main page'!$K$11&lt;0,0,V372+'main page'!$K$11)))</f>
        <v>5.4999998509883881</v>
      </c>
      <c r="V372" s="63">
        <f ca="1">IF(controls!$B$10=1,'normal case'!T372+'normal case'!L372,'normal case'!W372)</f>
        <v>5.4999998509883881</v>
      </c>
      <c r="W372" s="61">
        <f t="shared" ca="1" si="45"/>
        <v>5.4999998509883881</v>
      </c>
      <c r="X372" s="166">
        <f ca="1">IF(controls!$B$44=0,Y372+'main page'!$K$29*L372+(1-'main page'!$K$29)*controls!$B$9+(('main page'!$K$25*'main page'!$U$13*'main page'!$K$29)/('main page'!$K$27*(1+('main page'!$K$25^2)*'main page'!$U$13)))*(L372-controls!$B$9),Y372+'main page'!$K$29*L372+(1-'main page'!$K$29)*controls!$B$9+(('main page'!$K$25*'main page'!$U$13*'normal case'!$AV$3)/'normal case'!$AV$4)*('normal case'!L372-controls!$B$9))</f>
        <v>5.4999998509883881</v>
      </c>
      <c r="Y372" s="81">
        <f ca="1">IF(controls!$B$44=1,'main page'!$K$24+'main page'!$K$11,IF(controls!$B$33=1,((I373-D372*AD373-B373+B372*AC373)/'main page'!$K$27)-'main page'!$K$11,((H373-D372*AD373-B373+B372*AC373)/'main page'!$K$27)-'main page'!$K$11))</f>
        <v>3.5</v>
      </c>
      <c r="AA372" s="58">
        <f>IF(controls!$B$6=1,$AS$3*(1+('main page'!$K$35/100))^AB372-$AS$3*(1+('main page'!$K$35/100))^AB371,$AS$3*(1+('main page'!$G$8/100))*(1+('main page'!$K$35/100))^AB372-$AS$3*(1+('main page'!$G$8/100))*(1+('main page'!$K$35/100))^AB371)</f>
        <v>0</v>
      </c>
      <c r="AB372" s="60">
        <v>365</v>
      </c>
      <c r="AC372" s="125">
        <v>0</v>
      </c>
      <c r="AD372" s="36">
        <v>0</v>
      </c>
      <c r="AE372" s="44">
        <f ca="1">IF(controls!$B$33=1,D372-($I$3-'main page'!$K$27*2)*(1+('main page'!$K$35/100))^A371,D372-$AS$4)</f>
        <v>1.0000000596046448</v>
      </c>
      <c r="AF372" s="44">
        <f ca="1">ABS(L372-(controls!$B$9/100)*100)</f>
        <v>1.1920928955078125E-7</v>
      </c>
      <c r="AH372" s="44">
        <f ca="1">IF(controls!$B$33=1,(B373-B372*AC373-I373+D372*AD373+'main page'!$K$27*('main page'!$K$24+'main page'!$K$11))/'main page'!$K$31,(B373-B372*AC373+D372*AD373-H373+'main page'!$K$27*('main page'!$K$24+'main page'!$K$11))/'main page'!$K$31)</f>
        <v>1</v>
      </c>
      <c r="AI372" s="44">
        <f ca="1">IF(controls!$B$45=1,LOG(AM372,1.01)+LOG(AL372,1.01)-LOG(AK372,1.01),-((T372-('main page'!$K$24+'main page'!$K$11))/(1-'normal case'!$AV$3))+'normal case'!AH372)</f>
        <v>2.0000000596046448</v>
      </c>
      <c r="AJ372" s="80">
        <f t="shared" ca="1" si="46"/>
        <v>1.0506250015463039</v>
      </c>
      <c r="AK372" s="44">
        <f t="shared" ca="1" si="47"/>
        <v>1461.9066556385103</v>
      </c>
      <c r="AL372" s="44">
        <f>AL371*(1+'main page'!$K$32/100)</f>
        <v>1</v>
      </c>
      <c r="AM372" s="44">
        <f ca="1">IF(ABS(IF(controls!$B$45=1,$AS$13,AK372*AJ372/AL372)-AM371)&lt;0.00001,AM371,IF(controls!$B$45=1,$AS$13,AK372*AJ372/AL372))</f>
        <v>1535.9156823407618</v>
      </c>
      <c r="AN372" s="44">
        <f>IF(controls!$B$46=0,0,IF(controls!$B$33=2,B373-B372*AC373-('normal case'!H373-D372*AD373-'main page'!$K$27*'normal case'!T372+'main page'!$K$31*'normal case'!AI372)-(('main page'!$K$25*'main page'!$U$13*'main page'!$K$29)/(1+('main page'!$K$25^2)*'main page'!$U$13))*('normal case'!L372-'main page'!$U$8),B373-B372*AC373-('normal case'!I373-D372*AD373-'main page'!$K$27*'normal case'!T372+'main page'!$K$31*'normal case'!AI372)-(('main page'!$K$25*'main page'!$U$13*'main page'!$K$29)/(1+('main page'!$K$25^2)*'main page'!$U$13))*('normal case'!L372-'main page'!$U$8)))</f>
        <v>0</v>
      </c>
      <c r="AU372" s="36"/>
      <c r="AV372" s="36"/>
    </row>
    <row r="373" spans="1:48">
      <c r="A373" s="43">
        <v>371</v>
      </c>
      <c r="B373" s="62">
        <f ca="1">IF(controls!$B$33=1,B372*(1+AC373)+AA373,B372*(1+AC373))</f>
        <v>101</v>
      </c>
      <c r="C373" s="67">
        <f t="shared" ca="1" si="48"/>
        <v>-1.5107707374006907E-7</v>
      </c>
      <c r="D373" s="64">
        <f t="shared" ca="1" si="44"/>
        <v>101.00000005960464</v>
      </c>
      <c r="E373" s="64">
        <f ca="1">AN372+IF(controls!$B$33=1,G373,F373)</f>
        <v>101.00000005960464</v>
      </c>
      <c r="F373" s="78">
        <f ca="1">IF(controls!$B$44=0,H373-'main page'!$K$27*T372,H373-'main page'!$K$27*T372+'main page'!$K$31*AI372)</f>
        <v>101.00000005960464</v>
      </c>
      <c r="G373" s="62">
        <f ca="1">IF(controls!$B$44=0,I373-'main page'!$K$27*T372,I373-'main page'!$K$27*T372+'main page'!$K$31*'normal case'!AI372)</f>
        <v>101.00000005960464</v>
      </c>
      <c r="H373" s="62">
        <f t="shared" ca="1" si="50"/>
        <v>108</v>
      </c>
      <c r="I373" s="62">
        <f t="shared" ca="1" si="51"/>
        <v>108</v>
      </c>
      <c r="L373" s="62">
        <f ca="1">IF(ABS('main page'!$K$29*L372+(1-'main page'!$K$29)*(controls!$B$9/100)*100+'main page'!$K$25*(D373-B373)-L372)&lt;0.0000001,L372,'main page'!$K$29*L372+(1-'main page'!$K$29)*(controls!$B$9/100)*100+'main page'!$K$25*(D373-B373))</f>
        <v>1.9999998807907104</v>
      </c>
      <c r="Q373" s="409">
        <f ca="1">(1-'main page'!$K$29)*($AS$11/100)*100+'main page'!$K$25*(D373-B373)</f>
        <v>5.9604644775390625E-8</v>
      </c>
      <c r="R373" s="409">
        <f>'main page'!G377+'main page'!$K$29*M372</f>
        <v>0</v>
      </c>
      <c r="S373" s="409">
        <f t="shared" ca="1" si="49"/>
        <v>5.9604644775390625E-8</v>
      </c>
      <c r="T373" s="79">
        <f ca="1">IF(controls!$B$10=1,T372,IF(SUM(controls!$B$44:$B$46)=2,U373-'main page'!$K$29*'normal case'!L373-(1-'main page'!$K$29)*'main page'!$K$32,U373-'main page'!$K$29*'normal case'!L373-(1-'main page'!$K$29)*controls!$B$9))</f>
        <v>3.4999999701976776</v>
      </c>
      <c r="U373" s="164">
        <f ca="1">IF(controls!$B$45=1,IF(controls!$B$46=1,'main page'!$K$24+'main page'!$K$11+'main page'!$U$8,'main page'!$K$24+'main page'!$K$11+'main page'!$K$32),IF(controls!$B$44=1,IF(V373&lt;0,0,V373),IF(V373+'main page'!$K$11&lt;0,0,V373+'main page'!$K$11)))</f>
        <v>5.4999998509883881</v>
      </c>
      <c r="V373" s="63">
        <f ca="1">IF(controls!$B$10=1,'normal case'!T373+'normal case'!L373,'normal case'!W373)</f>
        <v>5.4999998509883881</v>
      </c>
      <c r="W373" s="61">
        <f t="shared" ca="1" si="45"/>
        <v>5.4999998509883881</v>
      </c>
      <c r="X373" s="166">
        <f ca="1">IF(controls!$B$44=0,Y373+'main page'!$K$29*L373+(1-'main page'!$K$29)*controls!$B$9+(('main page'!$K$25*'main page'!$U$13*'main page'!$K$29)/('main page'!$K$27*(1+('main page'!$K$25^2)*'main page'!$U$13)))*(L373-controls!$B$9),Y373+'main page'!$K$29*L373+(1-'main page'!$K$29)*controls!$B$9+(('main page'!$K$25*'main page'!$U$13*'normal case'!$AV$3)/'normal case'!$AV$4)*('normal case'!L373-controls!$B$9))</f>
        <v>5.4999998509883881</v>
      </c>
      <c r="Y373" s="81">
        <f ca="1">IF(controls!$B$44=1,'main page'!$K$24+'main page'!$K$11,IF(controls!$B$33=1,((I374-D373*AD374-B374+B373*AC374)/'main page'!$K$27)-'main page'!$K$11,((H374-D373*AD374-B374+B373*AC374)/'main page'!$K$27)-'main page'!$K$11))</f>
        <v>3.5</v>
      </c>
      <c r="AA373" s="58">
        <f>IF(controls!$B$6=1,$AS$3*(1+('main page'!$K$35/100))^AB373-$AS$3*(1+('main page'!$K$35/100))^AB372,$AS$3*(1+('main page'!$G$8/100))*(1+('main page'!$K$35/100))^AB373-$AS$3*(1+('main page'!$G$8/100))*(1+('main page'!$K$35/100))^AB372)</f>
        <v>0</v>
      </c>
      <c r="AB373" s="60">
        <v>366</v>
      </c>
      <c r="AC373" s="125">
        <v>0</v>
      </c>
      <c r="AD373" s="36">
        <v>0</v>
      </c>
      <c r="AE373" s="44">
        <f ca="1">IF(controls!$B$33=1,D373-($I$3-'main page'!$K$27*2)*(1+('main page'!$K$35/100))^A372,D373-$AS$4)</f>
        <v>1.0000000596046448</v>
      </c>
      <c r="AF373" s="44">
        <f ca="1">ABS(L373-(controls!$B$9/100)*100)</f>
        <v>1.1920928955078125E-7</v>
      </c>
      <c r="AH373" s="44">
        <f ca="1">IF(controls!$B$33=1,(B374-B373*AC374-I374+D373*AD374+'main page'!$K$27*('main page'!$K$24+'main page'!$K$11))/'main page'!$K$31,(B374-B373*AC374+D373*AD374-H374+'main page'!$K$27*('main page'!$K$24+'main page'!$K$11))/'main page'!$K$31)</f>
        <v>1</v>
      </c>
      <c r="AI373" s="44">
        <f ca="1">IF(controls!$B$45=1,LOG(AM373,1.01)+LOG(AL373,1.01)-LOG(AK373,1.01),-((T373-('main page'!$K$24+'main page'!$K$11))/(1-'normal case'!$AV$3))+'normal case'!AH373)</f>
        <v>2.0000000596046448</v>
      </c>
      <c r="AJ373" s="80">
        <f t="shared" ca="1" si="46"/>
        <v>1.0506250015463039</v>
      </c>
      <c r="AK373" s="44">
        <f t="shared" ca="1" si="47"/>
        <v>1491.1447870085519</v>
      </c>
      <c r="AL373" s="44">
        <f>AL372*(1+'main page'!$K$32/100)</f>
        <v>1</v>
      </c>
      <c r="AM373" s="44">
        <f ca="1">IF(ABS(IF(controls!$B$45=1,$AS$13,AK373*AJ373/AL373)-AM372)&lt;0.00001,AM372,IF(controls!$B$45=1,$AS$13,AK373*AJ373/AL373))</f>
        <v>1566.6339941566227</v>
      </c>
      <c r="AN373" s="44">
        <f>IF(controls!$B$46=0,0,IF(controls!$B$33=2,B374-B373*AC374-('normal case'!H374-D373*AD374-'main page'!$K$27*'normal case'!T373+'main page'!$K$31*'normal case'!AI373)-(('main page'!$K$25*'main page'!$U$13*'main page'!$K$29)/(1+('main page'!$K$25^2)*'main page'!$U$13))*('normal case'!L373-'main page'!$U$8),B374-B373*AC374-('normal case'!I374-D373*AD374-'main page'!$K$27*'normal case'!T373+'main page'!$K$31*'normal case'!AI373)-(('main page'!$K$25*'main page'!$U$13*'main page'!$K$29)/(1+('main page'!$K$25^2)*'main page'!$U$13))*('normal case'!L373-'main page'!$U$8)))</f>
        <v>0</v>
      </c>
      <c r="AU373" s="36"/>
      <c r="AV373" s="36"/>
    </row>
    <row r="374" spans="1:48">
      <c r="A374" s="43">
        <v>372</v>
      </c>
      <c r="B374" s="62">
        <f ca="1">IF(controls!$B$33=1,B373*(1+AC374)+AA374,B373*(1+AC374))</f>
        <v>101</v>
      </c>
      <c r="C374" s="67">
        <f t="shared" ca="1" si="48"/>
        <v>-1.5107707374006907E-7</v>
      </c>
      <c r="D374" s="64">
        <f t="shared" ca="1" si="44"/>
        <v>101.00000005960464</v>
      </c>
      <c r="E374" s="64">
        <f ca="1">AN373+IF(controls!$B$33=1,G374,F374)</f>
        <v>101.00000005960464</v>
      </c>
      <c r="F374" s="78">
        <f ca="1">IF(controls!$B$44=0,H374-'main page'!$K$27*T373,H374-'main page'!$K$27*T373+'main page'!$K$31*AI373)</f>
        <v>101.00000005960464</v>
      </c>
      <c r="G374" s="62">
        <f ca="1">IF(controls!$B$44=0,I374-'main page'!$K$27*T373,I374-'main page'!$K$27*T373+'main page'!$K$31*'normal case'!AI373)</f>
        <v>101.00000005960464</v>
      </c>
      <c r="H374" s="62">
        <f t="shared" ca="1" si="50"/>
        <v>108</v>
      </c>
      <c r="I374" s="62">
        <f t="shared" ca="1" si="51"/>
        <v>108</v>
      </c>
      <c r="L374" s="62">
        <f ca="1">IF(ABS('main page'!$K$29*L373+(1-'main page'!$K$29)*(controls!$B$9/100)*100+'main page'!$K$25*(D374-B374)-L373)&lt;0.0000001,L373,'main page'!$K$29*L373+(1-'main page'!$K$29)*(controls!$B$9/100)*100+'main page'!$K$25*(D374-B374))</f>
        <v>1.9999998807907104</v>
      </c>
      <c r="Q374" s="409">
        <f ca="1">(1-'main page'!$K$29)*($AS$11/100)*100+'main page'!$K$25*(D374-B374)</f>
        <v>5.9604644775390625E-8</v>
      </c>
      <c r="R374" s="409">
        <f>'main page'!G378+'main page'!$K$29*M373</f>
        <v>0</v>
      </c>
      <c r="S374" s="409">
        <f t="shared" ca="1" si="49"/>
        <v>5.9604644775390625E-8</v>
      </c>
      <c r="T374" s="79">
        <f ca="1">IF(controls!$B$10=1,T373,IF(SUM(controls!$B$44:$B$46)=2,U374-'main page'!$K$29*'normal case'!L374-(1-'main page'!$K$29)*'main page'!$K$32,U374-'main page'!$K$29*'normal case'!L374-(1-'main page'!$K$29)*controls!$B$9))</f>
        <v>3.4999999701976776</v>
      </c>
      <c r="U374" s="164">
        <f ca="1">IF(controls!$B$45=1,IF(controls!$B$46=1,'main page'!$K$24+'main page'!$K$11+'main page'!$U$8,'main page'!$K$24+'main page'!$K$11+'main page'!$K$32),IF(controls!$B$44=1,IF(V374&lt;0,0,V374),IF(V374+'main page'!$K$11&lt;0,0,V374+'main page'!$K$11)))</f>
        <v>5.4999998509883881</v>
      </c>
      <c r="V374" s="63">
        <f ca="1">IF(controls!$B$10=1,'normal case'!T374+'normal case'!L374,'normal case'!W374)</f>
        <v>5.4999998509883881</v>
      </c>
      <c r="W374" s="61">
        <f t="shared" ca="1" si="45"/>
        <v>5.4999998509883881</v>
      </c>
      <c r="X374" s="166">
        <f ca="1">IF(controls!$B$44=0,Y374+'main page'!$K$29*L374+(1-'main page'!$K$29)*controls!$B$9+(('main page'!$K$25*'main page'!$U$13*'main page'!$K$29)/('main page'!$K$27*(1+('main page'!$K$25^2)*'main page'!$U$13)))*(L374-controls!$B$9),Y374+'main page'!$K$29*L374+(1-'main page'!$K$29)*controls!$B$9+(('main page'!$K$25*'main page'!$U$13*'normal case'!$AV$3)/'normal case'!$AV$4)*('normal case'!L374-controls!$B$9))</f>
        <v>5.4999998509883881</v>
      </c>
      <c r="Y374" s="81">
        <f ca="1">IF(controls!$B$44=1,'main page'!$K$24+'main page'!$K$11,IF(controls!$B$33=1,((I375-D374*AD375-B375+B374*AC375)/'main page'!$K$27)-'main page'!$K$11,((H375-D374*AD375-B375+B374*AC375)/'main page'!$K$27)-'main page'!$K$11))</f>
        <v>3.5</v>
      </c>
      <c r="AA374" s="58">
        <f>IF(controls!$B$6=1,$AS$3*(1+('main page'!$K$35/100))^AB374-$AS$3*(1+('main page'!$K$35/100))^AB373,$AS$3*(1+('main page'!$G$8/100))*(1+('main page'!$K$35/100))^AB374-$AS$3*(1+('main page'!$G$8/100))*(1+('main page'!$K$35/100))^AB373)</f>
        <v>0</v>
      </c>
      <c r="AB374" s="60">
        <v>367</v>
      </c>
      <c r="AC374" s="125">
        <f ca="1">IF(controls!$B$4=1,IF(controls!$H373=1,controls!$B$34*AC373+RAND()*('main page'!$K$16/100)-RAND()*('main page'!$K$16/100),0),0)</f>
        <v>0</v>
      </c>
      <c r="AD374" s="36">
        <f ca="1">IF(controls!$B$4=1,IF(controls!$I373=1,controls!$B$34*AD373+RAND()*('main page'!$K$16/100)-RAND()*('main page'!$K$16/100),0),0)</f>
        <v>0</v>
      </c>
      <c r="AE374" s="44">
        <f ca="1">IF(controls!$B$33=1,D374-($I$3-'main page'!$K$27*2)*(1+('main page'!$K$35/100))^A373,D374-$AS$4)</f>
        <v>1.0000000596046448</v>
      </c>
      <c r="AF374" s="44">
        <f ca="1">ABS(L374-(controls!$B$9/100)*100)</f>
        <v>1.1920928955078125E-7</v>
      </c>
      <c r="AH374" s="44">
        <f ca="1">IF(controls!$B$33=1,(B375-B374*AC375-I375+D374*AD375+'main page'!$K$27*('main page'!$K$24+'main page'!$K$11))/'main page'!$K$31,(B375-B374*AC375+D374*AD375-H375+'main page'!$K$27*('main page'!$K$24+'main page'!$K$11))/'main page'!$K$31)</f>
        <v>1</v>
      </c>
      <c r="AI374" s="44">
        <f ca="1">IF(controls!$B$45=1,LOG(AM374,1.01)+LOG(AL374,1.01)-LOG(AK374,1.01),-((T374-('main page'!$K$24+'main page'!$K$11))/(1-'normal case'!$AV$3))+'normal case'!AH374)</f>
        <v>2.0000000596046448</v>
      </c>
      <c r="AJ374" s="80">
        <f t="shared" ca="1" si="46"/>
        <v>1.0506250015463039</v>
      </c>
      <c r="AK374" s="44">
        <f t="shared" ca="1" si="47"/>
        <v>1520.96768097114</v>
      </c>
      <c r="AL374" s="44">
        <f>AL373*(1+'main page'!$K$32/100)</f>
        <v>1</v>
      </c>
      <c r="AM374" s="44">
        <f ca="1">IF(ABS(IF(controls!$B$45=1,$AS$13,AK374*AJ374/AL374)-AM373)&lt;0.00001,AM373,IF(controls!$B$45=1,$AS$13,AK374*AJ374/AL374))</f>
        <v>1597.9666721721821</v>
      </c>
      <c r="AN374" s="44">
        <f>IF(controls!$B$46=0,0,IF(controls!$B$33=2,B375-B374*AC375-('normal case'!H375-D374*AD375-'main page'!$K$27*'normal case'!T374+'main page'!$K$31*'normal case'!AI374)-(('main page'!$K$25*'main page'!$U$13*'main page'!$K$29)/(1+('main page'!$K$25^2)*'main page'!$U$13))*('normal case'!L374-'main page'!$U$8),B375-B374*AC375-('normal case'!I375-D374*AD375-'main page'!$K$27*'normal case'!T374+'main page'!$K$31*'normal case'!AI374)-(('main page'!$K$25*'main page'!$U$13*'main page'!$K$29)/(1+('main page'!$K$25^2)*'main page'!$U$13))*('normal case'!L374-'main page'!$U$8)))</f>
        <v>0</v>
      </c>
      <c r="AU374" s="36"/>
      <c r="AV374" s="36"/>
    </row>
    <row r="375" spans="1:48">
      <c r="A375" s="43">
        <v>373</v>
      </c>
      <c r="B375" s="62">
        <f ca="1">IF(controls!$B$33=1,B374*(1+AC375)+AA375,B374*(1+AC375))</f>
        <v>101</v>
      </c>
      <c r="C375" s="67">
        <f t="shared" ca="1" si="48"/>
        <v>-1.5107707374006907E-7</v>
      </c>
      <c r="D375" s="64">
        <f t="shared" ca="1" si="44"/>
        <v>101.00000005960464</v>
      </c>
      <c r="E375" s="64">
        <f ca="1">AN374+IF(controls!$B$33=1,G375,F375)</f>
        <v>101.00000005960464</v>
      </c>
      <c r="F375" s="78">
        <f ca="1">IF(controls!$B$44=0,H375-'main page'!$K$27*T374,H375-'main page'!$K$27*T374+'main page'!$K$31*AI374)</f>
        <v>101.00000005960464</v>
      </c>
      <c r="G375" s="62">
        <f ca="1">IF(controls!$B$44=0,I375-'main page'!$K$27*T374,I375-'main page'!$K$27*T374+'main page'!$K$31*'normal case'!AI374)</f>
        <v>101.00000005960464</v>
      </c>
      <c r="H375" s="62">
        <f t="shared" ca="1" si="50"/>
        <v>108</v>
      </c>
      <c r="I375" s="62">
        <f t="shared" ca="1" si="51"/>
        <v>108</v>
      </c>
      <c r="L375" s="62">
        <f ca="1">IF(ABS('main page'!$K$29*L374+(1-'main page'!$K$29)*(controls!$B$9/100)*100+'main page'!$K$25*(D375-B375)-L374)&lt;0.0000001,L374,'main page'!$K$29*L374+(1-'main page'!$K$29)*(controls!$B$9/100)*100+'main page'!$K$25*(D375-B375))</f>
        <v>1.9999998807907104</v>
      </c>
      <c r="Q375" s="409">
        <f ca="1">(1-'main page'!$K$29)*($AS$11/100)*100+'main page'!$K$25*(D375-B375)</f>
        <v>5.9604644775390625E-8</v>
      </c>
      <c r="R375" s="409">
        <f>'main page'!G379+'main page'!$K$29*M374</f>
        <v>0</v>
      </c>
      <c r="S375" s="409">
        <f t="shared" ca="1" si="49"/>
        <v>5.9604644775390625E-8</v>
      </c>
      <c r="T375" s="79">
        <f ca="1">IF(controls!$B$10=1,T374,IF(SUM(controls!$B$44:$B$46)=2,U375-'main page'!$K$29*'normal case'!L375-(1-'main page'!$K$29)*'main page'!$K$32,U375-'main page'!$K$29*'normal case'!L375-(1-'main page'!$K$29)*controls!$B$9))</f>
        <v>3.4999999701976776</v>
      </c>
      <c r="U375" s="164">
        <f ca="1">IF(controls!$B$45=1,IF(controls!$B$46=1,'main page'!$K$24+'main page'!$K$11+'main page'!$U$8,'main page'!$K$24+'main page'!$K$11+'main page'!$K$32),IF(controls!$B$44=1,IF(V375&lt;0,0,V375),IF(V375+'main page'!$K$11&lt;0,0,V375+'main page'!$K$11)))</f>
        <v>5.4999998509883881</v>
      </c>
      <c r="V375" s="63">
        <f ca="1">IF(controls!$B$10=1,'normal case'!T375+'normal case'!L375,'normal case'!W375)</f>
        <v>5.4999998509883881</v>
      </c>
      <c r="W375" s="61">
        <f t="shared" ca="1" si="45"/>
        <v>5.4999998509883881</v>
      </c>
      <c r="X375" s="166">
        <f ca="1">IF(controls!$B$44=0,Y375+'main page'!$K$29*L375+(1-'main page'!$K$29)*controls!$B$9+(('main page'!$K$25*'main page'!$U$13*'main page'!$K$29)/('main page'!$K$27*(1+('main page'!$K$25^2)*'main page'!$U$13)))*(L375-controls!$B$9),Y375+'main page'!$K$29*L375+(1-'main page'!$K$29)*controls!$B$9+(('main page'!$K$25*'main page'!$U$13*'normal case'!$AV$3)/'normal case'!$AV$4)*('normal case'!L375-controls!$B$9))</f>
        <v>5.4999998509883881</v>
      </c>
      <c r="Y375" s="81">
        <f ca="1">IF(controls!$B$44=1,'main page'!$K$24+'main page'!$K$11,IF(controls!$B$33=1,((I376-D375*AD376-B376+B375*AC376)/'main page'!$K$27)-'main page'!$K$11,((H376-D375*AD376-B376+B375*AC376)/'main page'!$K$27)-'main page'!$K$11))</f>
        <v>3.5</v>
      </c>
      <c r="AA375" s="58">
        <f>IF(controls!$B$6=1,$AS$3*(1+('main page'!$K$35/100))^AB375-$AS$3*(1+('main page'!$K$35/100))^AB374,$AS$3*(1+('main page'!$G$8/100))*(1+('main page'!$K$35/100))^AB375-$AS$3*(1+('main page'!$G$8/100))*(1+('main page'!$K$35/100))^AB374)</f>
        <v>0</v>
      </c>
      <c r="AB375" s="60">
        <v>368</v>
      </c>
      <c r="AC375" s="125">
        <v>0</v>
      </c>
      <c r="AD375" s="36">
        <v>0</v>
      </c>
      <c r="AE375" s="44">
        <f ca="1">IF(controls!$B$33=1,D375-($I$3-'main page'!$K$27*2)*(1+('main page'!$K$35/100))^A374,D375-$AS$4)</f>
        <v>1.0000000596046448</v>
      </c>
      <c r="AF375" s="44">
        <f ca="1">ABS(L375-(controls!$B$9/100)*100)</f>
        <v>1.1920928955078125E-7</v>
      </c>
      <c r="AH375" s="44">
        <f ca="1">IF(controls!$B$33=1,(B376-B375*AC376-I376+D375*AD376+'main page'!$K$27*('main page'!$K$24+'main page'!$K$11))/'main page'!$K$31,(B376-B375*AC376+D375*AD376-H376+'main page'!$K$27*('main page'!$K$24+'main page'!$K$11))/'main page'!$K$31)</f>
        <v>1</v>
      </c>
      <c r="AI375" s="44">
        <f ca="1">IF(controls!$B$45=1,LOG(AM375,1.01)+LOG(AL375,1.01)-LOG(AK375,1.01),-((T375-('main page'!$K$24+'main page'!$K$11))/(1-'normal case'!$AV$3))+'normal case'!AH375)</f>
        <v>2.0000000596046448</v>
      </c>
      <c r="AJ375" s="80">
        <f t="shared" ca="1" si="46"/>
        <v>1.0506250015463039</v>
      </c>
      <c r="AK375" s="44">
        <f t="shared" ca="1" si="47"/>
        <v>1551.3870327774282</v>
      </c>
      <c r="AL375" s="44">
        <f>AL374*(1+'main page'!$K$32/100)</f>
        <v>1</v>
      </c>
      <c r="AM375" s="44">
        <f ca="1">IF(ABS(IF(controls!$B$45=1,$AS$13,AK375*AJ375/AL375)-AM374)&lt;0.00001,AM374,IF(controls!$B$45=1,$AS$13,AK375*AJ375/AL375))</f>
        <v>1629.9260037107013</v>
      </c>
      <c r="AN375" s="44">
        <f>IF(controls!$B$46=0,0,IF(controls!$B$33=2,B376-B375*AC376-('normal case'!H376-D375*AD376-'main page'!$K$27*'normal case'!T375+'main page'!$K$31*'normal case'!AI375)-(('main page'!$K$25*'main page'!$U$13*'main page'!$K$29)/(1+('main page'!$K$25^2)*'main page'!$U$13))*('normal case'!L375-'main page'!$U$8),B376-B375*AC376-('normal case'!I376-D375*AD376-'main page'!$K$27*'normal case'!T375+'main page'!$K$31*'normal case'!AI375)-(('main page'!$K$25*'main page'!$U$13*'main page'!$K$29)/(1+('main page'!$K$25^2)*'main page'!$U$13))*('normal case'!L375-'main page'!$U$8)))</f>
        <v>0</v>
      </c>
      <c r="AU375" s="36"/>
      <c r="AV375" s="36"/>
    </row>
    <row r="376" spans="1:48">
      <c r="A376" s="43">
        <v>374</v>
      </c>
      <c r="B376" s="62">
        <f ca="1">IF(controls!$B$33=1,B375*(1+AC376)+AA376,B375*(1+AC376))</f>
        <v>101</v>
      </c>
      <c r="C376" s="67">
        <f t="shared" ca="1" si="48"/>
        <v>-1.5107707374006907E-7</v>
      </c>
      <c r="D376" s="64">
        <f t="shared" ca="1" si="44"/>
        <v>101.00000005960464</v>
      </c>
      <c r="E376" s="64">
        <f ca="1">AN375+IF(controls!$B$33=1,G376,F376)</f>
        <v>101.00000005960464</v>
      </c>
      <c r="F376" s="78">
        <f ca="1">IF(controls!$B$44=0,H376-'main page'!$K$27*T375,H376-'main page'!$K$27*T375+'main page'!$K$31*AI375)</f>
        <v>101.00000005960464</v>
      </c>
      <c r="G376" s="62">
        <f ca="1">IF(controls!$B$44=0,I376-'main page'!$K$27*T375,I376-'main page'!$K$27*T375+'main page'!$K$31*'normal case'!AI375)</f>
        <v>101.00000005960464</v>
      </c>
      <c r="H376" s="62">
        <f t="shared" ca="1" si="50"/>
        <v>108</v>
      </c>
      <c r="I376" s="62">
        <f t="shared" ca="1" si="51"/>
        <v>108</v>
      </c>
      <c r="L376" s="62">
        <f ca="1">IF(ABS('main page'!$K$29*L375+(1-'main page'!$K$29)*(controls!$B$9/100)*100+'main page'!$K$25*(D376-B376)-L375)&lt;0.0000001,L375,'main page'!$K$29*L375+(1-'main page'!$K$29)*(controls!$B$9/100)*100+'main page'!$K$25*(D376-B376))</f>
        <v>1.9999998807907104</v>
      </c>
      <c r="Q376" s="409">
        <f ca="1">(1-'main page'!$K$29)*($AS$11/100)*100+'main page'!$K$25*(D376-B376)</f>
        <v>5.9604644775390625E-8</v>
      </c>
      <c r="R376" s="409">
        <f>'main page'!G380+'main page'!$K$29*M375</f>
        <v>0</v>
      </c>
      <c r="S376" s="409">
        <f t="shared" ca="1" si="49"/>
        <v>5.9604644775390625E-8</v>
      </c>
      <c r="T376" s="79">
        <f ca="1">IF(controls!$B$10=1,T375,IF(SUM(controls!$B$44:$B$46)=2,U376-'main page'!$K$29*'normal case'!L376-(1-'main page'!$K$29)*'main page'!$K$32,U376-'main page'!$K$29*'normal case'!L376-(1-'main page'!$K$29)*controls!$B$9))</f>
        <v>3.4999999701976776</v>
      </c>
      <c r="U376" s="164">
        <f ca="1">IF(controls!$B$45=1,IF(controls!$B$46=1,'main page'!$K$24+'main page'!$K$11+'main page'!$U$8,'main page'!$K$24+'main page'!$K$11+'main page'!$K$32),IF(controls!$B$44=1,IF(V376&lt;0,0,V376),IF(V376+'main page'!$K$11&lt;0,0,V376+'main page'!$K$11)))</f>
        <v>5.4999998509883881</v>
      </c>
      <c r="V376" s="63">
        <f ca="1">IF(controls!$B$10=1,'normal case'!T376+'normal case'!L376,'normal case'!W376)</f>
        <v>5.4999998509883881</v>
      </c>
      <c r="W376" s="61">
        <f t="shared" ca="1" si="45"/>
        <v>5.4999998509883881</v>
      </c>
      <c r="X376" s="166">
        <f ca="1">IF(controls!$B$44=0,Y376+'main page'!$K$29*L376+(1-'main page'!$K$29)*controls!$B$9+(('main page'!$K$25*'main page'!$U$13*'main page'!$K$29)/('main page'!$K$27*(1+('main page'!$K$25^2)*'main page'!$U$13)))*(L376-controls!$B$9),Y376+'main page'!$K$29*L376+(1-'main page'!$K$29)*controls!$B$9+(('main page'!$K$25*'main page'!$U$13*'normal case'!$AV$3)/'normal case'!$AV$4)*('normal case'!L376-controls!$B$9))</f>
        <v>5.4999998509883881</v>
      </c>
      <c r="Y376" s="81">
        <f ca="1">IF(controls!$B$44=1,'main page'!$K$24+'main page'!$K$11,IF(controls!$B$33=1,((I377-D376*AD377-B377+B376*AC377)/'main page'!$K$27)-'main page'!$K$11,((H377-D376*AD377-B377+B376*AC377)/'main page'!$K$27)-'main page'!$K$11))</f>
        <v>3.5</v>
      </c>
      <c r="AA376" s="58">
        <f>IF(controls!$B$6=1,$AS$3*(1+('main page'!$K$35/100))^AB376-$AS$3*(1+('main page'!$K$35/100))^AB375,$AS$3*(1+('main page'!$G$8/100))*(1+('main page'!$K$35/100))^AB376-$AS$3*(1+('main page'!$G$8/100))*(1+('main page'!$K$35/100))^AB375)</f>
        <v>0</v>
      </c>
      <c r="AB376" s="60">
        <v>369</v>
      </c>
      <c r="AC376" s="125">
        <v>0</v>
      </c>
      <c r="AD376" s="36">
        <v>0</v>
      </c>
      <c r="AE376" s="44">
        <f ca="1">IF(controls!$B$33=1,D376-($I$3-'main page'!$K$27*2)*(1+('main page'!$K$35/100))^A375,D376-$AS$4)</f>
        <v>1.0000000596046448</v>
      </c>
      <c r="AF376" s="44">
        <f ca="1">ABS(L376-(controls!$B$9/100)*100)</f>
        <v>1.1920928955078125E-7</v>
      </c>
      <c r="AH376" s="44">
        <f ca="1">IF(controls!$B$33=1,(B377-B376*AC377-I377+D376*AD377+'main page'!$K$27*('main page'!$K$24+'main page'!$K$11))/'main page'!$K$31,(B377-B376*AC377+D376*AD377-H377+'main page'!$K$27*('main page'!$K$24+'main page'!$K$11))/'main page'!$K$31)</f>
        <v>1</v>
      </c>
      <c r="AI376" s="44">
        <f ca="1">IF(controls!$B$45=1,LOG(AM376,1.01)+LOG(AL376,1.01)-LOG(AK376,1.01),-((T376-('main page'!$K$24+'main page'!$K$11))/(1-'normal case'!$AV$3))+'normal case'!AH376)</f>
        <v>2.0000000596046448</v>
      </c>
      <c r="AJ376" s="80">
        <f t="shared" ca="1" si="46"/>
        <v>1.0506250015463039</v>
      </c>
      <c r="AK376" s="44">
        <f t="shared" ca="1" si="47"/>
        <v>1582.4147715835793</v>
      </c>
      <c r="AL376" s="44">
        <f>AL375*(1+'main page'!$K$32/100)</f>
        <v>1</v>
      </c>
      <c r="AM376" s="44">
        <f ca="1">IF(ABS(IF(controls!$B$45=1,$AS$13,AK376*AJ376/AL376)-AM375)&lt;0.00001,AM375,IF(controls!$B$45=1,$AS$13,AK376*AJ376/AL376))</f>
        <v>1662.524521841892</v>
      </c>
      <c r="AN376" s="44">
        <f>IF(controls!$B$46=0,0,IF(controls!$B$33=2,B377-B376*AC377-('normal case'!H377-D376*AD377-'main page'!$K$27*'normal case'!T376+'main page'!$K$31*'normal case'!AI376)-(('main page'!$K$25*'main page'!$U$13*'main page'!$K$29)/(1+('main page'!$K$25^2)*'main page'!$U$13))*('normal case'!L376-'main page'!$U$8),B377-B376*AC377-('normal case'!I377-D376*AD377-'main page'!$K$27*'normal case'!T376+'main page'!$K$31*'normal case'!AI376)-(('main page'!$K$25*'main page'!$U$13*'main page'!$K$29)/(1+('main page'!$K$25^2)*'main page'!$U$13))*('normal case'!L376-'main page'!$U$8)))</f>
        <v>0</v>
      </c>
      <c r="AU376" s="36"/>
      <c r="AV376" s="36"/>
    </row>
    <row r="377" spans="1:48">
      <c r="A377" s="43">
        <v>375</v>
      </c>
      <c r="B377" s="62">
        <f ca="1">IF(controls!$B$33=1,B376*(1+AC377)+AA377,B376*(1+AC377))</f>
        <v>101</v>
      </c>
      <c r="C377" s="67">
        <f t="shared" ca="1" si="48"/>
        <v>-1.5107707374006907E-7</v>
      </c>
      <c r="D377" s="64">
        <f t="shared" ca="1" si="44"/>
        <v>101.00000005960464</v>
      </c>
      <c r="E377" s="64">
        <f ca="1">AN376+IF(controls!$B$33=1,G377,F377)</f>
        <v>101.00000005960464</v>
      </c>
      <c r="F377" s="78">
        <f ca="1">IF(controls!$B$44=0,H377-'main page'!$K$27*T376,H377-'main page'!$K$27*T376+'main page'!$K$31*AI376)</f>
        <v>101.00000005960464</v>
      </c>
      <c r="G377" s="62">
        <f ca="1">IF(controls!$B$44=0,I377-'main page'!$K$27*T376,I377-'main page'!$K$27*T376+'main page'!$K$31*'normal case'!AI376)</f>
        <v>101.00000005960464</v>
      </c>
      <c r="H377" s="62">
        <f t="shared" ca="1" si="50"/>
        <v>108</v>
      </c>
      <c r="I377" s="62">
        <f t="shared" ca="1" si="51"/>
        <v>108</v>
      </c>
      <c r="L377" s="62">
        <f ca="1">IF(ABS('main page'!$K$29*L376+(1-'main page'!$K$29)*(controls!$B$9/100)*100+'main page'!$K$25*(D377-B377)-L376)&lt;0.0000001,L376,'main page'!$K$29*L376+(1-'main page'!$K$29)*(controls!$B$9/100)*100+'main page'!$K$25*(D377-B377))</f>
        <v>1.9999998807907104</v>
      </c>
      <c r="Q377" s="409">
        <f ca="1">(1-'main page'!$K$29)*($AS$11/100)*100+'main page'!$K$25*(D377-B377)</f>
        <v>5.9604644775390625E-8</v>
      </c>
      <c r="R377" s="409">
        <f>'main page'!G381+'main page'!$K$29*M376</f>
        <v>0</v>
      </c>
      <c r="S377" s="409">
        <f t="shared" ca="1" si="49"/>
        <v>5.9604644775390625E-8</v>
      </c>
      <c r="T377" s="79">
        <f ca="1">IF(controls!$B$10=1,T376,IF(SUM(controls!$B$44:$B$46)=2,U377-'main page'!$K$29*'normal case'!L377-(1-'main page'!$K$29)*'main page'!$K$32,U377-'main page'!$K$29*'normal case'!L377-(1-'main page'!$K$29)*controls!$B$9))</f>
        <v>3.4999999701976776</v>
      </c>
      <c r="U377" s="164">
        <f ca="1">IF(controls!$B$45=1,IF(controls!$B$46=1,'main page'!$K$24+'main page'!$K$11+'main page'!$U$8,'main page'!$K$24+'main page'!$K$11+'main page'!$K$32),IF(controls!$B$44=1,IF(V377&lt;0,0,V377),IF(V377+'main page'!$K$11&lt;0,0,V377+'main page'!$K$11)))</f>
        <v>5.4999998509883881</v>
      </c>
      <c r="V377" s="63">
        <f ca="1">IF(controls!$B$10=1,'normal case'!T377+'normal case'!L377,'normal case'!W377)</f>
        <v>5.4999998509883881</v>
      </c>
      <c r="W377" s="61">
        <f t="shared" ca="1" si="45"/>
        <v>5.4999998509883881</v>
      </c>
      <c r="X377" s="166">
        <f ca="1">IF(controls!$B$44=0,Y377+'main page'!$K$29*L377+(1-'main page'!$K$29)*controls!$B$9+(('main page'!$K$25*'main page'!$U$13*'main page'!$K$29)/('main page'!$K$27*(1+('main page'!$K$25^2)*'main page'!$U$13)))*(L377-controls!$B$9),Y377+'main page'!$K$29*L377+(1-'main page'!$K$29)*controls!$B$9+(('main page'!$K$25*'main page'!$U$13*'normal case'!$AV$3)/'normal case'!$AV$4)*('normal case'!L377-controls!$B$9))</f>
        <v>5.4999998509883881</v>
      </c>
      <c r="Y377" s="81">
        <f ca="1">IF(controls!$B$44=1,'main page'!$K$24+'main page'!$K$11,IF(controls!$B$33=1,((I378-D377*AD378-B378+B377*AC378)/'main page'!$K$27)-'main page'!$K$11,((H378-D377*AD378-B378+B377*AC378)/'main page'!$K$27)-'main page'!$K$11))</f>
        <v>3.5</v>
      </c>
      <c r="AA377" s="58">
        <f>IF(controls!$B$6=1,$AS$3*(1+('main page'!$K$35/100))^AB377-$AS$3*(1+('main page'!$K$35/100))^AB376,$AS$3*(1+('main page'!$G$8/100))*(1+('main page'!$K$35/100))^AB377-$AS$3*(1+('main page'!$G$8/100))*(1+('main page'!$K$35/100))^AB376)</f>
        <v>0</v>
      </c>
      <c r="AB377" s="60">
        <v>370</v>
      </c>
      <c r="AC377" s="125">
        <f ca="1">IF(controls!$B$4=1,IF(controls!$H376=1,controls!$B$34*AC376+RAND()*('main page'!$K$16/100)-RAND()*('main page'!$K$16/100),0),0)</f>
        <v>0</v>
      </c>
      <c r="AD377" s="36">
        <f ca="1">IF(controls!$B$4=1,IF(controls!$I376=1,controls!$B$34*AD376+RAND()*('main page'!$K$16/100)-RAND()*('main page'!$K$16/100),0),0)</f>
        <v>0</v>
      </c>
      <c r="AE377" s="44">
        <f ca="1">IF(controls!$B$33=1,D377-($I$3-'main page'!$K$27*2)*(1+('main page'!$K$35/100))^A376,D377-$AS$4)</f>
        <v>1.0000000596046448</v>
      </c>
      <c r="AF377" s="44">
        <f ca="1">ABS(L377-(controls!$B$9/100)*100)</f>
        <v>1.1920928955078125E-7</v>
      </c>
      <c r="AH377" s="44">
        <f ca="1">IF(controls!$B$33=1,(B378-B377*AC378-I378+D377*AD378+'main page'!$K$27*('main page'!$K$24+'main page'!$K$11))/'main page'!$K$31,(B378-B377*AC378+D377*AD378-H378+'main page'!$K$27*('main page'!$K$24+'main page'!$K$11))/'main page'!$K$31)</f>
        <v>1</v>
      </c>
      <c r="AI377" s="44">
        <f ca="1">IF(controls!$B$45=1,LOG(AM377,1.01)+LOG(AL377,1.01)-LOG(AK377,1.01),-((T377-('main page'!$K$24+'main page'!$K$11))/(1-'normal case'!$AV$3))+'normal case'!AH377)</f>
        <v>2.0000000596046448</v>
      </c>
      <c r="AJ377" s="80">
        <f t="shared" ca="1" si="46"/>
        <v>1.0506250015463039</v>
      </c>
      <c r="AK377" s="44">
        <f t="shared" ca="1" si="47"/>
        <v>1614.0630651288654</v>
      </c>
      <c r="AL377" s="44">
        <f>AL376*(1+'main page'!$K$32/100)</f>
        <v>1</v>
      </c>
      <c r="AM377" s="44">
        <f ca="1">IF(ABS(IF(controls!$B$45=1,$AS$13,AK377*AJ377/AL377)-AM376)&lt;0.00001,AM376,IF(controls!$B$45=1,$AS$13,AK377*AJ377/AL377))</f>
        <v>1695.7750102968462</v>
      </c>
      <c r="AN377" s="44">
        <f>IF(controls!$B$46=0,0,IF(controls!$B$33=2,B378-B377*AC378-('normal case'!H378-D377*AD378-'main page'!$K$27*'normal case'!T377+'main page'!$K$31*'normal case'!AI377)-(('main page'!$K$25*'main page'!$U$13*'main page'!$K$29)/(1+('main page'!$K$25^2)*'main page'!$U$13))*('normal case'!L377-'main page'!$U$8),B378-B377*AC378-('normal case'!I378-D377*AD378-'main page'!$K$27*'normal case'!T377+'main page'!$K$31*'normal case'!AI377)-(('main page'!$K$25*'main page'!$U$13*'main page'!$K$29)/(1+('main page'!$K$25^2)*'main page'!$U$13))*('normal case'!L377-'main page'!$U$8)))</f>
        <v>0</v>
      </c>
      <c r="AU377" s="36"/>
      <c r="AV377" s="36"/>
    </row>
    <row r="378" spans="1:48">
      <c r="A378" s="43">
        <v>376</v>
      </c>
      <c r="B378" s="62">
        <f ca="1">IF(controls!$B$33=1,B377*(1+AC378)+AA378,B377*(1+AC378))</f>
        <v>101</v>
      </c>
      <c r="C378" s="67">
        <f t="shared" ca="1" si="48"/>
        <v>-1.5107707374006907E-7</v>
      </c>
      <c r="D378" s="64">
        <f t="shared" ca="1" si="44"/>
        <v>101.00000005960464</v>
      </c>
      <c r="E378" s="64">
        <f ca="1">AN377+IF(controls!$B$33=1,G378,F378)</f>
        <v>101.00000005960464</v>
      </c>
      <c r="F378" s="78">
        <f ca="1">IF(controls!$B$44=0,H378-'main page'!$K$27*T377,H378-'main page'!$K$27*T377+'main page'!$K$31*AI377)</f>
        <v>101.00000005960464</v>
      </c>
      <c r="G378" s="62">
        <f ca="1">IF(controls!$B$44=0,I378-'main page'!$K$27*T377,I378-'main page'!$K$27*T377+'main page'!$K$31*'normal case'!AI377)</f>
        <v>101.00000005960464</v>
      </c>
      <c r="H378" s="62">
        <f t="shared" ca="1" si="50"/>
        <v>108</v>
      </c>
      <c r="I378" s="62">
        <f t="shared" ca="1" si="51"/>
        <v>108</v>
      </c>
      <c r="L378" s="62">
        <f ca="1">IF(ABS('main page'!$K$29*L377+(1-'main page'!$K$29)*(controls!$B$9/100)*100+'main page'!$K$25*(D378-B378)-L377)&lt;0.0000001,L377,'main page'!$K$29*L377+(1-'main page'!$K$29)*(controls!$B$9/100)*100+'main page'!$K$25*(D378-B378))</f>
        <v>1.9999998807907104</v>
      </c>
      <c r="Q378" s="409">
        <f ca="1">(1-'main page'!$K$29)*($AS$11/100)*100+'main page'!$K$25*(D378-B378)</f>
        <v>5.9604644775390625E-8</v>
      </c>
      <c r="R378" s="409">
        <f>'main page'!G382+'main page'!$K$29*M377</f>
        <v>0</v>
      </c>
      <c r="S378" s="409">
        <f t="shared" ca="1" si="49"/>
        <v>5.9604644775390625E-8</v>
      </c>
      <c r="T378" s="79">
        <f ca="1">IF(controls!$B$10=1,T377,IF(SUM(controls!$B$44:$B$46)=2,U378-'main page'!$K$29*'normal case'!L378-(1-'main page'!$K$29)*'main page'!$K$32,U378-'main page'!$K$29*'normal case'!L378-(1-'main page'!$K$29)*controls!$B$9))</f>
        <v>3.4999999701976776</v>
      </c>
      <c r="U378" s="164">
        <f ca="1">IF(controls!$B$45=1,IF(controls!$B$46=1,'main page'!$K$24+'main page'!$K$11+'main page'!$U$8,'main page'!$K$24+'main page'!$K$11+'main page'!$K$32),IF(controls!$B$44=1,IF(V378&lt;0,0,V378),IF(V378+'main page'!$K$11&lt;0,0,V378+'main page'!$K$11)))</f>
        <v>5.4999998509883881</v>
      </c>
      <c r="V378" s="63">
        <f ca="1">IF(controls!$B$10=1,'normal case'!T378+'normal case'!L378,'normal case'!W378)</f>
        <v>5.4999998509883881</v>
      </c>
      <c r="W378" s="61">
        <f t="shared" ca="1" si="45"/>
        <v>5.4999998509883881</v>
      </c>
      <c r="X378" s="166">
        <f ca="1">IF(controls!$B$44=0,Y378+'main page'!$K$29*L378+(1-'main page'!$K$29)*controls!$B$9+(('main page'!$K$25*'main page'!$U$13*'main page'!$K$29)/('main page'!$K$27*(1+('main page'!$K$25^2)*'main page'!$U$13)))*(L378-controls!$B$9),Y378+'main page'!$K$29*L378+(1-'main page'!$K$29)*controls!$B$9+(('main page'!$K$25*'main page'!$U$13*'normal case'!$AV$3)/'normal case'!$AV$4)*('normal case'!L378-controls!$B$9))</f>
        <v>5.4999998509883881</v>
      </c>
      <c r="Y378" s="81">
        <f ca="1">IF(controls!$B$44=1,'main page'!$K$24+'main page'!$K$11,IF(controls!$B$33=1,((I379-D378*AD379-B379+B378*AC379)/'main page'!$K$27)-'main page'!$K$11,((H379-D378*AD379-B379+B378*AC379)/'main page'!$K$27)-'main page'!$K$11))</f>
        <v>3.5</v>
      </c>
      <c r="AA378" s="58">
        <f>IF(controls!$B$6=1,$AS$3*(1+('main page'!$K$35/100))^AB378-$AS$3*(1+('main page'!$K$35/100))^AB377,$AS$3*(1+('main page'!$G$8/100))*(1+('main page'!$K$35/100))^AB378-$AS$3*(1+('main page'!$G$8/100))*(1+('main page'!$K$35/100))^AB377)</f>
        <v>0</v>
      </c>
      <c r="AB378" s="60">
        <v>371</v>
      </c>
      <c r="AC378" s="125">
        <v>0</v>
      </c>
      <c r="AD378" s="36">
        <v>0</v>
      </c>
      <c r="AE378" s="44">
        <f ca="1">IF(controls!$B$33=1,D378-($I$3-'main page'!$K$27*2)*(1+('main page'!$K$35/100))^A377,D378-$AS$4)</f>
        <v>1.0000000596046448</v>
      </c>
      <c r="AF378" s="44">
        <f ca="1">ABS(L378-(controls!$B$9/100)*100)</f>
        <v>1.1920928955078125E-7</v>
      </c>
      <c r="AH378" s="44">
        <f ca="1">IF(controls!$B$33=1,(B379-B378*AC379-I379+D378*AD379+'main page'!$K$27*('main page'!$K$24+'main page'!$K$11))/'main page'!$K$31,(B379-B378*AC379+D378*AD379-H379+'main page'!$K$27*('main page'!$K$24+'main page'!$K$11))/'main page'!$K$31)</f>
        <v>1</v>
      </c>
      <c r="AI378" s="44">
        <f ca="1">IF(controls!$B$45=1,LOG(AM378,1.01)+LOG(AL378,1.01)-LOG(AK378,1.01),-((T378-('main page'!$K$24+'main page'!$K$11))/(1-'normal case'!$AV$3))+'normal case'!AH378)</f>
        <v>2.0000000596046448</v>
      </c>
      <c r="AJ378" s="80">
        <f t="shared" ca="1" si="46"/>
        <v>1.0506250015463039</v>
      </c>
      <c r="AK378" s="44">
        <f t="shared" ca="1" si="47"/>
        <v>1646.3443245073297</v>
      </c>
      <c r="AL378" s="44">
        <f>AL377*(1+'main page'!$K$32/100)</f>
        <v>1</v>
      </c>
      <c r="AM378" s="44">
        <f ca="1">IF(ABS(IF(controls!$B$45=1,$AS$13,AK378*AJ378/AL378)-AM377)&lt;0.00001,AM377,IF(controls!$B$45=1,$AS$13,AK378*AJ378/AL378))</f>
        <v>1729.690508481262</v>
      </c>
      <c r="AN378" s="44">
        <f>IF(controls!$B$46=0,0,IF(controls!$B$33=2,B379-B378*AC379-('normal case'!H379-D378*AD379-'main page'!$K$27*'normal case'!T378+'main page'!$K$31*'normal case'!AI378)-(('main page'!$K$25*'main page'!$U$13*'main page'!$K$29)/(1+('main page'!$K$25^2)*'main page'!$U$13))*('normal case'!L378-'main page'!$U$8),B379-B378*AC379-('normal case'!I379-D378*AD379-'main page'!$K$27*'normal case'!T378+'main page'!$K$31*'normal case'!AI378)-(('main page'!$K$25*'main page'!$U$13*'main page'!$K$29)/(1+('main page'!$K$25^2)*'main page'!$U$13))*('normal case'!L378-'main page'!$U$8)))</f>
        <v>0</v>
      </c>
      <c r="AU378" s="36"/>
      <c r="AV378" s="36"/>
    </row>
    <row r="379" spans="1:48">
      <c r="A379" s="43">
        <v>377</v>
      </c>
      <c r="B379" s="62">
        <f ca="1">IF(controls!$B$33=1,B378*(1+AC379)+AA379,B378*(1+AC379))</f>
        <v>101</v>
      </c>
      <c r="C379" s="67">
        <f t="shared" ca="1" si="48"/>
        <v>-1.5107707374006907E-7</v>
      </c>
      <c r="D379" s="64">
        <f t="shared" ca="1" si="44"/>
        <v>101.00000005960464</v>
      </c>
      <c r="E379" s="64">
        <f ca="1">AN378+IF(controls!$B$33=1,G379,F379)</f>
        <v>101.00000005960464</v>
      </c>
      <c r="F379" s="78">
        <f ca="1">IF(controls!$B$44=0,H379-'main page'!$K$27*T378,H379-'main page'!$K$27*T378+'main page'!$K$31*AI378)</f>
        <v>101.00000005960464</v>
      </c>
      <c r="G379" s="62">
        <f ca="1">IF(controls!$B$44=0,I379-'main page'!$K$27*T378,I379-'main page'!$K$27*T378+'main page'!$K$31*'normal case'!AI378)</f>
        <v>101.00000005960464</v>
      </c>
      <c r="H379" s="62">
        <f t="shared" ca="1" si="50"/>
        <v>108</v>
      </c>
      <c r="I379" s="62">
        <f t="shared" ca="1" si="51"/>
        <v>108</v>
      </c>
      <c r="L379" s="62">
        <f ca="1">IF(ABS('main page'!$K$29*L378+(1-'main page'!$K$29)*(controls!$B$9/100)*100+'main page'!$K$25*(D379-B379)-L378)&lt;0.0000001,L378,'main page'!$K$29*L378+(1-'main page'!$K$29)*(controls!$B$9/100)*100+'main page'!$K$25*(D379-B379))</f>
        <v>1.9999998807907104</v>
      </c>
      <c r="Q379" s="409">
        <f ca="1">(1-'main page'!$K$29)*($AS$11/100)*100+'main page'!$K$25*(D379-B379)</f>
        <v>5.9604644775390625E-8</v>
      </c>
      <c r="R379" s="409">
        <f>'main page'!G383+'main page'!$K$29*M378</f>
        <v>0</v>
      </c>
      <c r="S379" s="409">
        <f t="shared" ca="1" si="49"/>
        <v>5.9604644775390625E-8</v>
      </c>
      <c r="T379" s="79">
        <f ca="1">IF(controls!$B$10=1,T378,IF(SUM(controls!$B$44:$B$46)=2,U379-'main page'!$K$29*'normal case'!L379-(1-'main page'!$K$29)*'main page'!$K$32,U379-'main page'!$K$29*'normal case'!L379-(1-'main page'!$K$29)*controls!$B$9))</f>
        <v>3.4999999701976776</v>
      </c>
      <c r="U379" s="164">
        <f ca="1">IF(controls!$B$45=1,IF(controls!$B$46=1,'main page'!$K$24+'main page'!$K$11+'main page'!$U$8,'main page'!$K$24+'main page'!$K$11+'main page'!$K$32),IF(controls!$B$44=1,IF(V379&lt;0,0,V379),IF(V379+'main page'!$K$11&lt;0,0,V379+'main page'!$K$11)))</f>
        <v>5.4999998509883881</v>
      </c>
      <c r="V379" s="63">
        <f ca="1">IF(controls!$B$10=1,'normal case'!T379+'normal case'!L379,'normal case'!W379)</f>
        <v>5.4999998509883881</v>
      </c>
      <c r="W379" s="61">
        <f t="shared" ca="1" si="45"/>
        <v>5.4999998509883881</v>
      </c>
      <c r="X379" s="166">
        <f ca="1">IF(controls!$B$44=0,Y379+'main page'!$K$29*L379+(1-'main page'!$K$29)*controls!$B$9+(('main page'!$K$25*'main page'!$U$13*'main page'!$K$29)/('main page'!$K$27*(1+('main page'!$K$25^2)*'main page'!$U$13)))*(L379-controls!$B$9),Y379+'main page'!$K$29*L379+(1-'main page'!$K$29)*controls!$B$9+(('main page'!$K$25*'main page'!$U$13*'normal case'!$AV$3)/'normal case'!$AV$4)*('normal case'!L379-controls!$B$9))</f>
        <v>5.4999998509883881</v>
      </c>
      <c r="Y379" s="81">
        <f ca="1">IF(controls!$B$44=1,'main page'!$K$24+'main page'!$K$11,IF(controls!$B$33=1,((I380-D379*AD380-B380+B379*AC380)/'main page'!$K$27)-'main page'!$K$11,((H380-D379*AD380-B380+B379*AC380)/'main page'!$K$27)-'main page'!$K$11))</f>
        <v>3.5</v>
      </c>
      <c r="AA379" s="58">
        <f>IF(controls!$B$6=1,$AS$3*(1+('main page'!$K$35/100))^AB379-$AS$3*(1+('main page'!$K$35/100))^AB378,$AS$3*(1+('main page'!$G$8/100))*(1+('main page'!$K$35/100))^AB379-$AS$3*(1+('main page'!$G$8/100))*(1+('main page'!$K$35/100))^AB378)</f>
        <v>0</v>
      </c>
      <c r="AB379" s="60">
        <v>372</v>
      </c>
      <c r="AC379" s="125">
        <v>0</v>
      </c>
      <c r="AD379" s="36">
        <v>0</v>
      </c>
      <c r="AE379" s="44">
        <f ca="1">IF(controls!$B$33=1,D379-($I$3-'main page'!$K$27*2)*(1+('main page'!$K$35/100))^A378,D379-$AS$4)</f>
        <v>1.0000000596046448</v>
      </c>
      <c r="AF379" s="44">
        <f ca="1">ABS(L379-(controls!$B$9/100)*100)</f>
        <v>1.1920928955078125E-7</v>
      </c>
      <c r="AH379" s="44">
        <f ca="1">IF(controls!$B$33=1,(B380-B379*AC380-I380+D379*AD380+'main page'!$K$27*('main page'!$K$24+'main page'!$K$11))/'main page'!$K$31,(B380-B379*AC380+D379*AD380-H380+'main page'!$K$27*('main page'!$K$24+'main page'!$K$11))/'main page'!$K$31)</f>
        <v>1</v>
      </c>
      <c r="AI379" s="44">
        <f ca="1">IF(controls!$B$45=1,LOG(AM379,1.01)+LOG(AL379,1.01)-LOG(AK379,1.01),-((T379-('main page'!$K$24+'main page'!$K$11))/(1-'normal case'!$AV$3))+'normal case'!AH379)</f>
        <v>2.0000000596046448</v>
      </c>
      <c r="AJ379" s="80">
        <f t="shared" ca="1" si="46"/>
        <v>1.0506250015463039</v>
      </c>
      <c r="AK379" s="44">
        <f t="shared" ca="1" si="47"/>
        <v>1679.2712090348809</v>
      </c>
      <c r="AL379" s="44">
        <f>AL378*(1+'main page'!$K$32/100)</f>
        <v>1</v>
      </c>
      <c r="AM379" s="44">
        <f ca="1">IF(ABS(IF(controls!$B$45=1,$AS$13,AK379*AJ379/AL379)-AM378)&lt;0.00001,AM378,IF(controls!$B$45=1,$AS$13,AK379*AJ379/AL379))</f>
        <v>1764.2843165889353</v>
      </c>
      <c r="AN379" s="44">
        <f>IF(controls!$B$46=0,0,IF(controls!$B$33=2,B380-B379*AC380-('normal case'!H380-D379*AD380-'main page'!$K$27*'normal case'!T379+'main page'!$K$31*'normal case'!AI379)-(('main page'!$K$25*'main page'!$U$13*'main page'!$K$29)/(1+('main page'!$K$25^2)*'main page'!$U$13))*('normal case'!L379-'main page'!$U$8),B380-B379*AC380-('normal case'!I380-D379*AD380-'main page'!$K$27*'normal case'!T379+'main page'!$K$31*'normal case'!AI379)-(('main page'!$K$25*'main page'!$U$13*'main page'!$K$29)/(1+('main page'!$K$25^2)*'main page'!$U$13))*('normal case'!L379-'main page'!$U$8)))</f>
        <v>0</v>
      </c>
      <c r="AU379" s="36"/>
      <c r="AV379" s="36"/>
    </row>
    <row r="380" spans="1:48">
      <c r="A380" s="43">
        <v>378</v>
      </c>
      <c r="B380" s="62">
        <f ca="1">IF(controls!$B$33=1,B379*(1+AC380)+AA380,B379*(1+AC380))</f>
        <v>101</v>
      </c>
      <c r="C380" s="67">
        <f t="shared" ca="1" si="48"/>
        <v>-1.5107707374006907E-7</v>
      </c>
      <c r="D380" s="64">
        <f t="shared" ca="1" si="44"/>
        <v>101.00000005960464</v>
      </c>
      <c r="E380" s="64">
        <f ca="1">AN379+IF(controls!$B$33=1,G380,F380)</f>
        <v>101.00000005960464</v>
      </c>
      <c r="F380" s="78">
        <f ca="1">IF(controls!$B$44=0,H380-'main page'!$K$27*T379,H380-'main page'!$K$27*T379+'main page'!$K$31*AI379)</f>
        <v>101.00000005960464</v>
      </c>
      <c r="G380" s="62">
        <f ca="1">IF(controls!$B$44=0,I380-'main page'!$K$27*T379,I380-'main page'!$K$27*T379+'main page'!$K$31*'normal case'!AI379)</f>
        <v>101.00000005960464</v>
      </c>
      <c r="H380" s="62">
        <f t="shared" ca="1" si="50"/>
        <v>108</v>
      </c>
      <c r="I380" s="62">
        <f t="shared" ca="1" si="51"/>
        <v>108</v>
      </c>
      <c r="L380" s="62">
        <f ca="1">IF(ABS('main page'!$K$29*L379+(1-'main page'!$K$29)*(controls!$B$9/100)*100+'main page'!$K$25*(D380-B380)-L379)&lt;0.0000001,L379,'main page'!$K$29*L379+(1-'main page'!$K$29)*(controls!$B$9/100)*100+'main page'!$K$25*(D380-B380))</f>
        <v>1.9999998807907104</v>
      </c>
      <c r="Q380" s="409">
        <f ca="1">(1-'main page'!$K$29)*($AS$11/100)*100+'main page'!$K$25*(D380-B380)</f>
        <v>5.9604644775390625E-8</v>
      </c>
      <c r="R380" s="409">
        <f>'main page'!G384+'main page'!$K$29*M379</f>
        <v>0</v>
      </c>
      <c r="S380" s="409">
        <f t="shared" ca="1" si="49"/>
        <v>5.9604644775390625E-8</v>
      </c>
      <c r="T380" s="79">
        <f ca="1">IF(controls!$B$10=1,T379,IF(SUM(controls!$B$44:$B$46)=2,U380-'main page'!$K$29*'normal case'!L380-(1-'main page'!$K$29)*'main page'!$K$32,U380-'main page'!$K$29*'normal case'!L380-(1-'main page'!$K$29)*controls!$B$9))</f>
        <v>3.4999999701976776</v>
      </c>
      <c r="U380" s="164">
        <f ca="1">IF(controls!$B$45=1,IF(controls!$B$46=1,'main page'!$K$24+'main page'!$K$11+'main page'!$U$8,'main page'!$K$24+'main page'!$K$11+'main page'!$K$32),IF(controls!$B$44=1,IF(V380&lt;0,0,V380),IF(V380+'main page'!$K$11&lt;0,0,V380+'main page'!$K$11)))</f>
        <v>5.4999998509883881</v>
      </c>
      <c r="V380" s="63">
        <f ca="1">IF(controls!$B$10=1,'normal case'!T380+'normal case'!L380,'normal case'!W380)</f>
        <v>5.4999998509883881</v>
      </c>
      <c r="W380" s="61">
        <f t="shared" ca="1" si="45"/>
        <v>5.4999998509883881</v>
      </c>
      <c r="X380" s="166">
        <f ca="1">IF(controls!$B$44=0,Y380+'main page'!$K$29*L380+(1-'main page'!$K$29)*controls!$B$9+(('main page'!$K$25*'main page'!$U$13*'main page'!$K$29)/('main page'!$K$27*(1+('main page'!$K$25^2)*'main page'!$U$13)))*(L380-controls!$B$9),Y380+'main page'!$K$29*L380+(1-'main page'!$K$29)*controls!$B$9+(('main page'!$K$25*'main page'!$U$13*'normal case'!$AV$3)/'normal case'!$AV$4)*('normal case'!L380-controls!$B$9))</f>
        <v>5.4999998509883881</v>
      </c>
      <c r="Y380" s="81">
        <f ca="1">IF(controls!$B$44=1,'main page'!$K$24+'main page'!$K$11,IF(controls!$B$33=1,((I381-D380*AD381-B381+B380*AC381)/'main page'!$K$27)-'main page'!$K$11,((H381-D380*AD381-B381+B380*AC381)/'main page'!$K$27)-'main page'!$K$11))</f>
        <v>3.5</v>
      </c>
      <c r="AA380" s="58">
        <f>IF(controls!$B$6=1,$AS$3*(1+('main page'!$K$35/100))^AB380-$AS$3*(1+('main page'!$K$35/100))^AB379,$AS$3*(1+('main page'!$G$8/100))*(1+('main page'!$K$35/100))^AB380-$AS$3*(1+('main page'!$G$8/100))*(1+('main page'!$K$35/100))^AB379)</f>
        <v>0</v>
      </c>
      <c r="AB380" s="60">
        <v>373</v>
      </c>
      <c r="AC380" s="125">
        <f ca="1">IF(controls!$B$4=1,IF(controls!$H379=1,controls!$B$34*AC379+RAND()*('main page'!$K$16/100)-RAND()*('main page'!$K$16/100),0),0)</f>
        <v>0</v>
      </c>
      <c r="AD380" s="36">
        <f ca="1">IF(controls!$B$4=1,IF(controls!$I379=1,controls!$B$34*AD379+RAND()*('main page'!$K$16/100)-RAND()*('main page'!$K$16/100),0),0)</f>
        <v>0</v>
      </c>
      <c r="AE380" s="44">
        <f ca="1">IF(controls!$B$33=1,D380-($I$3-'main page'!$K$27*2)*(1+('main page'!$K$35/100))^A379,D380-$AS$4)</f>
        <v>1.0000000596046448</v>
      </c>
      <c r="AF380" s="44">
        <f ca="1">ABS(L380-(controls!$B$9/100)*100)</f>
        <v>1.1920928955078125E-7</v>
      </c>
      <c r="AH380" s="44">
        <f ca="1">IF(controls!$B$33=1,(B381-B380*AC381-I381+D380*AD381+'main page'!$K$27*('main page'!$K$24+'main page'!$K$11))/'main page'!$K$31,(B381-B380*AC381+D380*AD381-H381+'main page'!$K$27*('main page'!$K$24+'main page'!$K$11))/'main page'!$K$31)</f>
        <v>1</v>
      </c>
      <c r="AI380" s="44">
        <f ca="1">IF(controls!$B$45=1,LOG(AM380,1.01)+LOG(AL380,1.01)-LOG(AK380,1.01),-((T380-('main page'!$K$24+'main page'!$K$11))/(1-'normal case'!$AV$3))+'normal case'!AH380)</f>
        <v>2.0000000596046448</v>
      </c>
      <c r="AJ380" s="80">
        <f t="shared" ca="1" si="46"/>
        <v>1.0506250015463039</v>
      </c>
      <c r="AK380" s="44">
        <f t="shared" ca="1" si="47"/>
        <v>1712.8566312137314</v>
      </c>
      <c r="AL380" s="44">
        <f>AL379*(1+'main page'!$K$32/100)</f>
        <v>1</v>
      </c>
      <c r="AM380" s="44">
        <f ca="1">IF(ABS(IF(controls!$B$45=1,$AS$13,AK380*AJ380/AL380)-AM379)&lt;0.00001,AM379,IF(controls!$B$45=1,$AS$13,AK380*AJ380/AL380))</f>
        <v>1799.5700008175234</v>
      </c>
      <c r="AN380" s="44">
        <f>IF(controls!$B$46=0,0,IF(controls!$B$33=2,B381-B380*AC381-('normal case'!H381-D380*AD381-'main page'!$K$27*'normal case'!T380+'main page'!$K$31*'normal case'!AI380)-(('main page'!$K$25*'main page'!$U$13*'main page'!$K$29)/(1+('main page'!$K$25^2)*'main page'!$U$13))*('normal case'!L380-'main page'!$U$8),B381-B380*AC381-('normal case'!I381-D380*AD381-'main page'!$K$27*'normal case'!T380+'main page'!$K$31*'normal case'!AI380)-(('main page'!$K$25*'main page'!$U$13*'main page'!$K$29)/(1+('main page'!$K$25^2)*'main page'!$U$13))*('normal case'!L380-'main page'!$U$8)))</f>
        <v>0</v>
      </c>
      <c r="AU380" s="36"/>
      <c r="AV380" s="36"/>
    </row>
    <row r="381" spans="1:48">
      <c r="A381" s="43">
        <v>379</v>
      </c>
      <c r="B381" s="62">
        <f ca="1">IF(controls!$B$33=1,B380*(1+AC381)+AA381,B380*(1+AC381))</f>
        <v>101</v>
      </c>
      <c r="C381" s="67">
        <f t="shared" ca="1" si="48"/>
        <v>-1.5107707374006907E-7</v>
      </c>
      <c r="D381" s="64">
        <f t="shared" ca="1" si="44"/>
        <v>101.00000005960464</v>
      </c>
      <c r="E381" s="64">
        <f ca="1">AN380+IF(controls!$B$33=1,G381,F381)</f>
        <v>101.00000005960464</v>
      </c>
      <c r="F381" s="78">
        <f ca="1">IF(controls!$B$44=0,H381-'main page'!$K$27*T380,H381-'main page'!$K$27*T380+'main page'!$K$31*AI380)</f>
        <v>101.00000005960464</v>
      </c>
      <c r="G381" s="62">
        <f ca="1">IF(controls!$B$44=0,I381-'main page'!$K$27*T380,I381-'main page'!$K$27*T380+'main page'!$K$31*'normal case'!AI380)</f>
        <v>101.00000005960464</v>
      </c>
      <c r="H381" s="62">
        <f t="shared" ca="1" si="50"/>
        <v>108</v>
      </c>
      <c r="I381" s="62">
        <f t="shared" ca="1" si="51"/>
        <v>108</v>
      </c>
      <c r="L381" s="62">
        <f ca="1">IF(ABS('main page'!$K$29*L380+(1-'main page'!$K$29)*(controls!$B$9/100)*100+'main page'!$K$25*(D381-B381)-L380)&lt;0.0000001,L380,'main page'!$K$29*L380+(1-'main page'!$K$29)*(controls!$B$9/100)*100+'main page'!$K$25*(D381-B381))</f>
        <v>1.9999998807907104</v>
      </c>
      <c r="Q381" s="409">
        <f ca="1">(1-'main page'!$K$29)*($AS$11/100)*100+'main page'!$K$25*(D381-B381)</f>
        <v>5.9604644775390625E-8</v>
      </c>
      <c r="R381" s="409">
        <f>'main page'!G385+'main page'!$K$29*M380</f>
        <v>0</v>
      </c>
      <c r="S381" s="409">
        <f t="shared" ca="1" si="49"/>
        <v>5.9604644775390625E-8</v>
      </c>
      <c r="T381" s="79">
        <f ca="1">IF(controls!$B$10=1,T380,IF(SUM(controls!$B$44:$B$46)=2,U381-'main page'!$K$29*'normal case'!L381-(1-'main page'!$K$29)*'main page'!$K$32,U381-'main page'!$K$29*'normal case'!L381-(1-'main page'!$K$29)*controls!$B$9))</f>
        <v>3.4999999701976776</v>
      </c>
      <c r="U381" s="164">
        <f ca="1">IF(controls!$B$45=1,IF(controls!$B$46=1,'main page'!$K$24+'main page'!$K$11+'main page'!$U$8,'main page'!$K$24+'main page'!$K$11+'main page'!$K$32),IF(controls!$B$44=1,IF(V381&lt;0,0,V381),IF(V381+'main page'!$K$11&lt;0,0,V381+'main page'!$K$11)))</f>
        <v>5.4999998509883881</v>
      </c>
      <c r="V381" s="63">
        <f ca="1">IF(controls!$B$10=1,'normal case'!T381+'normal case'!L381,'normal case'!W381)</f>
        <v>5.4999998509883881</v>
      </c>
      <c r="W381" s="61">
        <f t="shared" ca="1" si="45"/>
        <v>5.4999998509883881</v>
      </c>
      <c r="X381" s="166">
        <f ca="1">IF(controls!$B$44=0,Y381+'main page'!$K$29*L381+(1-'main page'!$K$29)*controls!$B$9+(('main page'!$K$25*'main page'!$U$13*'main page'!$K$29)/('main page'!$K$27*(1+('main page'!$K$25^2)*'main page'!$U$13)))*(L381-controls!$B$9),Y381+'main page'!$K$29*L381+(1-'main page'!$K$29)*controls!$B$9+(('main page'!$K$25*'main page'!$U$13*'normal case'!$AV$3)/'normal case'!$AV$4)*('normal case'!L381-controls!$B$9))</f>
        <v>5.4999998509883881</v>
      </c>
      <c r="Y381" s="81">
        <f ca="1">IF(controls!$B$44=1,'main page'!$K$24+'main page'!$K$11,IF(controls!$B$33=1,((I382-D381*AD382-B382+B381*AC382)/'main page'!$K$27)-'main page'!$K$11,((H382-D381*AD382-B382+B381*AC382)/'main page'!$K$27)-'main page'!$K$11))</f>
        <v>3.5</v>
      </c>
      <c r="AA381" s="58">
        <f>IF(controls!$B$6=1,$AS$3*(1+('main page'!$K$35/100))^AB381-$AS$3*(1+('main page'!$K$35/100))^AB380,$AS$3*(1+('main page'!$G$8/100))*(1+('main page'!$K$35/100))^AB381-$AS$3*(1+('main page'!$G$8/100))*(1+('main page'!$K$35/100))^AB380)</f>
        <v>0</v>
      </c>
      <c r="AB381" s="60">
        <v>374</v>
      </c>
      <c r="AC381" s="125">
        <v>0</v>
      </c>
      <c r="AD381" s="36">
        <v>0</v>
      </c>
      <c r="AE381" s="44">
        <f ca="1">IF(controls!$B$33=1,D381-($I$3-'main page'!$K$27*2)*(1+('main page'!$K$35/100))^A380,D381-$AS$4)</f>
        <v>1.0000000596046448</v>
      </c>
      <c r="AF381" s="44">
        <f ca="1">ABS(L381-(controls!$B$9/100)*100)</f>
        <v>1.1920928955078125E-7</v>
      </c>
      <c r="AH381" s="44">
        <f ca="1">IF(controls!$B$33=1,(B382-B381*AC382-I382+D381*AD382+'main page'!$K$27*('main page'!$K$24+'main page'!$K$11))/'main page'!$K$31,(B382-B381*AC382+D381*AD382-H382+'main page'!$K$27*('main page'!$K$24+'main page'!$K$11))/'main page'!$K$31)</f>
        <v>1</v>
      </c>
      <c r="AI381" s="44">
        <f ca="1">IF(controls!$B$45=1,LOG(AM381,1.01)+LOG(AL381,1.01)-LOG(AK381,1.01),-((T381-('main page'!$K$24+'main page'!$K$11))/(1-'normal case'!$AV$3))+'normal case'!AH381)</f>
        <v>2.0000000596046448</v>
      </c>
      <c r="AJ381" s="80">
        <f t="shared" ca="1" si="46"/>
        <v>1.0506250015463039</v>
      </c>
      <c r="AK381" s="44">
        <f t="shared" ca="1" si="47"/>
        <v>1747.1137617961219</v>
      </c>
      <c r="AL381" s="44">
        <f>AL380*(1+'main page'!$K$32/100)</f>
        <v>1</v>
      </c>
      <c r="AM381" s="44">
        <f ca="1">IF(ABS(IF(controls!$B$45=1,$AS$13,AK381*AJ381/AL381)-AM380)&lt;0.00001,AM380,IF(controls!$B$45=1,$AS$13,AK381*AJ381/AL381))</f>
        <v>1835.5613986886194</v>
      </c>
      <c r="AN381" s="44">
        <f>IF(controls!$B$46=0,0,IF(controls!$B$33=2,B382-B381*AC382-('normal case'!H382-D381*AD382-'main page'!$K$27*'normal case'!T381+'main page'!$K$31*'normal case'!AI381)-(('main page'!$K$25*'main page'!$U$13*'main page'!$K$29)/(1+('main page'!$K$25^2)*'main page'!$U$13))*('normal case'!L381-'main page'!$U$8),B382-B381*AC382-('normal case'!I382-D381*AD382-'main page'!$K$27*'normal case'!T381+'main page'!$K$31*'normal case'!AI381)-(('main page'!$K$25*'main page'!$U$13*'main page'!$K$29)/(1+('main page'!$K$25^2)*'main page'!$U$13))*('normal case'!L381-'main page'!$U$8)))</f>
        <v>0</v>
      </c>
      <c r="AU381" s="36"/>
      <c r="AV381" s="36"/>
    </row>
    <row r="382" spans="1:48">
      <c r="A382" s="43">
        <v>380</v>
      </c>
      <c r="B382" s="62">
        <f ca="1">IF(controls!$B$33=1,B381*(1+AC382)+AA382,B381*(1+AC382))</f>
        <v>101</v>
      </c>
      <c r="C382" s="67">
        <f t="shared" ca="1" si="48"/>
        <v>-1.5107707374006907E-7</v>
      </c>
      <c r="D382" s="64">
        <f t="shared" ca="1" si="44"/>
        <v>101.00000005960464</v>
      </c>
      <c r="E382" s="64">
        <f ca="1">AN381+IF(controls!$B$33=1,G382,F382)</f>
        <v>101.00000005960464</v>
      </c>
      <c r="F382" s="78">
        <f ca="1">IF(controls!$B$44=0,H382-'main page'!$K$27*T381,H382-'main page'!$K$27*T381+'main page'!$K$31*AI381)</f>
        <v>101.00000005960464</v>
      </c>
      <c r="G382" s="62">
        <f ca="1">IF(controls!$B$44=0,I382-'main page'!$K$27*T381,I382-'main page'!$K$27*T381+'main page'!$K$31*'normal case'!AI381)</f>
        <v>101.00000005960464</v>
      </c>
      <c r="H382" s="62">
        <f t="shared" ca="1" si="50"/>
        <v>108</v>
      </c>
      <c r="I382" s="62">
        <f t="shared" ca="1" si="51"/>
        <v>108</v>
      </c>
      <c r="L382" s="62">
        <f ca="1">IF(ABS('main page'!$K$29*L381+(1-'main page'!$K$29)*(controls!$B$9/100)*100+'main page'!$K$25*(D382-B382)-L381)&lt;0.0000001,L381,'main page'!$K$29*L381+(1-'main page'!$K$29)*(controls!$B$9/100)*100+'main page'!$K$25*(D382-B382))</f>
        <v>1.9999998807907104</v>
      </c>
      <c r="Q382" s="409">
        <f ca="1">(1-'main page'!$K$29)*($AS$11/100)*100+'main page'!$K$25*(D382-B382)</f>
        <v>5.9604644775390625E-8</v>
      </c>
      <c r="R382" s="409">
        <f>'main page'!G386+'main page'!$K$29*M381</f>
        <v>0</v>
      </c>
      <c r="S382" s="409">
        <f t="shared" ca="1" si="49"/>
        <v>5.9604644775390625E-8</v>
      </c>
      <c r="T382" s="79">
        <f ca="1">IF(controls!$B$10=1,T381,IF(SUM(controls!$B$44:$B$46)=2,U382-'main page'!$K$29*'normal case'!L382-(1-'main page'!$K$29)*'main page'!$K$32,U382-'main page'!$K$29*'normal case'!L382-(1-'main page'!$K$29)*controls!$B$9))</f>
        <v>3.4999999701976776</v>
      </c>
      <c r="U382" s="164">
        <f ca="1">IF(controls!$B$45=1,IF(controls!$B$46=1,'main page'!$K$24+'main page'!$K$11+'main page'!$U$8,'main page'!$K$24+'main page'!$K$11+'main page'!$K$32),IF(controls!$B$44=1,IF(V382&lt;0,0,V382),IF(V382+'main page'!$K$11&lt;0,0,V382+'main page'!$K$11)))</f>
        <v>5.4999998509883881</v>
      </c>
      <c r="V382" s="63">
        <f ca="1">IF(controls!$B$10=1,'normal case'!T382+'normal case'!L382,'normal case'!W382)</f>
        <v>5.4999998509883881</v>
      </c>
      <c r="W382" s="61">
        <f t="shared" ca="1" si="45"/>
        <v>5.4999998509883881</v>
      </c>
      <c r="X382" s="166">
        <f ca="1">IF(controls!$B$44=0,Y382+'main page'!$K$29*L382+(1-'main page'!$K$29)*controls!$B$9+(('main page'!$K$25*'main page'!$U$13*'main page'!$K$29)/('main page'!$K$27*(1+('main page'!$K$25^2)*'main page'!$U$13)))*(L382-controls!$B$9),Y382+'main page'!$K$29*L382+(1-'main page'!$K$29)*controls!$B$9+(('main page'!$K$25*'main page'!$U$13*'normal case'!$AV$3)/'normal case'!$AV$4)*('normal case'!L382-controls!$B$9))</f>
        <v>5.4999998509883881</v>
      </c>
      <c r="Y382" s="81">
        <f ca="1">IF(controls!$B$44=1,'main page'!$K$24+'main page'!$K$11,IF(controls!$B$33=1,((I383-D382*AD383-B383+B382*AC383)/'main page'!$K$27)-'main page'!$K$11,((H383-D382*AD383-B383+B382*AC383)/'main page'!$K$27)-'main page'!$K$11))</f>
        <v>3.5</v>
      </c>
      <c r="AA382" s="58">
        <f>IF(controls!$B$6=1,$AS$3*(1+('main page'!$K$35/100))^AB382-$AS$3*(1+('main page'!$K$35/100))^AB381,$AS$3*(1+('main page'!$G$8/100))*(1+('main page'!$K$35/100))^AB382-$AS$3*(1+('main page'!$G$8/100))*(1+('main page'!$K$35/100))^AB381)</f>
        <v>0</v>
      </c>
      <c r="AB382" s="60">
        <v>375</v>
      </c>
      <c r="AC382" s="125">
        <v>0</v>
      </c>
      <c r="AD382" s="36">
        <v>0</v>
      </c>
      <c r="AE382" s="44">
        <f ca="1">IF(controls!$B$33=1,D382-($I$3-'main page'!$K$27*2)*(1+('main page'!$K$35/100))^A381,D382-$AS$4)</f>
        <v>1.0000000596046448</v>
      </c>
      <c r="AF382" s="44">
        <f ca="1">ABS(L382-(controls!$B$9/100)*100)</f>
        <v>1.1920928955078125E-7</v>
      </c>
      <c r="AH382" s="44">
        <f ca="1">IF(controls!$B$33=1,(B383-B382*AC383-I383+D382*AD383+'main page'!$K$27*('main page'!$K$24+'main page'!$K$11))/'main page'!$K$31,(B383-B382*AC383+D382*AD383-H383+'main page'!$K$27*('main page'!$K$24+'main page'!$K$11))/'main page'!$K$31)</f>
        <v>1</v>
      </c>
      <c r="AI382" s="44">
        <f ca="1">IF(controls!$B$45=1,LOG(AM382,1.01)+LOG(AL382,1.01)-LOG(AK382,1.01),-((T382-('main page'!$K$24+'main page'!$K$11))/(1-'normal case'!$AV$3))+'normal case'!AH382)</f>
        <v>2.0000000596046448</v>
      </c>
      <c r="AJ382" s="80">
        <f t="shared" ca="1" si="46"/>
        <v>1.0506250015463039</v>
      </c>
      <c r="AK382" s="44">
        <f t="shared" ca="1" si="47"/>
        <v>1782.0560349493226</v>
      </c>
      <c r="AL382" s="44">
        <f>AL381*(1+'main page'!$K$32/100)</f>
        <v>1</v>
      </c>
      <c r="AM382" s="44">
        <f ca="1">IF(ABS(IF(controls!$B$45=1,$AS$13,AK382*AJ382/AL382)-AM381)&lt;0.00001,AM381,IF(controls!$B$45=1,$AS$13,AK382*AJ382/AL382))</f>
        <v>1872.2726244742323</v>
      </c>
      <c r="AN382" s="44">
        <f>IF(controls!$B$46=0,0,IF(controls!$B$33=2,B383-B382*AC383-('normal case'!H383-D382*AD383-'main page'!$K$27*'normal case'!T382+'main page'!$K$31*'normal case'!AI382)-(('main page'!$K$25*'main page'!$U$13*'main page'!$K$29)/(1+('main page'!$K$25^2)*'main page'!$U$13))*('normal case'!L382-'main page'!$U$8),B383-B382*AC383-('normal case'!I383-D382*AD383-'main page'!$K$27*'normal case'!T382+'main page'!$K$31*'normal case'!AI382)-(('main page'!$K$25*'main page'!$U$13*'main page'!$K$29)/(1+('main page'!$K$25^2)*'main page'!$U$13))*('normal case'!L382-'main page'!$U$8)))</f>
        <v>0</v>
      </c>
      <c r="AU382" s="36"/>
      <c r="AV382" s="36"/>
    </row>
    <row r="383" spans="1:48">
      <c r="A383" s="43">
        <v>381</v>
      </c>
      <c r="B383" s="62">
        <f ca="1">IF(controls!$B$33=1,B382*(1+AC383)+AA383,B382*(1+AC383))</f>
        <v>101</v>
      </c>
      <c r="C383" s="67">
        <f t="shared" ca="1" si="48"/>
        <v>-1.5107707374006907E-7</v>
      </c>
      <c r="D383" s="64">
        <f t="shared" ca="1" si="44"/>
        <v>101.00000005960464</v>
      </c>
      <c r="E383" s="64">
        <f ca="1">AN382+IF(controls!$B$33=1,G383,F383)</f>
        <v>101.00000005960464</v>
      </c>
      <c r="F383" s="78">
        <f ca="1">IF(controls!$B$44=0,H383-'main page'!$K$27*T382,H383-'main page'!$K$27*T382+'main page'!$K$31*AI382)</f>
        <v>101.00000005960464</v>
      </c>
      <c r="G383" s="62">
        <f ca="1">IF(controls!$B$44=0,I383-'main page'!$K$27*T382,I383-'main page'!$K$27*T382+'main page'!$K$31*'normal case'!AI382)</f>
        <v>101.00000005960464</v>
      </c>
      <c r="H383" s="62">
        <f t="shared" ca="1" si="50"/>
        <v>108</v>
      </c>
      <c r="I383" s="62">
        <f t="shared" ca="1" si="51"/>
        <v>108</v>
      </c>
      <c r="L383" s="62">
        <f ca="1">IF(ABS('main page'!$K$29*L382+(1-'main page'!$K$29)*(controls!$B$9/100)*100+'main page'!$K$25*(D383-B383)-L382)&lt;0.0000001,L382,'main page'!$K$29*L382+(1-'main page'!$K$29)*(controls!$B$9/100)*100+'main page'!$K$25*(D383-B383))</f>
        <v>1.9999998807907104</v>
      </c>
      <c r="Q383" s="409">
        <f ca="1">(1-'main page'!$K$29)*($AS$11/100)*100+'main page'!$K$25*(D383-B383)</f>
        <v>5.9604644775390625E-8</v>
      </c>
      <c r="R383" s="409">
        <f>'main page'!G387+'main page'!$K$29*M382</f>
        <v>0</v>
      </c>
      <c r="S383" s="409">
        <f t="shared" ca="1" si="49"/>
        <v>5.9604644775390625E-8</v>
      </c>
      <c r="T383" s="79">
        <f ca="1">IF(controls!$B$10=1,T382,IF(SUM(controls!$B$44:$B$46)=2,U383-'main page'!$K$29*'normal case'!L383-(1-'main page'!$K$29)*'main page'!$K$32,U383-'main page'!$K$29*'normal case'!L383-(1-'main page'!$K$29)*controls!$B$9))</f>
        <v>3.4999999701976776</v>
      </c>
      <c r="U383" s="164">
        <f ca="1">IF(controls!$B$45=1,IF(controls!$B$46=1,'main page'!$K$24+'main page'!$K$11+'main page'!$U$8,'main page'!$K$24+'main page'!$K$11+'main page'!$K$32),IF(controls!$B$44=1,IF(V383&lt;0,0,V383),IF(V383+'main page'!$K$11&lt;0,0,V383+'main page'!$K$11)))</f>
        <v>5.4999998509883881</v>
      </c>
      <c r="V383" s="63">
        <f ca="1">IF(controls!$B$10=1,'normal case'!T383+'normal case'!L383,'normal case'!W383)</f>
        <v>5.4999998509883881</v>
      </c>
      <c r="W383" s="61">
        <f t="shared" ca="1" si="45"/>
        <v>5.4999998509883881</v>
      </c>
      <c r="X383" s="166">
        <f ca="1">IF(controls!$B$44=0,Y383+'main page'!$K$29*L383+(1-'main page'!$K$29)*controls!$B$9+(('main page'!$K$25*'main page'!$U$13*'main page'!$K$29)/('main page'!$K$27*(1+('main page'!$K$25^2)*'main page'!$U$13)))*(L383-controls!$B$9),Y383+'main page'!$K$29*L383+(1-'main page'!$K$29)*controls!$B$9+(('main page'!$K$25*'main page'!$U$13*'normal case'!$AV$3)/'normal case'!$AV$4)*('normal case'!L383-controls!$B$9))</f>
        <v>5.4999998509883881</v>
      </c>
      <c r="Y383" s="81">
        <f ca="1">IF(controls!$B$44=1,'main page'!$K$24+'main page'!$K$11,IF(controls!$B$33=1,((I384-D383*AD384-B384+B383*AC384)/'main page'!$K$27)-'main page'!$K$11,((H384-D383*AD384-B384+B383*AC384)/'main page'!$K$27)-'main page'!$K$11))</f>
        <v>3.5</v>
      </c>
      <c r="AA383" s="58">
        <f>IF(controls!$B$6=1,$AS$3*(1+('main page'!$K$35/100))^AB383-$AS$3*(1+('main page'!$K$35/100))^AB382,$AS$3*(1+('main page'!$G$8/100))*(1+('main page'!$K$35/100))^AB383-$AS$3*(1+('main page'!$G$8/100))*(1+('main page'!$K$35/100))^AB382)</f>
        <v>0</v>
      </c>
      <c r="AB383" s="60">
        <v>376</v>
      </c>
      <c r="AC383" s="125">
        <f ca="1">IF(controls!$B$4=1,IF(controls!$H382=1,controls!$B$34*AC382+RAND()*('main page'!$K$16/100)-RAND()*('main page'!$K$16/100),0),0)</f>
        <v>0</v>
      </c>
      <c r="AD383" s="36">
        <f ca="1">IF(controls!$B$4=1,IF(controls!$I382=1,controls!$B$34*AD382+RAND()*('main page'!$K$16/100)-RAND()*('main page'!$K$16/100),0),0)</f>
        <v>0</v>
      </c>
      <c r="AE383" s="44">
        <f ca="1">IF(controls!$B$33=1,D383-($I$3-'main page'!$K$27*2)*(1+('main page'!$K$35/100))^A382,D383-$AS$4)</f>
        <v>1.0000000596046448</v>
      </c>
      <c r="AF383" s="44">
        <f ca="1">ABS(L383-(controls!$B$9/100)*100)</f>
        <v>1.1920928955078125E-7</v>
      </c>
      <c r="AH383" s="44">
        <f ca="1">IF(controls!$B$33=1,(B384-B383*AC384-I384+D383*AD384+'main page'!$K$27*('main page'!$K$24+'main page'!$K$11))/'main page'!$K$31,(B384-B383*AC384+D383*AD384-H384+'main page'!$K$27*('main page'!$K$24+'main page'!$K$11))/'main page'!$K$31)</f>
        <v>1</v>
      </c>
      <c r="AI383" s="44">
        <f ca="1">IF(controls!$B$45=1,LOG(AM383,1.01)+LOG(AL383,1.01)-LOG(AK383,1.01),-((T383-('main page'!$K$24+'main page'!$K$11))/(1-'normal case'!$AV$3))+'normal case'!AH383)</f>
        <v>2.0000000596046448</v>
      </c>
      <c r="AJ383" s="80">
        <f t="shared" ca="1" si="46"/>
        <v>1.0506250015463039</v>
      </c>
      <c r="AK383" s="44">
        <f t="shared" ca="1" si="47"/>
        <v>1817.6971535239327</v>
      </c>
      <c r="AL383" s="44">
        <f>AL382*(1+'main page'!$K$32/100)</f>
        <v>1</v>
      </c>
      <c r="AM383" s="44">
        <f ca="1">IF(ABS(IF(controls!$B$45=1,$AS$13,AK383*AJ383/AL383)-AM382)&lt;0.00001,AM382,IF(controls!$B$45=1,$AS$13,AK383*AJ383/AL383))</f>
        <v>1909.7180747317939</v>
      </c>
      <c r="AN383" s="44">
        <f>IF(controls!$B$46=0,0,IF(controls!$B$33=2,B384-B383*AC384-('normal case'!H384-D383*AD384-'main page'!$K$27*'normal case'!T383+'main page'!$K$31*'normal case'!AI383)-(('main page'!$K$25*'main page'!$U$13*'main page'!$K$29)/(1+('main page'!$K$25^2)*'main page'!$U$13))*('normal case'!L383-'main page'!$U$8),B384-B383*AC384-('normal case'!I384-D383*AD384-'main page'!$K$27*'normal case'!T383+'main page'!$K$31*'normal case'!AI383)-(('main page'!$K$25*'main page'!$U$13*'main page'!$K$29)/(1+('main page'!$K$25^2)*'main page'!$U$13))*('normal case'!L383-'main page'!$U$8)))</f>
        <v>0</v>
      </c>
      <c r="AU383" s="36"/>
      <c r="AV383" s="36"/>
    </row>
    <row r="384" spans="1:48">
      <c r="A384" s="43">
        <v>382</v>
      </c>
      <c r="B384" s="62">
        <f ca="1">IF(controls!$B$33=1,B383*(1+AC384)+AA384,B383*(1+AC384))</f>
        <v>101</v>
      </c>
      <c r="C384" s="67">
        <f t="shared" ca="1" si="48"/>
        <v>-1.5107707374006907E-7</v>
      </c>
      <c r="D384" s="64">
        <f t="shared" ca="1" si="44"/>
        <v>101.00000005960464</v>
      </c>
      <c r="E384" s="64">
        <f ca="1">AN383+IF(controls!$B$33=1,G384,F384)</f>
        <v>101.00000005960464</v>
      </c>
      <c r="F384" s="78">
        <f ca="1">IF(controls!$B$44=0,H384-'main page'!$K$27*T383,H384-'main page'!$K$27*T383+'main page'!$K$31*AI383)</f>
        <v>101.00000005960464</v>
      </c>
      <c r="G384" s="62">
        <f ca="1">IF(controls!$B$44=0,I384-'main page'!$K$27*T383,I384-'main page'!$K$27*T383+'main page'!$K$31*'normal case'!AI383)</f>
        <v>101.00000005960464</v>
      </c>
      <c r="H384" s="62">
        <f t="shared" ca="1" si="50"/>
        <v>108</v>
      </c>
      <c r="I384" s="62">
        <f t="shared" ca="1" si="51"/>
        <v>108</v>
      </c>
      <c r="L384" s="62">
        <f ca="1">IF(ABS('main page'!$K$29*L383+(1-'main page'!$K$29)*(controls!$B$9/100)*100+'main page'!$K$25*(D384-B384)-L383)&lt;0.0000001,L383,'main page'!$K$29*L383+(1-'main page'!$K$29)*(controls!$B$9/100)*100+'main page'!$K$25*(D384-B384))</f>
        <v>1.9999998807907104</v>
      </c>
      <c r="Q384" s="409">
        <f ca="1">(1-'main page'!$K$29)*($AS$11/100)*100+'main page'!$K$25*(D384-B384)</f>
        <v>5.9604644775390625E-8</v>
      </c>
      <c r="R384" s="409">
        <f>'main page'!G388+'main page'!$K$29*M383</f>
        <v>0</v>
      </c>
      <c r="S384" s="409">
        <f t="shared" ca="1" si="49"/>
        <v>5.9604644775390625E-8</v>
      </c>
      <c r="T384" s="79">
        <f ca="1">IF(controls!$B$10=1,T383,IF(SUM(controls!$B$44:$B$46)=2,U384-'main page'!$K$29*'normal case'!L384-(1-'main page'!$K$29)*'main page'!$K$32,U384-'main page'!$K$29*'normal case'!L384-(1-'main page'!$K$29)*controls!$B$9))</f>
        <v>3.4999999701976776</v>
      </c>
      <c r="U384" s="164">
        <f ca="1">IF(controls!$B$45=1,IF(controls!$B$46=1,'main page'!$K$24+'main page'!$K$11+'main page'!$U$8,'main page'!$K$24+'main page'!$K$11+'main page'!$K$32),IF(controls!$B$44=1,IF(V384&lt;0,0,V384),IF(V384+'main page'!$K$11&lt;0,0,V384+'main page'!$K$11)))</f>
        <v>5.4999998509883881</v>
      </c>
      <c r="V384" s="63">
        <f ca="1">IF(controls!$B$10=1,'normal case'!T384+'normal case'!L384,'normal case'!W384)</f>
        <v>5.4999998509883881</v>
      </c>
      <c r="W384" s="61">
        <f t="shared" ca="1" si="45"/>
        <v>5.4999998509883881</v>
      </c>
      <c r="X384" s="166">
        <f ca="1">IF(controls!$B$44=0,Y384+'main page'!$K$29*L384+(1-'main page'!$K$29)*controls!$B$9+(('main page'!$K$25*'main page'!$U$13*'main page'!$K$29)/('main page'!$K$27*(1+('main page'!$K$25^2)*'main page'!$U$13)))*(L384-controls!$B$9),Y384+'main page'!$K$29*L384+(1-'main page'!$K$29)*controls!$B$9+(('main page'!$K$25*'main page'!$U$13*'normal case'!$AV$3)/'normal case'!$AV$4)*('normal case'!L384-controls!$B$9))</f>
        <v>5.4999998509883881</v>
      </c>
      <c r="Y384" s="81">
        <f ca="1">IF(controls!$B$44=1,'main page'!$K$24+'main page'!$K$11,IF(controls!$B$33=1,((I385-D384*AD385-B385+B384*AC385)/'main page'!$K$27)-'main page'!$K$11,((H385-D384*AD385-B385+B384*AC385)/'main page'!$K$27)-'main page'!$K$11))</f>
        <v>3.5</v>
      </c>
      <c r="AA384" s="58">
        <f>IF(controls!$B$6=1,$AS$3*(1+('main page'!$K$35/100))^AB384-$AS$3*(1+('main page'!$K$35/100))^AB383,$AS$3*(1+('main page'!$G$8/100))*(1+('main page'!$K$35/100))^AB384-$AS$3*(1+('main page'!$G$8/100))*(1+('main page'!$K$35/100))^AB383)</f>
        <v>0</v>
      </c>
      <c r="AB384" s="60">
        <v>377</v>
      </c>
      <c r="AC384" s="125">
        <v>0</v>
      </c>
      <c r="AD384" s="36">
        <v>0</v>
      </c>
      <c r="AE384" s="44">
        <f ca="1">IF(controls!$B$33=1,D384-($I$3-'main page'!$K$27*2)*(1+('main page'!$K$35/100))^A383,D384-$AS$4)</f>
        <v>1.0000000596046448</v>
      </c>
      <c r="AF384" s="44">
        <f ca="1">ABS(L384-(controls!$B$9/100)*100)</f>
        <v>1.1920928955078125E-7</v>
      </c>
      <c r="AH384" s="44">
        <f ca="1">IF(controls!$B$33=1,(B385-B384*AC385-I385+D384*AD385+'main page'!$K$27*('main page'!$K$24+'main page'!$K$11))/'main page'!$K$31,(B385-B384*AC385+D384*AD385-H385+'main page'!$K$27*('main page'!$K$24+'main page'!$K$11))/'main page'!$K$31)</f>
        <v>1</v>
      </c>
      <c r="AI384" s="44">
        <f ca="1">IF(controls!$B$45=1,LOG(AM384,1.01)+LOG(AL384,1.01)-LOG(AK384,1.01),-((T384-('main page'!$K$24+'main page'!$K$11))/(1-'normal case'!$AV$3))+'normal case'!AH384)</f>
        <v>2.0000000596046448</v>
      </c>
      <c r="AJ384" s="80">
        <f t="shared" ca="1" si="46"/>
        <v>1.0506250015463039</v>
      </c>
      <c r="AK384" s="44">
        <f t="shared" ca="1" si="47"/>
        <v>1854.0510944275475</v>
      </c>
      <c r="AL384" s="44">
        <f>AL383*(1+'main page'!$K$32/100)</f>
        <v>1</v>
      </c>
      <c r="AM384" s="44">
        <f ca="1">IF(ABS(IF(controls!$B$45=1,$AS$13,AK384*AJ384/AL384)-AM383)&lt;0.00001,AM383,IF(controls!$B$45=1,$AS$13,AK384*AJ384/AL384))</f>
        <v>1947.9124339498685</v>
      </c>
      <c r="AN384" s="44">
        <f>IF(controls!$B$46=0,0,IF(controls!$B$33=2,B385-B384*AC385-('normal case'!H385-D384*AD385-'main page'!$K$27*'normal case'!T384+'main page'!$K$31*'normal case'!AI384)-(('main page'!$K$25*'main page'!$U$13*'main page'!$K$29)/(1+('main page'!$K$25^2)*'main page'!$U$13))*('normal case'!L384-'main page'!$U$8),B385-B384*AC385-('normal case'!I385-D384*AD385-'main page'!$K$27*'normal case'!T384+'main page'!$K$31*'normal case'!AI384)-(('main page'!$K$25*'main page'!$U$13*'main page'!$K$29)/(1+('main page'!$K$25^2)*'main page'!$U$13))*('normal case'!L384-'main page'!$U$8)))</f>
        <v>0</v>
      </c>
      <c r="AU384" s="36"/>
      <c r="AV384" s="36"/>
    </row>
    <row r="385" spans="1:48">
      <c r="A385" s="43">
        <v>383</v>
      </c>
      <c r="B385" s="62">
        <f ca="1">IF(controls!$B$33=1,B384*(1+AC385)+AA385,B384*(1+AC385))</f>
        <v>101</v>
      </c>
      <c r="C385" s="67">
        <f t="shared" ca="1" si="48"/>
        <v>-1.5107707374006907E-7</v>
      </c>
      <c r="D385" s="64">
        <f t="shared" ca="1" si="44"/>
        <v>101.00000005960464</v>
      </c>
      <c r="E385" s="64">
        <f ca="1">AN384+IF(controls!$B$33=1,G385,F385)</f>
        <v>101.00000005960464</v>
      </c>
      <c r="F385" s="78">
        <f ca="1">IF(controls!$B$44=0,H385-'main page'!$K$27*T384,H385-'main page'!$K$27*T384+'main page'!$K$31*AI384)</f>
        <v>101.00000005960464</v>
      </c>
      <c r="G385" s="62">
        <f ca="1">IF(controls!$B$44=0,I385-'main page'!$K$27*T384,I385-'main page'!$K$27*T384+'main page'!$K$31*'normal case'!AI384)</f>
        <v>101.00000005960464</v>
      </c>
      <c r="H385" s="62">
        <f t="shared" ca="1" si="50"/>
        <v>108</v>
      </c>
      <c r="I385" s="62">
        <f t="shared" ca="1" si="51"/>
        <v>108</v>
      </c>
      <c r="L385" s="62">
        <f ca="1">IF(ABS('main page'!$K$29*L384+(1-'main page'!$K$29)*(controls!$B$9/100)*100+'main page'!$K$25*(D385-B385)-L384)&lt;0.0000001,L384,'main page'!$K$29*L384+(1-'main page'!$K$29)*(controls!$B$9/100)*100+'main page'!$K$25*(D385-B385))</f>
        <v>1.9999998807907104</v>
      </c>
      <c r="Q385" s="409">
        <f ca="1">(1-'main page'!$K$29)*($AS$11/100)*100+'main page'!$K$25*(D385-B385)</f>
        <v>5.9604644775390625E-8</v>
      </c>
      <c r="R385" s="409">
        <f>'main page'!G389+'main page'!$K$29*M384</f>
        <v>0</v>
      </c>
      <c r="S385" s="409">
        <f t="shared" ca="1" si="49"/>
        <v>5.9604644775390625E-8</v>
      </c>
      <c r="T385" s="79">
        <f ca="1">IF(controls!$B$10=1,T384,IF(SUM(controls!$B$44:$B$46)=2,U385-'main page'!$K$29*'normal case'!L385-(1-'main page'!$K$29)*'main page'!$K$32,U385-'main page'!$K$29*'normal case'!L385-(1-'main page'!$K$29)*controls!$B$9))</f>
        <v>3.4999999701976776</v>
      </c>
      <c r="U385" s="164">
        <f ca="1">IF(controls!$B$45=1,IF(controls!$B$46=1,'main page'!$K$24+'main page'!$K$11+'main page'!$U$8,'main page'!$K$24+'main page'!$K$11+'main page'!$K$32),IF(controls!$B$44=1,IF(V385&lt;0,0,V385),IF(V385+'main page'!$K$11&lt;0,0,V385+'main page'!$K$11)))</f>
        <v>5.4999998509883881</v>
      </c>
      <c r="V385" s="63">
        <f ca="1">IF(controls!$B$10=1,'normal case'!T385+'normal case'!L385,'normal case'!W385)</f>
        <v>5.4999998509883881</v>
      </c>
      <c r="W385" s="61">
        <f t="shared" ca="1" si="45"/>
        <v>5.4999998509883881</v>
      </c>
      <c r="X385" s="166">
        <f ca="1">IF(controls!$B$44=0,Y385+'main page'!$K$29*L385+(1-'main page'!$K$29)*controls!$B$9+(('main page'!$K$25*'main page'!$U$13*'main page'!$K$29)/('main page'!$K$27*(1+('main page'!$K$25^2)*'main page'!$U$13)))*(L385-controls!$B$9),Y385+'main page'!$K$29*L385+(1-'main page'!$K$29)*controls!$B$9+(('main page'!$K$25*'main page'!$U$13*'normal case'!$AV$3)/'normal case'!$AV$4)*('normal case'!L385-controls!$B$9))</f>
        <v>5.4999998509883881</v>
      </c>
      <c r="Y385" s="81">
        <f ca="1">IF(controls!$B$44=1,'main page'!$K$24+'main page'!$K$11,IF(controls!$B$33=1,((I386-D385*AD386-B386+B385*AC386)/'main page'!$K$27)-'main page'!$K$11,((H386-D385*AD386-B386+B385*AC386)/'main page'!$K$27)-'main page'!$K$11))</f>
        <v>3.5</v>
      </c>
      <c r="AA385" s="58">
        <f>IF(controls!$B$6=1,$AS$3*(1+('main page'!$K$35/100))^AB385-$AS$3*(1+('main page'!$K$35/100))^AB384,$AS$3*(1+('main page'!$G$8/100))*(1+('main page'!$K$35/100))^AB385-$AS$3*(1+('main page'!$G$8/100))*(1+('main page'!$K$35/100))^AB384)</f>
        <v>0</v>
      </c>
      <c r="AB385" s="60">
        <v>378</v>
      </c>
      <c r="AC385" s="125">
        <v>0</v>
      </c>
      <c r="AD385" s="36">
        <v>0</v>
      </c>
      <c r="AE385" s="44">
        <f ca="1">IF(controls!$B$33=1,D385-($I$3-'main page'!$K$27*2)*(1+('main page'!$K$35/100))^A384,D385-$AS$4)</f>
        <v>1.0000000596046448</v>
      </c>
      <c r="AF385" s="44">
        <f ca="1">ABS(L385-(controls!$B$9/100)*100)</f>
        <v>1.1920928955078125E-7</v>
      </c>
      <c r="AH385" s="44">
        <f ca="1">IF(controls!$B$33=1,(B386-B385*AC386-I386+D385*AD386+'main page'!$K$27*('main page'!$K$24+'main page'!$K$11))/'main page'!$K$31,(B386-B385*AC386+D385*AD386-H386+'main page'!$K$27*('main page'!$K$24+'main page'!$K$11))/'main page'!$K$31)</f>
        <v>1</v>
      </c>
      <c r="AI385" s="44">
        <f ca="1">IF(controls!$B$45=1,LOG(AM385,1.01)+LOG(AL385,1.01)-LOG(AK385,1.01),-((T385-('main page'!$K$24+'main page'!$K$11))/(1-'normal case'!$AV$3))+'normal case'!AH385)</f>
        <v>2.0000000596046448</v>
      </c>
      <c r="AJ385" s="80">
        <f t="shared" ca="1" si="46"/>
        <v>1.0506250015463039</v>
      </c>
      <c r="AK385" s="44">
        <f t="shared" ca="1" si="47"/>
        <v>1891.1321141058975</v>
      </c>
      <c r="AL385" s="44">
        <f>AL384*(1+'main page'!$K$32/100)</f>
        <v>1</v>
      </c>
      <c r="AM385" s="44">
        <f ca="1">IF(ABS(IF(controls!$B$45=1,$AS$13,AK385*AJ385/AL385)-AM384)&lt;0.00001,AM384,IF(controls!$B$45=1,$AS$13,AK385*AJ385/AL385))</f>
        <v>1986.8706803067735</v>
      </c>
      <c r="AN385" s="44">
        <f>IF(controls!$B$46=0,0,IF(controls!$B$33=2,B386-B385*AC386-('normal case'!H386-D385*AD386-'main page'!$K$27*'normal case'!T385+'main page'!$K$31*'normal case'!AI385)-(('main page'!$K$25*'main page'!$U$13*'main page'!$K$29)/(1+('main page'!$K$25^2)*'main page'!$U$13))*('normal case'!L385-'main page'!$U$8),B386-B385*AC386-('normal case'!I386-D385*AD386-'main page'!$K$27*'normal case'!T385+'main page'!$K$31*'normal case'!AI385)-(('main page'!$K$25*'main page'!$U$13*'main page'!$K$29)/(1+('main page'!$K$25^2)*'main page'!$U$13))*('normal case'!L385-'main page'!$U$8)))</f>
        <v>0</v>
      </c>
      <c r="AU385" s="36"/>
      <c r="AV385" s="36"/>
    </row>
    <row r="386" spans="1:48">
      <c r="A386" s="43">
        <v>384</v>
      </c>
      <c r="B386" s="62">
        <f ca="1">IF(controls!$B$33=1,B385*(1+AC386)+AA386,B385*(1+AC386))</f>
        <v>101</v>
      </c>
      <c r="C386" s="67">
        <f t="shared" ca="1" si="48"/>
        <v>-1.5107707374006907E-7</v>
      </c>
      <c r="D386" s="64">
        <f t="shared" ca="1" si="44"/>
        <v>101.00000005960464</v>
      </c>
      <c r="E386" s="64">
        <f ca="1">AN385+IF(controls!$B$33=1,G386,F386)</f>
        <v>101.00000005960464</v>
      </c>
      <c r="F386" s="78">
        <f ca="1">IF(controls!$B$44=0,H386-'main page'!$K$27*T385,H386-'main page'!$K$27*T385+'main page'!$K$31*AI385)</f>
        <v>101.00000005960464</v>
      </c>
      <c r="G386" s="62">
        <f ca="1">IF(controls!$B$44=0,I386-'main page'!$K$27*T385,I386-'main page'!$K$27*T385+'main page'!$K$31*'normal case'!AI385)</f>
        <v>101.00000005960464</v>
      </c>
      <c r="H386" s="62">
        <f t="shared" ca="1" si="50"/>
        <v>108</v>
      </c>
      <c r="I386" s="62">
        <f t="shared" ca="1" si="51"/>
        <v>108</v>
      </c>
      <c r="L386" s="62">
        <f ca="1">IF(ABS('main page'!$K$29*L385+(1-'main page'!$K$29)*(controls!$B$9/100)*100+'main page'!$K$25*(D386-B386)-L385)&lt;0.0000001,L385,'main page'!$K$29*L385+(1-'main page'!$K$29)*(controls!$B$9/100)*100+'main page'!$K$25*(D386-B386))</f>
        <v>1.9999998807907104</v>
      </c>
      <c r="Q386" s="409">
        <f ca="1">(1-'main page'!$K$29)*($AS$11/100)*100+'main page'!$K$25*(D386-B386)</f>
        <v>5.9604644775390625E-8</v>
      </c>
      <c r="R386" s="409">
        <f>'main page'!G390+'main page'!$K$29*M385</f>
        <v>0</v>
      </c>
      <c r="S386" s="409">
        <f t="shared" ca="1" si="49"/>
        <v>5.9604644775390625E-8</v>
      </c>
      <c r="T386" s="79">
        <f ca="1">IF(controls!$B$10=1,T385,IF(SUM(controls!$B$44:$B$46)=2,U386-'main page'!$K$29*'normal case'!L386-(1-'main page'!$K$29)*'main page'!$K$32,U386-'main page'!$K$29*'normal case'!L386-(1-'main page'!$K$29)*controls!$B$9))</f>
        <v>3.4999999701976776</v>
      </c>
      <c r="U386" s="164">
        <f ca="1">IF(controls!$B$45=1,IF(controls!$B$46=1,'main page'!$K$24+'main page'!$K$11+'main page'!$U$8,'main page'!$K$24+'main page'!$K$11+'main page'!$K$32),IF(controls!$B$44=1,IF(V386&lt;0,0,V386),IF(V386+'main page'!$K$11&lt;0,0,V386+'main page'!$K$11)))</f>
        <v>5.4999998509883881</v>
      </c>
      <c r="V386" s="63">
        <f ca="1">IF(controls!$B$10=1,'normal case'!T386+'normal case'!L386,'normal case'!W386)</f>
        <v>5.4999998509883881</v>
      </c>
      <c r="W386" s="61">
        <f t="shared" ca="1" si="45"/>
        <v>5.4999998509883881</v>
      </c>
      <c r="X386" s="166">
        <f ca="1">IF(controls!$B$44=0,Y386+'main page'!$K$29*L386+(1-'main page'!$K$29)*controls!$B$9+(('main page'!$K$25*'main page'!$U$13*'main page'!$K$29)/('main page'!$K$27*(1+('main page'!$K$25^2)*'main page'!$U$13)))*(L386-controls!$B$9),Y386+'main page'!$K$29*L386+(1-'main page'!$K$29)*controls!$B$9+(('main page'!$K$25*'main page'!$U$13*'normal case'!$AV$3)/'normal case'!$AV$4)*('normal case'!L386-controls!$B$9))</f>
        <v>5.4999998509883881</v>
      </c>
      <c r="Y386" s="81">
        <f ca="1">IF(controls!$B$44=1,'main page'!$K$24+'main page'!$K$11,IF(controls!$B$33=1,((I387-D386*AD387-B387+B386*AC387)/'main page'!$K$27)-'main page'!$K$11,((H387-D386*AD387-B387+B386*AC387)/'main page'!$K$27)-'main page'!$K$11))</f>
        <v>3.5</v>
      </c>
      <c r="AA386" s="58">
        <f>IF(controls!$B$6=1,$AS$3*(1+('main page'!$K$35/100))^AB386-$AS$3*(1+('main page'!$K$35/100))^AB385,$AS$3*(1+('main page'!$G$8/100))*(1+('main page'!$K$35/100))^AB386-$AS$3*(1+('main page'!$G$8/100))*(1+('main page'!$K$35/100))^AB385)</f>
        <v>0</v>
      </c>
      <c r="AB386" s="60">
        <v>379</v>
      </c>
      <c r="AC386" s="125">
        <f ca="1">IF(controls!$B$4=1,IF(controls!$H385=1,controls!$B$34*AC385+RAND()*('main page'!$K$16/100)-RAND()*('main page'!$K$16/100),0),0)</f>
        <v>0</v>
      </c>
      <c r="AD386" s="36">
        <f ca="1">IF(controls!$B$4=1,IF(controls!$I385=1,controls!$B$34*AD385+RAND()*('main page'!$K$16/100)-RAND()*('main page'!$K$16/100),0),0)</f>
        <v>0</v>
      </c>
      <c r="AE386" s="44">
        <f ca="1">IF(controls!$B$33=1,D386-($I$3-'main page'!$K$27*2)*(1+('main page'!$K$35/100))^A385,D386-$AS$4)</f>
        <v>1.0000000596046448</v>
      </c>
      <c r="AF386" s="44">
        <f ca="1">ABS(L386-(controls!$B$9/100)*100)</f>
        <v>1.1920928955078125E-7</v>
      </c>
      <c r="AH386" s="44">
        <f ca="1">IF(controls!$B$33=1,(B387-B386*AC387-I387+D386*AD387+'main page'!$K$27*('main page'!$K$24+'main page'!$K$11))/'main page'!$K$31,(B387-B386*AC387+D386*AD387-H387+'main page'!$K$27*('main page'!$K$24+'main page'!$K$11))/'main page'!$K$31)</f>
        <v>1</v>
      </c>
      <c r="AI386" s="44">
        <f ca="1">IF(controls!$B$45=1,LOG(AM386,1.01)+LOG(AL386,1.01)-LOG(AK386,1.01),-((T386-('main page'!$K$24+'main page'!$K$11))/(1-'normal case'!$AV$3))+'normal case'!AH386)</f>
        <v>2.0000000596046448</v>
      </c>
      <c r="AJ386" s="80">
        <f t="shared" ca="1" si="46"/>
        <v>1.0506250015463039</v>
      </c>
      <c r="AK386" s="44">
        <f t="shared" ca="1" si="47"/>
        <v>1928.9547541336103</v>
      </c>
      <c r="AL386" s="44">
        <f>AL385*(1+'main page'!$K$32/100)</f>
        <v>1</v>
      </c>
      <c r="AM386" s="44">
        <f ca="1">IF(ABS(IF(controls!$B$45=1,$AS$13,AK386*AJ386/AL386)-AM385)&lt;0.00001,AM385,IF(controls!$B$45=1,$AS$13,AK386*AJ386/AL386))</f>
        <v>2026.6080915443747</v>
      </c>
      <c r="AN386" s="44">
        <f>IF(controls!$B$46=0,0,IF(controls!$B$33=2,B387-B386*AC387-('normal case'!H387-D386*AD387-'main page'!$K$27*'normal case'!T386+'main page'!$K$31*'normal case'!AI386)-(('main page'!$K$25*'main page'!$U$13*'main page'!$K$29)/(1+('main page'!$K$25^2)*'main page'!$U$13))*('normal case'!L386-'main page'!$U$8),B387-B386*AC387-('normal case'!I387-D386*AD387-'main page'!$K$27*'normal case'!T386+'main page'!$K$31*'normal case'!AI386)-(('main page'!$K$25*'main page'!$U$13*'main page'!$K$29)/(1+('main page'!$K$25^2)*'main page'!$U$13))*('normal case'!L386-'main page'!$U$8)))</f>
        <v>0</v>
      </c>
      <c r="AU386" s="36"/>
      <c r="AV386" s="36"/>
    </row>
    <row r="387" spans="1:48">
      <c r="A387" s="43">
        <v>385</v>
      </c>
      <c r="B387" s="62">
        <f ca="1">IF(controls!$B$33=1,B386*(1+AC387)+AA387,B386*(1+AC387))</f>
        <v>101</v>
      </c>
      <c r="C387" s="67">
        <f t="shared" ca="1" si="48"/>
        <v>-1.5107707374006907E-7</v>
      </c>
      <c r="D387" s="64">
        <f t="shared" ca="1" si="44"/>
        <v>101.00000005960464</v>
      </c>
      <c r="E387" s="64">
        <f ca="1">AN386+IF(controls!$B$33=1,G387,F387)</f>
        <v>101.00000005960464</v>
      </c>
      <c r="F387" s="78">
        <f ca="1">IF(controls!$B$44=0,H387-'main page'!$K$27*T386,H387-'main page'!$K$27*T386+'main page'!$K$31*AI386)</f>
        <v>101.00000005960464</v>
      </c>
      <c r="G387" s="62">
        <f ca="1">IF(controls!$B$44=0,I387-'main page'!$K$27*T386,I387-'main page'!$K$27*T386+'main page'!$K$31*'normal case'!AI386)</f>
        <v>101.00000005960464</v>
      </c>
      <c r="H387" s="62">
        <f t="shared" ca="1" si="50"/>
        <v>108</v>
      </c>
      <c r="I387" s="62">
        <f t="shared" ca="1" si="51"/>
        <v>108</v>
      </c>
      <c r="L387" s="62">
        <f ca="1">IF(ABS('main page'!$K$29*L386+(1-'main page'!$K$29)*(controls!$B$9/100)*100+'main page'!$K$25*(D387-B387)-L386)&lt;0.0000001,L386,'main page'!$K$29*L386+(1-'main page'!$K$29)*(controls!$B$9/100)*100+'main page'!$K$25*(D387-B387))</f>
        <v>1.9999998807907104</v>
      </c>
      <c r="Q387" s="409">
        <f ca="1">(1-'main page'!$K$29)*($AS$11/100)*100+'main page'!$K$25*(D387-B387)</f>
        <v>5.9604644775390625E-8</v>
      </c>
      <c r="R387" s="409">
        <f>'main page'!G391+'main page'!$K$29*M386</f>
        <v>0</v>
      </c>
      <c r="S387" s="409">
        <f t="shared" ca="1" si="49"/>
        <v>5.9604644775390625E-8</v>
      </c>
      <c r="T387" s="79">
        <f ca="1">IF(controls!$B$10=1,T386,IF(SUM(controls!$B$44:$B$46)=2,U387-'main page'!$K$29*'normal case'!L387-(1-'main page'!$K$29)*'main page'!$K$32,U387-'main page'!$K$29*'normal case'!L387-(1-'main page'!$K$29)*controls!$B$9))</f>
        <v>3.4999999701976776</v>
      </c>
      <c r="U387" s="164">
        <f ca="1">IF(controls!$B$45=1,IF(controls!$B$46=1,'main page'!$K$24+'main page'!$K$11+'main page'!$U$8,'main page'!$K$24+'main page'!$K$11+'main page'!$K$32),IF(controls!$B$44=1,IF(V387&lt;0,0,V387),IF(V387+'main page'!$K$11&lt;0,0,V387+'main page'!$K$11)))</f>
        <v>5.4999998509883881</v>
      </c>
      <c r="V387" s="63">
        <f ca="1">IF(controls!$B$10=1,'normal case'!T387+'normal case'!L387,'normal case'!W387)</f>
        <v>5.4999998509883881</v>
      </c>
      <c r="W387" s="61">
        <f t="shared" ca="1" si="45"/>
        <v>5.4999998509883881</v>
      </c>
      <c r="X387" s="166">
        <f ca="1">IF(controls!$B$44=0,Y387+'main page'!$K$29*L387+(1-'main page'!$K$29)*controls!$B$9+(('main page'!$K$25*'main page'!$U$13*'main page'!$K$29)/('main page'!$K$27*(1+('main page'!$K$25^2)*'main page'!$U$13)))*(L387-controls!$B$9),Y387+'main page'!$K$29*L387+(1-'main page'!$K$29)*controls!$B$9+(('main page'!$K$25*'main page'!$U$13*'normal case'!$AV$3)/'normal case'!$AV$4)*('normal case'!L387-controls!$B$9))</f>
        <v>5.4999998509883881</v>
      </c>
      <c r="Y387" s="81">
        <f ca="1">IF(controls!$B$44=1,'main page'!$K$24+'main page'!$K$11,IF(controls!$B$33=1,((I388-D387*AD388-B388+B387*AC388)/'main page'!$K$27)-'main page'!$K$11,((H388-D387*AD388-B388+B387*AC388)/'main page'!$K$27)-'main page'!$K$11))</f>
        <v>3.5</v>
      </c>
      <c r="AA387" s="58">
        <f>IF(controls!$B$6=1,$AS$3*(1+('main page'!$K$35/100))^AB387-$AS$3*(1+('main page'!$K$35/100))^AB386,$AS$3*(1+('main page'!$G$8/100))*(1+('main page'!$K$35/100))^AB387-$AS$3*(1+('main page'!$G$8/100))*(1+('main page'!$K$35/100))^AB386)</f>
        <v>0</v>
      </c>
      <c r="AB387" s="60">
        <v>380</v>
      </c>
      <c r="AC387" s="125">
        <v>0</v>
      </c>
      <c r="AD387" s="36">
        <v>0</v>
      </c>
      <c r="AE387" s="44">
        <f ca="1">IF(controls!$B$33=1,D387-($I$3-'main page'!$K$27*2)*(1+('main page'!$K$35/100))^A386,D387-$AS$4)</f>
        <v>1.0000000596046448</v>
      </c>
      <c r="AF387" s="44">
        <f ca="1">ABS(L387-(controls!$B$9/100)*100)</f>
        <v>1.1920928955078125E-7</v>
      </c>
      <c r="AH387" s="44">
        <f ca="1">IF(controls!$B$33=1,(B388-B387*AC388-I388+D387*AD388+'main page'!$K$27*('main page'!$K$24+'main page'!$K$11))/'main page'!$K$31,(B388-B387*AC388+D387*AD388-H388+'main page'!$K$27*('main page'!$K$24+'main page'!$K$11))/'main page'!$K$31)</f>
        <v>1</v>
      </c>
      <c r="AI387" s="44">
        <f ca="1">IF(controls!$B$45=1,LOG(AM387,1.01)+LOG(AL387,1.01)-LOG(AK387,1.01),-((T387-('main page'!$K$24+'main page'!$K$11))/(1-'normal case'!$AV$3))+'normal case'!AH387)</f>
        <v>2.0000000596046448</v>
      </c>
      <c r="AJ387" s="80">
        <f t="shared" ca="1" si="46"/>
        <v>1.0506250015463039</v>
      </c>
      <c r="AK387" s="44">
        <f t="shared" ca="1" si="47"/>
        <v>1967.5338469167893</v>
      </c>
      <c r="AL387" s="44">
        <f>AL386*(1+'main page'!$K$32/100)</f>
        <v>1</v>
      </c>
      <c r="AM387" s="44">
        <f ca="1">IF(ABS(IF(controls!$B$45=1,$AS$13,AK387*AJ387/AL387)-AM386)&lt;0.00001,AM386,IF(controls!$B$45=1,$AS$13,AK387*AJ387/AL387))</f>
        <v>2067.1402509593572</v>
      </c>
      <c r="AN387" s="44">
        <f>IF(controls!$B$46=0,0,IF(controls!$B$33=2,B388-B387*AC388-('normal case'!H388-D387*AD388-'main page'!$K$27*'normal case'!T387+'main page'!$K$31*'normal case'!AI387)-(('main page'!$K$25*'main page'!$U$13*'main page'!$K$29)/(1+('main page'!$K$25^2)*'main page'!$U$13))*('normal case'!L387-'main page'!$U$8),B388-B387*AC388-('normal case'!I388-D387*AD388-'main page'!$K$27*'normal case'!T387+'main page'!$K$31*'normal case'!AI387)-(('main page'!$K$25*'main page'!$U$13*'main page'!$K$29)/(1+('main page'!$K$25^2)*'main page'!$U$13))*('normal case'!L387-'main page'!$U$8)))</f>
        <v>0</v>
      </c>
      <c r="AU387" s="36"/>
      <c r="AV387" s="36"/>
    </row>
    <row r="388" spans="1:48">
      <c r="A388" s="43">
        <v>386</v>
      </c>
      <c r="B388" s="62">
        <f ca="1">IF(controls!$B$33=1,B387*(1+AC388)+AA388,B387*(1+AC388))</f>
        <v>101</v>
      </c>
      <c r="C388" s="67">
        <f t="shared" ca="1" si="48"/>
        <v>-1.5107707374006907E-7</v>
      </c>
      <c r="D388" s="64">
        <f t="shared" ref="D388:D451" ca="1" si="52">IF(E388&gt;0,E388,0.1)</f>
        <v>101.00000005960464</v>
      </c>
      <c r="E388" s="64">
        <f ca="1">AN387+IF(controls!$B$33=1,G388,F388)</f>
        <v>101.00000005960464</v>
      </c>
      <c r="F388" s="78">
        <f ca="1">IF(controls!$B$44=0,H388-'main page'!$K$27*T387,H388-'main page'!$K$27*T387+'main page'!$K$31*AI387)</f>
        <v>101.00000005960464</v>
      </c>
      <c r="G388" s="62">
        <f ca="1">IF(controls!$B$44=0,I388-'main page'!$K$27*T387,I388-'main page'!$K$27*T387+'main page'!$K$31*'normal case'!AI387)</f>
        <v>101.00000005960464</v>
      </c>
      <c r="H388" s="62">
        <f t="shared" ca="1" si="50"/>
        <v>108</v>
      </c>
      <c r="I388" s="62">
        <f t="shared" ca="1" si="51"/>
        <v>108</v>
      </c>
      <c r="L388" s="62">
        <f ca="1">IF(ABS('main page'!$K$29*L387+(1-'main page'!$K$29)*(controls!$B$9/100)*100+'main page'!$K$25*(D388-B388)-L387)&lt;0.0000001,L387,'main page'!$K$29*L387+(1-'main page'!$K$29)*(controls!$B$9/100)*100+'main page'!$K$25*(D388-B388))</f>
        <v>1.9999998807907104</v>
      </c>
      <c r="Q388" s="409">
        <f ca="1">(1-'main page'!$K$29)*($AS$11/100)*100+'main page'!$K$25*(D388-B388)</f>
        <v>5.9604644775390625E-8</v>
      </c>
      <c r="R388" s="409">
        <f>'main page'!G392+'main page'!$K$29*M387</f>
        <v>0</v>
      </c>
      <c r="S388" s="409">
        <f t="shared" ca="1" si="49"/>
        <v>5.9604644775390625E-8</v>
      </c>
      <c r="T388" s="79">
        <f ca="1">IF(controls!$B$10=1,T387,IF(SUM(controls!$B$44:$B$46)=2,U388-'main page'!$K$29*'normal case'!L388-(1-'main page'!$K$29)*'main page'!$K$32,U388-'main page'!$K$29*'normal case'!L388-(1-'main page'!$K$29)*controls!$B$9))</f>
        <v>3.4999999701976776</v>
      </c>
      <c r="U388" s="164">
        <f ca="1">IF(controls!$B$45=1,IF(controls!$B$46=1,'main page'!$K$24+'main page'!$K$11+'main page'!$U$8,'main page'!$K$24+'main page'!$K$11+'main page'!$K$32),IF(controls!$B$44=1,IF(V388&lt;0,0,V388),IF(V388+'main page'!$K$11&lt;0,0,V388+'main page'!$K$11)))</f>
        <v>5.4999998509883881</v>
      </c>
      <c r="V388" s="63">
        <f ca="1">IF(controls!$B$10=1,'normal case'!T388+'normal case'!L388,'normal case'!W388)</f>
        <v>5.4999998509883881</v>
      </c>
      <c r="W388" s="61">
        <f t="shared" ref="W388:W451" ca="1" si="53">IF(X388&lt;0,0,X388)</f>
        <v>5.4999998509883881</v>
      </c>
      <c r="X388" s="166">
        <f ca="1">IF(controls!$B$44=0,Y388+'main page'!$K$29*L388+(1-'main page'!$K$29)*controls!$B$9+(('main page'!$K$25*'main page'!$U$13*'main page'!$K$29)/('main page'!$K$27*(1+('main page'!$K$25^2)*'main page'!$U$13)))*(L388-controls!$B$9),Y388+'main page'!$K$29*L388+(1-'main page'!$K$29)*controls!$B$9+(('main page'!$K$25*'main page'!$U$13*'normal case'!$AV$3)/'normal case'!$AV$4)*('normal case'!L388-controls!$B$9))</f>
        <v>5.4999998509883881</v>
      </c>
      <c r="Y388" s="81">
        <f ca="1">IF(controls!$B$44=1,'main page'!$K$24+'main page'!$K$11,IF(controls!$B$33=1,((I389-D388*AD389-B389+B388*AC389)/'main page'!$K$27)-'main page'!$K$11,((H389-D388*AD389-B389+B388*AC389)/'main page'!$K$27)-'main page'!$K$11))</f>
        <v>3.5</v>
      </c>
      <c r="AA388" s="58">
        <f>IF(controls!$B$6=1,$AS$3*(1+('main page'!$K$35/100))^AB388-$AS$3*(1+('main page'!$K$35/100))^AB387,$AS$3*(1+('main page'!$G$8/100))*(1+('main page'!$K$35/100))^AB388-$AS$3*(1+('main page'!$G$8/100))*(1+('main page'!$K$35/100))^AB387)</f>
        <v>0</v>
      </c>
      <c r="AB388" s="60">
        <v>381</v>
      </c>
      <c r="AC388" s="125">
        <v>0</v>
      </c>
      <c r="AD388" s="36">
        <v>0</v>
      </c>
      <c r="AE388" s="44">
        <f ca="1">IF(controls!$B$33=1,D388-($I$3-'main page'!$K$27*2)*(1+('main page'!$K$35/100))^A387,D388-$AS$4)</f>
        <v>1.0000000596046448</v>
      </c>
      <c r="AF388" s="44">
        <f ca="1">ABS(L388-(controls!$B$9/100)*100)</f>
        <v>1.1920928955078125E-7</v>
      </c>
      <c r="AH388" s="44">
        <f ca="1">IF(controls!$B$33=1,(B389-B388*AC389-I389+D388*AD389+'main page'!$K$27*('main page'!$K$24+'main page'!$K$11))/'main page'!$K$31,(B389-B388*AC389+D388*AD389-H389+'main page'!$K$27*('main page'!$K$24+'main page'!$K$11))/'main page'!$K$31)</f>
        <v>1</v>
      </c>
      <c r="AI388" s="44">
        <f ca="1">IF(controls!$B$45=1,LOG(AM388,1.01)+LOG(AL388,1.01)-LOG(AK388,1.01),-((T388-('main page'!$K$24+'main page'!$K$11))/(1-'normal case'!$AV$3))+'normal case'!AH388)</f>
        <v>2.0000000596046448</v>
      </c>
      <c r="AJ388" s="80">
        <f t="shared" ref="AJ388:AJ451" ca="1" si="54">IF(ABS(1.025^AI388-1)&lt;0.000000000001,1,1.025^AI388)</f>
        <v>1.0506250015463039</v>
      </c>
      <c r="AK388" s="44">
        <f t="shared" ref="AK388:AK451" ca="1" si="55">AK387*(1+L388/100)</f>
        <v>2006.8845215096421</v>
      </c>
      <c r="AL388" s="44">
        <f>AL387*(1+'main page'!$K$32/100)</f>
        <v>1</v>
      </c>
      <c r="AM388" s="44">
        <f ca="1">IF(ABS(IF(controls!$B$45=1,$AS$13,AK388*AJ388/AL388)-AM387)&lt;0.00001,AM387,IF(controls!$B$45=1,$AS$13,AK388*AJ388/AL388))</f>
        <v>2108.483053514321</v>
      </c>
      <c r="AN388" s="44">
        <f>IF(controls!$B$46=0,0,IF(controls!$B$33=2,B389-B388*AC389-('normal case'!H389-D388*AD389-'main page'!$K$27*'normal case'!T388+'main page'!$K$31*'normal case'!AI388)-(('main page'!$K$25*'main page'!$U$13*'main page'!$K$29)/(1+('main page'!$K$25^2)*'main page'!$U$13))*('normal case'!L388-'main page'!$U$8),B389-B388*AC389-('normal case'!I389-D388*AD389-'main page'!$K$27*'normal case'!T388+'main page'!$K$31*'normal case'!AI388)-(('main page'!$K$25*'main page'!$U$13*'main page'!$K$29)/(1+('main page'!$K$25^2)*'main page'!$U$13))*('normal case'!L388-'main page'!$U$8)))</f>
        <v>0</v>
      </c>
      <c r="AU388" s="36"/>
      <c r="AV388" s="36"/>
    </row>
    <row r="389" spans="1:48">
      <c r="A389" s="43">
        <v>387</v>
      </c>
      <c r="B389" s="62">
        <f ca="1">IF(controls!$B$33=1,B388*(1+AC389)+AA389,B388*(1+AC389))</f>
        <v>101</v>
      </c>
      <c r="C389" s="67">
        <f t="shared" ca="1" si="48"/>
        <v>-1.5107707374006907E-7</v>
      </c>
      <c r="D389" s="64">
        <f t="shared" ca="1" si="52"/>
        <v>101.00000005960464</v>
      </c>
      <c r="E389" s="64">
        <f ca="1">AN388+IF(controls!$B$33=1,G389,F389)</f>
        <v>101.00000005960464</v>
      </c>
      <c r="F389" s="78">
        <f ca="1">IF(controls!$B$44=0,H389-'main page'!$K$27*T388,H389-'main page'!$K$27*T388+'main page'!$K$31*AI388)</f>
        <v>101.00000005960464</v>
      </c>
      <c r="G389" s="62">
        <f ca="1">IF(controls!$B$44=0,I389-'main page'!$K$27*T388,I389-'main page'!$K$27*T388+'main page'!$K$31*'normal case'!AI388)</f>
        <v>101.00000005960464</v>
      </c>
      <c r="H389" s="62">
        <f t="shared" ca="1" si="50"/>
        <v>108</v>
      </c>
      <c r="I389" s="62">
        <f t="shared" ca="1" si="51"/>
        <v>108</v>
      </c>
      <c r="L389" s="62">
        <f ca="1">IF(ABS('main page'!$K$29*L388+(1-'main page'!$K$29)*(controls!$B$9/100)*100+'main page'!$K$25*(D389-B389)-L388)&lt;0.0000001,L388,'main page'!$K$29*L388+(1-'main page'!$K$29)*(controls!$B$9/100)*100+'main page'!$K$25*(D389-B389))</f>
        <v>1.9999998807907104</v>
      </c>
      <c r="Q389" s="409">
        <f ca="1">(1-'main page'!$K$29)*($AS$11/100)*100+'main page'!$K$25*(D389-B389)</f>
        <v>5.9604644775390625E-8</v>
      </c>
      <c r="R389" s="409">
        <f>'main page'!G393+'main page'!$K$29*M388</f>
        <v>0</v>
      </c>
      <c r="S389" s="409">
        <f t="shared" ca="1" si="49"/>
        <v>5.9604644775390625E-8</v>
      </c>
      <c r="T389" s="79">
        <f ca="1">IF(controls!$B$10=1,T388,IF(SUM(controls!$B$44:$B$46)=2,U389-'main page'!$K$29*'normal case'!L389-(1-'main page'!$K$29)*'main page'!$K$32,U389-'main page'!$K$29*'normal case'!L389-(1-'main page'!$K$29)*controls!$B$9))</f>
        <v>3.4999999701976776</v>
      </c>
      <c r="U389" s="164">
        <f ca="1">IF(controls!$B$45=1,IF(controls!$B$46=1,'main page'!$K$24+'main page'!$K$11+'main page'!$U$8,'main page'!$K$24+'main page'!$K$11+'main page'!$K$32),IF(controls!$B$44=1,IF(V389&lt;0,0,V389),IF(V389+'main page'!$K$11&lt;0,0,V389+'main page'!$K$11)))</f>
        <v>5.4999998509883881</v>
      </c>
      <c r="V389" s="63">
        <f ca="1">IF(controls!$B$10=1,'normal case'!T389+'normal case'!L389,'normal case'!W389)</f>
        <v>5.4999998509883881</v>
      </c>
      <c r="W389" s="61">
        <f t="shared" ca="1" si="53"/>
        <v>5.4999998509883881</v>
      </c>
      <c r="X389" s="166">
        <f ca="1">IF(controls!$B$44=0,Y389+'main page'!$K$29*L389+(1-'main page'!$K$29)*controls!$B$9+(('main page'!$K$25*'main page'!$U$13*'main page'!$K$29)/('main page'!$K$27*(1+('main page'!$K$25^2)*'main page'!$U$13)))*(L389-controls!$B$9),Y389+'main page'!$K$29*L389+(1-'main page'!$K$29)*controls!$B$9+(('main page'!$K$25*'main page'!$U$13*'normal case'!$AV$3)/'normal case'!$AV$4)*('normal case'!L389-controls!$B$9))</f>
        <v>5.4999998509883881</v>
      </c>
      <c r="Y389" s="81">
        <f ca="1">IF(controls!$B$44=1,'main page'!$K$24+'main page'!$K$11,IF(controls!$B$33=1,((I390-D389*AD390-B390+B389*AC390)/'main page'!$K$27)-'main page'!$K$11,((H390-D389*AD390-B390+B389*AC390)/'main page'!$K$27)-'main page'!$K$11))</f>
        <v>3.5</v>
      </c>
      <c r="AA389" s="58">
        <f>IF(controls!$B$6=1,$AS$3*(1+('main page'!$K$35/100))^AB389-$AS$3*(1+('main page'!$K$35/100))^AB388,$AS$3*(1+('main page'!$G$8/100))*(1+('main page'!$K$35/100))^AB389-$AS$3*(1+('main page'!$G$8/100))*(1+('main page'!$K$35/100))^AB388)</f>
        <v>0</v>
      </c>
      <c r="AB389" s="60">
        <v>382</v>
      </c>
      <c r="AC389" s="125">
        <f ca="1">IF(controls!$B$4=1,IF(controls!$H388=1,controls!$B$34*AC388+RAND()*('main page'!$K$16/100)-RAND()*('main page'!$K$16/100),0),0)</f>
        <v>0</v>
      </c>
      <c r="AD389" s="36">
        <f ca="1">IF(controls!$B$4=1,IF(controls!$I388=1,controls!$B$34*AD388+RAND()*('main page'!$K$16/100)-RAND()*('main page'!$K$16/100),0),0)</f>
        <v>0</v>
      </c>
      <c r="AE389" s="44">
        <f ca="1">IF(controls!$B$33=1,D389-($I$3-'main page'!$K$27*2)*(1+('main page'!$K$35/100))^A388,D389-$AS$4)</f>
        <v>1.0000000596046448</v>
      </c>
      <c r="AF389" s="44">
        <f ca="1">ABS(L389-(controls!$B$9/100)*100)</f>
        <v>1.1920928955078125E-7</v>
      </c>
      <c r="AH389" s="44">
        <f ca="1">IF(controls!$B$33=1,(B390-B389*AC390-I390+D389*AD390+'main page'!$K$27*('main page'!$K$24+'main page'!$K$11))/'main page'!$K$31,(B390-B389*AC390+D389*AD390-H390+'main page'!$K$27*('main page'!$K$24+'main page'!$K$11))/'main page'!$K$31)</f>
        <v>1</v>
      </c>
      <c r="AI389" s="44">
        <f ca="1">IF(controls!$B$45=1,LOG(AM389,1.01)+LOG(AL389,1.01)-LOG(AK389,1.01),-((T389-('main page'!$K$24+'main page'!$K$11))/(1-'normal case'!$AV$3))+'normal case'!AH389)</f>
        <v>2.0000000596046448</v>
      </c>
      <c r="AJ389" s="80">
        <f t="shared" ca="1" si="54"/>
        <v>1.0506250015463039</v>
      </c>
      <c r="AK389" s="44">
        <f t="shared" ca="1" si="55"/>
        <v>2047.0222095474423</v>
      </c>
      <c r="AL389" s="44">
        <f>AL388*(1+'main page'!$K$32/100)</f>
        <v>1</v>
      </c>
      <c r="AM389" s="44">
        <f ca="1">IF(ABS(IF(controls!$B$45=1,$AS$13,AK389*AJ389/AL389)-AM388)&lt;0.00001,AM388,IF(controls!$B$45=1,$AS$13,AK389*AJ389/AL389))</f>
        <v>2150.6527120710998</v>
      </c>
      <c r="AN389" s="44">
        <f>IF(controls!$B$46=0,0,IF(controls!$B$33=2,B390-B389*AC390-('normal case'!H390-D389*AD390-'main page'!$K$27*'normal case'!T389+'main page'!$K$31*'normal case'!AI389)-(('main page'!$K$25*'main page'!$U$13*'main page'!$K$29)/(1+('main page'!$K$25^2)*'main page'!$U$13))*('normal case'!L389-'main page'!$U$8),B390-B389*AC390-('normal case'!I390-D389*AD390-'main page'!$K$27*'normal case'!T389+'main page'!$K$31*'normal case'!AI389)-(('main page'!$K$25*'main page'!$U$13*'main page'!$K$29)/(1+('main page'!$K$25^2)*'main page'!$U$13))*('normal case'!L389-'main page'!$U$8)))</f>
        <v>0</v>
      </c>
      <c r="AU389" s="36"/>
      <c r="AV389" s="36"/>
    </row>
    <row r="390" spans="1:48">
      <c r="A390" s="43">
        <v>388</v>
      </c>
      <c r="B390" s="62">
        <f ca="1">IF(controls!$B$33=1,B389*(1+AC390)+AA390,B389*(1+AC390))</f>
        <v>101</v>
      </c>
      <c r="C390" s="67">
        <f t="shared" ref="C390:C453" ca="1" si="56">IF(ABS((D390/D389-1)-C389)&lt;0.000001,C389,D390/D389-1)</f>
        <v>-1.5107707374006907E-7</v>
      </c>
      <c r="D390" s="64">
        <f t="shared" ca="1" si="52"/>
        <v>101.00000005960464</v>
      </c>
      <c r="E390" s="64">
        <f ca="1">AN389+IF(controls!$B$33=1,G390,F390)</f>
        <v>101.00000005960464</v>
      </c>
      <c r="F390" s="78">
        <f ca="1">IF(controls!$B$44=0,H390-'main page'!$K$27*T389,H390-'main page'!$K$27*T389+'main page'!$K$31*AI389)</f>
        <v>101.00000005960464</v>
      </c>
      <c r="G390" s="62">
        <f ca="1">IF(controls!$B$44=0,I390-'main page'!$K$27*T389,I390-'main page'!$K$27*T389+'main page'!$K$31*'normal case'!AI389)</f>
        <v>101.00000005960464</v>
      </c>
      <c r="H390" s="62">
        <f t="shared" ca="1" si="50"/>
        <v>108</v>
      </c>
      <c r="I390" s="62">
        <f t="shared" ca="1" si="51"/>
        <v>108</v>
      </c>
      <c r="L390" s="62">
        <f ca="1">IF(ABS('main page'!$K$29*L389+(1-'main page'!$K$29)*(controls!$B$9/100)*100+'main page'!$K$25*(D390-B390)-L389)&lt;0.0000001,L389,'main page'!$K$29*L389+(1-'main page'!$K$29)*(controls!$B$9/100)*100+'main page'!$K$25*(D390-B390))</f>
        <v>1.9999998807907104</v>
      </c>
      <c r="Q390" s="409">
        <f ca="1">(1-'main page'!$K$29)*($AS$11/100)*100+'main page'!$K$25*(D390-B390)</f>
        <v>5.9604644775390625E-8</v>
      </c>
      <c r="R390" s="409">
        <f>'main page'!G394+'main page'!$K$29*M389</f>
        <v>0</v>
      </c>
      <c r="S390" s="409">
        <f t="shared" ca="1" si="49"/>
        <v>5.9604644775390625E-8</v>
      </c>
      <c r="T390" s="79">
        <f ca="1">IF(controls!$B$10=1,T389,IF(SUM(controls!$B$44:$B$46)=2,U390-'main page'!$K$29*'normal case'!L390-(1-'main page'!$K$29)*'main page'!$K$32,U390-'main page'!$K$29*'normal case'!L390-(1-'main page'!$K$29)*controls!$B$9))</f>
        <v>3.4999999701976776</v>
      </c>
      <c r="U390" s="164">
        <f ca="1">IF(controls!$B$45=1,IF(controls!$B$46=1,'main page'!$K$24+'main page'!$K$11+'main page'!$U$8,'main page'!$K$24+'main page'!$K$11+'main page'!$K$32),IF(controls!$B$44=1,IF(V390&lt;0,0,V390),IF(V390+'main page'!$K$11&lt;0,0,V390+'main page'!$K$11)))</f>
        <v>5.4999998509883881</v>
      </c>
      <c r="V390" s="63">
        <f ca="1">IF(controls!$B$10=1,'normal case'!T390+'normal case'!L390,'normal case'!W390)</f>
        <v>5.4999998509883881</v>
      </c>
      <c r="W390" s="61">
        <f t="shared" ca="1" si="53"/>
        <v>5.4999998509883881</v>
      </c>
      <c r="X390" s="166">
        <f ca="1">IF(controls!$B$44=0,Y390+'main page'!$K$29*L390+(1-'main page'!$K$29)*controls!$B$9+(('main page'!$K$25*'main page'!$U$13*'main page'!$K$29)/('main page'!$K$27*(1+('main page'!$K$25^2)*'main page'!$U$13)))*(L390-controls!$B$9),Y390+'main page'!$K$29*L390+(1-'main page'!$K$29)*controls!$B$9+(('main page'!$K$25*'main page'!$U$13*'normal case'!$AV$3)/'normal case'!$AV$4)*('normal case'!L390-controls!$B$9))</f>
        <v>5.4999998509883881</v>
      </c>
      <c r="Y390" s="81">
        <f ca="1">IF(controls!$B$44=1,'main page'!$K$24+'main page'!$K$11,IF(controls!$B$33=1,((I391-D390*AD391-B391+B390*AC391)/'main page'!$K$27)-'main page'!$K$11,((H391-D390*AD391-B391+B390*AC391)/'main page'!$K$27)-'main page'!$K$11))</f>
        <v>3.5</v>
      </c>
      <c r="AA390" s="58">
        <f>IF(controls!$B$6=1,$AS$3*(1+('main page'!$K$35/100))^AB390-$AS$3*(1+('main page'!$K$35/100))^AB389,$AS$3*(1+('main page'!$G$8/100))*(1+('main page'!$K$35/100))^AB390-$AS$3*(1+('main page'!$G$8/100))*(1+('main page'!$K$35/100))^AB389)</f>
        <v>0</v>
      </c>
      <c r="AB390" s="60">
        <v>383</v>
      </c>
      <c r="AC390" s="125">
        <v>0</v>
      </c>
      <c r="AD390" s="36">
        <v>0</v>
      </c>
      <c r="AE390" s="44">
        <f ca="1">IF(controls!$B$33=1,D390-($I$3-'main page'!$K$27*2)*(1+('main page'!$K$35/100))^A389,D390-$AS$4)</f>
        <v>1.0000000596046448</v>
      </c>
      <c r="AF390" s="44">
        <f ca="1">ABS(L390-(controls!$B$9/100)*100)</f>
        <v>1.1920928955078125E-7</v>
      </c>
      <c r="AH390" s="44">
        <f ca="1">IF(controls!$B$33=1,(B391-B390*AC391-I391+D390*AD391+'main page'!$K$27*('main page'!$K$24+'main page'!$K$11))/'main page'!$K$31,(B391-B390*AC391+D390*AD391-H391+'main page'!$K$27*('main page'!$K$24+'main page'!$K$11))/'main page'!$K$31)</f>
        <v>1</v>
      </c>
      <c r="AI390" s="44">
        <f ca="1">IF(controls!$B$45=1,LOG(AM390,1.01)+LOG(AL390,1.01)-LOG(AK390,1.01),-((T390-('main page'!$K$24+'main page'!$K$11))/(1-'normal case'!$AV$3))+'normal case'!AH390)</f>
        <v>2.0000000596046448</v>
      </c>
      <c r="AJ390" s="80">
        <f t="shared" ca="1" si="54"/>
        <v>1.0506250015463039</v>
      </c>
      <c r="AK390" s="44">
        <f t="shared" ca="1" si="55"/>
        <v>2087.9626512981508</v>
      </c>
      <c r="AL390" s="44">
        <f>AL389*(1+'main page'!$K$32/100)</f>
        <v>1</v>
      </c>
      <c r="AM390" s="44">
        <f ca="1">IF(ABS(IF(controls!$B$45=1,$AS$13,AK390*AJ390/AL390)-AM389)&lt;0.00001,AM389,IF(controls!$B$45=1,$AS$13,AK390*AJ390/AL390))</f>
        <v>2193.6657637487447</v>
      </c>
      <c r="AN390" s="44">
        <f>IF(controls!$B$46=0,0,IF(controls!$B$33=2,B391-B390*AC391-('normal case'!H391-D390*AD391-'main page'!$K$27*'normal case'!T390+'main page'!$K$31*'normal case'!AI390)-(('main page'!$K$25*'main page'!$U$13*'main page'!$K$29)/(1+('main page'!$K$25^2)*'main page'!$U$13))*('normal case'!L390-'main page'!$U$8),B391-B390*AC391-('normal case'!I391-D390*AD391-'main page'!$K$27*'normal case'!T390+'main page'!$K$31*'normal case'!AI390)-(('main page'!$K$25*'main page'!$U$13*'main page'!$K$29)/(1+('main page'!$K$25^2)*'main page'!$U$13))*('normal case'!L390-'main page'!$U$8)))</f>
        <v>0</v>
      </c>
      <c r="AU390" s="36"/>
      <c r="AV390" s="36"/>
    </row>
    <row r="391" spans="1:48">
      <c r="A391" s="43">
        <v>389</v>
      </c>
      <c r="B391" s="62">
        <f ca="1">IF(controls!$B$33=1,B390*(1+AC391)+AA391,B390*(1+AC391))</f>
        <v>101</v>
      </c>
      <c r="C391" s="67">
        <f t="shared" ca="1" si="56"/>
        <v>-1.5107707374006907E-7</v>
      </c>
      <c r="D391" s="64">
        <f t="shared" ca="1" si="52"/>
        <v>101.00000005960464</v>
      </c>
      <c r="E391" s="64">
        <f ca="1">AN390+IF(controls!$B$33=1,G391,F391)</f>
        <v>101.00000005960464</v>
      </c>
      <c r="F391" s="78">
        <f ca="1">IF(controls!$B$44=0,H391-'main page'!$K$27*T390,H391-'main page'!$K$27*T390+'main page'!$K$31*AI390)</f>
        <v>101.00000005960464</v>
      </c>
      <c r="G391" s="62">
        <f ca="1">IF(controls!$B$44=0,I391-'main page'!$K$27*T390,I391-'main page'!$K$27*T390+'main page'!$K$31*'normal case'!AI390)</f>
        <v>101.00000005960464</v>
      </c>
      <c r="H391" s="62">
        <f t="shared" ca="1" si="50"/>
        <v>108</v>
      </c>
      <c r="I391" s="62">
        <f t="shared" ca="1" si="51"/>
        <v>108</v>
      </c>
      <c r="L391" s="62">
        <f ca="1">IF(ABS('main page'!$K$29*L390+(1-'main page'!$K$29)*(controls!$B$9/100)*100+'main page'!$K$25*(D391-B391)-L390)&lt;0.0000001,L390,'main page'!$K$29*L390+(1-'main page'!$K$29)*(controls!$B$9/100)*100+'main page'!$K$25*(D391-B391))</f>
        <v>1.9999998807907104</v>
      </c>
      <c r="Q391" s="409">
        <f ca="1">(1-'main page'!$K$29)*($AS$11/100)*100+'main page'!$K$25*(D391-B391)</f>
        <v>5.9604644775390625E-8</v>
      </c>
      <c r="R391" s="409">
        <f>'main page'!G395+'main page'!$K$29*M390</f>
        <v>0</v>
      </c>
      <c r="S391" s="409">
        <f t="shared" ca="1" si="49"/>
        <v>5.9604644775390625E-8</v>
      </c>
      <c r="T391" s="79">
        <f ca="1">IF(controls!$B$10=1,T390,IF(SUM(controls!$B$44:$B$46)=2,U391-'main page'!$K$29*'normal case'!L391-(1-'main page'!$K$29)*'main page'!$K$32,U391-'main page'!$K$29*'normal case'!L391-(1-'main page'!$K$29)*controls!$B$9))</f>
        <v>3.4999999701976776</v>
      </c>
      <c r="U391" s="164">
        <f ca="1">IF(controls!$B$45=1,IF(controls!$B$46=1,'main page'!$K$24+'main page'!$K$11+'main page'!$U$8,'main page'!$K$24+'main page'!$K$11+'main page'!$K$32),IF(controls!$B$44=1,IF(V391&lt;0,0,V391),IF(V391+'main page'!$K$11&lt;0,0,V391+'main page'!$K$11)))</f>
        <v>5.4999998509883881</v>
      </c>
      <c r="V391" s="63">
        <f ca="1">IF(controls!$B$10=1,'normal case'!T391+'normal case'!L391,'normal case'!W391)</f>
        <v>5.4999998509883881</v>
      </c>
      <c r="W391" s="61">
        <f t="shared" ca="1" si="53"/>
        <v>5.4999998509883881</v>
      </c>
      <c r="X391" s="166">
        <f ca="1">IF(controls!$B$44=0,Y391+'main page'!$K$29*L391+(1-'main page'!$K$29)*controls!$B$9+(('main page'!$K$25*'main page'!$U$13*'main page'!$K$29)/('main page'!$K$27*(1+('main page'!$K$25^2)*'main page'!$U$13)))*(L391-controls!$B$9),Y391+'main page'!$K$29*L391+(1-'main page'!$K$29)*controls!$B$9+(('main page'!$K$25*'main page'!$U$13*'normal case'!$AV$3)/'normal case'!$AV$4)*('normal case'!L391-controls!$B$9))</f>
        <v>5.4999998509883881</v>
      </c>
      <c r="Y391" s="81">
        <f ca="1">IF(controls!$B$44=1,'main page'!$K$24+'main page'!$K$11,IF(controls!$B$33=1,((I392-D391*AD392-B392+B391*AC392)/'main page'!$K$27)-'main page'!$K$11,((H392-D391*AD392-B392+B391*AC392)/'main page'!$K$27)-'main page'!$K$11))</f>
        <v>3.5</v>
      </c>
      <c r="AA391" s="58">
        <f>IF(controls!$B$6=1,$AS$3*(1+('main page'!$K$35/100))^AB391-$AS$3*(1+('main page'!$K$35/100))^AB390,$AS$3*(1+('main page'!$G$8/100))*(1+('main page'!$K$35/100))^AB391-$AS$3*(1+('main page'!$G$8/100))*(1+('main page'!$K$35/100))^AB390)</f>
        <v>0</v>
      </c>
      <c r="AB391" s="60">
        <v>384</v>
      </c>
      <c r="AC391" s="125">
        <v>0</v>
      </c>
      <c r="AD391" s="36">
        <v>0</v>
      </c>
      <c r="AE391" s="44">
        <f ca="1">IF(controls!$B$33=1,D391-($I$3-'main page'!$K$27*2)*(1+('main page'!$K$35/100))^A390,D391-$AS$4)</f>
        <v>1.0000000596046448</v>
      </c>
      <c r="AF391" s="44">
        <f ca="1">ABS(L391-(controls!$B$9/100)*100)</f>
        <v>1.1920928955078125E-7</v>
      </c>
      <c r="AH391" s="44">
        <f ca="1">IF(controls!$B$33=1,(B392-B391*AC392-I392+D391*AD392+'main page'!$K$27*('main page'!$K$24+'main page'!$K$11))/'main page'!$K$31,(B392-B391*AC392+D391*AD392-H392+'main page'!$K$27*('main page'!$K$24+'main page'!$K$11))/'main page'!$K$31)</f>
        <v>1</v>
      </c>
      <c r="AI391" s="44">
        <f ca="1">IF(controls!$B$45=1,LOG(AM391,1.01)+LOG(AL391,1.01)-LOG(AK391,1.01),-((T391-('main page'!$K$24+'main page'!$K$11))/(1-'normal case'!$AV$3))+'normal case'!AH391)</f>
        <v>2.0000000596046448</v>
      </c>
      <c r="AJ391" s="80">
        <f t="shared" ca="1" si="54"/>
        <v>1.0506250015463039</v>
      </c>
      <c r="AK391" s="44">
        <f t="shared" ca="1" si="55"/>
        <v>2129.7219018350684</v>
      </c>
      <c r="AL391" s="44">
        <f>AL390*(1+'main page'!$K$32/100)</f>
        <v>1</v>
      </c>
      <c r="AM391" s="44">
        <f ca="1">IF(ABS(IF(controls!$B$45=1,$AS$13,AK391*AJ391/AL391)-AM390)&lt;0.00001,AM390,IF(controls!$B$45=1,$AS$13,AK391*AJ391/AL391))</f>
        <v>2237.539076408666</v>
      </c>
      <c r="AN391" s="44">
        <f>IF(controls!$B$46=0,0,IF(controls!$B$33=2,B392-B391*AC392-('normal case'!H392-D391*AD392-'main page'!$K$27*'normal case'!T391+'main page'!$K$31*'normal case'!AI391)-(('main page'!$K$25*'main page'!$U$13*'main page'!$K$29)/(1+('main page'!$K$25^2)*'main page'!$U$13))*('normal case'!L391-'main page'!$U$8),B392-B391*AC392-('normal case'!I392-D391*AD392-'main page'!$K$27*'normal case'!T391+'main page'!$K$31*'normal case'!AI391)-(('main page'!$K$25*'main page'!$U$13*'main page'!$K$29)/(1+('main page'!$K$25^2)*'main page'!$U$13))*('normal case'!L391-'main page'!$U$8)))</f>
        <v>0</v>
      </c>
      <c r="AU391" s="36"/>
      <c r="AV391" s="36"/>
    </row>
    <row r="392" spans="1:48">
      <c r="A392" s="43">
        <v>390</v>
      </c>
      <c r="B392" s="62">
        <f ca="1">IF(controls!$B$33=1,B391*(1+AC392)+AA392,B391*(1+AC392))</f>
        <v>101</v>
      </c>
      <c r="C392" s="67">
        <f t="shared" ca="1" si="56"/>
        <v>-1.5107707374006907E-7</v>
      </c>
      <c r="D392" s="64">
        <f t="shared" ca="1" si="52"/>
        <v>101.00000005960464</v>
      </c>
      <c r="E392" s="64">
        <f ca="1">AN391+IF(controls!$B$33=1,G392,F392)</f>
        <v>101.00000005960464</v>
      </c>
      <c r="F392" s="78">
        <f ca="1">IF(controls!$B$44=0,H392-'main page'!$K$27*T391,H392-'main page'!$K$27*T391+'main page'!$K$31*AI391)</f>
        <v>101.00000005960464</v>
      </c>
      <c r="G392" s="62">
        <f ca="1">IF(controls!$B$44=0,I392-'main page'!$K$27*T391,I392-'main page'!$K$27*T391+'main page'!$K$31*'normal case'!AI391)</f>
        <v>101.00000005960464</v>
      </c>
      <c r="H392" s="62">
        <f t="shared" ca="1" si="50"/>
        <v>108</v>
      </c>
      <c r="I392" s="62">
        <f t="shared" ca="1" si="51"/>
        <v>108</v>
      </c>
      <c r="L392" s="62">
        <f ca="1">IF(ABS('main page'!$K$29*L391+(1-'main page'!$K$29)*(controls!$B$9/100)*100+'main page'!$K$25*(D392-B392)-L391)&lt;0.0000001,L391,'main page'!$K$29*L391+(1-'main page'!$K$29)*(controls!$B$9/100)*100+'main page'!$K$25*(D392-B392))</f>
        <v>1.9999998807907104</v>
      </c>
      <c r="Q392" s="409">
        <f ca="1">(1-'main page'!$K$29)*($AS$11/100)*100+'main page'!$K$25*(D392-B392)</f>
        <v>5.9604644775390625E-8</v>
      </c>
      <c r="R392" s="409">
        <f>'main page'!G396+'main page'!$K$29*M391</f>
        <v>0</v>
      </c>
      <c r="S392" s="409">
        <f t="shared" ref="S392:S455" ca="1" si="57">Q392+R392</f>
        <v>5.9604644775390625E-8</v>
      </c>
      <c r="T392" s="79">
        <f ca="1">IF(controls!$B$10=1,T391,IF(SUM(controls!$B$44:$B$46)=2,U392-'main page'!$K$29*'normal case'!L392-(1-'main page'!$K$29)*'main page'!$K$32,U392-'main page'!$K$29*'normal case'!L392-(1-'main page'!$K$29)*controls!$B$9))</f>
        <v>3.4999999701976776</v>
      </c>
      <c r="U392" s="164">
        <f ca="1">IF(controls!$B$45=1,IF(controls!$B$46=1,'main page'!$K$24+'main page'!$K$11+'main page'!$U$8,'main page'!$K$24+'main page'!$K$11+'main page'!$K$32),IF(controls!$B$44=1,IF(V392&lt;0,0,V392),IF(V392+'main page'!$K$11&lt;0,0,V392+'main page'!$K$11)))</f>
        <v>5.4999998509883881</v>
      </c>
      <c r="V392" s="63">
        <f ca="1">IF(controls!$B$10=1,'normal case'!T392+'normal case'!L392,'normal case'!W392)</f>
        <v>5.4999998509883881</v>
      </c>
      <c r="W392" s="61">
        <f t="shared" ca="1" si="53"/>
        <v>5.4999998509883881</v>
      </c>
      <c r="X392" s="166">
        <f ca="1">IF(controls!$B$44=0,Y392+'main page'!$K$29*L392+(1-'main page'!$K$29)*controls!$B$9+(('main page'!$K$25*'main page'!$U$13*'main page'!$K$29)/('main page'!$K$27*(1+('main page'!$K$25^2)*'main page'!$U$13)))*(L392-controls!$B$9),Y392+'main page'!$K$29*L392+(1-'main page'!$K$29)*controls!$B$9+(('main page'!$K$25*'main page'!$U$13*'normal case'!$AV$3)/'normal case'!$AV$4)*('normal case'!L392-controls!$B$9))</f>
        <v>5.4999998509883881</v>
      </c>
      <c r="Y392" s="81">
        <f ca="1">IF(controls!$B$44=1,'main page'!$K$24+'main page'!$K$11,IF(controls!$B$33=1,((I393-D392*AD393-B393+B392*AC393)/'main page'!$K$27)-'main page'!$K$11,((H393-D392*AD393-B393+B392*AC393)/'main page'!$K$27)-'main page'!$K$11))</f>
        <v>3.5</v>
      </c>
      <c r="AA392" s="58">
        <f>IF(controls!$B$6=1,$AS$3*(1+('main page'!$K$35/100))^AB392-$AS$3*(1+('main page'!$K$35/100))^AB391,$AS$3*(1+('main page'!$G$8/100))*(1+('main page'!$K$35/100))^AB392-$AS$3*(1+('main page'!$G$8/100))*(1+('main page'!$K$35/100))^AB391)</f>
        <v>0</v>
      </c>
      <c r="AB392" s="60">
        <v>385</v>
      </c>
      <c r="AC392" s="125">
        <f ca="1">IF(controls!$B$4=1,IF(controls!$H391=1,controls!$B$34*AC391+RAND()*('main page'!$K$16/100)-RAND()*('main page'!$K$16/100),0),0)</f>
        <v>0</v>
      </c>
      <c r="AD392" s="36">
        <f ca="1">IF(controls!$B$4=1,IF(controls!$I391=1,controls!$B$34*AD391+RAND()*('main page'!$K$16/100)-RAND()*('main page'!$K$16/100),0),0)</f>
        <v>0</v>
      </c>
      <c r="AE392" s="44">
        <f ca="1">IF(controls!$B$33=1,D392-($I$3-'main page'!$K$27*2)*(1+('main page'!$K$35/100))^A391,D392-$AS$4)</f>
        <v>1.0000000596046448</v>
      </c>
      <c r="AF392" s="44">
        <f ca="1">ABS(L392-(controls!$B$9/100)*100)</f>
        <v>1.1920928955078125E-7</v>
      </c>
      <c r="AH392" s="44">
        <f ca="1">IF(controls!$B$33=1,(B393-B392*AC393-I393+D392*AD393+'main page'!$K$27*('main page'!$K$24+'main page'!$K$11))/'main page'!$K$31,(B393-B392*AC393+D392*AD393-H393+'main page'!$K$27*('main page'!$K$24+'main page'!$K$11))/'main page'!$K$31)</f>
        <v>1</v>
      </c>
      <c r="AI392" s="44">
        <f ca="1">IF(controls!$B$45=1,LOG(AM392,1.01)+LOG(AL392,1.01)-LOG(AK392,1.01),-((T392-('main page'!$K$24+'main page'!$K$11))/(1-'normal case'!$AV$3))+'normal case'!AH392)</f>
        <v>2.0000000596046448</v>
      </c>
      <c r="AJ392" s="80">
        <f t="shared" ca="1" si="54"/>
        <v>1.0506250015463039</v>
      </c>
      <c r="AK392" s="44">
        <f t="shared" ca="1" si="55"/>
        <v>2172.3163373329435</v>
      </c>
      <c r="AL392" s="44">
        <f>AL391*(1+'main page'!$K$32/100)</f>
        <v>1</v>
      </c>
      <c r="AM392" s="44">
        <f ca="1">IF(ABS(IF(controls!$B$45=1,$AS$13,AK392*AJ392/AL392)-AM391)&lt;0.00001,AM391,IF(controls!$B$45=1,$AS$13,AK392*AJ392/AL392))</f>
        <v>2282.2898552694851</v>
      </c>
      <c r="AN392" s="44">
        <f>IF(controls!$B$46=0,0,IF(controls!$B$33=2,B393-B392*AC393-('normal case'!H393-D392*AD393-'main page'!$K$27*'normal case'!T392+'main page'!$K$31*'normal case'!AI392)-(('main page'!$K$25*'main page'!$U$13*'main page'!$K$29)/(1+('main page'!$K$25^2)*'main page'!$U$13))*('normal case'!L392-'main page'!$U$8),B393-B392*AC393-('normal case'!I393-D392*AD393-'main page'!$K$27*'normal case'!T392+'main page'!$K$31*'normal case'!AI392)-(('main page'!$K$25*'main page'!$U$13*'main page'!$K$29)/(1+('main page'!$K$25^2)*'main page'!$U$13))*('normal case'!L392-'main page'!$U$8)))</f>
        <v>0</v>
      </c>
      <c r="AU392" s="36"/>
      <c r="AV392" s="36"/>
    </row>
    <row r="393" spans="1:48">
      <c r="A393" s="43">
        <v>391</v>
      </c>
      <c r="B393" s="62">
        <f ca="1">IF(controls!$B$33=1,B392*(1+AC393)+AA393,B392*(1+AC393))</f>
        <v>101</v>
      </c>
      <c r="C393" s="67">
        <f t="shared" ca="1" si="56"/>
        <v>-1.5107707374006907E-7</v>
      </c>
      <c r="D393" s="64">
        <f t="shared" ca="1" si="52"/>
        <v>101.00000005960464</v>
      </c>
      <c r="E393" s="64">
        <f ca="1">AN392+IF(controls!$B$33=1,G393,F393)</f>
        <v>101.00000005960464</v>
      </c>
      <c r="F393" s="78">
        <f ca="1">IF(controls!$B$44=0,H393-'main page'!$K$27*T392,H393-'main page'!$K$27*T392+'main page'!$K$31*AI392)</f>
        <v>101.00000005960464</v>
      </c>
      <c r="G393" s="62">
        <f ca="1">IF(controls!$B$44=0,I393-'main page'!$K$27*T392,I393-'main page'!$K$27*T392+'main page'!$K$31*'normal case'!AI392)</f>
        <v>101.00000005960464</v>
      </c>
      <c r="H393" s="62">
        <f t="shared" ca="1" si="50"/>
        <v>108</v>
      </c>
      <c r="I393" s="62">
        <f t="shared" ca="1" si="51"/>
        <v>108</v>
      </c>
      <c r="L393" s="62">
        <f ca="1">IF(ABS('main page'!$K$29*L392+(1-'main page'!$K$29)*(controls!$B$9/100)*100+'main page'!$K$25*(D393-B393)-L392)&lt;0.0000001,L392,'main page'!$K$29*L392+(1-'main page'!$K$29)*(controls!$B$9/100)*100+'main page'!$K$25*(D393-B393))</f>
        <v>1.9999998807907104</v>
      </c>
      <c r="Q393" s="409">
        <f ca="1">(1-'main page'!$K$29)*($AS$11/100)*100+'main page'!$K$25*(D393-B393)</f>
        <v>5.9604644775390625E-8</v>
      </c>
      <c r="R393" s="409">
        <f>'main page'!G397+'main page'!$K$29*M392</f>
        <v>0</v>
      </c>
      <c r="S393" s="409">
        <f t="shared" ca="1" si="57"/>
        <v>5.9604644775390625E-8</v>
      </c>
      <c r="T393" s="79">
        <f ca="1">IF(controls!$B$10=1,T392,IF(SUM(controls!$B$44:$B$46)=2,U393-'main page'!$K$29*'normal case'!L393-(1-'main page'!$K$29)*'main page'!$K$32,U393-'main page'!$K$29*'normal case'!L393-(1-'main page'!$K$29)*controls!$B$9))</f>
        <v>3.4999999701976776</v>
      </c>
      <c r="U393" s="164">
        <f ca="1">IF(controls!$B$45=1,IF(controls!$B$46=1,'main page'!$K$24+'main page'!$K$11+'main page'!$U$8,'main page'!$K$24+'main page'!$K$11+'main page'!$K$32),IF(controls!$B$44=1,IF(V393&lt;0,0,V393),IF(V393+'main page'!$K$11&lt;0,0,V393+'main page'!$K$11)))</f>
        <v>5.4999998509883881</v>
      </c>
      <c r="V393" s="63">
        <f ca="1">IF(controls!$B$10=1,'normal case'!T393+'normal case'!L393,'normal case'!W393)</f>
        <v>5.4999998509883881</v>
      </c>
      <c r="W393" s="61">
        <f t="shared" ca="1" si="53"/>
        <v>5.4999998509883881</v>
      </c>
      <c r="X393" s="166">
        <f ca="1">IF(controls!$B$44=0,Y393+'main page'!$K$29*L393+(1-'main page'!$K$29)*controls!$B$9+(('main page'!$K$25*'main page'!$U$13*'main page'!$K$29)/('main page'!$K$27*(1+('main page'!$K$25^2)*'main page'!$U$13)))*(L393-controls!$B$9),Y393+'main page'!$K$29*L393+(1-'main page'!$K$29)*controls!$B$9+(('main page'!$K$25*'main page'!$U$13*'normal case'!$AV$3)/'normal case'!$AV$4)*('normal case'!L393-controls!$B$9))</f>
        <v>5.4999998509883881</v>
      </c>
      <c r="Y393" s="81">
        <f ca="1">IF(controls!$B$44=1,'main page'!$K$24+'main page'!$K$11,IF(controls!$B$33=1,((I394-D393*AD394-B394+B393*AC394)/'main page'!$K$27)-'main page'!$K$11,((H394-D393*AD394-B394+B393*AC394)/'main page'!$K$27)-'main page'!$K$11))</f>
        <v>3.5</v>
      </c>
      <c r="AA393" s="58">
        <f>IF(controls!$B$6=1,$AS$3*(1+('main page'!$K$35/100))^AB393-$AS$3*(1+('main page'!$K$35/100))^AB392,$AS$3*(1+('main page'!$G$8/100))*(1+('main page'!$K$35/100))^AB393-$AS$3*(1+('main page'!$G$8/100))*(1+('main page'!$K$35/100))^AB392)</f>
        <v>0</v>
      </c>
      <c r="AB393" s="60">
        <v>386</v>
      </c>
      <c r="AC393" s="125">
        <v>0</v>
      </c>
      <c r="AD393" s="36">
        <v>0</v>
      </c>
      <c r="AE393" s="44">
        <f ca="1">IF(controls!$B$33=1,D393-($I$3-'main page'!$K$27*2)*(1+('main page'!$K$35/100))^A392,D393-$AS$4)</f>
        <v>1.0000000596046448</v>
      </c>
      <c r="AF393" s="44">
        <f ca="1">ABS(L393-(controls!$B$9/100)*100)</f>
        <v>1.1920928955078125E-7</v>
      </c>
      <c r="AH393" s="44">
        <f ca="1">IF(controls!$B$33=1,(B394-B393*AC394-I394+D393*AD394+'main page'!$K$27*('main page'!$K$24+'main page'!$K$11))/'main page'!$K$31,(B394-B393*AC394+D393*AD394-H394+'main page'!$K$27*('main page'!$K$24+'main page'!$K$11))/'main page'!$K$31)</f>
        <v>1</v>
      </c>
      <c r="AI393" s="44">
        <f ca="1">IF(controls!$B$45=1,LOG(AM393,1.01)+LOG(AL393,1.01)-LOG(AK393,1.01),-((T393-('main page'!$K$24+'main page'!$K$11))/(1-'normal case'!$AV$3))+'normal case'!AH393)</f>
        <v>2.0000000596046448</v>
      </c>
      <c r="AJ393" s="80">
        <f t="shared" ca="1" si="54"/>
        <v>1.0506250015463039</v>
      </c>
      <c r="AK393" s="44">
        <f t="shared" ca="1" si="55"/>
        <v>2215.7626614899996</v>
      </c>
      <c r="AL393" s="44">
        <f>AL392*(1+'main page'!$K$32/100)</f>
        <v>1</v>
      </c>
      <c r="AM393" s="44">
        <f ca="1">IF(ABS(IF(controls!$B$45=1,$AS$13,AK393*AJ393/AL393)-AM392)&lt;0.00001,AM392,IF(controls!$B$45=1,$AS$13,AK393*AJ393/AL393))</f>
        <v>2327.9356496541732</v>
      </c>
      <c r="AN393" s="44">
        <f>IF(controls!$B$46=0,0,IF(controls!$B$33=2,B394-B393*AC394-('normal case'!H394-D393*AD394-'main page'!$K$27*'normal case'!T393+'main page'!$K$31*'normal case'!AI393)-(('main page'!$K$25*'main page'!$U$13*'main page'!$K$29)/(1+('main page'!$K$25^2)*'main page'!$U$13))*('normal case'!L393-'main page'!$U$8),B394-B393*AC394-('normal case'!I394-D393*AD394-'main page'!$K$27*'normal case'!T393+'main page'!$K$31*'normal case'!AI393)-(('main page'!$K$25*'main page'!$U$13*'main page'!$K$29)/(1+('main page'!$K$25^2)*'main page'!$U$13))*('normal case'!L393-'main page'!$U$8)))</f>
        <v>0</v>
      </c>
      <c r="AU393" s="36"/>
      <c r="AV393" s="36"/>
    </row>
    <row r="394" spans="1:48">
      <c r="A394" s="43">
        <v>392</v>
      </c>
      <c r="B394" s="62">
        <f ca="1">IF(controls!$B$33=1,B393*(1+AC394)+AA394,B393*(1+AC394))</f>
        <v>101</v>
      </c>
      <c r="C394" s="67">
        <f t="shared" ca="1" si="56"/>
        <v>-1.5107707374006907E-7</v>
      </c>
      <c r="D394" s="64">
        <f t="shared" ca="1" si="52"/>
        <v>101.00000005960464</v>
      </c>
      <c r="E394" s="64">
        <f ca="1">AN393+IF(controls!$B$33=1,G394,F394)</f>
        <v>101.00000005960464</v>
      </c>
      <c r="F394" s="78">
        <f ca="1">IF(controls!$B$44=0,H394-'main page'!$K$27*T393,H394-'main page'!$K$27*T393+'main page'!$K$31*AI393)</f>
        <v>101.00000005960464</v>
      </c>
      <c r="G394" s="62">
        <f ca="1">IF(controls!$B$44=0,I394-'main page'!$K$27*T393,I394-'main page'!$K$27*T393+'main page'!$K$31*'normal case'!AI393)</f>
        <v>101.00000005960464</v>
      </c>
      <c r="H394" s="62">
        <f t="shared" ca="1" si="50"/>
        <v>108</v>
      </c>
      <c r="I394" s="62">
        <f t="shared" ca="1" si="51"/>
        <v>108</v>
      </c>
      <c r="L394" s="62">
        <f ca="1">IF(ABS('main page'!$K$29*L393+(1-'main page'!$K$29)*(controls!$B$9/100)*100+'main page'!$K$25*(D394-B394)-L393)&lt;0.0000001,L393,'main page'!$K$29*L393+(1-'main page'!$K$29)*(controls!$B$9/100)*100+'main page'!$K$25*(D394-B394))</f>
        <v>1.9999998807907104</v>
      </c>
      <c r="Q394" s="409">
        <f ca="1">(1-'main page'!$K$29)*($AS$11/100)*100+'main page'!$K$25*(D394-B394)</f>
        <v>5.9604644775390625E-8</v>
      </c>
      <c r="R394" s="409">
        <f>'main page'!G398+'main page'!$K$29*M393</f>
        <v>0</v>
      </c>
      <c r="S394" s="409">
        <f t="shared" ca="1" si="57"/>
        <v>5.9604644775390625E-8</v>
      </c>
      <c r="T394" s="79">
        <f ca="1">IF(controls!$B$10=1,T393,IF(SUM(controls!$B$44:$B$46)=2,U394-'main page'!$K$29*'normal case'!L394-(1-'main page'!$K$29)*'main page'!$K$32,U394-'main page'!$K$29*'normal case'!L394-(1-'main page'!$K$29)*controls!$B$9))</f>
        <v>3.4999999701976776</v>
      </c>
      <c r="U394" s="164">
        <f ca="1">IF(controls!$B$45=1,IF(controls!$B$46=1,'main page'!$K$24+'main page'!$K$11+'main page'!$U$8,'main page'!$K$24+'main page'!$K$11+'main page'!$K$32),IF(controls!$B$44=1,IF(V394&lt;0,0,V394),IF(V394+'main page'!$K$11&lt;0,0,V394+'main page'!$K$11)))</f>
        <v>5.4999998509883881</v>
      </c>
      <c r="V394" s="63">
        <f ca="1">IF(controls!$B$10=1,'normal case'!T394+'normal case'!L394,'normal case'!W394)</f>
        <v>5.4999998509883881</v>
      </c>
      <c r="W394" s="61">
        <f t="shared" ca="1" si="53"/>
        <v>5.4999998509883881</v>
      </c>
      <c r="X394" s="166">
        <f ca="1">IF(controls!$B$44=0,Y394+'main page'!$K$29*L394+(1-'main page'!$K$29)*controls!$B$9+(('main page'!$K$25*'main page'!$U$13*'main page'!$K$29)/('main page'!$K$27*(1+('main page'!$K$25^2)*'main page'!$U$13)))*(L394-controls!$B$9),Y394+'main page'!$K$29*L394+(1-'main page'!$K$29)*controls!$B$9+(('main page'!$K$25*'main page'!$U$13*'normal case'!$AV$3)/'normal case'!$AV$4)*('normal case'!L394-controls!$B$9))</f>
        <v>5.4999998509883881</v>
      </c>
      <c r="Y394" s="81">
        <f ca="1">IF(controls!$B$44=1,'main page'!$K$24+'main page'!$K$11,IF(controls!$B$33=1,((I395-D394*AD395-B395+B394*AC395)/'main page'!$K$27)-'main page'!$K$11,((H395-D394*AD395-B395+B394*AC395)/'main page'!$K$27)-'main page'!$K$11))</f>
        <v>3.5</v>
      </c>
      <c r="AA394" s="58">
        <f>IF(controls!$B$6=1,$AS$3*(1+('main page'!$K$35/100))^AB394-$AS$3*(1+('main page'!$K$35/100))^AB393,$AS$3*(1+('main page'!$G$8/100))*(1+('main page'!$K$35/100))^AB394-$AS$3*(1+('main page'!$G$8/100))*(1+('main page'!$K$35/100))^AB393)</f>
        <v>0</v>
      </c>
      <c r="AB394" s="60">
        <v>387</v>
      </c>
      <c r="AC394" s="125">
        <v>0</v>
      </c>
      <c r="AD394" s="36">
        <v>0</v>
      </c>
      <c r="AE394" s="44">
        <f ca="1">IF(controls!$B$33=1,D394-($I$3-'main page'!$K$27*2)*(1+('main page'!$K$35/100))^A393,D394-$AS$4)</f>
        <v>1.0000000596046448</v>
      </c>
      <c r="AF394" s="44">
        <f ca="1">ABS(L394-(controls!$B$9/100)*100)</f>
        <v>1.1920928955078125E-7</v>
      </c>
      <c r="AH394" s="44">
        <f ca="1">IF(controls!$B$33=1,(B395-B394*AC395-I395+D394*AD395+'main page'!$K$27*('main page'!$K$24+'main page'!$K$11))/'main page'!$K$31,(B395-B394*AC395+D394*AD395-H395+'main page'!$K$27*('main page'!$K$24+'main page'!$K$11))/'main page'!$K$31)</f>
        <v>1</v>
      </c>
      <c r="AI394" s="44">
        <f ca="1">IF(controls!$B$45=1,LOG(AM394,1.01)+LOG(AL394,1.01)-LOG(AK394,1.01),-((T394-('main page'!$K$24+'main page'!$K$11))/(1-'normal case'!$AV$3))+'normal case'!AH394)</f>
        <v>2.0000000596046448</v>
      </c>
      <c r="AJ394" s="80">
        <f t="shared" ca="1" si="54"/>
        <v>1.0506250015463039</v>
      </c>
      <c r="AK394" s="44">
        <f t="shared" ca="1" si="55"/>
        <v>2260.0779120784046</v>
      </c>
      <c r="AL394" s="44">
        <f>AL393*(1+'main page'!$K$32/100)</f>
        <v>1</v>
      </c>
      <c r="AM394" s="44">
        <f ca="1">IF(ABS(IF(controls!$B$45=1,$AS$13,AK394*AJ394/AL394)-AM393)&lt;0.00001,AM393,IF(controls!$B$45=1,$AS$13,AK394*AJ394/AL394))</f>
        <v>2374.4943598721411</v>
      </c>
      <c r="AN394" s="44">
        <f>IF(controls!$B$46=0,0,IF(controls!$B$33=2,B395-B394*AC395-('normal case'!H395-D394*AD395-'main page'!$K$27*'normal case'!T394+'main page'!$K$31*'normal case'!AI394)-(('main page'!$K$25*'main page'!$U$13*'main page'!$K$29)/(1+('main page'!$K$25^2)*'main page'!$U$13))*('normal case'!L394-'main page'!$U$8),B395-B394*AC395-('normal case'!I395-D394*AD395-'main page'!$K$27*'normal case'!T394+'main page'!$K$31*'normal case'!AI394)-(('main page'!$K$25*'main page'!$U$13*'main page'!$K$29)/(1+('main page'!$K$25^2)*'main page'!$U$13))*('normal case'!L394-'main page'!$U$8)))</f>
        <v>0</v>
      </c>
      <c r="AU394" s="36"/>
      <c r="AV394" s="36"/>
    </row>
    <row r="395" spans="1:48">
      <c r="A395" s="43">
        <v>393</v>
      </c>
      <c r="B395" s="62">
        <f ca="1">IF(controls!$B$33=1,B394*(1+AC395)+AA395,B394*(1+AC395))</f>
        <v>101</v>
      </c>
      <c r="C395" s="67">
        <f t="shared" ca="1" si="56"/>
        <v>-1.5107707374006907E-7</v>
      </c>
      <c r="D395" s="64">
        <f t="shared" ca="1" si="52"/>
        <v>101.00000005960464</v>
      </c>
      <c r="E395" s="64">
        <f ca="1">AN394+IF(controls!$B$33=1,G395,F395)</f>
        <v>101.00000005960464</v>
      </c>
      <c r="F395" s="78">
        <f ca="1">IF(controls!$B$44=0,H395-'main page'!$K$27*T394,H395-'main page'!$K$27*T394+'main page'!$K$31*AI394)</f>
        <v>101.00000005960464</v>
      </c>
      <c r="G395" s="62">
        <f ca="1">IF(controls!$B$44=0,I395-'main page'!$K$27*T394,I395-'main page'!$K$27*T394+'main page'!$K$31*'normal case'!AI394)</f>
        <v>101.00000005960464</v>
      </c>
      <c r="H395" s="62">
        <f t="shared" ca="1" si="50"/>
        <v>108</v>
      </c>
      <c r="I395" s="62">
        <f t="shared" ca="1" si="51"/>
        <v>108</v>
      </c>
      <c r="L395" s="62">
        <f ca="1">IF(ABS('main page'!$K$29*L394+(1-'main page'!$K$29)*(controls!$B$9/100)*100+'main page'!$K$25*(D395-B395)-L394)&lt;0.0000001,L394,'main page'!$K$29*L394+(1-'main page'!$K$29)*(controls!$B$9/100)*100+'main page'!$K$25*(D395-B395))</f>
        <v>1.9999998807907104</v>
      </c>
      <c r="Q395" s="409">
        <f ca="1">(1-'main page'!$K$29)*($AS$11/100)*100+'main page'!$K$25*(D395-B395)</f>
        <v>5.9604644775390625E-8</v>
      </c>
      <c r="R395" s="409">
        <f>'main page'!G399+'main page'!$K$29*M394</f>
        <v>0</v>
      </c>
      <c r="S395" s="409">
        <f t="shared" ca="1" si="57"/>
        <v>5.9604644775390625E-8</v>
      </c>
      <c r="T395" s="79">
        <f ca="1">IF(controls!$B$10=1,T394,IF(SUM(controls!$B$44:$B$46)=2,U395-'main page'!$K$29*'normal case'!L395-(1-'main page'!$K$29)*'main page'!$K$32,U395-'main page'!$K$29*'normal case'!L395-(1-'main page'!$K$29)*controls!$B$9))</f>
        <v>3.4999999701976776</v>
      </c>
      <c r="U395" s="164">
        <f ca="1">IF(controls!$B$45=1,IF(controls!$B$46=1,'main page'!$K$24+'main page'!$K$11+'main page'!$U$8,'main page'!$K$24+'main page'!$K$11+'main page'!$K$32),IF(controls!$B$44=1,IF(V395&lt;0,0,V395),IF(V395+'main page'!$K$11&lt;0,0,V395+'main page'!$K$11)))</f>
        <v>5.4999998509883881</v>
      </c>
      <c r="V395" s="63">
        <f ca="1">IF(controls!$B$10=1,'normal case'!T395+'normal case'!L395,'normal case'!W395)</f>
        <v>5.4999998509883881</v>
      </c>
      <c r="W395" s="61">
        <f t="shared" ca="1" si="53"/>
        <v>5.4999998509883881</v>
      </c>
      <c r="X395" s="166">
        <f ca="1">IF(controls!$B$44=0,Y395+'main page'!$K$29*L395+(1-'main page'!$K$29)*controls!$B$9+(('main page'!$K$25*'main page'!$U$13*'main page'!$K$29)/('main page'!$K$27*(1+('main page'!$K$25^2)*'main page'!$U$13)))*(L395-controls!$B$9),Y395+'main page'!$K$29*L395+(1-'main page'!$K$29)*controls!$B$9+(('main page'!$K$25*'main page'!$U$13*'normal case'!$AV$3)/'normal case'!$AV$4)*('normal case'!L395-controls!$B$9))</f>
        <v>5.4999998509883881</v>
      </c>
      <c r="Y395" s="81">
        <f ca="1">IF(controls!$B$44=1,'main page'!$K$24+'main page'!$K$11,IF(controls!$B$33=1,((I396-D395*AD396-B396+B395*AC396)/'main page'!$K$27)-'main page'!$K$11,((H396-D395*AD396-B396+B395*AC396)/'main page'!$K$27)-'main page'!$K$11))</f>
        <v>3.5</v>
      </c>
      <c r="AA395" s="58">
        <f>IF(controls!$B$6=1,$AS$3*(1+('main page'!$K$35/100))^AB395-$AS$3*(1+('main page'!$K$35/100))^AB394,$AS$3*(1+('main page'!$G$8/100))*(1+('main page'!$K$35/100))^AB395-$AS$3*(1+('main page'!$G$8/100))*(1+('main page'!$K$35/100))^AB394)</f>
        <v>0</v>
      </c>
      <c r="AB395" s="60">
        <v>388</v>
      </c>
      <c r="AC395" s="125">
        <f ca="1">IF(controls!$B$4=1,IF(controls!$H394=1,controls!$B$34*AC394+RAND()*('main page'!$K$16/100)-RAND()*('main page'!$K$16/100),0),0)</f>
        <v>0</v>
      </c>
      <c r="AD395" s="36">
        <f ca="1">IF(controls!$B$4=1,IF(controls!$I394=1,controls!$B$34*AD394+RAND()*('main page'!$K$16/100)-RAND()*('main page'!$K$16/100),0),0)</f>
        <v>0</v>
      </c>
      <c r="AE395" s="44">
        <f ca="1">IF(controls!$B$33=1,D395-($I$3-'main page'!$K$27*2)*(1+('main page'!$K$35/100))^A394,D395-$AS$4)</f>
        <v>1.0000000596046448</v>
      </c>
      <c r="AF395" s="44">
        <f ca="1">ABS(L395-(controls!$B$9/100)*100)</f>
        <v>1.1920928955078125E-7</v>
      </c>
      <c r="AH395" s="44">
        <f ca="1">IF(controls!$B$33=1,(B396-B395*AC396-I396+D395*AD396+'main page'!$K$27*('main page'!$K$24+'main page'!$K$11))/'main page'!$K$31,(B396-B395*AC396+D395*AD396-H396+'main page'!$K$27*('main page'!$K$24+'main page'!$K$11))/'main page'!$K$31)</f>
        <v>1</v>
      </c>
      <c r="AI395" s="44">
        <f ca="1">IF(controls!$B$45=1,LOG(AM395,1.01)+LOG(AL395,1.01)-LOG(AK395,1.01),-((T395-('main page'!$K$24+'main page'!$K$11))/(1-'normal case'!$AV$3))+'normal case'!AH395)</f>
        <v>2.0000000596046448</v>
      </c>
      <c r="AJ395" s="80">
        <f t="shared" ca="1" si="54"/>
        <v>1.0506250015463039</v>
      </c>
      <c r="AK395" s="44">
        <f t="shared" ca="1" si="55"/>
        <v>2305.2794676257499</v>
      </c>
      <c r="AL395" s="44">
        <f>AL394*(1+'main page'!$K$32/100)</f>
        <v>1</v>
      </c>
      <c r="AM395" s="44">
        <f ca="1">IF(ABS(IF(controls!$B$45=1,$AS$13,AK395*AJ395/AL395)-AM394)&lt;0.00001,AM394,IF(controls!$B$45=1,$AS$13,AK395*AJ395/AL395))</f>
        <v>2421.9842442389663</v>
      </c>
      <c r="AN395" s="44">
        <f>IF(controls!$B$46=0,0,IF(controls!$B$33=2,B396-B395*AC396-('normal case'!H396-D395*AD396-'main page'!$K$27*'normal case'!T395+'main page'!$K$31*'normal case'!AI395)-(('main page'!$K$25*'main page'!$U$13*'main page'!$K$29)/(1+('main page'!$K$25^2)*'main page'!$U$13))*('normal case'!L395-'main page'!$U$8),B396-B395*AC396-('normal case'!I396-D395*AD396-'main page'!$K$27*'normal case'!T395+'main page'!$K$31*'normal case'!AI395)-(('main page'!$K$25*'main page'!$U$13*'main page'!$K$29)/(1+('main page'!$K$25^2)*'main page'!$U$13))*('normal case'!L395-'main page'!$U$8)))</f>
        <v>0</v>
      </c>
      <c r="AU395" s="36"/>
      <c r="AV395" s="36"/>
    </row>
    <row r="396" spans="1:48">
      <c r="A396" s="43">
        <v>394</v>
      </c>
      <c r="B396" s="62">
        <f ca="1">IF(controls!$B$33=1,B395*(1+AC396)+AA396,B395*(1+AC396))</f>
        <v>101</v>
      </c>
      <c r="C396" s="67">
        <f t="shared" ca="1" si="56"/>
        <v>-1.5107707374006907E-7</v>
      </c>
      <c r="D396" s="64">
        <f t="shared" ca="1" si="52"/>
        <v>101.00000005960464</v>
      </c>
      <c r="E396" s="64">
        <f ca="1">AN395+IF(controls!$B$33=1,G396,F396)</f>
        <v>101.00000005960464</v>
      </c>
      <c r="F396" s="78">
        <f ca="1">IF(controls!$B$44=0,H396-'main page'!$K$27*T395,H396-'main page'!$K$27*T395+'main page'!$K$31*AI395)</f>
        <v>101.00000005960464</v>
      </c>
      <c r="G396" s="62">
        <f ca="1">IF(controls!$B$44=0,I396-'main page'!$K$27*T395,I396-'main page'!$K$27*T395+'main page'!$K$31*'normal case'!AI395)</f>
        <v>101.00000005960464</v>
      </c>
      <c r="H396" s="62">
        <f t="shared" ca="1" si="50"/>
        <v>108</v>
      </c>
      <c r="I396" s="62">
        <f t="shared" ca="1" si="51"/>
        <v>108</v>
      </c>
      <c r="L396" s="62">
        <f ca="1">IF(ABS('main page'!$K$29*L395+(1-'main page'!$K$29)*(controls!$B$9/100)*100+'main page'!$K$25*(D396-B396)-L395)&lt;0.0000001,L395,'main page'!$K$29*L395+(1-'main page'!$K$29)*(controls!$B$9/100)*100+'main page'!$K$25*(D396-B396))</f>
        <v>1.9999998807907104</v>
      </c>
      <c r="Q396" s="409">
        <f ca="1">(1-'main page'!$K$29)*($AS$11/100)*100+'main page'!$K$25*(D396-B396)</f>
        <v>5.9604644775390625E-8</v>
      </c>
      <c r="R396" s="409">
        <f>'main page'!G400+'main page'!$K$29*M395</f>
        <v>0</v>
      </c>
      <c r="S396" s="409">
        <f t="shared" ca="1" si="57"/>
        <v>5.9604644775390625E-8</v>
      </c>
      <c r="T396" s="79">
        <f ca="1">IF(controls!$B$10=1,T395,IF(SUM(controls!$B$44:$B$46)=2,U396-'main page'!$K$29*'normal case'!L396-(1-'main page'!$K$29)*'main page'!$K$32,U396-'main page'!$K$29*'normal case'!L396-(1-'main page'!$K$29)*controls!$B$9))</f>
        <v>3.4999999701976776</v>
      </c>
      <c r="U396" s="164">
        <f ca="1">IF(controls!$B$45=1,IF(controls!$B$46=1,'main page'!$K$24+'main page'!$K$11+'main page'!$U$8,'main page'!$K$24+'main page'!$K$11+'main page'!$K$32),IF(controls!$B$44=1,IF(V396&lt;0,0,V396),IF(V396+'main page'!$K$11&lt;0,0,V396+'main page'!$K$11)))</f>
        <v>5.4999998509883881</v>
      </c>
      <c r="V396" s="63">
        <f ca="1">IF(controls!$B$10=1,'normal case'!T396+'normal case'!L396,'normal case'!W396)</f>
        <v>5.4999998509883881</v>
      </c>
      <c r="W396" s="61">
        <f t="shared" ca="1" si="53"/>
        <v>5.4999998509883881</v>
      </c>
      <c r="X396" s="166">
        <f ca="1">IF(controls!$B$44=0,Y396+'main page'!$K$29*L396+(1-'main page'!$K$29)*controls!$B$9+(('main page'!$K$25*'main page'!$U$13*'main page'!$K$29)/('main page'!$K$27*(1+('main page'!$K$25^2)*'main page'!$U$13)))*(L396-controls!$B$9),Y396+'main page'!$K$29*L396+(1-'main page'!$K$29)*controls!$B$9+(('main page'!$K$25*'main page'!$U$13*'normal case'!$AV$3)/'normal case'!$AV$4)*('normal case'!L396-controls!$B$9))</f>
        <v>5.4999998509883881</v>
      </c>
      <c r="Y396" s="81">
        <f ca="1">IF(controls!$B$44=1,'main page'!$K$24+'main page'!$K$11,IF(controls!$B$33=1,((I397-D396*AD397-B397+B396*AC397)/'main page'!$K$27)-'main page'!$K$11,((H397-D396*AD397-B397+B396*AC397)/'main page'!$K$27)-'main page'!$K$11))</f>
        <v>3.5</v>
      </c>
      <c r="AA396" s="58">
        <f>IF(controls!$B$6=1,$AS$3*(1+('main page'!$K$35/100))^AB396-$AS$3*(1+('main page'!$K$35/100))^AB395,$AS$3*(1+('main page'!$G$8/100))*(1+('main page'!$K$35/100))^AB396-$AS$3*(1+('main page'!$G$8/100))*(1+('main page'!$K$35/100))^AB395)</f>
        <v>0</v>
      </c>
      <c r="AB396" s="60">
        <v>389</v>
      </c>
      <c r="AC396" s="125">
        <v>0</v>
      </c>
      <c r="AD396" s="36">
        <v>0</v>
      </c>
      <c r="AE396" s="44">
        <f ca="1">IF(controls!$B$33=1,D396-($I$3-'main page'!$K$27*2)*(1+('main page'!$K$35/100))^A395,D396-$AS$4)</f>
        <v>1.0000000596046448</v>
      </c>
      <c r="AF396" s="44">
        <f ca="1">ABS(L396-(controls!$B$9/100)*100)</f>
        <v>1.1920928955078125E-7</v>
      </c>
      <c r="AH396" s="44">
        <f ca="1">IF(controls!$B$33=1,(B397-B396*AC397-I397+D396*AD397+'main page'!$K$27*('main page'!$K$24+'main page'!$K$11))/'main page'!$K$31,(B397-B396*AC397+D396*AD397-H397+'main page'!$K$27*('main page'!$K$24+'main page'!$K$11))/'main page'!$K$31)</f>
        <v>1</v>
      </c>
      <c r="AI396" s="44">
        <f ca="1">IF(controls!$B$45=1,LOG(AM396,1.01)+LOG(AL396,1.01)-LOG(AK396,1.01),-((T396-('main page'!$K$24+'main page'!$K$11))/(1-'normal case'!$AV$3))+'normal case'!AH396)</f>
        <v>2.0000000596046448</v>
      </c>
      <c r="AJ396" s="80">
        <f t="shared" ca="1" si="54"/>
        <v>1.0506250015463039</v>
      </c>
      <c r="AK396" s="44">
        <f t="shared" ca="1" si="55"/>
        <v>2351.3850542301579</v>
      </c>
      <c r="AL396" s="44">
        <f>AL395*(1+'main page'!$K$32/100)</f>
        <v>1</v>
      </c>
      <c r="AM396" s="44">
        <f ca="1">IF(ABS(IF(controls!$B$45=1,$AS$13,AK396*AJ396/AL396)-AM395)&lt;0.00001,AM395,IF(controls!$B$45=1,$AS$13,AK396*AJ396/AL396))</f>
        <v>2470.4239262365154</v>
      </c>
      <c r="AN396" s="44">
        <f>IF(controls!$B$46=0,0,IF(controls!$B$33=2,B397-B396*AC397-('normal case'!H397-D396*AD397-'main page'!$K$27*'normal case'!T396+'main page'!$K$31*'normal case'!AI396)-(('main page'!$K$25*'main page'!$U$13*'main page'!$K$29)/(1+('main page'!$K$25^2)*'main page'!$U$13))*('normal case'!L396-'main page'!$U$8),B397-B396*AC397-('normal case'!I397-D396*AD397-'main page'!$K$27*'normal case'!T396+'main page'!$K$31*'normal case'!AI396)-(('main page'!$K$25*'main page'!$U$13*'main page'!$K$29)/(1+('main page'!$K$25^2)*'main page'!$U$13))*('normal case'!L396-'main page'!$U$8)))</f>
        <v>0</v>
      </c>
      <c r="AU396" s="36"/>
      <c r="AV396" s="36"/>
    </row>
    <row r="397" spans="1:48">
      <c r="A397" s="43">
        <v>395</v>
      </c>
      <c r="B397" s="62">
        <f ca="1">IF(controls!$B$33=1,B396*(1+AC397)+AA397,B396*(1+AC397))</f>
        <v>101</v>
      </c>
      <c r="C397" s="67">
        <f t="shared" ca="1" si="56"/>
        <v>-1.5107707374006907E-7</v>
      </c>
      <c r="D397" s="64">
        <f t="shared" ca="1" si="52"/>
        <v>101.00000005960464</v>
      </c>
      <c r="E397" s="64">
        <f ca="1">AN396+IF(controls!$B$33=1,G397,F397)</f>
        <v>101.00000005960464</v>
      </c>
      <c r="F397" s="78">
        <f ca="1">IF(controls!$B$44=0,H397-'main page'!$K$27*T396,H397-'main page'!$K$27*T396+'main page'!$K$31*AI396)</f>
        <v>101.00000005960464</v>
      </c>
      <c r="G397" s="62">
        <f ca="1">IF(controls!$B$44=0,I397-'main page'!$K$27*T396,I397-'main page'!$K$27*T396+'main page'!$K$31*'normal case'!AI396)</f>
        <v>101.00000005960464</v>
      </c>
      <c r="H397" s="62">
        <f t="shared" ca="1" si="50"/>
        <v>108</v>
      </c>
      <c r="I397" s="62">
        <f t="shared" ca="1" si="51"/>
        <v>108</v>
      </c>
      <c r="L397" s="62">
        <f ca="1">IF(ABS('main page'!$K$29*L396+(1-'main page'!$K$29)*(controls!$B$9/100)*100+'main page'!$K$25*(D397-B397)-L396)&lt;0.0000001,L396,'main page'!$K$29*L396+(1-'main page'!$K$29)*(controls!$B$9/100)*100+'main page'!$K$25*(D397-B397))</f>
        <v>1.9999998807907104</v>
      </c>
      <c r="Q397" s="409">
        <f ca="1">(1-'main page'!$K$29)*($AS$11/100)*100+'main page'!$K$25*(D397-B397)</f>
        <v>5.9604644775390625E-8</v>
      </c>
      <c r="R397" s="409">
        <f>'main page'!G401+'main page'!$K$29*M396</f>
        <v>0</v>
      </c>
      <c r="S397" s="409">
        <f t="shared" ca="1" si="57"/>
        <v>5.9604644775390625E-8</v>
      </c>
      <c r="T397" s="79">
        <f ca="1">IF(controls!$B$10=1,T396,IF(SUM(controls!$B$44:$B$46)=2,U397-'main page'!$K$29*'normal case'!L397-(1-'main page'!$K$29)*'main page'!$K$32,U397-'main page'!$K$29*'normal case'!L397-(1-'main page'!$K$29)*controls!$B$9))</f>
        <v>3.4999999701976776</v>
      </c>
      <c r="U397" s="164">
        <f ca="1">IF(controls!$B$45=1,IF(controls!$B$46=1,'main page'!$K$24+'main page'!$K$11+'main page'!$U$8,'main page'!$K$24+'main page'!$K$11+'main page'!$K$32),IF(controls!$B$44=1,IF(V397&lt;0,0,V397),IF(V397+'main page'!$K$11&lt;0,0,V397+'main page'!$K$11)))</f>
        <v>5.4999998509883881</v>
      </c>
      <c r="V397" s="63">
        <f ca="1">IF(controls!$B$10=1,'normal case'!T397+'normal case'!L397,'normal case'!W397)</f>
        <v>5.4999998509883881</v>
      </c>
      <c r="W397" s="61">
        <f t="shared" ca="1" si="53"/>
        <v>5.4999998509883881</v>
      </c>
      <c r="X397" s="166">
        <f ca="1">IF(controls!$B$44=0,Y397+'main page'!$K$29*L397+(1-'main page'!$K$29)*controls!$B$9+(('main page'!$K$25*'main page'!$U$13*'main page'!$K$29)/('main page'!$K$27*(1+('main page'!$K$25^2)*'main page'!$U$13)))*(L397-controls!$B$9),Y397+'main page'!$K$29*L397+(1-'main page'!$K$29)*controls!$B$9+(('main page'!$K$25*'main page'!$U$13*'normal case'!$AV$3)/'normal case'!$AV$4)*('normal case'!L397-controls!$B$9))</f>
        <v>5.4999998509883881</v>
      </c>
      <c r="Y397" s="81">
        <f ca="1">IF(controls!$B$44=1,'main page'!$K$24+'main page'!$K$11,IF(controls!$B$33=1,((I398-D397*AD398-B398+B397*AC398)/'main page'!$K$27)-'main page'!$K$11,((H398-D397*AD398-B398+B397*AC398)/'main page'!$K$27)-'main page'!$K$11))</f>
        <v>3.5</v>
      </c>
      <c r="AA397" s="58">
        <f>IF(controls!$B$6=1,$AS$3*(1+('main page'!$K$35/100))^AB397-$AS$3*(1+('main page'!$K$35/100))^AB396,$AS$3*(1+('main page'!$G$8/100))*(1+('main page'!$K$35/100))^AB397-$AS$3*(1+('main page'!$G$8/100))*(1+('main page'!$K$35/100))^AB396)</f>
        <v>0</v>
      </c>
      <c r="AB397" s="60">
        <v>390</v>
      </c>
      <c r="AC397" s="125">
        <v>0</v>
      </c>
      <c r="AD397" s="36">
        <v>0</v>
      </c>
      <c r="AE397" s="44">
        <f ca="1">IF(controls!$B$33=1,D397-($I$3-'main page'!$K$27*2)*(1+('main page'!$K$35/100))^A396,D397-$AS$4)</f>
        <v>1.0000000596046448</v>
      </c>
      <c r="AF397" s="44">
        <f ca="1">ABS(L397-(controls!$B$9/100)*100)</f>
        <v>1.1920928955078125E-7</v>
      </c>
      <c r="AH397" s="44">
        <f ca="1">IF(controls!$B$33=1,(B398-B397*AC398-I398+D397*AD398+'main page'!$K$27*('main page'!$K$24+'main page'!$K$11))/'main page'!$K$31,(B398-B397*AC398+D397*AD398-H398+'main page'!$K$27*('main page'!$K$24+'main page'!$K$11))/'main page'!$K$31)</f>
        <v>1</v>
      </c>
      <c r="AI397" s="44">
        <f ca="1">IF(controls!$B$45=1,LOG(AM397,1.01)+LOG(AL397,1.01)-LOG(AK397,1.01),-((T397-('main page'!$K$24+'main page'!$K$11))/(1-'normal case'!$AV$3))+'normal case'!AH397)</f>
        <v>2.0000000596046448</v>
      </c>
      <c r="AJ397" s="80">
        <f t="shared" ca="1" si="54"/>
        <v>1.0506250015463039</v>
      </c>
      <c r="AK397" s="44">
        <f t="shared" ca="1" si="55"/>
        <v>2398.4127525116919</v>
      </c>
      <c r="AL397" s="44">
        <f>AL396*(1+'main page'!$K$32/100)</f>
        <v>1</v>
      </c>
      <c r="AM397" s="44">
        <f ca="1">IF(ABS(IF(controls!$B$45=1,$AS$13,AK397*AJ397/AL397)-AM396)&lt;0.00001,AM396,IF(controls!$B$45=1,$AS$13,AK397*AJ397/AL397))</f>
        <v>2519.8324018162712</v>
      </c>
      <c r="AN397" s="44">
        <f>IF(controls!$B$46=0,0,IF(controls!$B$33=2,B398-B397*AC398-('normal case'!H398-D397*AD398-'main page'!$K$27*'normal case'!T397+'main page'!$K$31*'normal case'!AI397)-(('main page'!$K$25*'main page'!$U$13*'main page'!$K$29)/(1+('main page'!$K$25^2)*'main page'!$U$13))*('normal case'!L397-'main page'!$U$8),B398-B397*AC398-('normal case'!I398-D397*AD398-'main page'!$K$27*'normal case'!T397+'main page'!$K$31*'normal case'!AI397)-(('main page'!$K$25*'main page'!$U$13*'main page'!$K$29)/(1+('main page'!$K$25^2)*'main page'!$U$13))*('normal case'!L397-'main page'!$U$8)))</f>
        <v>0</v>
      </c>
      <c r="AU397" s="36"/>
      <c r="AV397" s="36"/>
    </row>
    <row r="398" spans="1:48">
      <c r="A398" s="43">
        <v>396</v>
      </c>
      <c r="B398" s="62">
        <f ca="1">IF(controls!$B$33=1,B397*(1+AC398)+AA398,B397*(1+AC398))</f>
        <v>101</v>
      </c>
      <c r="C398" s="67">
        <f t="shared" ca="1" si="56"/>
        <v>-1.5107707374006907E-7</v>
      </c>
      <c r="D398" s="64">
        <f t="shared" ca="1" si="52"/>
        <v>101.00000005960464</v>
      </c>
      <c r="E398" s="64">
        <f ca="1">AN397+IF(controls!$B$33=1,G398,F398)</f>
        <v>101.00000005960464</v>
      </c>
      <c r="F398" s="78">
        <f ca="1">IF(controls!$B$44=0,H398-'main page'!$K$27*T397,H398-'main page'!$K$27*T397+'main page'!$K$31*AI397)</f>
        <v>101.00000005960464</v>
      </c>
      <c r="G398" s="62">
        <f ca="1">IF(controls!$B$44=0,I398-'main page'!$K$27*T397,I398-'main page'!$K$27*T397+'main page'!$K$31*'normal case'!AI397)</f>
        <v>101.00000005960464</v>
      </c>
      <c r="H398" s="62">
        <f t="shared" ca="1" si="50"/>
        <v>108</v>
      </c>
      <c r="I398" s="62">
        <f t="shared" ca="1" si="51"/>
        <v>108</v>
      </c>
      <c r="L398" s="62">
        <f ca="1">IF(ABS('main page'!$K$29*L397+(1-'main page'!$K$29)*(controls!$B$9/100)*100+'main page'!$K$25*(D398-B398)-L397)&lt;0.0000001,L397,'main page'!$K$29*L397+(1-'main page'!$K$29)*(controls!$B$9/100)*100+'main page'!$K$25*(D398-B398))</f>
        <v>1.9999998807907104</v>
      </c>
      <c r="Q398" s="409">
        <f ca="1">(1-'main page'!$K$29)*($AS$11/100)*100+'main page'!$K$25*(D398-B398)</f>
        <v>5.9604644775390625E-8</v>
      </c>
      <c r="R398" s="409">
        <f>'main page'!G402+'main page'!$K$29*M397</f>
        <v>0</v>
      </c>
      <c r="S398" s="409">
        <f t="shared" ca="1" si="57"/>
        <v>5.9604644775390625E-8</v>
      </c>
      <c r="T398" s="79">
        <f ca="1">IF(controls!$B$10=1,T397,IF(SUM(controls!$B$44:$B$46)=2,U398-'main page'!$K$29*'normal case'!L398-(1-'main page'!$K$29)*'main page'!$K$32,U398-'main page'!$K$29*'normal case'!L398-(1-'main page'!$K$29)*controls!$B$9))</f>
        <v>3.4999999701976776</v>
      </c>
      <c r="U398" s="164">
        <f ca="1">IF(controls!$B$45=1,IF(controls!$B$46=1,'main page'!$K$24+'main page'!$K$11+'main page'!$U$8,'main page'!$K$24+'main page'!$K$11+'main page'!$K$32),IF(controls!$B$44=1,IF(V398&lt;0,0,V398),IF(V398+'main page'!$K$11&lt;0,0,V398+'main page'!$K$11)))</f>
        <v>5.4999998509883881</v>
      </c>
      <c r="V398" s="63">
        <f ca="1">IF(controls!$B$10=1,'normal case'!T398+'normal case'!L398,'normal case'!W398)</f>
        <v>5.4999998509883881</v>
      </c>
      <c r="W398" s="61">
        <f t="shared" ca="1" si="53"/>
        <v>5.4999998509883881</v>
      </c>
      <c r="X398" s="166">
        <f ca="1">IF(controls!$B$44=0,Y398+'main page'!$K$29*L398+(1-'main page'!$K$29)*controls!$B$9+(('main page'!$K$25*'main page'!$U$13*'main page'!$K$29)/('main page'!$K$27*(1+('main page'!$K$25^2)*'main page'!$U$13)))*(L398-controls!$B$9),Y398+'main page'!$K$29*L398+(1-'main page'!$K$29)*controls!$B$9+(('main page'!$K$25*'main page'!$U$13*'normal case'!$AV$3)/'normal case'!$AV$4)*('normal case'!L398-controls!$B$9))</f>
        <v>5.4999998509883881</v>
      </c>
      <c r="Y398" s="81">
        <f ca="1">IF(controls!$B$44=1,'main page'!$K$24+'main page'!$K$11,IF(controls!$B$33=1,((I399-D398*AD399-B399+B398*AC399)/'main page'!$K$27)-'main page'!$K$11,((H399-D398*AD399-B399+B398*AC399)/'main page'!$K$27)-'main page'!$K$11))</f>
        <v>3.5</v>
      </c>
      <c r="AA398" s="58">
        <f>IF(controls!$B$6=1,$AS$3*(1+('main page'!$K$35/100))^AB398-$AS$3*(1+('main page'!$K$35/100))^AB397,$AS$3*(1+('main page'!$G$8/100))*(1+('main page'!$K$35/100))^AB398-$AS$3*(1+('main page'!$G$8/100))*(1+('main page'!$K$35/100))^AB397)</f>
        <v>0</v>
      </c>
      <c r="AB398" s="60">
        <v>391</v>
      </c>
      <c r="AC398" s="125">
        <f ca="1">IF(controls!$B$4=1,IF(controls!$H397=1,controls!$B$34*AC397+RAND()*('main page'!$K$16/100)-RAND()*('main page'!$K$16/100),0),0)</f>
        <v>0</v>
      </c>
      <c r="AD398" s="36">
        <f ca="1">IF(controls!$B$4=1,IF(controls!$I397=1,controls!$B$34*AD397+RAND()*('main page'!$K$16/100)-RAND()*('main page'!$K$16/100),0),0)</f>
        <v>0</v>
      </c>
      <c r="AE398" s="44">
        <f ca="1">IF(controls!$B$33=1,D398-($I$3-'main page'!$K$27*2)*(1+('main page'!$K$35/100))^A397,D398-$AS$4)</f>
        <v>1.0000000596046448</v>
      </c>
      <c r="AF398" s="44">
        <f ca="1">ABS(L398-(controls!$B$9/100)*100)</f>
        <v>1.1920928955078125E-7</v>
      </c>
      <c r="AH398" s="44">
        <f ca="1">IF(controls!$B$33=1,(B399-B398*AC399-I399+D398*AD399+'main page'!$K$27*('main page'!$K$24+'main page'!$K$11))/'main page'!$K$31,(B399-B398*AC399+D398*AD399-H399+'main page'!$K$27*('main page'!$K$24+'main page'!$K$11))/'main page'!$K$31)</f>
        <v>1</v>
      </c>
      <c r="AI398" s="44">
        <f ca="1">IF(controls!$B$45=1,LOG(AM398,1.01)+LOG(AL398,1.01)-LOG(AK398,1.01),-((T398-('main page'!$K$24+'main page'!$K$11))/(1-'normal case'!$AV$3))+'normal case'!AH398)</f>
        <v>2.0000000596046448</v>
      </c>
      <c r="AJ398" s="80">
        <f t="shared" ca="1" si="54"/>
        <v>1.0506250015463039</v>
      </c>
      <c r="AK398" s="44">
        <f t="shared" ca="1" si="55"/>
        <v>2446.3810047027951</v>
      </c>
      <c r="AL398" s="44">
        <f>AL397*(1+'main page'!$K$32/100)</f>
        <v>1</v>
      </c>
      <c r="AM398" s="44">
        <f ca="1">IF(ABS(IF(controls!$B$45=1,$AS$13,AK398*AJ398/AL398)-AM397)&lt;0.00001,AM397,IF(controls!$B$45=1,$AS$13,AK398*AJ398/AL398))</f>
        <v>2570.2290468487226</v>
      </c>
      <c r="AN398" s="44">
        <f>IF(controls!$B$46=0,0,IF(controls!$B$33=2,B399-B398*AC399-('normal case'!H399-D398*AD399-'main page'!$K$27*'normal case'!T398+'main page'!$K$31*'normal case'!AI398)-(('main page'!$K$25*'main page'!$U$13*'main page'!$K$29)/(1+('main page'!$K$25^2)*'main page'!$U$13))*('normal case'!L398-'main page'!$U$8),B399-B398*AC399-('normal case'!I399-D398*AD399-'main page'!$K$27*'normal case'!T398+'main page'!$K$31*'normal case'!AI398)-(('main page'!$K$25*'main page'!$U$13*'main page'!$K$29)/(1+('main page'!$K$25^2)*'main page'!$U$13))*('normal case'!L398-'main page'!$U$8)))</f>
        <v>0</v>
      </c>
      <c r="AU398" s="36"/>
      <c r="AV398" s="36"/>
    </row>
    <row r="399" spans="1:48">
      <c r="A399" s="43">
        <v>397</v>
      </c>
      <c r="B399" s="62">
        <f ca="1">IF(controls!$B$33=1,B398*(1+AC399)+AA399,B398*(1+AC399))</f>
        <v>101</v>
      </c>
      <c r="C399" s="67">
        <f t="shared" ca="1" si="56"/>
        <v>-1.5107707374006907E-7</v>
      </c>
      <c r="D399" s="64">
        <f t="shared" ca="1" si="52"/>
        <v>101.00000005960464</v>
      </c>
      <c r="E399" s="64">
        <f ca="1">AN398+IF(controls!$B$33=1,G399,F399)</f>
        <v>101.00000005960464</v>
      </c>
      <c r="F399" s="78">
        <f ca="1">IF(controls!$B$44=0,H399-'main page'!$K$27*T398,H399-'main page'!$K$27*T398+'main page'!$K$31*AI398)</f>
        <v>101.00000005960464</v>
      </c>
      <c r="G399" s="62">
        <f ca="1">IF(controls!$B$44=0,I399-'main page'!$K$27*T398,I399-'main page'!$K$27*T398+'main page'!$K$31*'normal case'!AI398)</f>
        <v>101.00000005960464</v>
      </c>
      <c r="H399" s="62">
        <f t="shared" ca="1" si="50"/>
        <v>108</v>
      </c>
      <c r="I399" s="62">
        <f t="shared" ca="1" si="51"/>
        <v>108</v>
      </c>
      <c r="L399" s="62">
        <f ca="1">IF(ABS('main page'!$K$29*L398+(1-'main page'!$K$29)*(controls!$B$9/100)*100+'main page'!$K$25*(D399-B399)-L398)&lt;0.0000001,L398,'main page'!$K$29*L398+(1-'main page'!$K$29)*(controls!$B$9/100)*100+'main page'!$K$25*(D399-B399))</f>
        <v>1.9999998807907104</v>
      </c>
      <c r="Q399" s="409">
        <f ca="1">(1-'main page'!$K$29)*($AS$11/100)*100+'main page'!$K$25*(D399-B399)</f>
        <v>5.9604644775390625E-8</v>
      </c>
      <c r="R399" s="409">
        <f>'main page'!G403+'main page'!$K$29*M398</f>
        <v>0</v>
      </c>
      <c r="S399" s="409">
        <f t="shared" ca="1" si="57"/>
        <v>5.9604644775390625E-8</v>
      </c>
      <c r="T399" s="79">
        <f ca="1">IF(controls!$B$10=1,T398,IF(SUM(controls!$B$44:$B$46)=2,U399-'main page'!$K$29*'normal case'!L399-(1-'main page'!$K$29)*'main page'!$K$32,U399-'main page'!$K$29*'normal case'!L399-(1-'main page'!$K$29)*controls!$B$9))</f>
        <v>3.4999999701976776</v>
      </c>
      <c r="U399" s="164">
        <f ca="1">IF(controls!$B$45=1,IF(controls!$B$46=1,'main page'!$K$24+'main page'!$K$11+'main page'!$U$8,'main page'!$K$24+'main page'!$K$11+'main page'!$K$32),IF(controls!$B$44=1,IF(V399&lt;0,0,V399),IF(V399+'main page'!$K$11&lt;0,0,V399+'main page'!$K$11)))</f>
        <v>5.4999998509883881</v>
      </c>
      <c r="V399" s="63">
        <f ca="1">IF(controls!$B$10=1,'normal case'!T399+'normal case'!L399,'normal case'!W399)</f>
        <v>5.4999998509883881</v>
      </c>
      <c r="W399" s="61">
        <f t="shared" ca="1" si="53"/>
        <v>5.4999998509883881</v>
      </c>
      <c r="X399" s="166">
        <f ca="1">IF(controls!$B$44=0,Y399+'main page'!$K$29*L399+(1-'main page'!$K$29)*controls!$B$9+(('main page'!$K$25*'main page'!$U$13*'main page'!$K$29)/('main page'!$K$27*(1+('main page'!$K$25^2)*'main page'!$U$13)))*(L399-controls!$B$9),Y399+'main page'!$K$29*L399+(1-'main page'!$K$29)*controls!$B$9+(('main page'!$K$25*'main page'!$U$13*'normal case'!$AV$3)/'normal case'!$AV$4)*('normal case'!L399-controls!$B$9))</f>
        <v>5.4999998509883881</v>
      </c>
      <c r="Y399" s="81">
        <f ca="1">IF(controls!$B$44=1,'main page'!$K$24+'main page'!$K$11,IF(controls!$B$33=1,((I400-D399*AD400-B400+B399*AC400)/'main page'!$K$27)-'main page'!$K$11,((H400-D399*AD400-B400+B399*AC400)/'main page'!$K$27)-'main page'!$K$11))</f>
        <v>3.5</v>
      </c>
      <c r="AA399" s="58">
        <f>IF(controls!$B$6=1,$AS$3*(1+('main page'!$K$35/100))^AB399-$AS$3*(1+('main page'!$K$35/100))^AB398,$AS$3*(1+('main page'!$G$8/100))*(1+('main page'!$K$35/100))^AB399-$AS$3*(1+('main page'!$G$8/100))*(1+('main page'!$K$35/100))^AB398)</f>
        <v>0</v>
      </c>
      <c r="AB399" s="60">
        <v>392</v>
      </c>
      <c r="AC399" s="125">
        <v>0</v>
      </c>
      <c r="AD399" s="36">
        <v>0</v>
      </c>
      <c r="AE399" s="44">
        <f ca="1">IF(controls!$B$33=1,D399-($I$3-'main page'!$K$27*2)*(1+('main page'!$K$35/100))^A398,D399-$AS$4)</f>
        <v>1.0000000596046448</v>
      </c>
      <c r="AF399" s="44">
        <f ca="1">ABS(L399-(controls!$B$9/100)*100)</f>
        <v>1.1920928955078125E-7</v>
      </c>
      <c r="AH399" s="44">
        <f ca="1">IF(controls!$B$33=1,(B400-B399*AC400-I400+D399*AD400+'main page'!$K$27*('main page'!$K$24+'main page'!$K$11))/'main page'!$K$31,(B400-B399*AC400+D399*AD400-H400+'main page'!$K$27*('main page'!$K$24+'main page'!$K$11))/'main page'!$K$31)</f>
        <v>1</v>
      </c>
      <c r="AI399" s="44">
        <f ca="1">IF(controls!$B$45=1,LOG(AM399,1.01)+LOG(AL399,1.01)-LOG(AK399,1.01),-((T399-('main page'!$K$24+'main page'!$K$11))/(1-'normal case'!$AV$3))+'normal case'!AH399)</f>
        <v>2.0000000596046448</v>
      </c>
      <c r="AJ399" s="80">
        <f t="shared" ca="1" si="54"/>
        <v>1.0506250015463039</v>
      </c>
      <c r="AK399" s="44">
        <f t="shared" ca="1" si="55"/>
        <v>2495.3086218805374</v>
      </c>
      <c r="AL399" s="44">
        <f>AL398*(1+'main page'!$K$32/100)</f>
        <v>1</v>
      </c>
      <c r="AM399" s="44">
        <f ca="1">IF(ABS(IF(controls!$B$45=1,$AS$13,AK399*AJ399/AL399)-AM398)&lt;0.00001,AM398,IF(controls!$B$45=1,$AS$13,AK399*AJ399/AL399))</f>
        <v>2621.633624721745</v>
      </c>
      <c r="AN399" s="44">
        <f>IF(controls!$B$46=0,0,IF(controls!$B$33=2,B400-B399*AC400-('normal case'!H400-D399*AD400-'main page'!$K$27*'normal case'!T399+'main page'!$K$31*'normal case'!AI399)-(('main page'!$K$25*'main page'!$U$13*'main page'!$K$29)/(1+('main page'!$K$25^2)*'main page'!$U$13))*('normal case'!L399-'main page'!$U$8),B400-B399*AC400-('normal case'!I400-D399*AD400-'main page'!$K$27*'normal case'!T399+'main page'!$K$31*'normal case'!AI399)-(('main page'!$K$25*'main page'!$U$13*'main page'!$K$29)/(1+('main page'!$K$25^2)*'main page'!$U$13))*('normal case'!L399-'main page'!$U$8)))</f>
        <v>0</v>
      </c>
      <c r="AU399" s="36"/>
      <c r="AV399" s="36"/>
    </row>
    <row r="400" spans="1:48">
      <c r="A400" s="43">
        <v>398</v>
      </c>
      <c r="B400" s="62">
        <f ca="1">IF(controls!$B$33=1,B399*(1+AC400)+AA400,B399*(1+AC400))</f>
        <v>101</v>
      </c>
      <c r="C400" s="67">
        <f t="shared" ca="1" si="56"/>
        <v>-1.5107707374006907E-7</v>
      </c>
      <c r="D400" s="64">
        <f t="shared" ca="1" si="52"/>
        <v>101.00000005960464</v>
      </c>
      <c r="E400" s="64">
        <f ca="1">AN399+IF(controls!$B$33=1,G400,F400)</f>
        <v>101.00000005960464</v>
      </c>
      <c r="F400" s="78">
        <f ca="1">IF(controls!$B$44=0,H400-'main page'!$K$27*T399,H400-'main page'!$K$27*T399+'main page'!$K$31*AI399)</f>
        <v>101.00000005960464</v>
      </c>
      <c r="G400" s="62">
        <f ca="1">IF(controls!$B$44=0,I400-'main page'!$K$27*T399,I400-'main page'!$K$27*T399+'main page'!$K$31*'normal case'!AI399)</f>
        <v>101.00000005960464</v>
      </c>
      <c r="H400" s="62">
        <f t="shared" ca="1" si="50"/>
        <v>108</v>
      </c>
      <c r="I400" s="62">
        <f t="shared" ca="1" si="51"/>
        <v>108</v>
      </c>
      <c r="L400" s="62">
        <f ca="1">IF(ABS('main page'!$K$29*L399+(1-'main page'!$K$29)*(controls!$B$9/100)*100+'main page'!$K$25*(D400-B400)-L399)&lt;0.0000001,L399,'main page'!$K$29*L399+(1-'main page'!$K$29)*(controls!$B$9/100)*100+'main page'!$K$25*(D400-B400))</f>
        <v>1.9999998807907104</v>
      </c>
      <c r="Q400" s="409">
        <f ca="1">(1-'main page'!$K$29)*($AS$11/100)*100+'main page'!$K$25*(D400-B400)</f>
        <v>5.9604644775390625E-8</v>
      </c>
      <c r="R400" s="409">
        <f>'main page'!G404+'main page'!$K$29*M399</f>
        <v>0</v>
      </c>
      <c r="S400" s="409">
        <f t="shared" ca="1" si="57"/>
        <v>5.9604644775390625E-8</v>
      </c>
      <c r="T400" s="79">
        <f ca="1">IF(controls!$B$10=1,T399,IF(SUM(controls!$B$44:$B$46)=2,U400-'main page'!$K$29*'normal case'!L400-(1-'main page'!$K$29)*'main page'!$K$32,U400-'main page'!$K$29*'normal case'!L400-(1-'main page'!$K$29)*controls!$B$9))</f>
        <v>3.4999999701976776</v>
      </c>
      <c r="U400" s="164">
        <f ca="1">IF(controls!$B$45=1,IF(controls!$B$46=1,'main page'!$K$24+'main page'!$K$11+'main page'!$U$8,'main page'!$K$24+'main page'!$K$11+'main page'!$K$32),IF(controls!$B$44=1,IF(V400&lt;0,0,V400),IF(V400+'main page'!$K$11&lt;0,0,V400+'main page'!$K$11)))</f>
        <v>5.4999998509883881</v>
      </c>
      <c r="V400" s="63">
        <f ca="1">IF(controls!$B$10=1,'normal case'!T400+'normal case'!L400,'normal case'!W400)</f>
        <v>5.4999998509883881</v>
      </c>
      <c r="W400" s="61">
        <f t="shared" ca="1" si="53"/>
        <v>5.4999998509883881</v>
      </c>
      <c r="X400" s="166">
        <f ca="1">IF(controls!$B$44=0,Y400+'main page'!$K$29*L400+(1-'main page'!$K$29)*controls!$B$9+(('main page'!$K$25*'main page'!$U$13*'main page'!$K$29)/('main page'!$K$27*(1+('main page'!$K$25^2)*'main page'!$U$13)))*(L400-controls!$B$9),Y400+'main page'!$K$29*L400+(1-'main page'!$K$29)*controls!$B$9+(('main page'!$K$25*'main page'!$U$13*'normal case'!$AV$3)/'normal case'!$AV$4)*('normal case'!L400-controls!$B$9))</f>
        <v>5.4999998509883881</v>
      </c>
      <c r="Y400" s="81">
        <f ca="1">IF(controls!$B$44=1,'main page'!$K$24+'main page'!$K$11,IF(controls!$B$33=1,((I401-D400*AD401-B401+B400*AC401)/'main page'!$K$27)-'main page'!$K$11,((H401-D400*AD401-B401+B400*AC401)/'main page'!$K$27)-'main page'!$K$11))</f>
        <v>3.5</v>
      </c>
      <c r="AA400" s="58">
        <f>IF(controls!$B$6=1,$AS$3*(1+('main page'!$K$35/100))^AB400-$AS$3*(1+('main page'!$K$35/100))^AB399,$AS$3*(1+('main page'!$G$8/100))*(1+('main page'!$K$35/100))^AB400-$AS$3*(1+('main page'!$G$8/100))*(1+('main page'!$K$35/100))^AB399)</f>
        <v>0</v>
      </c>
      <c r="AB400" s="60">
        <v>393</v>
      </c>
      <c r="AC400" s="125">
        <v>0</v>
      </c>
      <c r="AD400" s="36">
        <v>0</v>
      </c>
      <c r="AE400" s="44">
        <f ca="1">IF(controls!$B$33=1,D400-($I$3-'main page'!$K$27*2)*(1+('main page'!$K$35/100))^A399,D400-$AS$4)</f>
        <v>1.0000000596046448</v>
      </c>
      <c r="AF400" s="44">
        <f ca="1">ABS(L400-(controls!$B$9/100)*100)</f>
        <v>1.1920928955078125E-7</v>
      </c>
      <c r="AH400" s="44">
        <f ca="1">IF(controls!$B$33=1,(B401-B400*AC401-I401+D400*AD401+'main page'!$K$27*('main page'!$K$24+'main page'!$K$11))/'main page'!$K$31,(B401-B400*AC401+D400*AD401-H401+'main page'!$K$27*('main page'!$K$24+'main page'!$K$11))/'main page'!$K$31)</f>
        <v>1</v>
      </c>
      <c r="AI400" s="44">
        <f ca="1">IF(controls!$B$45=1,LOG(AM400,1.01)+LOG(AL400,1.01)-LOG(AK400,1.01),-((T400-('main page'!$K$24+'main page'!$K$11))/(1-'normal case'!$AV$3))+'normal case'!AH400)</f>
        <v>2.0000000596046448</v>
      </c>
      <c r="AJ400" s="80">
        <f t="shared" ca="1" si="54"/>
        <v>1.0506250015463039</v>
      </c>
      <c r="AK400" s="44">
        <f t="shared" ca="1" si="55"/>
        <v>2545.2147913435088</v>
      </c>
      <c r="AL400" s="44">
        <f>AL399*(1+'main page'!$K$32/100)</f>
        <v>1</v>
      </c>
      <c r="AM400" s="44">
        <f ca="1">IF(ABS(IF(controls!$B$45=1,$AS$13,AK400*AJ400/AL400)-AM399)&lt;0.00001,AM399,IF(controls!$B$45=1,$AS$13,AK400*AJ400/AL400))</f>
        <v>2674.0662940909492</v>
      </c>
      <c r="AN400" s="44">
        <f>IF(controls!$B$46=0,0,IF(controls!$B$33=2,B401-B400*AC401-('normal case'!H401-D400*AD401-'main page'!$K$27*'normal case'!T400+'main page'!$K$31*'normal case'!AI400)-(('main page'!$K$25*'main page'!$U$13*'main page'!$K$29)/(1+('main page'!$K$25^2)*'main page'!$U$13))*('normal case'!L400-'main page'!$U$8),B401-B400*AC401-('normal case'!I401-D400*AD401-'main page'!$K$27*'normal case'!T400+'main page'!$K$31*'normal case'!AI400)-(('main page'!$K$25*'main page'!$U$13*'main page'!$K$29)/(1+('main page'!$K$25^2)*'main page'!$U$13))*('normal case'!L400-'main page'!$U$8)))</f>
        <v>0</v>
      </c>
      <c r="AU400" s="36"/>
      <c r="AV400" s="36"/>
    </row>
    <row r="401" spans="1:48">
      <c r="A401" s="43">
        <v>399</v>
      </c>
      <c r="B401" s="62">
        <f ca="1">IF(controls!$B$33=1,B400*(1+AC401)+AA401,B400*(1+AC401))</f>
        <v>101</v>
      </c>
      <c r="C401" s="67">
        <f t="shared" ca="1" si="56"/>
        <v>-1.5107707374006907E-7</v>
      </c>
      <c r="D401" s="64">
        <f t="shared" ca="1" si="52"/>
        <v>101.00000005960464</v>
      </c>
      <c r="E401" s="64">
        <f ca="1">AN400+IF(controls!$B$33=1,G401,F401)</f>
        <v>101.00000005960464</v>
      </c>
      <c r="F401" s="78">
        <f ca="1">IF(controls!$B$44=0,H401-'main page'!$K$27*T400,H401-'main page'!$K$27*T400+'main page'!$K$31*AI400)</f>
        <v>101.00000005960464</v>
      </c>
      <c r="G401" s="62">
        <f ca="1">IF(controls!$B$44=0,I401-'main page'!$K$27*T400,I401-'main page'!$K$27*T400+'main page'!$K$31*'normal case'!AI400)</f>
        <v>101.00000005960464</v>
      </c>
      <c r="H401" s="62">
        <f t="shared" ca="1" si="50"/>
        <v>108</v>
      </c>
      <c r="I401" s="62">
        <f t="shared" ca="1" si="51"/>
        <v>108</v>
      </c>
      <c r="L401" s="62">
        <f ca="1">IF(ABS('main page'!$K$29*L400+(1-'main page'!$K$29)*(controls!$B$9/100)*100+'main page'!$K$25*(D401-B401)-L400)&lt;0.0000001,L400,'main page'!$K$29*L400+(1-'main page'!$K$29)*(controls!$B$9/100)*100+'main page'!$K$25*(D401-B401))</f>
        <v>1.9999998807907104</v>
      </c>
      <c r="Q401" s="409">
        <f ca="1">(1-'main page'!$K$29)*($AS$11/100)*100+'main page'!$K$25*(D401-B401)</f>
        <v>5.9604644775390625E-8</v>
      </c>
      <c r="R401" s="409">
        <f>'main page'!G405+'main page'!$K$29*M400</f>
        <v>0</v>
      </c>
      <c r="S401" s="409">
        <f t="shared" ca="1" si="57"/>
        <v>5.9604644775390625E-8</v>
      </c>
      <c r="T401" s="79">
        <f ca="1">IF(controls!$B$10=1,T400,IF(SUM(controls!$B$44:$B$46)=2,U401-'main page'!$K$29*'normal case'!L401-(1-'main page'!$K$29)*'main page'!$K$32,U401-'main page'!$K$29*'normal case'!L401-(1-'main page'!$K$29)*controls!$B$9))</f>
        <v>3.4999999701976776</v>
      </c>
      <c r="U401" s="164">
        <f ca="1">IF(controls!$B$45=1,IF(controls!$B$46=1,'main page'!$K$24+'main page'!$K$11+'main page'!$U$8,'main page'!$K$24+'main page'!$K$11+'main page'!$K$32),IF(controls!$B$44=1,IF(V401&lt;0,0,V401),IF(V401+'main page'!$K$11&lt;0,0,V401+'main page'!$K$11)))</f>
        <v>5.4999998509883881</v>
      </c>
      <c r="V401" s="63">
        <f ca="1">IF(controls!$B$10=1,'normal case'!T401+'normal case'!L401,'normal case'!W401)</f>
        <v>5.4999998509883881</v>
      </c>
      <c r="W401" s="61">
        <f t="shared" ca="1" si="53"/>
        <v>5.4999998509883881</v>
      </c>
      <c r="X401" s="166">
        <f ca="1">IF(controls!$B$44=0,Y401+'main page'!$K$29*L401+(1-'main page'!$K$29)*controls!$B$9+(('main page'!$K$25*'main page'!$U$13*'main page'!$K$29)/('main page'!$K$27*(1+('main page'!$K$25^2)*'main page'!$U$13)))*(L401-controls!$B$9),Y401+'main page'!$K$29*L401+(1-'main page'!$K$29)*controls!$B$9+(('main page'!$K$25*'main page'!$U$13*'normal case'!$AV$3)/'normal case'!$AV$4)*('normal case'!L401-controls!$B$9))</f>
        <v>5.4999998509883881</v>
      </c>
      <c r="Y401" s="81">
        <f ca="1">IF(controls!$B$44=1,'main page'!$K$24+'main page'!$K$11,IF(controls!$B$33=1,((I402-D401*AD402-B402+B401*AC402)/'main page'!$K$27)-'main page'!$K$11,((H402-D401*AD402-B402+B401*AC402)/'main page'!$K$27)-'main page'!$K$11))</f>
        <v>3.5</v>
      </c>
      <c r="AA401" s="58">
        <f>IF(controls!$B$6=1,$AS$3*(1+('main page'!$K$35/100))^AB401-$AS$3*(1+('main page'!$K$35/100))^AB400,$AS$3*(1+('main page'!$G$8/100))*(1+('main page'!$K$35/100))^AB401-$AS$3*(1+('main page'!$G$8/100))*(1+('main page'!$K$35/100))^AB400)</f>
        <v>0</v>
      </c>
      <c r="AB401" s="60">
        <v>394</v>
      </c>
      <c r="AC401" s="125">
        <f ca="1">IF(controls!$B$4=1,IF(controls!$H400=1,controls!$B$34*AC400+RAND()*('main page'!$K$16/100)-RAND()*('main page'!$K$16/100),0),0)</f>
        <v>0</v>
      </c>
      <c r="AD401" s="36">
        <f ca="1">IF(controls!$B$4=1,IF(controls!$I400=1,controls!$B$34*AD400+RAND()*('main page'!$K$16/100)-RAND()*('main page'!$K$16/100),0),0)</f>
        <v>0</v>
      </c>
      <c r="AE401" s="44">
        <f ca="1">IF(controls!$B$33=1,D401-($I$3-'main page'!$K$27*2)*(1+('main page'!$K$35/100))^A400,D401-$AS$4)</f>
        <v>1.0000000596046448</v>
      </c>
      <c r="AF401" s="44">
        <f ca="1">ABS(L401-(controls!$B$9/100)*100)</f>
        <v>1.1920928955078125E-7</v>
      </c>
      <c r="AH401" s="44">
        <f ca="1">IF(controls!$B$33=1,(B402-B401*AC402-I402+D401*AD402+'main page'!$K$27*('main page'!$K$24+'main page'!$K$11))/'main page'!$K$31,(B402-B401*AC402+D401*AD402-H402+'main page'!$K$27*('main page'!$K$24+'main page'!$K$11))/'main page'!$K$31)</f>
        <v>1</v>
      </c>
      <c r="AI401" s="44">
        <f ca="1">IF(controls!$B$45=1,LOG(AM401,1.01)+LOG(AL401,1.01)-LOG(AK401,1.01),-((T401-('main page'!$K$24+'main page'!$K$11))/(1-'normal case'!$AV$3))+'normal case'!AH401)</f>
        <v>2.0000000596046448</v>
      </c>
      <c r="AJ401" s="80">
        <f t="shared" ca="1" si="54"/>
        <v>1.0506250015463039</v>
      </c>
      <c r="AK401" s="44">
        <f t="shared" ca="1" si="55"/>
        <v>2596.1190841362468</v>
      </c>
      <c r="AL401" s="44">
        <f>AL400*(1+'main page'!$K$32/100)</f>
        <v>1</v>
      </c>
      <c r="AM401" s="44">
        <f ca="1">IF(ABS(IF(controls!$B$45=1,$AS$13,AK401*AJ401/AL401)-AM400)&lt;0.00001,AM400,IF(controls!$B$45=1,$AS$13,AK401*AJ401/AL401))</f>
        <v>2727.5476167850334</v>
      </c>
      <c r="AN401" s="44">
        <f>IF(controls!$B$46=0,0,IF(controls!$B$33=2,B402-B401*AC402-('normal case'!H402-D401*AD402-'main page'!$K$27*'normal case'!T401+'main page'!$K$31*'normal case'!AI401)-(('main page'!$K$25*'main page'!$U$13*'main page'!$K$29)/(1+('main page'!$K$25^2)*'main page'!$U$13))*('normal case'!L401-'main page'!$U$8),B402-B401*AC402-('normal case'!I402-D401*AD402-'main page'!$K$27*'normal case'!T401+'main page'!$K$31*'normal case'!AI401)-(('main page'!$K$25*'main page'!$U$13*'main page'!$K$29)/(1+('main page'!$K$25^2)*'main page'!$U$13))*('normal case'!L401-'main page'!$U$8)))</f>
        <v>0</v>
      </c>
      <c r="AU401" s="36"/>
      <c r="AV401" s="36"/>
    </row>
    <row r="402" spans="1:48">
      <c r="A402" s="43">
        <v>400</v>
      </c>
      <c r="B402" s="62">
        <f ca="1">IF(controls!$B$33=1,B401*(1+AC402)+AA402,B401*(1+AC402))</f>
        <v>101</v>
      </c>
      <c r="C402" s="67">
        <f t="shared" ca="1" si="56"/>
        <v>-1.5107707374006907E-7</v>
      </c>
      <c r="D402" s="64">
        <f t="shared" ca="1" si="52"/>
        <v>101.00000005960464</v>
      </c>
      <c r="E402" s="64">
        <f ca="1">AN401+IF(controls!$B$33=1,G402,F402)</f>
        <v>101.00000005960464</v>
      </c>
      <c r="F402" s="78">
        <f ca="1">IF(controls!$B$44=0,H402-'main page'!$K$27*T401,H402-'main page'!$K$27*T401+'main page'!$K$31*AI401)</f>
        <v>101.00000005960464</v>
      </c>
      <c r="G402" s="62">
        <f ca="1">IF(controls!$B$44=0,I402-'main page'!$K$27*T401,I402-'main page'!$K$27*T401+'main page'!$K$31*'normal case'!AI401)</f>
        <v>101.00000005960464</v>
      </c>
      <c r="H402" s="62">
        <f t="shared" ca="1" si="50"/>
        <v>108</v>
      </c>
      <c r="I402" s="62">
        <f t="shared" ca="1" si="51"/>
        <v>108</v>
      </c>
      <c r="L402" s="62">
        <f ca="1">IF(ABS('main page'!$K$29*L401+(1-'main page'!$K$29)*(controls!$B$9/100)*100+'main page'!$K$25*(D402-B402)-L401)&lt;0.0000001,L401,'main page'!$K$29*L401+(1-'main page'!$K$29)*(controls!$B$9/100)*100+'main page'!$K$25*(D402-B402))</f>
        <v>1.9999998807907104</v>
      </c>
      <c r="Q402" s="409">
        <f ca="1">(1-'main page'!$K$29)*($AS$11/100)*100+'main page'!$K$25*(D402-B402)</f>
        <v>5.9604644775390625E-8</v>
      </c>
      <c r="R402" s="409">
        <f>'main page'!G406+'main page'!$K$29*M401</f>
        <v>0</v>
      </c>
      <c r="S402" s="409">
        <f t="shared" ca="1" si="57"/>
        <v>5.9604644775390625E-8</v>
      </c>
      <c r="T402" s="79">
        <f ca="1">IF(controls!$B$10=1,T401,IF(SUM(controls!$B$44:$B$46)=2,U402-'main page'!$K$29*'normal case'!L402-(1-'main page'!$K$29)*'main page'!$K$32,U402-'main page'!$K$29*'normal case'!L402-(1-'main page'!$K$29)*controls!$B$9))</f>
        <v>3.4999999701976776</v>
      </c>
      <c r="U402" s="164">
        <f ca="1">IF(controls!$B$45=1,IF(controls!$B$46=1,'main page'!$K$24+'main page'!$K$11+'main page'!$U$8,'main page'!$K$24+'main page'!$K$11+'main page'!$K$32),IF(controls!$B$44=1,IF(V402&lt;0,0,V402),IF(V402+'main page'!$K$11&lt;0,0,V402+'main page'!$K$11)))</f>
        <v>5.4999998509883881</v>
      </c>
      <c r="V402" s="63">
        <f ca="1">IF(controls!$B$10=1,'normal case'!T402+'normal case'!L402,'normal case'!W402)</f>
        <v>5.4999998509883881</v>
      </c>
      <c r="W402" s="61">
        <f t="shared" ca="1" si="53"/>
        <v>5.4999998509883881</v>
      </c>
      <c r="X402" s="166">
        <f ca="1">IF(controls!$B$44=0,Y402+'main page'!$K$29*L402+(1-'main page'!$K$29)*controls!$B$9+(('main page'!$K$25*'main page'!$U$13*'main page'!$K$29)/('main page'!$K$27*(1+('main page'!$K$25^2)*'main page'!$U$13)))*(L402-controls!$B$9),Y402+'main page'!$K$29*L402+(1-'main page'!$K$29)*controls!$B$9+(('main page'!$K$25*'main page'!$U$13*'normal case'!$AV$3)/'normal case'!$AV$4)*('normal case'!L402-controls!$B$9))</f>
        <v>5.4999998509883881</v>
      </c>
      <c r="Y402" s="81">
        <f ca="1">IF(controls!$B$44=1,'main page'!$K$24+'main page'!$K$11,IF(controls!$B$33=1,((I403-D402*AD403-B403+B402*AC403)/'main page'!$K$27)-'main page'!$K$11,((H403-D402*AD403-B403+B402*AC403)/'main page'!$K$27)-'main page'!$K$11))</f>
        <v>3.5</v>
      </c>
      <c r="AA402" s="58">
        <f>IF(controls!$B$6=1,$AS$3*(1+('main page'!$K$35/100))^AB402-$AS$3*(1+('main page'!$K$35/100))^AB401,$AS$3*(1+('main page'!$G$8/100))*(1+('main page'!$K$35/100))^AB402-$AS$3*(1+('main page'!$G$8/100))*(1+('main page'!$K$35/100))^AB401)</f>
        <v>0</v>
      </c>
      <c r="AB402" s="60">
        <v>395</v>
      </c>
      <c r="AC402" s="125">
        <v>0</v>
      </c>
      <c r="AD402" s="36">
        <v>0</v>
      </c>
      <c r="AE402" s="44">
        <f ca="1">IF(controls!$B$33=1,D402-($I$3-'main page'!$K$27*2)*(1+('main page'!$K$35/100))^A401,D402-$AS$4)</f>
        <v>1.0000000596046448</v>
      </c>
      <c r="AF402" s="44">
        <f ca="1">ABS(L402-(controls!$B$9/100)*100)</f>
        <v>1.1920928955078125E-7</v>
      </c>
      <c r="AH402" s="44">
        <f ca="1">IF(controls!$B$33=1,(B403-B402*AC403-I403+D402*AD403+'main page'!$K$27*('main page'!$K$24+'main page'!$K$11))/'main page'!$K$31,(B403-B402*AC403+D402*AD403-H403+'main page'!$K$27*('main page'!$K$24+'main page'!$K$11))/'main page'!$K$31)</f>
        <v>1</v>
      </c>
      <c r="AI402" s="44">
        <f ca="1">IF(controls!$B$45=1,LOG(AM402,1.01)+LOG(AL402,1.01)-LOG(AK402,1.01),-((T402-('main page'!$K$24+'main page'!$K$11))/(1-'normal case'!$AV$3))+'normal case'!AH402)</f>
        <v>2.0000000596046448</v>
      </c>
      <c r="AJ402" s="80">
        <f t="shared" ca="1" si="54"/>
        <v>1.0506250015463039</v>
      </c>
      <c r="AK402" s="44">
        <f t="shared" ca="1" si="55"/>
        <v>2648.0414627241566</v>
      </c>
      <c r="AL402" s="44">
        <f>AL401*(1+'main page'!$K$32/100)</f>
        <v>1</v>
      </c>
      <c r="AM402" s="44">
        <f ca="1">IF(ABS(IF(controls!$B$45=1,$AS$13,AK402*AJ402/AL402)-AM401)&lt;0.00001,AM401,IF(controls!$B$45=1,$AS$13,AK402*AJ402/AL402))</f>
        <v>2782.0985658692439</v>
      </c>
      <c r="AN402" s="44">
        <f>IF(controls!$B$46=0,0,IF(controls!$B$33=2,B403-B402*AC403-('normal case'!H403-D402*AD403-'main page'!$K$27*'normal case'!T402+'main page'!$K$31*'normal case'!AI402)-(('main page'!$K$25*'main page'!$U$13*'main page'!$K$29)/(1+('main page'!$K$25^2)*'main page'!$U$13))*('normal case'!L402-'main page'!$U$8),B403-B402*AC403-('normal case'!I403-D402*AD403-'main page'!$K$27*'normal case'!T402+'main page'!$K$31*'normal case'!AI402)-(('main page'!$K$25*'main page'!$U$13*'main page'!$K$29)/(1+('main page'!$K$25^2)*'main page'!$U$13))*('normal case'!L402-'main page'!$U$8)))</f>
        <v>0</v>
      </c>
      <c r="AU402" s="36"/>
      <c r="AV402" s="36"/>
    </row>
    <row r="403" spans="1:48">
      <c r="A403" s="43">
        <v>401</v>
      </c>
      <c r="B403" s="62">
        <f ca="1">IF(controls!$B$33=1,B402*(1+AC403)+AA403,B402*(1+AC403))</f>
        <v>101</v>
      </c>
      <c r="C403" s="67">
        <f t="shared" ca="1" si="56"/>
        <v>-1.5107707374006907E-7</v>
      </c>
      <c r="D403" s="64">
        <f t="shared" ca="1" si="52"/>
        <v>101.00000005960464</v>
      </c>
      <c r="E403" s="64">
        <f ca="1">AN402+IF(controls!$B$33=1,G403,F403)</f>
        <v>101.00000005960464</v>
      </c>
      <c r="F403" s="78">
        <f ca="1">IF(controls!$B$44=0,H403-'main page'!$K$27*T402,H403-'main page'!$K$27*T402+'main page'!$K$31*AI402)</f>
        <v>101.00000005960464</v>
      </c>
      <c r="G403" s="62">
        <f ca="1">IF(controls!$B$44=0,I403-'main page'!$K$27*T402,I403-'main page'!$K$27*T402+'main page'!$K$31*'normal case'!AI402)</f>
        <v>101.00000005960464</v>
      </c>
      <c r="H403" s="62">
        <f t="shared" ca="1" si="50"/>
        <v>108</v>
      </c>
      <c r="I403" s="62">
        <f t="shared" ca="1" si="51"/>
        <v>108</v>
      </c>
      <c r="L403" s="62">
        <f ca="1">IF(ABS('main page'!$K$29*L402+(1-'main page'!$K$29)*(controls!$B$9/100)*100+'main page'!$K$25*(D403-B403)-L402)&lt;0.0000001,L402,'main page'!$K$29*L402+(1-'main page'!$K$29)*(controls!$B$9/100)*100+'main page'!$K$25*(D403-B403))</f>
        <v>1.9999998807907104</v>
      </c>
      <c r="Q403" s="409">
        <f ca="1">(1-'main page'!$K$29)*($AS$11/100)*100+'main page'!$K$25*(D403-B403)</f>
        <v>5.9604644775390625E-8</v>
      </c>
      <c r="R403" s="409">
        <f>'main page'!G407+'main page'!$K$29*M402</f>
        <v>0</v>
      </c>
      <c r="S403" s="409">
        <f t="shared" ca="1" si="57"/>
        <v>5.9604644775390625E-8</v>
      </c>
      <c r="T403" s="79">
        <f ca="1">IF(controls!$B$10=1,T402,IF(SUM(controls!$B$44:$B$46)=2,U403-'main page'!$K$29*'normal case'!L403-(1-'main page'!$K$29)*'main page'!$K$32,U403-'main page'!$K$29*'normal case'!L403-(1-'main page'!$K$29)*controls!$B$9))</f>
        <v>3.4999999701976776</v>
      </c>
      <c r="U403" s="164">
        <f ca="1">IF(controls!$B$45=1,IF(controls!$B$46=1,'main page'!$K$24+'main page'!$K$11+'main page'!$U$8,'main page'!$K$24+'main page'!$K$11+'main page'!$K$32),IF(controls!$B$44=1,IF(V403&lt;0,0,V403),IF(V403+'main page'!$K$11&lt;0,0,V403+'main page'!$K$11)))</f>
        <v>5.4999998509883881</v>
      </c>
      <c r="V403" s="63">
        <f ca="1">IF(controls!$B$10=1,'normal case'!T403+'normal case'!L403,'normal case'!W403)</f>
        <v>5.4999998509883881</v>
      </c>
      <c r="W403" s="61">
        <f t="shared" ca="1" si="53"/>
        <v>5.4999998509883881</v>
      </c>
      <c r="X403" s="166">
        <f ca="1">IF(controls!$B$44=0,Y403+'main page'!$K$29*L403+(1-'main page'!$K$29)*controls!$B$9+(('main page'!$K$25*'main page'!$U$13*'main page'!$K$29)/('main page'!$K$27*(1+('main page'!$K$25^2)*'main page'!$U$13)))*(L403-controls!$B$9),Y403+'main page'!$K$29*L403+(1-'main page'!$K$29)*controls!$B$9+(('main page'!$K$25*'main page'!$U$13*'normal case'!$AV$3)/'normal case'!$AV$4)*('normal case'!L403-controls!$B$9))</f>
        <v>5.4999998509883881</v>
      </c>
      <c r="Y403" s="81">
        <f ca="1">IF(controls!$B$44=1,'main page'!$K$24+'main page'!$K$11,IF(controls!$B$33=1,((I404-D403*AD404-B404+B403*AC404)/'main page'!$K$27)-'main page'!$K$11,((H404-D403*AD404-B404+B403*AC404)/'main page'!$K$27)-'main page'!$K$11))</f>
        <v>3.5</v>
      </c>
      <c r="AA403" s="58">
        <f>IF(controls!$B$6=1,$AS$3*(1+('main page'!$K$35/100))^AB403-$AS$3*(1+('main page'!$K$35/100))^AB402,$AS$3*(1+('main page'!$G$8/100))*(1+('main page'!$K$35/100))^AB403-$AS$3*(1+('main page'!$G$8/100))*(1+('main page'!$K$35/100))^AB402)</f>
        <v>0</v>
      </c>
      <c r="AB403" s="60">
        <v>396</v>
      </c>
      <c r="AC403" s="125">
        <v>0</v>
      </c>
      <c r="AD403" s="36">
        <v>0</v>
      </c>
      <c r="AE403" s="44">
        <f ca="1">IF(controls!$B$33=1,D403-($I$3-'main page'!$K$27*2)*(1+('main page'!$K$35/100))^A402,D403-$AS$4)</f>
        <v>1.0000000596046448</v>
      </c>
      <c r="AF403" s="44">
        <f ca="1">ABS(L403-(controls!$B$9/100)*100)</f>
        <v>1.1920928955078125E-7</v>
      </c>
      <c r="AH403" s="44">
        <f ca="1">IF(controls!$B$33=1,(B404-B403*AC404-I404+D403*AD404+'main page'!$K$27*('main page'!$K$24+'main page'!$K$11))/'main page'!$K$31,(B404-B403*AC404+D403*AD404-H404+'main page'!$K$27*('main page'!$K$24+'main page'!$K$11))/'main page'!$K$31)</f>
        <v>1</v>
      </c>
      <c r="AI403" s="44">
        <f ca="1">IF(controls!$B$45=1,LOG(AM403,1.01)+LOG(AL403,1.01)-LOG(AK403,1.01),-((T403-('main page'!$K$24+'main page'!$K$11))/(1-'normal case'!$AV$3))+'normal case'!AH403)</f>
        <v>2.0000000596046448</v>
      </c>
      <c r="AJ403" s="80">
        <f t="shared" ca="1" si="54"/>
        <v>1.0506250015463039</v>
      </c>
      <c r="AK403" s="44">
        <f t="shared" ca="1" si="55"/>
        <v>2701.0022888219287</v>
      </c>
      <c r="AL403" s="44">
        <f>AL402*(1+'main page'!$K$32/100)</f>
        <v>1</v>
      </c>
      <c r="AM403" s="44">
        <f ca="1">IF(ABS(IF(controls!$B$45=1,$AS$13,AK403*AJ403/AL403)-AM402)&lt;0.00001,AM402,IF(controls!$B$45=1,$AS$13,AK403*AJ403/AL403))</f>
        <v>2837.7405338701092</v>
      </c>
      <c r="AN403" s="44">
        <f>IF(controls!$B$46=0,0,IF(controls!$B$33=2,B404-B403*AC404-('normal case'!H404-D403*AD404-'main page'!$K$27*'normal case'!T403+'main page'!$K$31*'normal case'!AI403)-(('main page'!$K$25*'main page'!$U$13*'main page'!$K$29)/(1+('main page'!$K$25^2)*'main page'!$U$13))*('normal case'!L403-'main page'!$U$8),B404-B403*AC404-('normal case'!I404-D403*AD404-'main page'!$K$27*'normal case'!T403+'main page'!$K$31*'normal case'!AI403)-(('main page'!$K$25*'main page'!$U$13*'main page'!$K$29)/(1+('main page'!$K$25^2)*'main page'!$U$13))*('normal case'!L403-'main page'!$U$8)))</f>
        <v>0</v>
      </c>
      <c r="AU403" s="36"/>
      <c r="AV403" s="36"/>
    </row>
    <row r="404" spans="1:48">
      <c r="A404" s="43">
        <v>402</v>
      </c>
      <c r="B404" s="62">
        <f ca="1">IF(controls!$B$33=1,B403*(1+AC404)+AA404,B403*(1+AC404))</f>
        <v>101</v>
      </c>
      <c r="C404" s="67">
        <f t="shared" ca="1" si="56"/>
        <v>-1.5107707374006907E-7</v>
      </c>
      <c r="D404" s="64">
        <f t="shared" ca="1" si="52"/>
        <v>101.00000005960464</v>
      </c>
      <c r="E404" s="64">
        <f ca="1">AN403+IF(controls!$B$33=1,G404,F404)</f>
        <v>101.00000005960464</v>
      </c>
      <c r="F404" s="78">
        <f ca="1">IF(controls!$B$44=0,H404-'main page'!$K$27*T403,H404-'main page'!$K$27*T403+'main page'!$K$31*AI403)</f>
        <v>101.00000005960464</v>
      </c>
      <c r="G404" s="62">
        <f ca="1">IF(controls!$B$44=0,I404-'main page'!$K$27*T403,I404-'main page'!$K$27*T403+'main page'!$K$31*'normal case'!AI403)</f>
        <v>101.00000005960464</v>
      </c>
      <c r="H404" s="62">
        <f t="shared" ca="1" si="50"/>
        <v>108</v>
      </c>
      <c r="I404" s="62">
        <f t="shared" ca="1" si="51"/>
        <v>108</v>
      </c>
      <c r="L404" s="62">
        <f ca="1">IF(ABS('main page'!$K$29*L403+(1-'main page'!$K$29)*(controls!$B$9/100)*100+'main page'!$K$25*(D404-B404)-L403)&lt;0.0000001,L403,'main page'!$K$29*L403+(1-'main page'!$K$29)*(controls!$B$9/100)*100+'main page'!$K$25*(D404-B404))</f>
        <v>1.9999998807907104</v>
      </c>
      <c r="Q404" s="409">
        <f ca="1">(1-'main page'!$K$29)*($AS$11/100)*100+'main page'!$K$25*(D404-B404)</f>
        <v>5.9604644775390625E-8</v>
      </c>
      <c r="R404" s="409">
        <f>'main page'!G408+'main page'!$K$29*M403</f>
        <v>0</v>
      </c>
      <c r="S404" s="409">
        <f t="shared" ca="1" si="57"/>
        <v>5.9604644775390625E-8</v>
      </c>
      <c r="T404" s="79">
        <f ca="1">IF(controls!$B$10=1,T403,IF(SUM(controls!$B$44:$B$46)=2,U404-'main page'!$K$29*'normal case'!L404-(1-'main page'!$K$29)*'main page'!$K$32,U404-'main page'!$K$29*'normal case'!L404-(1-'main page'!$K$29)*controls!$B$9))</f>
        <v>3.4999999701976776</v>
      </c>
      <c r="U404" s="164">
        <f ca="1">IF(controls!$B$45=1,IF(controls!$B$46=1,'main page'!$K$24+'main page'!$K$11+'main page'!$U$8,'main page'!$K$24+'main page'!$K$11+'main page'!$K$32),IF(controls!$B$44=1,IF(V404&lt;0,0,V404),IF(V404+'main page'!$K$11&lt;0,0,V404+'main page'!$K$11)))</f>
        <v>5.4999998509883881</v>
      </c>
      <c r="V404" s="63">
        <f ca="1">IF(controls!$B$10=1,'normal case'!T404+'normal case'!L404,'normal case'!W404)</f>
        <v>5.4999998509883881</v>
      </c>
      <c r="W404" s="61">
        <f t="shared" ca="1" si="53"/>
        <v>5.4999998509883881</v>
      </c>
      <c r="X404" s="166">
        <f ca="1">IF(controls!$B$44=0,Y404+'main page'!$K$29*L404+(1-'main page'!$K$29)*controls!$B$9+(('main page'!$K$25*'main page'!$U$13*'main page'!$K$29)/('main page'!$K$27*(1+('main page'!$K$25^2)*'main page'!$U$13)))*(L404-controls!$B$9),Y404+'main page'!$K$29*L404+(1-'main page'!$K$29)*controls!$B$9+(('main page'!$K$25*'main page'!$U$13*'normal case'!$AV$3)/'normal case'!$AV$4)*('normal case'!L404-controls!$B$9))</f>
        <v>5.4999998509883881</v>
      </c>
      <c r="Y404" s="81">
        <f ca="1">IF(controls!$B$44=1,'main page'!$K$24+'main page'!$K$11,IF(controls!$B$33=1,((I405-D404*AD405-B405+B404*AC405)/'main page'!$K$27)-'main page'!$K$11,((H405-D404*AD405-B405+B404*AC405)/'main page'!$K$27)-'main page'!$K$11))</f>
        <v>3.5</v>
      </c>
      <c r="AA404" s="58">
        <f>IF(controls!$B$6=1,$AS$3*(1+('main page'!$K$35/100))^AB404-$AS$3*(1+('main page'!$K$35/100))^AB403,$AS$3*(1+('main page'!$G$8/100))*(1+('main page'!$K$35/100))^AB404-$AS$3*(1+('main page'!$G$8/100))*(1+('main page'!$K$35/100))^AB403)</f>
        <v>0</v>
      </c>
      <c r="AB404" s="60">
        <v>397</v>
      </c>
      <c r="AC404" s="125">
        <f ca="1">IF(controls!$B$4=1,IF(controls!$H403=1,controls!$B$34*AC403+RAND()*('main page'!$K$16/100)-RAND()*('main page'!$K$16/100),0),0)</f>
        <v>0</v>
      </c>
      <c r="AD404" s="36">
        <f ca="1">IF(controls!$B$4=1,IF(controls!$I403=1,controls!$B$34*AD403+RAND()*('main page'!$K$16/100)-RAND()*('main page'!$K$16/100),0),0)</f>
        <v>0</v>
      </c>
      <c r="AE404" s="44">
        <f ca="1">IF(controls!$B$33=1,D404-($I$3-'main page'!$K$27*2)*(1+('main page'!$K$35/100))^A403,D404-$AS$4)</f>
        <v>1.0000000596046448</v>
      </c>
      <c r="AF404" s="44">
        <f ca="1">ABS(L404-(controls!$B$9/100)*100)</f>
        <v>1.1920928955078125E-7</v>
      </c>
      <c r="AH404" s="44">
        <f ca="1">IF(controls!$B$33=1,(B405-B404*AC405-I405+D404*AD405+'main page'!$K$27*('main page'!$K$24+'main page'!$K$11))/'main page'!$K$31,(B405-B404*AC405+D404*AD405-H405+'main page'!$K$27*('main page'!$K$24+'main page'!$K$11))/'main page'!$K$31)</f>
        <v>1</v>
      </c>
      <c r="AI404" s="44">
        <f ca="1">IF(controls!$B$45=1,LOG(AM404,1.01)+LOG(AL404,1.01)-LOG(AK404,1.01),-((T404-('main page'!$K$24+'main page'!$K$11))/(1-'normal case'!$AV$3))+'normal case'!AH404)</f>
        <v>2.0000000596046448</v>
      </c>
      <c r="AJ404" s="80">
        <f t="shared" ca="1" si="54"/>
        <v>1.0506250015463039</v>
      </c>
      <c r="AK404" s="44">
        <f t="shared" ca="1" si="55"/>
        <v>2755.0223313785218</v>
      </c>
      <c r="AL404" s="44">
        <f>AL403*(1+'main page'!$K$32/100)</f>
        <v>1</v>
      </c>
      <c r="AM404" s="44">
        <f ca="1">IF(ABS(IF(controls!$B$45=1,$AS$13,AK404*AJ404/AL404)-AM403)&lt;0.00001,AM403,IF(controls!$B$45=1,$AS$13,AK404*AJ404/AL404))</f>
        <v>2894.4953411646611</v>
      </c>
      <c r="AN404" s="44">
        <f>IF(controls!$B$46=0,0,IF(controls!$B$33=2,B405-B404*AC405-('normal case'!H405-D404*AD405-'main page'!$K$27*'normal case'!T404+'main page'!$K$31*'normal case'!AI404)-(('main page'!$K$25*'main page'!$U$13*'main page'!$K$29)/(1+('main page'!$K$25^2)*'main page'!$U$13))*('normal case'!L404-'main page'!$U$8),B405-B404*AC405-('normal case'!I405-D404*AD405-'main page'!$K$27*'normal case'!T404+'main page'!$K$31*'normal case'!AI404)-(('main page'!$K$25*'main page'!$U$13*'main page'!$K$29)/(1+('main page'!$K$25^2)*'main page'!$U$13))*('normal case'!L404-'main page'!$U$8)))</f>
        <v>0</v>
      </c>
      <c r="AU404" s="36"/>
      <c r="AV404" s="36"/>
    </row>
    <row r="405" spans="1:48">
      <c r="A405" s="43">
        <v>403</v>
      </c>
      <c r="B405" s="62">
        <f ca="1">IF(controls!$B$33=1,B404*(1+AC405)+AA405,B404*(1+AC405))</f>
        <v>101</v>
      </c>
      <c r="C405" s="67">
        <f t="shared" ca="1" si="56"/>
        <v>-1.5107707374006907E-7</v>
      </c>
      <c r="D405" s="64">
        <f t="shared" ca="1" si="52"/>
        <v>101.00000005960464</v>
      </c>
      <c r="E405" s="64">
        <f ca="1">AN404+IF(controls!$B$33=1,G405,F405)</f>
        <v>101.00000005960464</v>
      </c>
      <c r="F405" s="78">
        <f ca="1">IF(controls!$B$44=0,H405-'main page'!$K$27*T404,H405-'main page'!$K$27*T404+'main page'!$K$31*AI404)</f>
        <v>101.00000005960464</v>
      </c>
      <c r="G405" s="62">
        <f ca="1">IF(controls!$B$44=0,I405-'main page'!$K$27*T404,I405-'main page'!$K$27*T404+'main page'!$K$31*'normal case'!AI404)</f>
        <v>101.00000005960464</v>
      </c>
      <c r="H405" s="62">
        <f t="shared" ca="1" si="50"/>
        <v>108</v>
      </c>
      <c r="I405" s="62">
        <f t="shared" ca="1" si="51"/>
        <v>108</v>
      </c>
      <c r="L405" s="62">
        <f ca="1">IF(ABS('main page'!$K$29*L404+(1-'main page'!$K$29)*(controls!$B$9/100)*100+'main page'!$K$25*(D405-B405)-L404)&lt;0.0000001,L404,'main page'!$K$29*L404+(1-'main page'!$K$29)*(controls!$B$9/100)*100+'main page'!$K$25*(D405-B405))</f>
        <v>1.9999998807907104</v>
      </c>
      <c r="Q405" s="409">
        <f ca="1">(1-'main page'!$K$29)*($AS$11/100)*100+'main page'!$K$25*(D405-B405)</f>
        <v>5.9604644775390625E-8</v>
      </c>
      <c r="R405" s="409">
        <f>'main page'!G409+'main page'!$K$29*M404</f>
        <v>0</v>
      </c>
      <c r="S405" s="409">
        <f t="shared" ca="1" si="57"/>
        <v>5.9604644775390625E-8</v>
      </c>
      <c r="T405" s="79">
        <f ca="1">IF(controls!$B$10=1,T404,IF(SUM(controls!$B$44:$B$46)=2,U405-'main page'!$K$29*'normal case'!L405-(1-'main page'!$K$29)*'main page'!$K$32,U405-'main page'!$K$29*'normal case'!L405-(1-'main page'!$K$29)*controls!$B$9))</f>
        <v>3.4999999701976776</v>
      </c>
      <c r="U405" s="164">
        <f ca="1">IF(controls!$B$45=1,IF(controls!$B$46=1,'main page'!$K$24+'main page'!$K$11+'main page'!$U$8,'main page'!$K$24+'main page'!$K$11+'main page'!$K$32),IF(controls!$B$44=1,IF(V405&lt;0,0,V405),IF(V405+'main page'!$K$11&lt;0,0,V405+'main page'!$K$11)))</f>
        <v>5.4999998509883881</v>
      </c>
      <c r="V405" s="63">
        <f ca="1">IF(controls!$B$10=1,'normal case'!T405+'normal case'!L405,'normal case'!W405)</f>
        <v>5.4999998509883881</v>
      </c>
      <c r="W405" s="61">
        <f t="shared" ca="1" si="53"/>
        <v>5.4999998509883881</v>
      </c>
      <c r="X405" s="166">
        <f ca="1">IF(controls!$B$44=0,Y405+'main page'!$K$29*L405+(1-'main page'!$K$29)*controls!$B$9+(('main page'!$K$25*'main page'!$U$13*'main page'!$K$29)/('main page'!$K$27*(1+('main page'!$K$25^2)*'main page'!$U$13)))*(L405-controls!$B$9),Y405+'main page'!$K$29*L405+(1-'main page'!$K$29)*controls!$B$9+(('main page'!$K$25*'main page'!$U$13*'normal case'!$AV$3)/'normal case'!$AV$4)*('normal case'!L405-controls!$B$9))</f>
        <v>5.4999998509883881</v>
      </c>
      <c r="Y405" s="81">
        <f ca="1">IF(controls!$B$44=1,'main page'!$K$24+'main page'!$K$11,IF(controls!$B$33=1,((I406-D405*AD406-B406+B405*AC406)/'main page'!$K$27)-'main page'!$K$11,((H406-D405*AD406-B406+B405*AC406)/'main page'!$K$27)-'main page'!$K$11))</f>
        <v>3.5</v>
      </c>
      <c r="AA405" s="58">
        <f>IF(controls!$B$6=1,$AS$3*(1+('main page'!$K$35/100))^AB405-$AS$3*(1+('main page'!$K$35/100))^AB404,$AS$3*(1+('main page'!$G$8/100))*(1+('main page'!$K$35/100))^AB405-$AS$3*(1+('main page'!$G$8/100))*(1+('main page'!$K$35/100))^AB404)</f>
        <v>0</v>
      </c>
      <c r="AB405" s="60">
        <v>398</v>
      </c>
      <c r="AC405" s="125">
        <v>0</v>
      </c>
      <c r="AD405" s="36">
        <v>0</v>
      </c>
      <c r="AE405" s="44">
        <f ca="1">IF(controls!$B$33=1,D405-($I$3-'main page'!$K$27*2)*(1+('main page'!$K$35/100))^A404,D405-$AS$4)</f>
        <v>1.0000000596046448</v>
      </c>
      <c r="AF405" s="44">
        <f ca="1">ABS(L405-(controls!$B$9/100)*100)</f>
        <v>1.1920928955078125E-7</v>
      </c>
      <c r="AH405" s="44">
        <f ca="1">IF(controls!$B$33=1,(B406-B405*AC406-I406+D405*AD406+'main page'!$K$27*('main page'!$K$24+'main page'!$K$11))/'main page'!$K$31,(B406-B405*AC406+D405*AD406-H406+'main page'!$K$27*('main page'!$K$24+'main page'!$K$11))/'main page'!$K$31)</f>
        <v>1</v>
      </c>
      <c r="AI405" s="44">
        <f ca="1">IF(controls!$B$45=1,LOG(AM405,1.01)+LOG(AL405,1.01)-LOG(AK405,1.01),-((T405-('main page'!$K$24+'main page'!$K$11))/(1-'normal case'!$AV$3))+'normal case'!AH405)</f>
        <v>2.0000000596046448</v>
      </c>
      <c r="AJ405" s="80">
        <f t="shared" ca="1" si="54"/>
        <v>1.0506250015463039</v>
      </c>
      <c r="AK405" s="44">
        <f t="shared" ca="1" si="55"/>
        <v>2810.12277472185</v>
      </c>
      <c r="AL405" s="44">
        <f>AL404*(1+'main page'!$K$32/100)</f>
        <v>1</v>
      </c>
      <c r="AM405" s="44">
        <f ca="1">IF(ABS(IF(controls!$B$45=1,$AS$13,AK405*AJ405/AL405)-AM404)&lt;0.00001,AM404,IF(controls!$B$45=1,$AS$13,AK405*AJ405/AL405))</f>
        <v>2952.3852445374473</v>
      </c>
      <c r="AN405" s="44">
        <f>IF(controls!$B$46=0,0,IF(controls!$B$33=2,B406-B405*AC406-('normal case'!H406-D405*AD406-'main page'!$K$27*'normal case'!T405+'main page'!$K$31*'normal case'!AI405)-(('main page'!$K$25*'main page'!$U$13*'main page'!$K$29)/(1+('main page'!$K$25^2)*'main page'!$U$13))*('normal case'!L405-'main page'!$U$8),B406-B405*AC406-('normal case'!I406-D405*AD406-'main page'!$K$27*'normal case'!T405+'main page'!$K$31*'normal case'!AI405)-(('main page'!$K$25*'main page'!$U$13*'main page'!$K$29)/(1+('main page'!$K$25^2)*'main page'!$U$13))*('normal case'!L405-'main page'!$U$8)))</f>
        <v>0</v>
      </c>
      <c r="AU405" s="36"/>
      <c r="AV405" s="36"/>
    </row>
    <row r="406" spans="1:48">
      <c r="A406" s="43">
        <v>404</v>
      </c>
      <c r="B406" s="62">
        <f ca="1">IF(controls!$B$33=1,B405*(1+AC406)+AA406,B405*(1+AC406))</f>
        <v>101</v>
      </c>
      <c r="C406" s="67">
        <f t="shared" ca="1" si="56"/>
        <v>-1.5107707374006907E-7</v>
      </c>
      <c r="D406" s="64">
        <f t="shared" ca="1" si="52"/>
        <v>101.00000005960464</v>
      </c>
      <c r="E406" s="64">
        <f ca="1">AN405+IF(controls!$B$33=1,G406,F406)</f>
        <v>101.00000005960464</v>
      </c>
      <c r="F406" s="78">
        <f ca="1">IF(controls!$B$44=0,H406-'main page'!$K$27*T405,H406-'main page'!$K$27*T405+'main page'!$K$31*AI405)</f>
        <v>101.00000005960464</v>
      </c>
      <c r="G406" s="62">
        <f ca="1">IF(controls!$B$44=0,I406-'main page'!$K$27*T405,I406-'main page'!$K$27*T405+'main page'!$K$31*'normal case'!AI405)</f>
        <v>101.00000005960464</v>
      </c>
      <c r="H406" s="62">
        <f t="shared" ca="1" si="50"/>
        <v>108</v>
      </c>
      <c r="I406" s="62">
        <f t="shared" ca="1" si="51"/>
        <v>108</v>
      </c>
      <c r="L406" s="62">
        <f ca="1">IF(ABS('main page'!$K$29*L405+(1-'main page'!$K$29)*(controls!$B$9/100)*100+'main page'!$K$25*(D406-B406)-L405)&lt;0.0000001,L405,'main page'!$K$29*L405+(1-'main page'!$K$29)*(controls!$B$9/100)*100+'main page'!$K$25*(D406-B406))</f>
        <v>1.9999998807907104</v>
      </c>
      <c r="Q406" s="409">
        <f ca="1">(1-'main page'!$K$29)*($AS$11/100)*100+'main page'!$K$25*(D406-B406)</f>
        <v>5.9604644775390625E-8</v>
      </c>
      <c r="R406" s="409">
        <f>'main page'!G410+'main page'!$K$29*M405</f>
        <v>0</v>
      </c>
      <c r="S406" s="409">
        <f t="shared" ca="1" si="57"/>
        <v>5.9604644775390625E-8</v>
      </c>
      <c r="T406" s="79">
        <f ca="1">IF(controls!$B$10=1,T405,IF(SUM(controls!$B$44:$B$46)=2,U406-'main page'!$K$29*'normal case'!L406-(1-'main page'!$K$29)*'main page'!$K$32,U406-'main page'!$K$29*'normal case'!L406-(1-'main page'!$K$29)*controls!$B$9))</f>
        <v>3.4999999701976776</v>
      </c>
      <c r="U406" s="164">
        <f ca="1">IF(controls!$B$45=1,IF(controls!$B$46=1,'main page'!$K$24+'main page'!$K$11+'main page'!$U$8,'main page'!$K$24+'main page'!$K$11+'main page'!$K$32),IF(controls!$B$44=1,IF(V406&lt;0,0,V406),IF(V406+'main page'!$K$11&lt;0,0,V406+'main page'!$K$11)))</f>
        <v>5.4999998509883881</v>
      </c>
      <c r="V406" s="63">
        <f ca="1">IF(controls!$B$10=1,'normal case'!T406+'normal case'!L406,'normal case'!W406)</f>
        <v>5.4999998509883881</v>
      </c>
      <c r="W406" s="61">
        <f t="shared" ca="1" si="53"/>
        <v>5.4999998509883881</v>
      </c>
      <c r="X406" s="166">
        <f ca="1">IF(controls!$B$44=0,Y406+'main page'!$K$29*L406+(1-'main page'!$K$29)*controls!$B$9+(('main page'!$K$25*'main page'!$U$13*'main page'!$K$29)/('main page'!$K$27*(1+('main page'!$K$25^2)*'main page'!$U$13)))*(L406-controls!$B$9),Y406+'main page'!$K$29*L406+(1-'main page'!$K$29)*controls!$B$9+(('main page'!$K$25*'main page'!$U$13*'normal case'!$AV$3)/'normal case'!$AV$4)*('normal case'!L406-controls!$B$9))</f>
        <v>5.4999998509883881</v>
      </c>
      <c r="Y406" s="81">
        <f ca="1">IF(controls!$B$44=1,'main page'!$K$24+'main page'!$K$11,IF(controls!$B$33=1,((I407-D406*AD407-B407+B406*AC407)/'main page'!$K$27)-'main page'!$K$11,((H407-D406*AD407-B407+B406*AC407)/'main page'!$K$27)-'main page'!$K$11))</f>
        <v>3.5</v>
      </c>
      <c r="AA406" s="58">
        <f>IF(controls!$B$6=1,$AS$3*(1+('main page'!$K$35/100))^AB406-$AS$3*(1+('main page'!$K$35/100))^AB405,$AS$3*(1+('main page'!$G$8/100))*(1+('main page'!$K$35/100))^AB406-$AS$3*(1+('main page'!$G$8/100))*(1+('main page'!$K$35/100))^AB405)</f>
        <v>0</v>
      </c>
      <c r="AB406" s="60">
        <v>399</v>
      </c>
      <c r="AC406" s="125">
        <v>0</v>
      </c>
      <c r="AD406" s="36">
        <v>0</v>
      </c>
      <c r="AE406" s="44">
        <f ca="1">IF(controls!$B$33=1,D406-($I$3-'main page'!$K$27*2)*(1+('main page'!$K$35/100))^A405,D406-$AS$4)</f>
        <v>1.0000000596046448</v>
      </c>
      <c r="AF406" s="44">
        <f ca="1">ABS(L406-(controls!$B$9/100)*100)</f>
        <v>1.1920928955078125E-7</v>
      </c>
      <c r="AH406" s="44">
        <f ca="1">IF(controls!$B$33=1,(B407-B406*AC407-I407+D406*AD407+'main page'!$K$27*('main page'!$K$24+'main page'!$K$11))/'main page'!$K$31,(B407-B406*AC407+D406*AD407-H407+'main page'!$K$27*('main page'!$K$24+'main page'!$K$11))/'main page'!$K$31)</f>
        <v>1</v>
      </c>
      <c r="AI406" s="44">
        <f ca="1">IF(controls!$B$45=1,LOG(AM406,1.01)+LOG(AL406,1.01)-LOG(AK406,1.01),-((T406-('main page'!$K$24+'main page'!$K$11))/(1-'normal case'!$AV$3))+'normal case'!AH406)</f>
        <v>2.0000000596046448</v>
      </c>
      <c r="AJ406" s="80">
        <f t="shared" ca="1" si="54"/>
        <v>1.0506250015463039</v>
      </c>
      <c r="AK406" s="44">
        <f t="shared" ca="1" si="55"/>
        <v>2866.3252268663596</v>
      </c>
      <c r="AL406" s="44">
        <f>AL405*(1+'main page'!$K$32/100)</f>
        <v>1</v>
      </c>
      <c r="AM406" s="44">
        <f ca="1">IF(ABS(IF(controls!$B$45=1,$AS$13,AK406*AJ406/AL406)-AM405)&lt;0.00001,AM405,IF(controls!$B$45=1,$AS$13,AK406*AJ406/AL406))</f>
        <v>3011.4329459086789</v>
      </c>
      <c r="AN406" s="44">
        <f>IF(controls!$B$46=0,0,IF(controls!$B$33=2,B407-B406*AC407-('normal case'!H407-D406*AD407-'main page'!$K$27*'normal case'!T406+'main page'!$K$31*'normal case'!AI406)-(('main page'!$K$25*'main page'!$U$13*'main page'!$K$29)/(1+('main page'!$K$25^2)*'main page'!$U$13))*('normal case'!L406-'main page'!$U$8),B407-B406*AC407-('normal case'!I407-D406*AD407-'main page'!$K$27*'normal case'!T406+'main page'!$K$31*'normal case'!AI406)-(('main page'!$K$25*'main page'!$U$13*'main page'!$K$29)/(1+('main page'!$K$25^2)*'main page'!$U$13))*('normal case'!L406-'main page'!$U$8)))</f>
        <v>0</v>
      </c>
      <c r="AU406" s="36"/>
      <c r="AV406" s="36"/>
    </row>
    <row r="407" spans="1:48">
      <c r="A407" s="43">
        <v>405</v>
      </c>
      <c r="B407" s="62">
        <f ca="1">IF(controls!$B$33=1,B406*(1+AC407)+AA407,B406*(1+AC407))</f>
        <v>101</v>
      </c>
      <c r="C407" s="67">
        <f t="shared" ca="1" si="56"/>
        <v>-1.5107707374006907E-7</v>
      </c>
      <c r="D407" s="64">
        <f t="shared" ca="1" si="52"/>
        <v>101.00000005960464</v>
      </c>
      <c r="E407" s="64">
        <f ca="1">AN406+IF(controls!$B$33=1,G407,F407)</f>
        <v>101.00000005960464</v>
      </c>
      <c r="F407" s="78">
        <f ca="1">IF(controls!$B$44=0,H407-'main page'!$K$27*T406,H407-'main page'!$K$27*T406+'main page'!$K$31*AI406)</f>
        <v>101.00000005960464</v>
      </c>
      <c r="G407" s="62">
        <f ca="1">IF(controls!$B$44=0,I407-'main page'!$K$27*T406,I407-'main page'!$K$27*T406+'main page'!$K$31*'normal case'!AI406)</f>
        <v>101.00000005960464</v>
      </c>
      <c r="H407" s="62">
        <f t="shared" ca="1" si="50"/>
        <v>108</v>
      </c>
      <c r="I407" s="62">
        <f t="shared" ca="1" si="51"/>
        <v>108</v>
      </c>
      <c r="L407" s="62">
        <f ca="1">IF(ABS('main page'!$K$29*L406+(1-'main page'!$K$29)*(controls!$B$9/100)*100+'main page'!$K$25*(D407-B407)-L406)&lt;0.0000001,L406,'main page'!$K$29*L406+(1-'main page'!$K$29)*(controls!$B$9/100)*100+'main page'!$K$25*(D407-B407))</f>
        <v>1.9999998807907104</v>
      </c>
      <c r="Q407" s="409">
        <f ca="1">(1-'main page'!$K$29)*($AS$11/100)*100+'main page'!$K$25*(D407-B407)</f>
        <v>5.9604644775390625E-8</v>
      </c>
      <c r="R407" s="409">
        <f>'main page'!G411+'main page'!$K$29*M406</f>
        <v>0</v>
      </c>
      <c r="S407" s="409">
        <f t="shared" ca="1" si="57"/>
        <v>5.9604644775390625E-8</v>
      </c>
      <c r="T407" s="79">
        <f ca="1">IF(controls!$B$10=1,T406,IF(SUM(controls!$B$44:$B$46)=2,U407-'main page'!$K$29*'normal case'!L407-(1-'main page'!$K$29)*'main page'!$K$32,U407-'main page'!$K$29*'normal case'!L407-(1-'main page'!$K$29)*controls!$B$9))</f>
        <v>3.4999999701976776</v>
      </c>
      <c r="U407" s="164">
        <f ca="1">IF(controls!$B$45=1,IF(controls!$B$46=1,'main page'!$K$24+'main page'!$K$11+'main page'!$U$8,'main page'!$K$24+'main page'!$K$11+'main page'!$K$32),IF(controls!$B$44=1,IF(V407&lt;0,0,V407),IF(V407+'main page'!$K$11&lt;0,0,V407+'main page'!$K$11)))</f>
        <v>5.4999998509883881</v>
      </c>
      <c r="V407" s="63">
        <f ca="1">IF(controls!$B$10=1,'normal case'!T407+'normal case'!L407,'normal case'!W407)</f>
        <v>5.4999998509883881</v>
      </c>
      <c r="W407" s="61">
        <f t="shared" ca="1" si="53"/>
        <v>5.4999998509883881</v>
      </c>
      <c r="X407" s="166">
        <f ca="1">IF(controls!$B$44=0,Y407+'main page'!$K$29*L407+(1-'main page'!$K$29)*controls!$B$9+(('main page'!$K$25*'main page'!$U$13*'main page'!$K$29)/('main page'!$K$27*(1+('main page'!$K$25^2)*'main page'!$U$13)))*(L407-controls!$B$9),Y407+'main page'!$K$29*L407+(1-'main page'!$K$29)*controls!$B$9+(('main page'!$K$25*'main page'!$U$13*'normal case'!$AV$3)/'normal case'!$AV$4)*('normal case'!L407-controls!$B$9))</f>
        <v>5.4999998509883881</v>
      </c>
      <c r="Y407" s="81">
        <f ca="1">IF(controls!$B$44=1,'main page'!$K$24+'main page'!$K$11,IF(controls!$B$33=1,((I408-D407*AD408-B408+B407*AC408)/'main page'!$K$27)-'main page'!$K$11,((H408-D407*AD408-B408+B407*AC408)/'main page'!$K$27)-'main page'!$K$11))</f>
        <v>3.5</v>
      </c>
      <c r="AA407" s="58">
        <f>IF(controls!$B$6=1,$AS$3*(1+('main page'!$K$35/100))^AB407-$AS$3*(1+('main page'!$K$35/100))^AB406,$AS$3*(1+('main page'!$G$8/100))*(1+('main page'!$K$35/100))^AB407-$AS$3*(1+('main page'!$G$8/100))*(1+('main page'!$K$35/100))^AB406)</f>
        <v>0</v>
      </c>
      <c r="AB407" s="60">
        <v>400</v>
      </c>
      <c r="AC407" s="125">
        <f ca="1">IF(controls!$B$4=1,IF(controls!$H406=1,controls!$B$34*AC406+RAND()*('main page'!$K$16/100)-RAND()*('main page'!$K$16/100),0),0)</f>
        <v>0</v>
      </c>
      <c r="AD407" s="36">
        <f ca="1">IF(controls!$B$4=1,IF(controls!$I406=1,controls!$B$34*AD406+RAND()*('main page'!$K$16/100)-RAND()*('main page'!$K$16/100),0),0)</f>
        <v>0</v>
      </c>
      <c r="AE407" s="44">
        <f ca="1">IF(controls!$B$33=1,D407-($I$3-'main page'!$K$27*2)*(1+('main page'!$K$35/100))^A406,D407-$AS$4)</f>
        <v>1.0000000596046448</v>
      </c>
      <c r="AF407" s="44">
        <f ca="1">ABS(L407-(controls!$B$9/100)*100)</f>
        <v>1.1920928955078125E-7</v>
      </c>
      <c r="AH407" s="44">
        <f ca="1">IF(controls!$B$33=1,(B408-B407*AC408-I408+D407*AD408+'main page'!$K$27*('main page'!$K$24+'main page'!$K$11))/'main page'!$K$31,(B408-B407*AC408+D407*AD408-H408+'main page'!$K$27*('main page'!$K$24+'main page'!$K$11))/'main page'!$K$31)</f>
        <v>1</v>
      </c>
      <c r="AI407" s="44">
        <f ca="1">IF(controls!$B$45=1,LOG(AM407,1.01)+LOG(AL407,1.01)-LOG(AK407,1.01),-((T407-('main page'!$K$24+'main page'!$K$11))/(1-'normal case'!$AV$3))+'normal case'!AH407)</f>
        <v>2.0000000596046448</v>
      </c>
      <c r="AJ407" s="80">
        <f t="shared" ca="1" si="54"/>
        <v>1.0506250015463039</v>
      </c>
      <c r="AK407" s="44">
        <f t="shared" ca="1" si="55"/>
        <v>2923.6517279867608</v>
      </c>
      <c r="AL407" s="44">
        <f>AL406*(1+'main page'!$K$32/100)</f>
        <v>1</v>
      </c>
      <c r="AM407" s="44">
        <f ca="1">IF(ABS(IF(controls!$B$45=1,$AS$13,AK407*AJ407/AL407)-AM406)&lt;0.00001,AM406,IF(controls!$B$45=1,$AS$13,AK407*AJ407/AL407))</f>
        <v>3071.6616012369445</v>
      </c>
      <c r="AN407" s="44">
        <f>IF(controls!$B$46=0,0,IF(controls!$B$33=2,B408-B407*AC408-('normal case'!H408-D407*AD408-'main page'!$K$27*'normal case'!T407+'main page'!$K$31*'normal case'!AI407)-(('main page'!$K$25*'main page'!$U$13*'main page'!$K$29)/(1+('main page'!$K$25^2)*'main page'!$U$13))*('normal case'!L407-'main page'!$U$8),B408-B407*AC408-('normal case'!I408-D407*AD408-'main page'!$K$27*'normal case'!T407+'main page'!$K$31*'normal case'!AI407)-(('main page'!$K$25*'main page'!$U$13*'main page'!$K$29)/(1+('main page'!$K$25^2)*'main page'!$U$13))*('normal case'!L407-'main page'!$U$8)))</f>
        <v>0</v>
      </c>
      <c r="AU407" s="36"/>
      <c r="AV407" s="36"/>
    </row>
    <row r="408" spans="1:48">
      <c r="A408" s="43">
        <v>406</v>
      </c>
      <c r="B408" s="62">
        <f ca="1">IF(controls!$B$33=1,B407*(1+AC408)+AA408,B407*(1+AC408))</f>
        <v>101</v>
      </c>
      <c r="C408" s="67">
        <f t="shared" ca="1" si="56"/>
        <v>-1.5107707374006907E-7</v>
      </c>
      <c r="D408" s="64">
        <f t="shared" ca="1" si="52"/>
        <v>101.00000005960464</v>
      </c>
      <c r="E408" s="64">
        <f ca="1">AN407+IF(controls!$B$33=1,G408,F408)</f>
        <v>101.00000005960464</v>
      </c>
      <c r="F408" s="78">
        <f ca="1">IF(controls!$B$44=0,H408-'main page'!$K$27*T407,H408-'main page'!$K$27*T407+'main page'!$K$31*AI407)</f>
        <v>101.00000005960464</v>
      </c>
      <c r="G408" s="62">
        <f ca="1">IF(controls!$B$44=0,I408-'main page'!$K$27*T407,I408-'main page'!$K$27*T407+'main page'!$K$31*'normal case'!AI407)</f>
        <v>101.00000005960464</v>
      </c>
      <c r="H408" s="62">
        <f t="shared" ref="H408:H471" ca="1" si="58">H407+D407*AD408</f>
        <v>108</v>
      </c>
      <c r="I408" s="62">
        <f t="shared" ref="I408:I471" ca="1" si="59">I407+D407*AD408+AA408</f>
        <v>108</v>
      </c>
      <c r="L408" s="62">
        <f ca="1">IF(ABS('main page'!$K$29*L407+(1-'main page'!$K$29)*(controls!$B$9/100)*100+'main page'!$K$25*(D408-B408)-L407)&lt;0.0000001,L407,'main page'!$K$29*L407+(1-'main page'!$K$29)*(controls!$B$9/100)*100+'main page'!$K$25*(D408-B408))</f>
        <v>1.9999998807907104</v>
      </c>
      <c r="Q408" s="409">
        <f ca="1">(1-'main page'!$K$29)*($AS$11/100)*100+'main page'!$K$25*(D408-B408)</f>
        <v>5.9604644775390625E-8</v>
      </c>
      <c r="R408" s="409">
        <f>'main page'!G412+'main page'!$K$29*M407</f>
        <v>0</v>
      </c>
      <c r="S408" s="409">
        <f t="shared" ca="1" si="57"/>
        <v>5.9604644775390625E-8</v>
      </c>
      <c r="T408" s="79">
        <f ca="1">IF(controls!$B$10=1,T407,IF(SUM(controls!$B$44:$B$46)=2,U408-'main page'!$K$29*'normal case'!L408-(1-'main page'!$K$29)*'main page'!$K$32,U408-'main page'!$K$29*'normal case'!L408-(1-'main page'!$K$29)*controls!$B$9))</f>
        <v>3.4999999701976776</v>
      </c>
      <c r="U408" s="164">
        <f ca="1">IF(controls!$B$45=1,IF(controls!$B$46=1,'main page'!$K$24+'main page'!$K$11+'main page'!$U$8,'main page'!$K$24+'main page'!$K$11+'main page'!$K$32),IF(controls!$B$44=1,IF(V408&lt;0,0,V408),IF(V408+'main page'!$K$11&lt;0,0,V408+'main page'!$K$11)))</f>
        <v>5.4999998509883881</v>
      </c>
      <c r="V408" s="63">
        <f ca="1">IF(controls!$B$10=1,'normal case'!T408+'normal case'!L408,'normal case'!W408)</f>
        <v>5.4999998509883881</v>
      </c>
      <c r="W408" s="61">
        <f t="shared" ca="1" si="53"/>
        <v>5.4999998509883881</v>
      </c>
      <c r="X408" s="166">
        <f ca="1">IF(controls!$B$44=0,Y408+'main page'!$K$29*L408+(1-'main page'!$K$29)*controls!$B$9+(('main page'!$K$25*'main page'!$U$13*'main page'!$K$29)/('main page'!$K$27*(1+('main page'!$K$25^2)*'main page'!$U$13)))*(L408-controls!$B$9),Y408+'main page'!$K$29*L408+(1-'main page'!$K$29)*controls!$B$9+(('main page'!$K$25*'main page'!$U$13*'normal case'!$AV$3)/'normal case'!$AV$4)*('normal case'!L408-controls!$B$9))</f>
        <v>5.4999998509883881</v>
      </c>
      <c r="Y408" s="81">
        <f ca="1">IF(controls!$B$44=1,'main page'!$K$24+'main page'!$K$11,IF(controls!$B$33=1,((I409-D408*AD409-B409+B408*AC409)/'main page'!$K$27)-'main page'!$K$11,((H409-D408*AD409-B409+B408*AC409)/'main page'!$K$27)-'main page'!$K$11))</f>
        <v>3.5</v>
      </c>
      <c r="AA408" s="58">
        <f>IF(controls!$B$6=1,$AS$3*(1+('main page'!$K$35/100))^AB408-$AS$3*(1+('main page'!$K$35/100))^AB407,$AS$3*(1+('main page'!$G$8/100))*(1+('main page'!$K$35/100))^AB408-$AS$3*(1+('main page'!$G$8/100))*(1+('main page'!$K$35/100))^AB407)</f>
        <v>0</v>
      </c>
      <c r="AB408" s="60">
        <v>401</v>
      </c>
      <c r="AC408" s="125">
        <v>0</v>
      </c>
      <c r="AD408" s="36">
        <v>0</v>
      </c>
      <c r="AE408" s="44">
        <f ca="1">IF(controls!$B$33=1,D408-($I$3-'main page'!$K$27*2)*(1+('main page'!$K$35/100))^A407,D408-$AS$4)</f>
        <v>1.0000000596046448</v>
      </c>
      <c r="AF408" s="44">
        <f ca="1">ABS(L408-(controls!$B$9/100)*100)</f>
        <v>1.1920928955078125E-7</v>
      </c>
      <c r="AH408" s="44">
        <f ca="1">IF(controls!$B$33=1,(B409-B408*AC409-I409+D408*AD409+'main page'!$K$27*('main page'!$K$24+'main page'!$K$11))/'main page'!$K$31,(B409-B408*AC409+D408*AD409-H409+'main page'!$K$27*('main page'!$K$24+'main page'!$K$11))/'main page'!$K$31)</f>
        <v>1</v>
      </c>
      <c r="AI408" s="44">
        <f ca="1">IF(controls!$B$45=1,LOG(AM408,1.01)+LOG(AL408,1.01)-LOG(AK408,1.01),-((T408-('main page'!$K$24+'main page'!$K$11))/(1-'normal case'!$AV$3))+'normal case'!AH408)</f>
        <v>2.0000000596046448</v>
      </c>
      <c r="AJ408" s="80">
        <f t="shared" ca="1" si="54"/>
        <v>1.0506250015463039</v>
      </c>
      <c r="AK408" s="44">
        <f t="shared" ca="1" si="55"/>
        <v>2982.1247590612315</v>
      </c>
      <c r="AL408" s="44">
        <f>AL407*(1+'main page'!$K$32/100)</f>
        <v>1</v>
      </c>
      <c r="AM408" s="44">
        <f ca="1">IF(ABS(IF(controls!$B$45=1,$AS$13,AK408*AJ408/AL408)-AM407)&lt;0.00001,AM407,IF(controls!$B$45=1,$AS$13,AK408*AJ408/AL408))</f>
        <v>3133.0948295999774</v>
      </c>
      <c r="AN408" s="44">
        <f>IF(controls!$B$46=0,0,IF(controls!$B$33=2,B409-B408*AC409-('normal case'!H409-D408*AD409-'main page'!$K$27*'normal case'!T408+'main page'!$K$31*'normal case'!AI408)-(('main page'!$K$25*'main page'!$U$13*'main page'!$K$29)/(1+('main page'!$K$25^2)*'main page'!$U$13))*('normal case'!L408-'main page'!$U$8),B409-B408*AC409-('normal case'!I409-D408*AD409-'main page'!$K$27*'normal case'!T408+'main page'!$K$31*'normal case'!AI408)-(('main page'!$K$25*'main page'!$U$13*'main page'!$K$29)/(1+('main page'!$K$25^2)*'main page'!$U$13))*('normal case'!L408-'main page'!$U$8)))</f>
        <v>0</v>
      </c>
      <c r="AU408" s="36"/>
      <c r="AV408" s="36"/>
    </row>
    <row r="409" spans="1:48">
      <c r="A409" s="43">
        <v>407</v>
      </c>
      <c r="B409" s="62">
        <f ca="1">IF(controls!$B$33=1,B408*(1+AC409)+AA409,B408*(1+AC409))</f>
        <v>101</v>
      </c>
      <c r="C409" s="67">
        <f t="shared" ca="1" si="56"/>
        <v>-1.5107707374006907E-7</v>
      </c>
      <c r="D409" s="64">
        <f t="shared" ca="1" si="52"/>
        <v>101.00000005960464</v>
      </c>
      <c r="E409" s="64">
        <f ca="1">AN408+IF(controls!$B$33=1,G409,F409)</f>
        <v>101.00000005960464</v>
      </c>
      <c r="F409" s="78">
        <f ca="1">IF(controls!$B$44=0,H409-'main page'!$K$27*T408,H409-'main page'!$K$27*T408+'main page'!$K$31*AI408)</f>
        <v>101.00000005960464</v>
      </c>
      <c r="G409" s="62">
        <f ca="1">IF(controls!$B$44=0,I409-'main page'!$K$27*T408,I409-'main page'!$K$27*T408+'main page'!$K$31*'normal case'!AI408)</f>
        <v>101.00000005960464</v>
      </c>
      <c r="H409" s="62">
        <f t="shared" ca="1" si="58"/>
        <v>108</v>
      </c>
      <c r="I409" s="62">
        <f t="shared" ca="1" si="59"/>
        <v>108</v>
      </c>
      <c r="L409" s="62">
        <f ca="1">IF(ABS('main page'!$K$29*L408+(1-'main page'!$K$29)*(controls!$B$9/100)*100+'main page'!$K$25*(D409-B409)-L408)&lt;0.0000001,L408,'main page'!$K$29*L408+(1-'main page'!$K$29)*(controls!$B$9/100)*100+'main page'!$K$25*(D409-B409))</f>
        <v>1.9999998807907104</v>
      </c>
      <c r="Q409" s="409">
        <f ca="1">(1-'main page'!$K$29)*($AS$11/100)*100+'main page'!$K$25*(D409-B409)</f>
        <v>5.9604644775390625E-8</v>
      </c>
      <c r="R409" s="409">
        <f>'main page'!G413+'main page'!$K$29*M408</f>
        <v>0</v>
      </c>
      <c r="S409" s="409">
        <f t="shared" ca="1" si="57"/>
        <v>5.9604644775390625E-8</v>
      </c>
      <c r="T409" s="79">
        <f ca="1">IF(controls!$B$10=1,T408,IF(SUM(controls!$B$44:$B$46)=2,U409-'main page'!$K$29*'normal case'!L409-(1-'main page'!$K$29)*'main page'!$K$32,U409-'main page'!$K$29*'normal case'!L409-(1-'main page'!$K$29)*controls!$B$9))</f>
        <v>3.4999999701976776</v>
      </c>
      <c r="U409" s="164">
        <f ca="1">IF(controls!$B$45=1,IF(controls!$B$46=1,'main page'!$K$24+'main page'!$K$11+'main page'!$U$8,'main page'!$K$24+'main page'!$K$11+'main page'!$K$32),IF(controls!$B$44=1,IF(V409&lt;0,0,V409),IF(V409+'main page'!$K$11&lt;0,0,V409+'main page'!$K$11)))</f>
        <v>5.4999998509883881</v>
      </c>
      <c r="V409" s="63">
        <f ca="1">IF(controls!$B$10=1,'normal case'!T409+'normal case'!L409,'normal case'!W409)</f>
        <v>5.4999998509883881</v>
      </c>
      <c r="W409" s="61">
        <f t="shared" ca="1" si="53"/>
        <v>5.4999998509883881</v>
      </c>
      <c r="X409" s="166">
        <f ca="1">IF(controls!$B$44=0,Y409+'main page'!$K$29*L409+(1-'main page'!$K$29)*controls!$B$9+(('main page'!$K$25*'main page'!$U$13*'main page'!$K$29)/('main page'!$K$27*(1+('main page'!$K$25^2)*'main page'!$U$13)))*(L409-controls!$B$9),Y409+'main page'!$K$29*L409+(1-'main page'!$K$29)*controls!$B$9+(('main page'!$K$25*'main page'!$U$13*'normal case'!$AV$3)/'normal case'!$AV$4)*('normal case'!L409-controls!$B$9))</f>
        <v>5.4999998509883881</v>
      </c>
      <c r="Y409" s="81">
        <f ca="1">IF(controls!$B$44=1,'main page'!$K$24+'main page'!$K$11,IF(controls!$B$33=1,((I410-D409*AD410-B410+B409*AC410)/'main page'!$K$27)-'main page'!$K$11,((H410-D409*AD410-B410+B409*AC410)/'main page'!$K$27)-'main page'!$K$11))</f>
        <v>3.5</v>
      </c>
      <c r="AA409" s="58">
        <f>IF(controls!$B$6=1,$AS$3*(1+('main page'!$K$35/100))^AB409-$AS$3*(1+('main page'!$K$35/100))^AB408,$AS$3*(1+('main page'!$G$8/100))*(1+('main page'!$K$35/100))^AB409-$AS$3*(1+('main page'!$G$8/100))*(1+('main page'!$K$35/100))^AB408)</f>
        <v>0</v>
      </c>
      <c r="AB409" s="60">
        <v>402</v>
      </c>
      <c r="AC409" s="125">
        <v>0</v>
      </c>
      <c r="AD409" s="36">
        <v>0</v>
      </c>
      <c r="AE409" s="44">
        <f ca="1">IF(controls!$B$33=1,D409-($I$3-'main page'!$K$27*2)*(1+('main page'!$K$35/100))^A408,D409-$AS$4)</f>
        <v>1.0000000596046448</v>
      </c>
      <c r="AF409" s="44">
        <f ca="1">ABS(L409-(controls!$B$9/100)*100)</f>
        <v>1.1920928955078125E-7</v>
      </c>
      <c r="AH409" s="44">
        <f ca="1">IF(controls!$B$33=1,(B410-B409*AC410-I410+D409*AD410+'main page'!$K$27*('main page'!$K$24+'main page'!$K$11))/'main page'!$K$31,(B410-B409*AC410+D409*AD410-H410+'main page'!$K$27*('main page'!$K$24+'main page'!$K$11))/'main page'!$K$31)</f>
        <v>1</v>
      </c>
      <c r="AI409" s="44">
        <f ca="1">IF(controls!$B$45=1,LOG(AM409,1.01)+LOG(AL409,1.01)-LOG(AK409,1.01),-((T409-('main page'!$K$24+'main page'!$K$11))/(1-'normal case'!$AV$3))+'normal case'!AH409)</f>
        <v>2.0000000596046448</v>
      </c>
      <c r="AJ409" s="80">
        <f t="shared" ca="1" si="54"/>
        <v>1.0506250015463039</v>
      </c>
      <c r="AK409" s="44">
        <f t="shared" ca="1" si="55"/>
        <v>3041.7672506874865</v>
      </c>
      <c r="AL409" s="44">
        <f>AL408*(1+'main page'!$K$32/100)</f>
        <v>1</v>
      </c>
      <c r="AM409" s="44">
        <f ca="1">IF(ABS(IF(controls!$B$45=1,$AS$13,AK409*AJ409/AL409)-AM408)&lt;0.00001,AM408,IF(controls!$B$45=1,$AS$13,AK409*AJ409/AL409))</f>
        <v>3195.7567224570371</v>
      </c>
      <c r="AN409" s="44">
        <f>IF(controls!$B$46=0,0,IF(controls!$B$33=2,B410-B409*AC410-('normal case'!H410-D409*AD410-'main page'!$K$27*'normal case'!T409+'main page'!$K$31*'normal case'!AI409)-(('main page'!$K$25*'main page'!$U$13*'main page'!$K$29)/(1+('main page'!$K$25^2)*'main page'!$U$13))*('normal case'!L409-'main page'!$U$8),B410-B409*AC410-('normal case'!I410-D409*AD410-'main page'!$K$27*'normal case'!T409+'main page'!$K$31*'normal case'!AI409)-(('main page'!$K$25*'main page'!$U$13*'main page'!$K$29)/(1+('main page'!$K$25^2)*'main page'!$U$13))*('normal case'!L409-'main page'!$U$8)))</f>
        <v>0</v>
      </c>
      <c r="AU409" s="36"/>
      <c r="AV409" s="36"/>
    </row>
    <row r="410" spans="1:48">
      <c r="A410" s="43">
        <v>408</v>
      </c>
      <c r="B410" s="62">
        <f ca="1">IF(controls!$B$33=1,B409*(1+AC410)+AA410,B409*(1+AC410))</f>
        <v>101</v>
      </c>
      <c r="C410" s="67">
        <f t="shared" ca="1" si="56"/>
        <v>-1.5107707374006907E-7</v>
      </c>
      <c r="D410" s="64">
        <f t="shared" ca="1" si="52"/>
        <v>101.00000005960464</v>
      </c>
      <c r="E410" s="64">
        <f ca="1">AN409+IF(controls!$B$33=1,G410,F410)</f>
        <v>101.00000005960464</v>
      </c>
      <c r="F410" s="78">
        <f ca="1">IF(controls!$B$44=0,H410-'main page'!$K$27*T409,H410-'main page'!$K$27*T409+'main page'!$K$31*AI409)</f>
        <v>101.00000005960464</v>
      </c>
      <c r="G410" s="62">
        <f ca="1">IF(controls!$B$44=0,I410-'main page'!$K$27*T409,I410-'main page'!$K$27*T409+'main page'!$K$31*'normal case'!AI409)</f>
        <v>101.00000005960464</v>
      </c>
      <c r="H410" s="62">
        <f t="shared" ca="1" si="58"/>
        <v>108</v>
      </c>
      <c r="I410" s="62">
        <f t="shared" ca="1" si="59"/>
        <v>108</v>
      </c>
      <c r="L410" s="62">
        <f ca="1">IF(ABS('main page'!$K$29*L409+(1-'main page'!$K$29)*(controls!$B$9/100)*100+'main page'!$K$25*(D410-B410)-L409)&lt;0.0000001,L409,'main page'!$K$29*L409+(1-'main page'!$K$29)*(controls!$B$9/100)*100+'main page'!$K$25*(D410-B410))</f>
        <v>1.9999998807907104</v>
      </c>
      <c r="Q410" s="409">
        <f ca="1">(1-'main page'!$K$29)*($AS$11/100)*100+'main page'!$K$25*(D410-B410)</f>
        <v>5.9604644775390625E-8</v>
      </c>
      <c r="R410" s="409">
        <f>'main page'!G414+'main page'!$K$29*M409</f>
        <v>0</v>
      </c>
      <c r="S410" s="409">
        <f t="shared" ca="1" si="57"/>
        <v>5.9604644775390625E-8</v>
      </c>
      <c r="T410" s="79">
        <f ca="1">IF(controls!$B$10=1,T409,IF(SUM(controls!$B$44:$B$46)=2,U410-'main page'!$K$29*'normal case'!L410-(1-'main page'!$K$29)*'main page'!$K$32,U410-'main page'!$K$29*'normal case'!L410-(1-'main page'!$K$29)*controls!$B$9))</f>
        <v>3.4999999701976776</v>
      </c>
      <c r="U410" s="164">
        <f ca="1">IF(controls!$B$45=1,IF(controls!$B$46=1,'main page'!$K$24+'main page'!$K$11+'main page'!$U$8,'main page'!$K$24+'main page'!$K$11+'main page'!$K$32),IF(controls!$B$44=1,IF(V410&lt;0,0,V410),IF(V410+'main page'!$K$11&lt;0,0,V410+'main page'!$K$11)))</f>
        <v>5.4999998509883881</v>
      </c>
      <c r="V410" s="63">
        <f ca="1">IF(controls!$B$10=1,'normal case'!T410+'normal case'!L410,'normal case'!W410)</f>
        <v>5.4999998509883881</v>
      </c>
      <c r="W410" s="61">
        <f t="shared" ca="1" si="53"/>
        <v>5.4999998509883881</v>
      </c>
      <c r="X410" s="166">
        <f ca="1">IF(controls!$B$44=0,Y410+'main page'!$K$29*L410+(1-'main page'!$K$29)*controls!$B$9+(('main page'!$K$25*'main page'!$U$13*'main page'!$K$29)/('main page'!$K$27*(1+('main page'!$K$25^2)*'main page'!$U$13)))*(L410-controls!$B$9),Y410+'main page'!$K$29*L410+(1-'main page'!$K$29)*controls!$B$9+(('main page'!$K$25*'main page'!$U$13*'normal case'!$AV$3)/'normal case'!$AV$4)*('normal case'!L410-controls!$B$9))</f>
        <v>5.4999998509883881</v>
      </c>
      <c r="Y410" s="81">
        <f ca="1">IF(controls!$B$44=1,'main page'!$K$24+'main page'!$K$11,IF(controls!$B$33=1,((I411-D410*AD411-B411+B410*AC411)/'main page'!$K$27)-'main page'!$K$11,((H411-D410*AD411-B411+B410*AC411)/'main page'!$K$27)-'main page'!$K$11))</f>
        <v>3.5</v>
      </c>
      <c r="AA410" s="58">
        <f>IF(controls!$B$6=1,$AS$3*(1+('main page'!$K$35/100))^AB410-$AS$3*(1+('main page'!$K$35/100))^AB409,$AS$3*(1+('main page'!$G$8/100))*(1+('main page'!$K$35/100))^AB410-$AS$3*(1+('main page'!$G$8/100))*(1+('main page'!$K$35/100))^AB409)</f>
        <v>0</v>
      </c>
      <c r="AB410" s="60">
        <v>403</v>
      </c>
      <c r="AC410" s="125">
        <f ca="1">IF(controls!$B$4=1,IF(controls!$H409=1,controls!$B$34*AC409+RAND()*('main page'!$K$16/100)-RAND()*('main page'!$K$16/100),0),0)</f>
        <v>0</v>
      </c>
      <c r="AD410" s="36">
        <f ca="1">IF(controls!$B$4=1,IF(controls!$I409=1,controls!$B$34*AD409+RAND()*('main page'!$K$16/100)-RAND()*('main page'!$K$16/100),0),0)</f>
        <v>0</v>
      </c>
      <c r="AE410" s="44">
        <f ca="1">IF(controls!$B$33=1,D410-($I$3-'main page'!$K$27*2)*(1+('main page'!$K$35/100))^A409,D410-$AS$4)</f>
        <v>1.0000000596046448</v>
      </c>
      <c r="AF410" s="44">
        <f ca="1">ABS(L410-(controls!$B$9/100)*100)</f>
        <v>1.1920928955078125E-7</v>
      </c>
      <c r="AH410" s="44">
        <f ca="1">IF(controls!$B$33=1,(B411-B410*AC411-I411+D410*AD411+'main page'!$K$27*('main page'!$K$24+'main page'!$K$11))/'main page'!$K$31,(B411-B410*AC411+D410*AD411-H411+'main page'!$K$27*('main page'!$K$24+'main page'!$K$11))/'main page'!$K$31)</f>
        <v>1</v>
      </c>
      <c r="AI410" s="44">
        <f ca="1">IF(controls!$B$45=1,LOG(AM410,1.01)+LOG(AL410,1.01)-LOG(AK410,1.01),-((T410-('main page'!$K$24+'main page'!$K$11))/(1-'normal case'!$AV$3))+'normal case'!AH410)</f>
        <v>2.0000000596046448</v>
      </c>
      <c r="AJ410" s="80">
        <f t="shared" ca="1" si="54"/>
        <v>1.0506250015463039</v>
      </c>
      <c r="AK410" s="44">
        <f t="shared" ca="1" si="55"/>
        <v>3102.6025920751672</v>
      </c>
      <c r="AL410" s="44">
        <f>AL409*(1+'main page'!$K$32/100)</f>
        <v>1</v>
      </c>
      <c r="AM410" s="44">
        <f ca="1">IF(ABS(IF(controls!$B$45=1,$AS$13,AK410*AJ410/AL410)-AM409)&lt;0.00001,AM409,IF(controls!$B$45=1,$AS$13,AK410*AJ410/AL410))</f>
        <v>3259.6718530965391</v>
      </c>
      <c r="AN410" s="44">
        <f>IF(controls!$B$46=0,0,IF(controls!$B$33=2,B411-B410*AC411-('normal case'!H411-D410*AD411-'main page'!$K$27*'normal case'!T410+'main page'!$K$31*'normal case'!AI410)-(('main page'!$K$25*'main page'!$U$13*'main page'!$K$29)/(1+('main page'!$K$25^2)*'main page'!$U$13))*('normal case'!L410-'main page'!$U$8),B411-B410*AC411-('normal case'!I411-D410*AD411-'main page'!$K$27*'normal case'!T410+'main page'!$K$31*'normal case'!AI410)-(('main page'!$K$25*'main page'!$U$13*'main page'!$K$29)/(1+('main page'!$K$25^2)*'main page'!$U$13))*('normal case'!L410-'main page'!$U$8)))</f>
        <v>0</v>
      </c>
      <c r="AU410" s="36"/>
      <c r="AV410" s="36"/>
    </row>
    <row r="411" spans="1:48">
      <c r="A411" s="43">
        <v>409</v>
      </c>
      <c r="B411" s="62">
        <f ca="1">IF(controls!$B$33=1,B410*(1+AC411)+AA411,B410*(1+AC411))</f>
        <v>101</v>
      </c>
      <c r="C411" s="67">
        <f t="shared" ca="1" si="56"/>
        <v>-1.5107707374006907E-7</v>
      </c>
      <c r="D411" s="64">
        <f t="shared" ca="1" si="52"/>
        <v>101.00000005960464</v>
      </c>
      <c r="E411" s="64">
        <f ca="1">AN410+IF(controls!$B$33=1,G411,F411)</f>
        <v>101.00000005960464</v>
      </c>
      <c r="F411" s="78">
        <f ca="1">IF(controls!$B$44=0,H411-'main page'!$K$27*T410,H411-'main page'!$K$27*T410+'main page'!$K$31*AI410)</f>
        <v>101.00000005960464</v>
      </c>
      <c r="G411" s="62">
        <f ca="1">IF(controls!$B$44=0,I411-'main page'!$K$27*T410,I411-'main page'!$K$27*T410+'main page'!$K$31*'normal case'!AI410)</f>
        <v>101.00000005960464</v>
      </c>
      <c r="H411" s="62">
        <f t="shared" ca="1" si="58"/>
        <v>108</v>
      </c>
      <c r="I411" s="62">
        <f t="shared" ca="1" si="59"/>
        <v>108</v>
      </c>
      <c r="L411" s="62">
        <f ca="1">IF(ABS('main page'!$K$29*L410+(1-'main page'!$K$29)*(controls!$B$9/100)*100+'main page'!$K$25*(D411-B411)-L410)&lt;0.0000001,L410,'main page'!$K$29*L410+(1-'main page'!$K$29)*(controls!$B$9/100)*100+'main page'!$K$25*(D411-B411))</f>
        <v>1.9999998807907104</v>
      </c>
      <c r="Q411" s="409">
        <f ca="1">(1-'main page'!$K$29)*($AS$11/100)*100+'main page'!$K$25*(D411-B411)</f>
        <v>5.9604644775390625E-8</v>
      </c>
      <c r="R411" s="409">
        <f>'main page'!G415+'main page'!$K$29*M410</f>
        <v>0</v>
      </c>
      <c r="S411" s="409">
        <f t="shared" ca="1" si="57"/>
        <v>5.9604644775390625E-8</v>
      </c>
      <c r="T411" s="79">
        <f ca="1">IF(controls!$B$10=1,T410,IF(SUM(controls!$B$44:$B$46)=2,U411-'main page'!$K$29*'normal case'!L411-(1-'main page'!$K$29)*'main page'!$K$32,U411-'main page'!$K$29*'normal case'!L411-(1-'main page'!$K$29)*controls!$B$9))</f>
        <v>3.4999999701976776</v>
      </c>
      <c r="U411" s="164">
        <f ca="1">IF(controls!$B$45=1,IF(controls!$B$46=1,'main page'!$K$24+'main page'!$K$11+'main page'!$U$8,'main page'!$K$24+'main page'!$K$11+'main page'!$K$32),IF(controls!$B$44=1,IF(V411&lt;0,0,V411),IF(V411+'main page'!$K$11&lt;0,0,V411+'main page'!$K$11)))</f>
        <v>5.4999998509883881</v>
      </c>
      <c r="V411" s="63">
        <f ca="1">IF(controls!$B$10=1,'normal case'!T411+'normal case'!L411,'normal case'!W411)</f>
        <v>5.4999998509883881</v>
      </c>
      <c r="W411" s="61">
        <f t="shared" ca="1" si="53"/>
        <v>5.4999998509883881</v>
      </c>
      <c r="X411" s="166">
        <f ca="1">IF(controls!$B$44=0,Y411+'main page'!$K$29*L411+(1-'main page'!$K$29)*controls!$B$9+(('main page'!$K$25*'main page'!$U$13*'main page'!$K$29)/('main page'!$K$27*(1+('main page'!$K$25^2)*'main page'!$U$13)))*(L411-controls!$B$9),Y411+'main page'!$K$29*L411+(1-'main page'!$K$29)*controls!$B$9+(('main page'!$K$25*'main page'!$U$13*'normal case'!$AV$3)/'normal case'!$AV$4)*('normal case'!L411-controls!$B$9))</f>
        <v>5.4999998509883881</v>
      </c>
      <c r="Y411" s="81">
        <f ca="1">IF(controls!$B$44=1,'main page'!$K$24+'main page'!$K$11,IF(controls!$B$33=1,((I412-D411*AD412-B412+B411*AC412)/'main page'!$K$27)-'main page'!$K$11,((H412-D411*AD412-B412+B411*AC412)/'main page'!$K$27)-'main page'!$K$11))</f>
        <v>3.5</v>
      </c>
      <c r="AA411" s="58">
        <f>IF(controls!$B$6=1,$AS$3*(1+('main page'!$K$35/100))^AB411-$AS$3*(1+('main page'!$K$35/100))^AB410,$AS$3*(1+('main page'!$G$8/100))*(1+('main page'!$K$35/100))^AB411-$AS$3*(1+('main page'!$G$8/100))*(1+('main page'!$K$35/100))^AB410)</f>
        <v>0</v>
      </c>
      <c r="AB411" s="60">
        <v>404</v>
      </c>
      <c r="AC411" s="125">
        <v>0</v>
      </c>
      <c r="AD411" s="36">
        <v>0</v>
      </c>
      <c r="AE411" s="44">
        <f ca="1">IF(controls!$B$33=1,D411-($I$3-'main page'!$K$27*2)*(1+('main page'!$K$35/100))^A410,D411-$AS$4)</f>
        <v>1.0000000596046448</v>
      </c>
      <c r="AF411" s="44">
        <f ca="1">ABS(L411-(controls!$B$9/100)*100)</f>
        <v>1.1920928955078125E-7</v>
      </c>
      <c r="AH411" s="44">
        <f ca="1">IF(controls!$B$33=1,(B412-B411*AC412-I412+D411*AD412+'main page'!$K$27*('main page'!$K$24+'main page'!$K$11))/'main page'!$K$31,(B412-B411*AC412+D411*AD412-H412+'main page'!$K$27*('main page'!$K$24+'main page'!$K$11))/'main page'!$K$31)</f>
        <v>1</v>
      </c>
      <c r="AI411" s="44">
        <f ca="1">IF(controls!$B$45=1,LOG(AM411,1.01)+LOG(AL411,1.01)-LOG(AK411,1.01),-((T411-('main page'!$K$24+'main page'!$K$11))/(1-'normal case'!$AV$3))+'normal case'!AH411)</f>
        <v>2.0000000596046448</v>
      </c>
      <c r="AJ411" s="80">
        <f t="shared" ca="1" si="54"/>
        <v>1.0506250015463039</v>
      </c>
      <c r="AK411" s="44">
        <f t="shared" ca="1" si="55"/>
        <v>3164.6546402180802</v>
      </c>
      <c r="AL411" s="44">
        <f>AL410*(1+'main page'!$K$32/100)</f>
        <v>1</v>
      </c>
      <c r="AM411" s="44">
        <f ca="1">IF(ABS(IF(controls!$B$45=1,$AS$13,AK411*AJ411/AL411)-AM410)&lt;0.00001,AM410,IF(controls!$B$45=1,$AS$13,AK411*AJ411/AL411))</f>
        <v>3324.8652862726385</v>
      </c>
      <c r="AN411" s="44">
        <f>IF(controls!$B$46=0,0,IF(controls!$B$33=2,B412-B411*AC412-('normal case'!H412-D411*AD412-'main page'!$K$27*'normal case'!T411+'main page'!$K$31*'normal case'!AI411)-(('main page'!$K$25*'main page'!$U$13*'main page'!$K$29)/(1+('main page'!$K$25^2)*'main page'!$U$13))*('normal case'!L411-'main page'!$U$8),B412-B411*AC412-('normal case'!I412-D411*AD412-'main page'!$K$27*'normal case'!T411+'main page'!$K$31*'normal case'!AI411)-(('main page'!$K$25*'main page'!$U$13*'main page'!$K$29)/(1+('main page'!$K$25^2)*'main page'!$U$13))*('normal case'!L411-'main page'!$U$8)))</f>
        <v>0</v>
      </c>
      <c r="AU411" s="36"/>
      <c r="AV411" s="36"/>
    </row>
    <row r="412" spans="1:48">
      <c r="A412" s="43">
        <v>410</v>
      </c>
      <c r="B412" s="62">
        <f ca="1">IF(controls!$B$33=1,B411*(1+AC412)+AA412,B411*(1+AC412))</f>
        <v>101</v>
      </c>
      <c r="C412" s="67">
        <f t="shared" ca="1" si="56"/>
        <v>-1.5107707374006907E-7</v>
      </c>
      <c r="D412" s="64">
        <f t="shared" ca="1" si="52"/>
        <v>101.00000005960464</v>
      </c>
      <c r="E412" s="64">
        <f ca="1">AN411+IF(controls!$B$33=1,G412,F412)</f>
        <v>101.00000005960464</v>
      </c>
      <c r="F412" s="78">
        <f ca="1">IF(controls!$B$44=0,H412-'main page'!$K$27*T411,H412-'main page'!$K$27*T411+'main page'!$K$31*AI411)</f>
        <v>101.00000005960464</v>
      </c>
      <c r="G412" s="62">
        <f ca="1">IF(controls!$B$44=0,I412-'main page'!$K$27*T411,I412-'main page'!$K$27*T411+'main page'!$K$31*'normal case'!AI411)</f>
        <v>101.00000005960464</v>
      </c>
      <c r="H412" s="62">
        <f t="shared" ca="1" si="58"/>
        <v>108</v>
      </c>
      <c r="I412" s="62">
        <f t="shared" ca="1" si="59"/>
        <v>108</v>
      </c>
      <c r="L412" s="62">
        <f ca="1">IF(ABS('main page'!$K$29*L411+(1-'main page'!$K$29)*(controls!$B$9/100)*100+'main page'!$K$25*(D412-B412)-L411)&lt;0.0000001,L411,'main page'!$K$29*L411+(1-'main page'!$K$29)*(controls!$B$9/100)*100+'main page'!$K$25*(D412-B412))</f>
        <v>1.9999998807907104</v>
      </c>
      <c r="Q412" s="409">
        <f ca="1">(1-'main page'!$K$29)*($AS$11/100)*100+'main page'!$K$25*(D412-B412)</f>
        <v>5.9604644775390625E-8</v>
      </c>
      <c r="R412" s="409">
        <f>'main page'!G416+'main page'!$K$29*M411</f>
        <v>0</v>
      </c>
      <c r="S412" s="409">
        <f t="shared" ca="1" si="57"/>
        <v>5.9604644775390625E-8</v>
      </c>
      <c r="T412" s="79">
        <f ca="1">IF(controls!$B$10=1,T411,IF(SUM(controls!$B$44:$B$46)=2,U412-'main page'!$K$29*'normal case'!L412-(1-'main page'!$K$29)*'main page'!$K$32,U412-'main page'!$K$29*'normal case'!L412-(1-'main page'!$K$29)*controls!$B$9))</f>
        <v>3.4999999701976776</v>
      </c>
      <c r="U412" s="164">
        <f ca="1">IF(controls!$B$45=1,IF(controls!$B$46=1,'main page'!$K$24+'main page'!$K$11+'main page'!$U$8,'main page'!$K$24+'main page'!$K$11+'main page'!$K$32),IF(controls!$B$44=1,IF(V412&lt;0,0,V412),IF(V412+'main page'!$K$11&lt;0,0,V412+'main page'!$K$11)))</f>
        <v>5.4999998509883881</v>
      </c>
      <c r="V412" s="63">
        <f ca="1">IF(controls!$B$10=1,'normal case'!T412+'normal case'!L412,'normal case'!W412)</f>
        <v>5.4999998509883881</v>
      </c>
      <c r="W412" s="61">
        <f t="shared" ca="1" si="53"/>
        <v>5.4999998509883881</v>
      </c>
      <c r="X412" s="166">
        <f ca="1">IF(controls!$B$44=0,Y412+'main page'!$K$29*L412+(1-'main page'!$K$29)*controls!$B$9+(('main page'!$K$25*'main page'!$U$13*'main page'!$K$29)/('main page'!$K$27*(1+('main page'!$K$25^2)*'main page'!$U$13)))*(L412-controls!$B$9),Y412+'main page'!$K$29*L412+(1-'main page'!$K$29)*controls!$B$9+(('main page'!$K$25*'main page'!$U$13*'normal case'!$AV$3)/'normal case'!$AV$4)*('normal case'!L412-controls!$B$9))</f>
        <v>5.4999998509883881</v>
      </c>
      <c r="Y412" s="81">
        <f ca="1">IF(controls!$B$44=1,'main page'!$K$24+'main page'!$K$11,IF(controls!$B$33=1,((I413-D412*AD413-B413+B412*AC413)/'main page'!$K$27)-'main page'!$K$11,((H413-D412*AD413-B413+B412*AC413)/'main page'!$K$27)-'main page'!$K$11))</f>
        <v>3.5</v>
      </c>
      <c r="AA412" s="58">
        <f>IF(controls!$B$6=1,$AS$3*(1+('main page'!$K$35/100))^AB412-$AS$3*(1+('main page'!$K$35/100))^AB411,$AS$3*(1+('main page'!$G$8/100))*(1+('main page'!$K$35/100))^AB412-$AS$3*(1+('main page'!$G$8/100))*(1+('main page'!$K$35/100))^AB411)</f>
        <v>0</v>
      </c>
      <c r="AB412" s="60">
        <v>405</v>
      </c>
      <c r="AC412" s="125">
        <v>0</v>
      </c>
      <c r="AD412" s="36">
        <v>0</v>
      </c>
      <c r="AE412" s="44">
        <f ca="1">IF(controls!$B$33=1,D412-($I$3-'main page'!$K$27*2)*(1+('main page'!$K$35/100))^A411,D412-$AS$4)</f>
        <v>1.0000000596046448</v>
      </c>
      <c r="AF412" s="44">
        <f ca="1">ABS(L412-(controls!$B$9/100)*100)</f>
        <v>1.1920928955078125E-7</v>
      </c>
      <c r="AH412" s="44">
        <f ca="1">IF(controls!$B$33=1,(B413-B412*AC413-I413+D412*AD413+'main page'!$K$27*('main page'!$K$24+'main page'!$K$11))/'main page'!$K$31,(B413-B412*AC413+D412*AD413-H413+'main page'!$K$27*('main page'!$K$24+'main page'!$K$11))/'main page'!$K$31)</f>
        <v>1</v>
      </c>
      <c r="AI412" s="44">
        <f ca="1">IF(controls!$B$45=1,LOG(AM412,1.01)+LOG(AL412,1.01)-LOG(AK412,1.01),-((T412-('main page'!$K$24+'main page'!$K$11))/(1-'normal case'!$AV$3))+'normal case'!AH412)</f>
        <v>2.0000000596046448</v>
      </c>
      <c r="AJ412" s="80">
        <f t="shared" ca="1" si="54"/>
        <v>1.0506250015463039</v>
      </c>
      <c r="AK412" s="44">
        <f t="shared" ca="1" si="55"/>
        <v>3227.9477292498796</v>
      </c>
      <c r="AL412" s="44">
        <f>AL411*(1+'main page'!$K$32/100)</f>
        <v>1</v>
      </c>
      <c r="AM412" s="44">
        <f ca="1">IF(ABS(IF(controls!$B$45=1,$AS$13,AK412*AJ412/AL412)-AM411)&lt;0.00001,AM411,IF(controls!$B$45=1,$AS$13,AK412*AJ412/AL412))</f>
        <v>3391.362588034543</v>
      </c>
      <c r="AN412" s="44">
        <f>IF(controls!$B$46=0,0,IF(controls!$B$33=2,B413-B412*AC413-('normal case'!H413-D412*AD413-'main page'!$K$27*'normal case'!T412+'main page'!$K$31*'normal case'!AI412)-(('main page'!$K$25*'main page'!$U$13*'main page'!$K$29)/(1+('main page'!$K$25^2)*'main page'!$U$13))*('normal case'!L412-'main page'!$U$8),B413-B412*AC413-('normal case'!I413-D412*AD413-'main page'!$K$27*'normal case'!T412+'main page'!$K$31*'normal case'!AI412)-(('main page'!$K$25*'main page'!$U$13*'main page'!$K$29)/(1+('main page'!$K$25^2)*'main page'!$U$13))*('normal case'!L412-'main page'!$U$8)))</f>
        <v>0</v>
      </c>
      <c r="AU412" s="36"/>
      <c r="AV412" s="36"/>
    </row>
    <row r="413" spans="1:48">
      <c r="A413" s="43">
        <v>411</v>
      </c>
      <c r="B413" s="62">
        <f ca="1">IF(controls!$B$33=1,B412*(1+AC413)+AA413,B412*(1+AC413))</f>
        <v>101</v>
      </c>
      <c r="C413" s="67">
        <f t="shared" ca="1" si="56"/>
        <v>-1.5107707374006907E-7</v>
      </c>
      <c r="D413" s="64">
        <f t="shared" ca="1" si="52"/>
        <v>101.00000005960464</v>
      </c>
      <c r="E413" s="64">
        <f ca="1">AN412+IF(controls!$B$33=1,G413,F413)</f>
        <v>101.00000005960464</v>
      </c>
      <c r="F413" s="78">
        <f ca="1">IF(controls!$B$44=0,H413-'main page'!$K$27*T412,H413-'main page'!$K$27*T412+'main page'!$K$31*AI412)</f>
        <v>101.00000005960464</v>
      </c>
      <c r="G413" s="62">
        <f ca="1">IF(controls!$B$44=0,I413-'main page'!$K$27*T412,I413-'main page'!$K$27*T412+'main page'!$K$31*'normal case'!AI412)</f>
        <v>101.00000005960464</v>
      </c>
      <c r="H413" s="62">
        <f t="shared" ca="1" si="58"/>
        <v>108</v>
      </c>
      <c r="I413" s="62">
        <f t="shared" ca="1" si="59"/>
        <v>108</v>
      </c>
      <c r="L413" s="62">
        <f ca="1">IF(ABS('main page'!$K$29*L412+(1-'main page'!$K$29)*(controls!$B$9/100)*100+'main page'!$K$25*(D413-B413)-L412)&lt;0.0000001,L412,'main page'!$K$29*L412+(1-'main page'!$K$29)*(controls!$B$9/100)*100+'main page'!$K$25*(D413-B413))</f>
        <v>1.9999998807907104</v>
      </c>
      <c r="Q413" s="409">
        <f ca="1">(1-'main page'!$K$29)*($AS$11/100)*100+'main page'!$K$25*(D413-B413)</f>
        <v>5.9604644775390625E-8</v>
      </c>
      <c r="R413" s="409">
        <f>'main page'!G417+'main page'!$K$29*M412</f>
        <v>0</v>
      </c>
      <c r="S413" s="409">
        <f t="shared" ca="1" si="57"/>
        <v>5.9604644775390625E-8</v>
      </c>
      <c r="T413" s="79">
        <f ca="1">IF(controls!$B$10=1,T412,IF(SUM(controls!$B$44:$B$46)=2,U413-'main page'!$K$29*'normal case'!L413-(1-'main page'!$K$29)*'main page'!$K$32,U413-'main page'!$K$29*'normal case'!L413-(1-'main page'!$K$29)*controls!$B$9))</f>
        <v>3.4999999701976776</v>
      </c>
      <c r="U413" s="164">
        <f ca="1">IF(controls!$B$45=1,IF(controls!$B$46=1,'main page'!$K$24+'main page'!$K$11+'main page'!$U$8,'main page'!$K$24+'main page'!$K$11+'main page'!$K$32),IF(controls!$B$44=1,IF(V413&lt;0,0,V413),IF(V413+'main page'!$K$11&lt;0,0,V413+'main page'!$K$11)))</f>
        <v>5.4999998509883881</v>
      </c>
      <c r="V413" s="63">
        <f ca="1">IF(controls!$B$10=1,'normal case'!T413+'normal case'!L413,'normal case'!W413)</f>
        <v>5.4999998509883881</v>
      </c>
      <c r="W413" s="61">
        <f t="shared" ca="1" si="53"/>
        <v>5.4999998509883881</v>
      </c>
      <c r="X413" s="166">
        <f ca="1">IF(controls!$B$44=0,Y413+'main page'!$K$29*L413+(1-'main page'!$K$29)*controls!$B$9+(('main page'!$K$25*'main page'!$U$13*'main page'!$K$29)/('main page'!$K$27*(1+('main page'!$K$25^2)*'main page'!$U$13)))*(L413-controls!$B$9),Y413+'main page'!$K$29*L413+(1-'main page'!$K$29)*controls!$B$9+(('main page'!$K$25*'main page'!$U$13*'normal case'!$AV$3)/'normal case'!$AV$4)*('normal case'!L413-controls!$B$9))</f>
        <v>5.4999998509883881</v>
      </c>
      <c r="Y413" s="81">
        <f ca="1">IF(controls!$B$44=1,'main page'!$K$24+'main page'!$K$11,IF(controls!$B$33=1,((I414-D413*AD414-B414+B413*AC414)/'main page'!$K$27)-'main page'!$K$11,((H414-D413*AD414-B414+B413*AC414)/'main page'!$K$27)-'main page'!$K$11))</f>
        <v>3.5</v>
      </c>
      <c r="AA413" s="58">
        <f>IF(controls!$B$6=1,$AS$3*(1+('main page'!$K$35/100))^AB413-$AS$3*(1+('main page'!$K$35/100))^AB412,$AS$3*(1+('main page'!$G$8/100))*(1+('main page'!$K$35/100))^AB413-$AS$3*(1+('main page'!$G$8/100))*(1+('main page'!$K$35/100))^AB412)</f>
        <v>0</v>
      </c>
      <c r="AB413" s="60">
        <v>406</v>
      </c>
      <c r="AC413" s="125">
        <f ca="1">IF(controls!$B$4=1,IF(controls!$H412=1,controls!$B$34*AC412+RAND()*('main page'!$K$16/100)-RAND()*('main page'!$K$16/100),0),0)</f>
        <v>0</v>
      </c>
      <c r="AD413" s="36">
        <f ca="1">IF(controls!$B$4=1,IF(controls!$I412=1,controls!$B$34*AD412+RAND()*('main page'!$K$16/100)-RAND()*('main page'!$K$16/100),0),0)</f>
        <v>0</v>
      </c>
      <c r="AE413" s="44">
        <f ca="1">IF(controls!$B$33=1,D413-($I$3-'main page'!$K$27*2)*(1+('main page'!$K$35/100))^A412,D413-$AS$4)</f>
        <v>1.0000000596046448</v>
      </c>
      <c r="AF413" s="44">
        <f ca="1">ABS(L413-(controls!$B$9/100)*100)</f>
        <v>1.1920928955078125E-7</v>
      </c>
      <c r="AH413" s="44">
        <f ca="1">IF(controls!$B$33=1,(B414-B413*AC414-I414+D413*AD414+'main page'!$K$27*('main page'!$K$24+'main page'!$K$11))/'main page'!$K$31,(B414-B413*AC414+D413*AD414-H414+'main page'!$K$27*('main page'!$K$24+'main page'!$K$11))/'main page'!$K$31)</f>
        <v>1</v>
      </c>
      <c r="AI413" s="44">
        <f ca="1">IF(controls!$B$45=1,LOG(AM413,1.01)+LOG(AL413,1.01)-LOG(AK413,1.01),-((T413-('main page'!$K$24+'main page'!$K$11))/(1-'normal case'!$AV$3))+'normal case'!AH413)</f>
        <v>2.0000000596046448</v>
      </c>
      <c r="AJ413" s="80">
        <f t="shared" ca="1" si="54"/>
        <v>1.0506250015463039</v>
      </c>
      <c r="AK413" s="44">
        <f t="shared" ca="1" si="55"/>
        <v>3292.5066799868637</v>
      </c>
      <c r="AL413" s="44">
        <f>AL412*(1+'main page'!$K$32/100)</f>
        <v>1</v>
      </c>
      <c r="AM413" s="44">
        <f ca="1">IF(ABS(IF(controls!$B$45=1,$AS$13,AK413*AJ413/AL413)-AM412)&lt;0.00001,AM412,IF(controls!$B$45=1,$AS$13,AK413*AJ413/AL413))</f>
        <v>3459.1898357524146</v>
      </c>
      <c r="AN413" s="44">
        <f>IF(controls!$B$46=0,0,IF(controls!$B$33=2,B414-B413*AC414-('normal case'!H414-D413*AD414-'main page'!$K$27*'normal case'!T413+'main page'!$K$31*'normal case'!AI413)-(('main page'!$K$25*'main page'!$U$13*'main page'!$K$29)/(1+('main page'!$K$25^2)*'main page'!$U$13))*('normal case'!L413-'main page'!$U$8),B414-B413*AC414-('normal case'!I414-D413*AD414-'main page'!$K$27*'normal case'!T413+'main page'!$K$31*'normal case'!AI413)-(('main page'!$K$25*'main page'!$U$13*'main page'!$K$29)/(1+('main page'!$K$25^2)*'main page'!$U$13))*('normal case'!L413-'main page'!$U$8)))</f>
        <v>0</v>
      </c>
      <c r="AU413" s="36"/>
      <c r="AV413" s="36"/>
    </row>
    <row r="414" spans="1:48">
      <c r="A414" s="43">
        <v>412</v>
      </c>
      <c r="B414" s="62">
        <f ca="1">IF(controls!$B$33=1,B413*(1+AC414)+AA414,B413*(1+AC414))</f>
        <v>101</v>
      </c>
      <c r="C414" s="67">
        <f t="shared" ca="1" si="56"/>
        <v>-1.5107707374006907E-7</v>
      </c>
      <c r="D414" s="64">
        <f t="shared" ca="1" si="52"/>
        <v>101.00000005960464</v>
      </c>
      <c r="E414" s="64">
        <f ca="1">AN413+IF(controls!$B$33=1,G414,F414)</f>
        <v>101.00000005960464</v>
      </c>
      <c r="F414" s="78">
        <f ca="1">IF(controls!$B$44=0,H414-'main page'!$K$27*T413,H414-'main page'!$K$27*T413+'main page'!$K$31*AI413)</f>
        <v>101.00000005960464</v>
      </c>
      <c r="G414" s="62">
        <f ca="1">IF(controls!$B$44=0,I414-'main page'!$K$27*T413,I414-'main page'!$K$27*T413+'main page'!$K$31*'normal case'!AI413)</f>
        <v>101.00000005960464</v>
      </c>
      <c r="H414" s="62">
        <f t="shared" ca="1" si="58"/>
        <v>108</v>
      </c>
      <c r="I414" s="62">
        <f t="shared" ca="1" si="59"/>
        <v>108</v>
      </c>
      <c r="L414" s="62">
        <f ca="1">IF(ABS('main page'!$K$29*L413+(1-'main page'!$K$29)*(controls!$B$9/100)*100+'main page'!$K$25*(D414-B414)-L413)&lt;0.0000001,L413,'main page'!$K$29*L413+(1-'main page'!$K$29)*(controls!$B$9/100)*100+'main page'!$K$25*(D414-B414))</f>
        <v>1.9999998807907104</v>
      </c>
      <c r="Q414" s="409">
        <f ca="1">(1-'main page'!$K$29)*($AS$11/100)*100+'main page'!$K$25*(D414-B414)</f>
        <v>5.9604644775390625E-8</v>
      </c>
      <c r="R414" s="409">
        <f>'main page'!G418+'main page'!$K$29*M413</f>
        <v>0</v>
      </c>
      <c r="S414" s="409">
        <f t="shared" ca="1" si="57"/>
        <v>5.9604644775390625E-8</v>
      </c>
      <c r="T414" s="79">
        <f ca="1">IF(controls!$B$10=1,T413,IF(SUM(controls!$B$44:$B$46)=2,U414-'main page'!$K$29*'normal case'!L414-(1-'main page'!$K$29)*'main page'!$K$32,U414-'main page'!$K$29*'normal case'!L414-(1-'main page'!$K$29)*controls!$B$9))</f>
        <v>3.4999999701976776</v>
      </c>
      <c r="U414" s="164">
        <f ca="1">IF(controls!$B$45=1,IF(controls!$B$46=1,'main page'!$K$24+'main page'!$K$11+'main page'!$U$8,'main page'!$K$24+'main page'!$K$11+'main page'!$K$32),IF(controls!$B$44=1,IF(V414&lt;0,0,V414),IF(V414+'main page'!$K$11&lt;0,0,V414+'main page'!$K$11)))</f>
        <v>5.4999998509883881</v>
      </c>
      <c r="V414" s="63">
        <f ca="1">IF(controls!$B$10=1,'normal case'!T414+'normal case'!L414,'normal case'!W414)</f>
        <v>5.4999998509883881</v>
      </c>
      <c r="W414" s="61">
        <f t="shared" ca="1" si="53"/>
        <v>5.4999998509883881</v>
      </c>
      <c r="X414" s="166">
        <f ca="1">IF(controls!$B$44=0,Y414+'main page'!$K$29*L414+(1-'main page'!$K$29)*controls!$B$9+(('main page'!$K$25*'main page'!$U$13*'main page'!$K$29)/('main page'!$K$27*(1+('main page'!$K$25^2)*'main page'!$U$13)))*(L414-controls!$B$9),Y414+'main page'!$K$29*L414+(1-'main page'!$K$29)*controls!$B$9+(('main page'!$K$25*'main page'!$U$13*'normal case'!$AV$3)/'normal case'!$AV$4)*('normal case'!L414-controls!$B$9))</f>
        <v>5.4999998509883881</v>
      </c>
      <c r="Y414" s="81">
        <f ca="1">IF(controls!$B$44=1,'main page'!$K$24+'main page'!$K$11,IF(controls!$B$33=1,((I415-D414*AD415-B415+B414*AC415)/'main page'!$K$27)-'main page'!$K$11,((H415-D414*AD415-B415+B414*AC415)/'main page'!$K$27)-'main page'!$K$11))</f>
        <v>3.5</v>
      </c>
      <c r="AA414" s="58">
        <f>IF(controls!$B$6=1,$AS$3*(1+('main page'!$K$35/100))^AB414-$AS$3*(1+('main page'!$K$35/100))^AB413,$AS$3*(1+('main page'!$G$8/100))*(1+('main page'!$K$35/100))^AB414-$AS$3*(1+('main page'!$G$8/100))*(1+('main page'!$K$35/100))^AB413)</f>
        <v>0</v>
      </c>
      <c r="AB414" s="60">
        <v>407</v>
      </c>
      <c r="AC414" s="125">
        <v>0</v>
      </c>
      <c r="AD414" s="36">
        <v>0</v>
      </c>
      <c r="AE414" s="44">
        <f ca="1">IF(controls!$B$33=1,D414-($I$3-'main page'!$K$27*2)*(1+('main page'!$K$35/100))^A413,D414-$AS$4)</f>
        <v>1.0000000596046448</v>
      </c>
      <c r="AF414" s="44">
        <f ca="1">ABS(L414-(controls!$B$9/100)*100)</f>
        <v>1.1920928955078125E-7</v>
      </c>
      <c r="AH414" s="44">
        <f ca="1">IF(controls!$B$33=1,(B415-B414*AC415-I415+D414*AD415+'main page'!$K$27*('main page'!$K$24+'main page'!$K$11))/'main page'!$K$31,(B415-B414*AC415+D414*AD415-H415+'main page'!$K$27*('main page'!$K$24+'main page'!$K$11))/'main page'!$K$31)</f>
        <v>1</v>
      </c>
      <c r="AI414" s="44">
        <f ca="1">IF(controls!$B$45=1,LOG(AM414,1.01)+LOG(AL414,1.01)-LOG(AK414,1.01),-((T414-('main page'!$K$24+'main page'!$K$11))/(1-'normal case'!$AV$3))+'normal case'!AH414)</f>
        <v>2.0000000596046448</v>
      </c>
      <c r="AJ414" s="80">
        <f t="shared" ca="1" si="54"/>
        <v>1.0506250015463039</v>
      </c>
      <c r="AK414" s="44">
        <f t="shared" ca="1" si="55"/>
        <v>3358.3568096616273</v>
      </c>
      <c r="AL414" s="44">
        <f>AL413*(1+'main page'!$K$32/100)</f>
        <v>1</v>
      </c>
      <c r="AM414" s="44">
        <f ca="1">IF(ABS(IF(controls!$B$45=1,$AS$13,AK414*AJ414/AL414)-AM413)&lt;0.00001,AM413,IF(controls!$B$45=1,$AS$13,AK414*AJ414/AL414))</f>
        <v>3528.3736283437875</v>
      </c>
      <c r="AN414" s="44">
        <f>IF(controls!$B$46=0,0,IF(controls!$B$33=2,B415-B414*AC415-('normal case'!H415-D414*AD415-'main page'!$K$27*'normal case'!T414+'main page'!$K$31*'normal case'!AI414)-(('main page'!$K$25*'main page'!$U$13*'main page'!$K$29)/(1+('main page'!$K$25^2)*'main page'!$U$13))*('normal case'!L414-'main page'!$U$8),B415-B414*AC415-('normal case'!I415-D414*AD415-'main page'!$K$27*'normal case'!T414+'main page'!$K$31*'normal case'!AI414)-(('main page'!$K$25*'main page'!$U$13*'main page'!$K$29)/(1+('main page'!$K$25^2)*'main page'!$U$13))*('normal case'!L414-'main page'!$U$8)))</f>
        <v>0</v>
      </c>
      <c r="AU414" s="36"/>
      <c r="AV414" s="36"/>
    </row>
    <row r="415" spans="1:48">
      <c r="A415" s="43">
        <v>413</v>
      </c>
      <c r="B415" s="62">
        <f ca="1">IF(controls!$B$33=1,B414*(1+AC415)+AA415,B414*(1+AC415))</f>
        <v>101</v>
      </c>
      <c r="C415" s="67">
        <f t="shared" ca="1" si="56"/>
        <v>-1.5107707374006907E-7</v>
      </c>
      <c r="D415" s="64">
        <f t="shared" ca="1" si="52"/>
        <v>101.00000005960464</v>
      </c>
      <c r="E415" s="64">
        <f ca="1">AN414+IF(controls!$B$33=1,G415,F415)</f>
        <v>101.00000005960464</v>
      </c>
      <c r="F415" s="78">
        <f ca="1">IF(controls!$B$44=0,H415-'main page'!$K$27*T414,H415-'main page'!$K$27*T414+'main page'!$K$31*AI414)</f>
        <v>101.00000005960464</v>
      </c>
      <c r="G415" s="62">
        <f ca="1">IF(controls!$B$44=0,I415-'main page'!$K$27*T414,I415-'main page'!$K$27*T414+'main page'!$K$31*'normal case'!AI414)</f>
        <v>101.00000005960464</v>
      </c>
      <c r="H415" s="62">
        <f t="shared" ca="1" si="58"/>
        <v>108</v>
      </c>
      <c r="I415" s="62">
        <f t="shared" ca="1" si="59"/>
        <v>108</v>
      </c>
      <c r="L415" s="62">
        <f ca="1">IF(ABS('main page'!$K$29*L414+(1-'main page'!$K$29)*(controls!$B$9/100)*100+'main page'!$K$25*(D415-B415)-L414)&lt;0.0000001,L414,'main page'!$K$29*L414+(1-'main page'!$K$29)*(controls!$B$9/100)*100+'main page'!$K$25*(D415-B415))</f>
        <v>1.9999998807907104</v>
      </c>
      <c r="Q415" s="409">
        <f ca="1">(1-'main page'!$K$29)*($AS$11/100)*100+'main page'!$K$25*(D415-B415)</f>
        <v>5.9604644775390625E-8</v>
      </c>
      <c r="R415" s="409">
        <f>'main page'!G419+'main page'!$K$29*M414</f>
        <v>0</v>
      </c>
      <c r="S415" s="409">
        <f t="shared" ca="1" si="57"/>
        <v>5.9604644775390625E-8</v>
      </c>
      <c r="T415" s="79">
        <f ca="1">IF(controls!$B$10=1,T414,IF(SUM(controls!$B$44:$B$46)=2,U415-'main page'!$K$29*'normal case'!L415-(1-'main page'!$K$29)*'main page'!$K$32,U415-'main page'!$K$29*'normal case'!L415-(1-'main page'!$K$29)*controls!$B$9))</f>
        <v>3.4999999701976776</v>
      </c>
      <c r="U415" s="164">
        <f ca="1">IF(controls!$B$45=1,IF(controls!$B$46=1,'main page'!$K$24+'main page'!$K$11+'main page'!$U$8,'main page'!$K$24+'main page'!$K$11+'main page'!$K$32),IF(controls!$B$44=1,IF(V415&lt;0,0,V415),IF(V415+'main page'!$K$11&lt;0,0,V415+'main page'!$K$11)))</f>
        <v>5.4999998509883881</v>
      </c>
      <c r="V415" s="63">
        <f ca="1">IF(controls!$B$10=1,'normal case'!T415+'normal case'!L415,'normal case'!W415)</f>
        <v>5.4999998509883881</v>
      </c>
      <c r="W415" s="61">
        <f t="shared" ca="1" si="53"/>
        <v>5.4999998509883881</v>
      </c>
      <c r="X415" s="166">
        <f ca="1">IF(controls!$B$44=0,Y415+'main page'!$K$29*L415+(1-'main page'!$K$29)*controls!$B$9+(('main page'!$K$25*'main page'!$U$13*'main page'!$K$29)/('main page'!$K$27*(1+('main page'!$K$25^2)*'main page'!$U$13)))*(L415-controls!$B$9),Y415+'main page'!$K$29*L415+(1-'main page'!$K$29)*controls!$B$9+(('main page'!$K$25*'main page'!$U$13*'normal case'!$AV$3)/'normal case'!$AV$4)*('normal case'!L415-controls!$B$9))</f>
        <v>5.4999998509883881</v>
      </c>
      <c r="Y415" s="81">
        <f ca="1">IF(controls!$B$44=1,'main page'!$K$24+'main page'!$K$11,IF(controls!$B$33=1,((I416-D415*AD416-B416+B415*AC416)/'main page'!$K$27)-'main page'!$K$11,((H416-D415*AD416-B416+B415*AC416)/'main page'!$K$27)-'main page'!$K$11))</f>
        <v>3.5</v>
      </c>
      <c r="AA415" s="58">
        <f>IF(controls!$B$6=1,$AS$3*(1+('main page'!$K$35/100))^AB415-$AS$3*(1+('main page'!$K$35/100))^AB414,$AS$3*(1+('main page'!$G$8/100))*(1+('main page'!$K$35/100))^AB415-$AS$3*(1+('main page'!$G$8/100))*(1+('main page'!$K$35/100))^AB414)</f>
        <v>0</v>
      </c>
      <c r="AB415" s="60">
        <v>408</v>
      </c>
      <c r="AC415" s="125">
        <v>0</v>
      </c>
      <c r="AD415" s="36">
        <v>0</v>
      </c>
      <c r="AE415" s="44">
        <f ca="1">IF(controls!$B$33=1,D415-($I$3-'main page'!$K$27*2)*(1+('main page'!$K$35/100))^A414,D415-$AS$4)</f>
        <v>1.0000000596046448</v>
      </c>
      <c r="AF415" s="44">
        <f ca="1">ABS(L415-(controls!$B$9/100)*100)</f>
        <v>1.1920928955078125E-7</v>
      </c>
      <c r="AH415" s="44">
        <f ca="1">IF(controls!$B$33=1,(B416-B415*AC416-I416+D415*AD416+'main page'!$K$27*('main page'!$K$24+'main page'!$K$11))/'main page'!$K$31,(B416-B415*AC416+D415*AD416-H416+'main page'!$K$27*('main page'!$K$24+'main page'!$K$11))/'main page'!$K$31)</f>
        <v>1</v>
      </c>
      <c r="AI415" s="44">
        <f ca="1">IF(controls!$B$45=1,LOG(AM415,1.01)+LOG(AL415,1.01)-LOG(AK415,1.01),-((T415-('main page'!$K$24+'main page'!$K$11))/(1-'normal case'!$AV$3))+'normal case'!AH415)</f>
        <v>2.0000000596046448</v>
      </c>
      <c r="AJ415" s="80">
        <f t="shared" ca="1" si="54"/>
        <v>1.0506250015463039</v>
      </c>
      <c r="AK415" s="44">
        <f t="shared" ca="1" si="55"/>
        <v>3425.5239418513866</v>
      </c>
      <c r="AL415" s="44">
        <f>AL414*(1+'main page'!$K$32/100)</f>
        <v>1</v>
      </c>
      <c r="AM415" s="44">
        <f ca="1">IF(ABS(IF(controls!$B$45=1,$AS$13,AK415*AJ415/AL415)-AM414)&lt;0.00001,AM414,IF(controls!$B$45=1,$AS$13,AK415*AJ415/AL415))</f>
        <v>3598.9410967045142</v>
      </c>
      <c r="AN415" s="44">
        <f>IF(controls!$B$46=0,0,IF(controls!$B$33=2,B416-B415*AC416-('normal case'!H416-D415*AD416-'main page'!$K$27*'normal case'!T415+'main page'!$K$31*'normal case'!AI415)-(('main page'!$K$25*'main page'!$U$13*'main page'!$K$29)/(1+('main page'!$K$25^2)*'main page'!$U$13))*('normal case'!L415-'main page'!$U$8),B416-B415*AC416-('normal case'!I416-D415*AD416-'main page'!$K$27*'normal case'!T415+'main page'!$K$31*'normal case'!AI415)-(('main page'!$K$25*'main page'!$U$13*'main page'!$K$29)/(1+('main page'!$K$25^2)*'main page'!$U$13))*('normal case'!L415-'main page'!$U$8)))</f>
        <v>0</v>
      </c>
      <c r="AU415" s="36"/>
      <c r="AV415" s="36"/>
    </row>
    <row r="416" spans="1:48">
      <c r="A416" s="43">
        <v>414</v>
      </c>
      <c r="B416" s="62">
        <f ca="1">IF(controls!$B$33=1,B415*(1+AC416)+AA416,B415*(1+AC416))</f>
        <v>101</v>
      </c>
      <c r="C416" s="67">
        <f t="shared" ca="1" si="56"/>
        <v>-1.5107707374006907E-7</v>
      </c>
      <c r="D416" s="64">
        <f t="shared" ca="1" si="52"/>
        <v>101.00000005960464</v>
      </c>
      <c r="E416" s="64">
        <f ca="1">AN415+IF(controls!$B$33=1,G416,F416)</f>
        <v>101.00000005960464</v>
      </c>
      <c r="F416" s="78">
        <f ca="1">IF(controls!$B$44=0,H416-'main page'!$K$27*T415,H416-'main page'!$K$27*T415+'main page'!$K$31*AI415)</f>
        <v>101.00000005960464</v>
      </c>
      <c r="G416" s="62">
        <f ca="1">IF(controls!$B$44=0,I416-'main page'!$K$27*T415,I416-'main page'!$K$27*T415+'main page'!$K$31*'normal case'!AI415)</f>
        <v>101.00000005960464</v>
      </c>
      <c r="H416" s="62">
        <f t="shared" ca="1" si="58"/>
        <v>108</v>
      </c>
      <c r="I416" s="62">
        <f t="shared" ca="1" si="59"/>
        <v>108</v>
      </c>
      <c r="L416" s="62">
        <f ca="1">IF(ABS('main page'!$K$29*L415+(1-'main page'!$K$29)*(controls!$B$9/100)*100+'main page'!$K$25*(D416-B416)-L415)&lt;0.0000001,L415,'main page'!$K$29*L415+(1-'main page'!$K$29)*(controls!$B$9/100)*100+'main page'!$K$25*(D416-B416))</f>
        <v>1.9999998807907104</v>
      </c>
      <c r="Q416" s="409">
        <f ca="1">(1-'main page'!$K$29)*($AS$11/100)*100+'main page'!$K$25*(D416-B416)</f>
        <v>5.9604644775390625E-8</v>
      </c>
      <c r="R416" s="409">
        <f>'main page'!G420+'main page'!$K$29*M415</f>
        <v>0</v>
      </c>
      <c r="S416" s="409">
        <f t="shared" ca="1" si="57"/>
        <v>5.9604644775390625E-8</v>
      </c>
      <c r="T416" s="79">
        <f ca="1">IF(controls!$B$10=1,T415,IF(SUM(controls!$B$44:$B$46)=2,U416-'main page'!$K$29*'normal case'!L416-(1-'main page'!$K$29)*'main page'!$K$32,U416-'main page'!$K$29*'normal case'!L416-(1-'main page'!$K$29)*controls!$B$9))</f>
        <v>3.4999999701976776</v>
      </c>
      <c r="U416" s="164">
        <f ca="1">IF(controls!$B$45=1,IF(controls!$B$46=1,'main page'!$K$24+'main page'!$K$11+'main page'!$U$8,'main page'!$K$24+'main page'!$K$11+'main page'!$K$32),IF(controls!$B$44=1,IF(V416&lt;0,0,V416),IF(V416+'main page'!$K$11&lt;0,0,V416+'main page'!$K$11)))</f>
        <v>5.4999998509883881</v>
      </c>
      <c r="V416" s="63">
        <f ca="1">IF(controls!$B$10=1,'normal case'!T416+'normal case'!L416,'normal case'!W416)</f>
        <v>5.4999998509883881</v>
      </c>
      <c r="W416" s="61">
        <f t="shared" ca="1" si="53"/>
        <v>5.4999998509883881</v>
      </c>
      <c r="X416" s="166">
        <f ca="1">IF(controls!$B$44=0,Y416+'main page'!$K$29*L416+(1-'main page'!$K$29)*controls!$B$9+(('main page'!$K$25*'main page'!$U$13*'main page'!$K$29)/('main page'!$K$27*(1+('main page'!$K$25^2)*'main page'!$U$13)))*(L416-controls!$B$9),Y416+'main page'!$K$29*L416+(1-'main page'!$K$29)*controls!$B$9+(('main page'!$K$25*'main page'!$U$13*'normal case'!$AV$3)/'normal case'!$AV$4)*('normal case'!L416-controls!$B$9))</f>
        <v>5.4999998509883881</v>
      </c>
      <c r="Y416" s="81">
        <f ca="1">IF(controls!$B$44=1,'main page'!$K$24+'main page'!$K$11,IF(controls!$B$33=1,((I417-D416*AD417-B417+B416*AC417)/'main page'!$K$27)-'main page'!$K$11,((H417-D416*AD417-B417+B416*AC417)/'main page'!$K$27)-'main page'!$K$11))</f>
        <v>3.5</v>
      </c>
      <c r="AA416" s="58">
        <f>IF(controls!$B$6=1,$AS$3*(1+('main page'!$K$35/100))^AB416-$AS$3*(1+('main page'!$K$35/100))^AB415,$AS$3*(1+('main page'!$G$8/100))*(1+('main page'!$K$35/100))^AB416-$AS$3*(1+('main page'!$G$8/100))*(1+('main page'!$K$35/100))^AB415)</f>
        <v>0</v>
      </c>
      <c r="AB416" s="60">
        <v>409</v>
      </c>
      <c r="AC416" s="125">
        <f ca="1">IF(controls!$B$4=1,IF(controls!$H415=1,controls!$B$34*AC415+RAND()*('main page'!$K$16/100)-RAND()*('main page'!$K$16/100),0),0)</f>
        <v>0</v>
      </c>
      <c r="AD416" s="36">
        <f ca="1">IF(controls!$B$4=1,IF(controls!$I415=1,controls!$B$34*AD415+RAND()*('main page'!$K$16/100)-RAND()*('main page'!$K$16/100),0),0)</f>
        <v>0</v>
      </c>
      <c r="AE416" s="44">
        <f ca="1">IF(controls!$B$33=1,D416-($I$3-'main page'!$K$27*2)*(1+('main page'!$K$35/100))^A415,D416-$AS$4)</f>
        <v>1.0000000596046448</v>
      </c>
      <c r="AF416" s="44">
        <f ca="1">ABS(L416-(controls!$B$9/100)*100)</f>
        <v>1.1920928955078125E-7</v>
      </c>
      <c r="AH416" s="44">
        <f ca="1">IF(controls!$B$33=1,(B417-B416*AC417-I417+D416*AD417+'main page'!$K$27*('main page'!$K$24+'main page'!$K$11))/'main page'!$K$31,(B417-B416*AC417+D416*AD417-H417+'main page'!$K$27*('main page'!$K$24+'main page'!$K$11))/'main page'!$K$31)</f>
        <v>1</v>
      </c>
      <c r="AI416" s="44">
        <f ca="1">IF(controls!$B$45=1,LOG(AM416,1.01)+LOG(AL416,1.01)-LOG(AK416,1.01),-((T416-('main page'!$K$24+'main page'!$K$11))/(1-'normal case'!$AV$3))+'normal case'!AH416)</f>
        <v>2.0000000596046448</v>
      </c>
      <c r="AJ416" s="80">
        <f t="shared" ca="1" si="54"/>
        <v>1.0506250015463039</v>
      </c>
      <c r="AK416" s="44">
        <f t="shared" ca="1" si="55"/>
        <v>3494.0344166048717</v>
      </c>
      <c r="AL416" s="44">
        <f>AL415*(1+'main page'!$K$32/100)</f>
        <v>1</v>
      </c>
      <c r="AM416" s="44">
        <f ca="1">IF(ABS(IF(controls!$B$45=1,$AS$13,AK416*AJ416/AL416)-AM415)&lt;0.00001,AM415,IF(controls!$B$45=1,$AS$13,AK416*AJ416/AL416))</f>
        <v>3670.9199143483324</v>
      </c>
      <c r="AN416" s="44">
        <f>IF(controls!$B$46=0,0,IF(controls!$B$33=2,B417-B416*AC417-('normal case'!H417-D416*AD417-'main page'!$K$27*'normal case'!T416+'main page'!$K$31*'normal case'!AI416)-(('main page'!$K$25*'main page'!$U$13*'main page'!$K$29)/(1+('main page'!$K$25^2)*'main page'!$U$13))*('normal case'!L416-'main page'!$U$8),B417-B416*AC417-('normal case'!I417-D416*AD417-'main page'!$K$27*'normal case'!T416+'main page'!$K$31*'normal case'!AI416)-(('main page'!$K$25*'main page'!$U$13*'main page'!$K$29)/(1+('main page'!$K$25^2)*'main page'!$U$13))*('normal case'!L416-'main page'!$U$8)))</f>
        <v>0</v>
      </c>
      <c r="AU416" s="36"/>
      <c r="AV416" s="36"/>
    </row>
    <row r="417" spans="1:48">
      <c r="A417" s="43">
        <v>415</v>
      </c>
      <c r="B417" s="62">
        <f ca="1">IF(controls!$B$33=1,B416*(1+AC417)+AA417,B416*(1+AC417))</f>
        <v>101</v>
      </c>
      <c r="C417" s="67">
        <f t="shared" ca="1" si="56"/>
        <v>-1.5107707374006907E-7</v>
      </c>
      <c r="D417" s="64">
        <f t="shared" ca="1" si="52"/>
        <v>101.00000005960464</v>
      </c>
      <c r="E417" s="64">
        <f ca="1">AN416+IF(controls!$B$33=1,G417,F417)</f>
        <v>101.00000005960464</v>
      </c>
      <c r="F417" s="78">
        <f ca="1">IF(controls!$B$44=0,H417-'main page'!$K$27*T416,H417-'main page'!$K$27*T416+'main page'!$K$31*AI416)</f>
        <v>101.00000005960464</v>
      </c>
      <c r="G417" s="62">
        <f ca="1">IF(controls!$B$44=0,I417-'main page'!$K$27*T416,I417-'main page'!$K$27*T416+'main page'!$K$31*'normal case'!AI416)</f>
        <v>101.00000005960464</v>
      </c>
      <c r="H417" s="62">
        <f t="shared" ca="1" si="58"/>
        <v>108</v>
      </c>
      <c r="I417" s="62">
        <f t="shared" ca="1" si="59"/>
        <v>108</v>
      </c>
      <c r="L417" s="62">
        <f ca="1">IF(ABS('main page'!$K$29*L416+(1-'main page'!$K$29)*(controls!$B$9/100)*100+'main page'!$K$25*(D417-B417)-L416)&lt;0.0000001,L416,'main page'!$K$29*L416+(1-'main page'!$K$29)*(controls!$B$9/100)*100+'main page'!$K$25*(D417-B417))</f>
        <v>1.9999998807907104</v>
      </c>
      <c r="Q417" s="409">
        <f ca="1">(1-'main page'!$K$29)*($AS$11/100)*100+'main page'!$K$25*(D417-B417)</f>
        <v>5.9604644775390625E-8</v>
      </c>
      <c r="R417" s="409">
        <f>'main page'!G421+'main page'!$K$29*M416</f>
        <v>0</v>
      </c>
      <c r="S417" s="409">
        <f t="shared" ca="1" si="57"/>
        <v>5.9604644775390625E-8</v>
      </c>
      <c r="T417" s="79">
        <f ca="1">IF(controls!$B$10=1,T416,IF(SUM(controls!$B$44:$B$46)=2,U417-'main page'!$K$29*'normal case'!L417-(1-'main page'!$K$29)*'main page'!$K$32,U417-'main page'!$K$29*'normal case'!L417-(1-'main page'!$K$29)*controls!$B$9))</f>
        <v>3.4999999701976776</v>
      </c>
      <c r="U417" s="164">
        <f ca="1">IF(controls!$B$45=1,IF(controls!$B$46=1,'main page'!$K$24+'main page'!$K$11+'main page'!$U$8,'main page'!$K$24+'main page'!$K$11+'main page'!$K$32),IF(controls!$B$44=1,IF(V417&lt;0,0,V417),IF(V417+'main page'!$K$11&lt;0,0,V417+'main page'!$K$11)))</f>
        <v>5.4999998509883881</v>
      </c>
      <c r="V417" s="63">
        <f ca="1">IF(controls!$B$10=1,'normal case'!T417+'normal case'!L417,'normal case'!W417)</f>
        <v>5.4999998509883881</v>
      </c>
      <c r="W417" s="61">
        <f t="shared" ca="1" si="53"/>
        <v>5.4999998509883881</v>
      </c>
      <c r="X417" s="166">
        <f ca="1">IF(controls!$B$44=0,Y417+'main page'!$K$29*L417+(1-'main page'!$K$29)*controls!$B$9+(('main page'!$K$25*'main page'!$U$13*'main page'!$K$29)/('main page'!$K$27*(1+('main page'!$K$25^2)*'main page'!$U$13)))*(L417-controls!$B$9),Y417+'main page'!$K$29*L417+(1-'main page'!$K$29)*controls!$B$9+(('main page'!$K$25*'main page'!$U$13*'normal case'!$AV$3)/'normal case'!$AV$4)*('normal case'!L417-controls!$B$9))</f>
        <v>5.4999998509883881</v>
      </c>
      <c r="Y417" s="81">
        <f ca="1">IF(controls!$B$44=1,'main page'!$K$24+'main page'!$K$11,IF(controls!$B$33=1,((I418-D417*AD418-B418+B417*AC418)/'main page'!$K$27)-'main page'!$K$11,((H418-D417*AD418-B418+B417*AC418)/'main page'!$K$27)-'main page'!$K$11))</f>
        <v>3.5</v>
      </c>
      <c r="AA417" s="58">
        <f>IF(controls!$B$6=1,$AS$3*(1+('main page'!$K$35/100))^AB417-$AS$3*(1+('main page'!$K$35/100))^AB416,$AS$3*(1+('main page'!$G$8/100))*(1+('main page'!$K$35/100))^AB417-$AS$3*(1+('main page'!$G$8/100))*(1+('main page'!$K$35/100))^AB416)</f>
        <v>0</v>
      </c>
      <c r="AB417" s="60">
        <v>410</v>
      </c>
      <c r="AC417" s="125">
        <v>0</v>
      </c>
      <c r="AD417" s="36">
        <v>0</v>
      </c>
      <c r="AE417" s="44">
        <f ca="1">IF(controls!$B$33=1,D417-($I$3-'main page'!$K$27*2)*(1+('main page'!$K$35/100))^A416,D417-$AS$4)</f>
        <v>1.0000000596046448</v>
      </c>
      <c r="AF417" s="44">
        <f ca="1">ABS(L417-(controls!$B$9/100)*100)</f>
        <v>1.1920928955078125E-7</v>
      </c>
      <c r="AH417" s="44">
        <f ca="1">IF(controls!$B$33=1,(B418-B417*AC418-I418+D417*AD418+'main page'!$K$27*('main page'!$K$24+'main page'!$K$11))/'main page'!$K$31,(B418-B417*AC418+D417*AD418-H418+'main page'!$K$27*('main page'!$K$24+'main page'!$K$11))/'main page'!$K$31)</f>
        <v>1</v>
      </c>
      <c r="AI417" s="44">
        <f ca="1">IF(controls!$B$45=1,LOG(AM417,1.01)+LOG(AL417,1.01)-LOG(AK417,1.01),-((T417-('main page'!$K$24+'main page'!$K$11))/(1-'normal case'!$AV$3))+'normal case'!AH417)</f>
        <v>2.0000000596046448</v>
      </c>
      <c r="AJ417" s="80">
        <f t="shared" ca="1" si="54"/>
        <v>1.0506250015463039</v>
      </c>
      <c r="AK417" s="44">
        <f t="shared" ca="1" si="55"/>
        <v>3563.9151007717555</v>
      </c>
      <c r="AL417" s="44">
        <f>AL416*(1+'main page'!$K$32/100)</f>
        <v>1</v>
      </c>
      <c r="AM417" s="44">
        <f ca="1">IF(ABS(IF(controls!$B$45=1,$AS$13,AK417*AJ417/AL417)-AM416)&lt;0.00001,AM416,IF(controls!$B$45=1,$AS$13,AK417*AJ417/AL417))</f>
        <v>3744.3383082592213</v>
      </c>
      <c r="AN417" s="44">
        <f>IF(controls!$B$46=0,0,IF(controls!$B$33=2,B418-B417*AC418-('normal case'!H418-D417*AD418-'main page'!$K$27*'normal case'!T417+'main page'!$K$31*'normal case'!AI417)-(('main page'!$K$25*'main page'!$U$13*'main page'!$K$29)/(1+('main page'!$K$25^2)*'main page'!$U$13))*('normal case'!L417-'main page'!$U$8),B418-B417*AC418-('normal case'!I418-D417*AD418-'main page'!$K$27*'normal case'!T417+'main page'!$K$31*'normal case'!AI417)-(('main page'!$K$25*'main page'!$U$13*'main page'!$K$29)/(1+('main page'!$K$25^2)*'main page'!$U$13))*('normal case'!L417-'main page'!$U$8)))</f>
        <v>0</v>
      </c>
      <c r="AU417" s="36"/>
      <c r="AV417" s="36"/>
    </row>
    <row r="418" spans="1:48">
      <c r="A418" s="43">
        <v>416</v>
      </c>
      <c r="B418" s="62">
        <f ca="1">IF(controls!$B$33=1,B417*(1+AC418)+AA418,B417*(1+AC418))</f>
        <v>101</v>
      </c>
      <c r="C418" s="67">
        <f t="shared" ca="1" si="56"/>
        <v>-1.5107707374006907E-7</v>
      </c>
      <c r="D418" s="64">
        <f t="shared" ca="1" si="52"/>
        <v>101.00000005960464</v>
      </c>
      <c r="E418" s="64">
        <f ca="1">AN417+IF(controls!$B$33=1,G418,F418)</f>
        <v>101.00000005960464</v>
      </c>
      <c r="F418" s="78">
        <f ca="1">IF(controls!$B$44=0,H418-'main page'!$K$27*T417,H418-'main page'!$K$27*T417+'main page'!$K$31*AI417)</f>
        <v>101.00000005960464</v>
      </c>
      <c r="G418" s="62">
        <f ca="1">IF(controls!$B$44=0,I418-'main page'!$K$27*T417,I418-'main page'!$K$27*T417+'main page'!$K$31*'normal case'!AI417)</f>
        <v>101.00000005960464</v>
      </c>
      <c r="H418" s="62">
        <f t="shared" ca="1" si="58"/>
        <v>108</v>
      </c>
      <c r="I418" s="62">
        <f t="shared" ca="1" si="59"/>
        <v>108</v>
      </c>
      <c r="L418" s="62">
        <f ca="1">IF(ABS('main page'!$K$29*L417+(1-'main page'!$K$29)*(controls!$B$9/100)*100+'main page'!$K$25*(D418-B418)-L417)&lt;0.0000001,L417,'main page'!$K$29*L417+(1-'main page'!$K$29)*(controls!$B$9/100)*100+'main page'!$K$25*(D418-B418))</f>
        <v>1.9999998807907104</v>
      </c>
      <c r="Q418" s="409">
        <f ca="1">(1-'main page'!$K$29)*($AS$11/100)*100+'main page'!$K$25*(D418-B418)</f>
        <v>5.9604644775390625E-8</v>
      </c>
      <c r="R418" s="409">
        <f>'main page'!G422+'main page'!$K$29*M417</f>
        <v>0</v>
      </c>
      <c r="S418" s="409">
        <f t="shared" ca="1" si="57"/>
        <v>5.9604644775390625E-8</v>
      </c>
      <c r="T418" s="79">
        <f ca="1">IF(controls!$B$10=1,T417,IF(SUM(controls!$B$44:$B$46)=2,U418-'main page'!$K$29*'normal case'!L418-(1-'main page'!$K$29)*'main page'!$K$32,U418-'main page'!$K$29*'normal case'!L418-(1-'main page'!$K$29)*controls!$B$9))</f>
        <v>3.4999999701976776</v>
      </c>
      <c r="U418" s="164">
        <f ca="1">IF(controls!$B$45=1,IF(controls!$B$46=1,'main page'!$K$24+'main page'!$K$11+'main page'!$U$8,'main page'!$K$24+'main page'!$K$11+'main page'!$K$32),IF(controls!$B$44=1,IF(V418&lt;0,0,V418),IF(V418+'main page'!$K$11&lt;0,0,V418+'main page'!$K$11)))</f>
        <v>5.4999998509883881</v>
      </c>
      <c r="V418" s="63">
        <f ca="1">IF(controls!$B$10=1,'normal case'!T418+'normal case'!L418,'normal case'!W418)</f>
        <v>5.4999998509883881</v>
      </c>
      <c r="W418" s="61">
        <f t="shared" ca="1" si="53"/>
        <v>5.4999998509883881</v>
      </c>
      <c r="X418" s="166">
        <f ca="1">IF(controls!$B$44=0,Y418+'main page'!$K$29*L418+(1-'main page'!$K$29)*controls!$B$9+(('main page'!$K$25*'main page'!$U$13*'main page'!$K$29)/('main page'!$K$27*(1+('main page'!$K$25^2)*'main page'!$U$13)))*(L418-controls!$B$9),Y418+'main page'!$K$29*L418+(1-'main page'!$K$29)*controls!$B$9+(('main page'!$K$25*'main page'!$U$13*'normal case'!$AV$3)/'normal case'!$AV$4)*('normal case'!L418-controls!$B$9))</f>
        <v>5.4999998509883881</v>
      </c>
      <c r="Y418" s="81">
        <f ca="1">IF(controls!$B$44=1,'main page'!$K$24+'main page'!$K$11,IF(controls!$B$33=1,((I419-D418*AD419-B419+B418*AC419)/'main page'!$K$27)-'main page'!$K$11,((H419-D418*AD419-B419+B418*AC419)/'main page'!$K$27)-'main page'!$K$11))</f>
        <v>3.5</v>
      </c>
      <c r="AA418" s="58">
        <f>IF(controls!$B$6=1,$AS$3*(1+('main page'!$K$35/100))^AB418-$AS$3*(1+('main page'!$K$35/100))^AB417,$AS$3*(1+('main page'!$G$8/100))*(1+('main page'!$K$35/100))^AB418-$AS$3*(1+('main page'!$G$8/100))*(1+('main page'!$K$35/100))^AB417)</f>
        <v>0</v>
      </c>
      <c r="AB418" s="60">
        <v>411</v>
      </c>
      <c r="AC418" s="125">
        <v>0</v>
      </c>
      <c r="AD418" s="36">
        <v>0</v>
      </c>
      <c r="AE418" s="44">
        <f ca="1">IF(controls!$B$33=1,D418-($I$3-'main page'!$K$27*2)*(1+('main page'!$K$35/100))^A417,D418-$AS$4)</f>
        <v>1.0000000596046448</v>
      </c>
      <c r="AF418" s="44">
        <f ca="1">ABS(L418-(controls!$B$9/100)*100)</f>
        <v>1.1920928955078125E-7</v>
      </c>
      <c r="AH418" s="44">
        <f ca="1">IF(controls!$B$33=1,(B419-B418*AC419-I419+D418*AD419+'main page'!$K$27*('main page'!$K$24+'main page'!$K$11))/'main page'!$K$31,(B419-B418*AC419+D418*AD419-H419+'main page'!$K$27*('main page'!$K$24+'main page'!$K$11))/'main page'!$K$31)</f>
        <v>1</v>
      </c>
      <c r="AI418" s="44">
        <f ca="1">IF(controls!$B$45=1,LOG(AM418,1.01)+LOG(AL418,1.01)-LOG(AK418,1.01),-((T418-('main page'!$K$24+'main page'!$K$11))/(1-'normal case'!$AV$3))+'normal case'!AH418)</f>
        <v>2.0000000596046448</v>
      </c>
      <c r="AJ418" s="80">
        <f t="shared" ca="1" si="54"/>
        <v>1.0506250015463039</v>
      </c>
      <c r="AK418" s="44">
        <f t="shared" ca="1" si="55"/>
        <v>3635.1933985386731</v>
      </c>
      <c r="AL418" s="44">
        <f>AL417*(1+'main page'!$K$32/100)</f>
        <v>1</v>
      </c>
      <c r="AM418" s="44">
        <f ca="1">IF(ABS(IF(controls!$B$45=1,$AS$13,AK418*AJ418/AL418)-AM417)&lt;0.00001,AM417,IF(controls!$B$45=1,$AS$13,AK418*AJ418/AL418))</f>
        <v>3819.2250699608071</v>
      </c>
      <c r="AN418" s="44">
        <f>IF(controls!$B$46=0,0,IF(controls!$B$33=2,B419-B418*AC419-('normal case'!H419-D418*AD419-'main page'!$K$27*'normal case'!T418+'main page'!$K$31*'normal case'!AI418)-(('main page'!$K$25*'main page'!$U$13*'main page'!$K$29)/(1+('main page'!$K$25^2)*'main page'!$U$13))*('normal case'!L418-'main page'!$U$8),B419-B418*AC419-('normal case'!I419-D418*AD419-'main page'!$K$27*'normal case'!T418+'main page'!$K$31*'normal case'!AI418)-(('main page'!$K$25*'main page'!$U$13*'main page'!$K$29)/(1+('main page'!$K$25^2)*'main page'!$U$13))*('normal case'!L418-'main page'!$U$8)))</f>
        <v>0</v>
      </c>
      <c r="AU418" s="36"/>
      <c r="AV418" s="36"/>
    </row>
    <row r="419" spans="1:48">
      <c r="A419" s="43">
        <v>417</v>
      </c>
      <c r="B419" s="62">
        <f ca="1">IF(controls!$B$33=1,B418*(1+AC419)+AA419,B418*(1+AC419))</f>
        <v>101</v>
      </c>
      <c r="C419" s="67">
        <f t="shared" ca="1" si="56"/>
        <v>-1.5107707374006907E-7</v>
      </c>
      <c r="D419" s="64">
        <f t="shared" ca="1" si="52"/>
        <v>101.00000005960464</v>
      </c>
      <c r="E419" s="64">
        <f ca="1">AN418+IF(controls!$B$33=1,G419,F419)</f>
        <v>101.00000005960464</v>
      </c>
      <c r="F419" s="78">
        <f ca="1">IF(controls!$B$44=0,H419-'main page'!$K$27*T418,H419-'main page'!$K$27*T418+'main page'!$K$31*AI418)</f>
        <v>101.00000005960464</v>
      </c>
      <c r="G419" s="62">
        <f ca="1">IF(controls!$B$44=0,I419-'main page'!$K$27*T418,I419-'main page'!$K$27*T418+'main page'!$K$31*'normal case'!AI418)</f>
        <v>101.00000005960464</v>
      </c>
      <c r="H419" s="62">
        <f t="shared" ca="1" si="58"/>
        <v>108</v>
      </c>
      <c r="I419" s="62">
        <f t="shared" ca="1" si="59"/>
        <v>108</v>
      </c>
      <c r="L419" s="62">
        <f ca="1">IF(ABS('main page'!$K$29*L418+(1-'main page'!$K$29)*(controls!$B$9/100)*100+'main page'!$K$25*(D419-B419)-L418)&lt;0.0000001,L418,'main page'!$K$29*L418+(1-'main page'!$K$29)*(controls!$B$9/100)*100+'main page'!$K$25*(D419-B419))</f>
        <v>1.9999998807907104</v>
      </c>
      <c r="Q419" s="409">
        <f ca="1">(1-'main page'!$K$29)*($AS$11/100)*100+'main page'!$K$25*(D419-B419)</f>
        <v>5.9604644775390625E-8</v>
      </c>
      <c r="R419" s="409">
        <f>'main page'!G423+'main page'!$K$29*M418</f>
        <v>0</v>
      </c>
      <c r="S419" s="409">
        <f t="shared" ca="1" si="57"/>
        <v>5.9604644775390625E-8</v>
      </c>
      <c r="T419" s="79">
        <f ca="1">IF(controls!$B$10=1,T418,IF(SUM(controls!$B$44:$B$46)=2,U419-'main page'!$K$29*'normal case'!L419-(1-'main page'!$K$29)*'main page'!$K$32,U419-'main page'!$K$29*'normal case'!L419-(1-'main page'!$K$29)*controls!$B$9))</f>
        <v>3.4999999701976776</v>
      </c>
      <c r="U419" s="164">
        <f ca="1">IF(controls!$B$45=1,IF(controls!$B$46=1,'main page'!$K$24+'main page'!$K$11+'main page'!$U$8,'main page'!$K$24+'main page'!$K$11+'main page'!$K$32),IF(controls!$B$44=1,IF(V419&lt;0,0,V419),IF(V419+'main page'!$K$11&lt;0,0,V419+'main page'!$K$11)))</f>
        <v>5.4999998509883881</v>
      </c>
      <c r="V419" s="63">
        <f ca="1">IF(controls!$B$10=1,'normal case'!T419+'normal case'!L419,'normal case'!W419)</f>
        <v>5.4999998509883881</v>
      </c>
      <c r="W419" s="61">
        <f t="shared" ca="1" si="53"/>
        <v>5.4999998509883881</v>
      </c>
      <c r="X419" s="166">
        <f ca="1">IF(controls!$B$44=0,Y419+'main page'!$K$29*L419+(1-'main page'!$K$29)*controls!$B$9+(('main page'!$K$25*'main page'!$U$13*'main page'!$K$29)/('main page'!$K$27*(1+('main page'!$K$25^2)*'main page'!$U$13)))*(L419-controls!$B$9),Y419+'main page'!$K$29*L419+(1-'main page'!$K$29)*controls!$B$9+(('main page'!$K$25*'main page'!$U$13*'normal case'!$AV$3)/'normal case'!$AV$4)*('normal case'!L419-controls!$B$9))</f>
        <v>5.4999998509883881</v>
      </c>
      <c r="Y419" s="81">
        <f ca="1">IF(controls!$B$44=1,'main page'!$K$24+'main page'!$K$11,IF(controls!$B$33=1,((I420-D419*AD420-B420+B419*AC420)/'main page'!$K$27)-'main page'!$K$11,((H420-D419*AD420-B420+B419*AC420)/'main page'!$K$27)-'main page'!$K$11))</f>
        <v>3.5</v>
      </c>
      <c r="AA419" s="58">
        <f>IF(controls!$B$6=1,$AS$3*(1+('main page'!$K$35/100))^AB419-$AS$3*(1+('main page'!$K$35/100))^AB418,$AS$3*(1+('main page'!$G$8/100))*(1+('main page'!$K$35/100))^AB419-$AS$3*(1+('main page'!$G$8/100))*(1+('main page'!$K$35/100))^AB418)</f>
        <v>0</v>
      </c>
      <c r="AB419" s="60">
        <v>412</v>
      </c>
      <c r="AC419" s="125">
        <f ca="1">IF(controls!$B$4=1,IF(controls!$H418=1,controls!$B$34*AC418+RAND()*('main page'!$K$16/100)-RAND()*('main page'!$K$16/100),0),0)</f>
        <v>0</v>
      </c>
      <c r="AD419" s="36">
        <f ca="1">IF(controls!$B$4=1,IF(controls!$I418=1,controls!$B$34*AD418+RAND()*('main page'!$K$16/100)-RAND()*('main page'!$K$16/100),0),0)</f>
        <v>0</v>
      </c>
      <c r="AE419" s="44">
        <f ca="1">IF(controls!$B$33=1,D419-($I$3-'main page'!$K$27*2)*(1+('main page'!$K$35/100))^A418,D419-$AS$4)</f>
        <v>1.0000000596046448</v>
      </c>
      <c r="AF419" s="44">
        <f ca="1">ABS(L419-(controls!$B$9/100)*100)</f>
        <v>1.1920928955078125E-7</v>
      </c>
      <c r="AH419" s="44">
        <f ca="1">IF(controls!$B$33=1,(B420-B419*AC420-I420+D419*AD420+'main page'!$K$27*('main page'!$K$24+'main page'!$K$11))/'main page'!$K$31,(B420-B419*AC420+D419*AD420-H420+'main page'!$K$27*('main page'!$K$24+'main page'!$K$11))/'main page'!$K$31)</f>
        <v>1</v>
      </c>
      <c r="AI419" s="44">
        <f ca="1">IF(controls!$B$45=1,LOG(AM419,1.01)+LOG(AL419,1.01)-LOG(AK419,1.01),-((T419-('main page'!$K$24+'main page'!$K$11))/(1-'normal case'!$AV$3))+'normal case'!AH419)</f>
        <v>2.0000000596046448</v>
      </c>
      <c r="AJ419" s="80">
        <f t="shared" ca="1" si="54"/>
        <v>1.0506250015463039</v>
      </c>
      <c r="AK419" s="44">
        <f t="shared" ca="1" si="55"/>
        <v>3707.8972621759585</v>
      </c>
      <c r="AL419" s="44">
        <f>AL418*(1+'main page'!$K$32/100)</f>
        <v>1</v>
      </c>
      <c r="AM419" s="44">
        <f ca="1">IF(ABS(IF(controls!$B$45=1,$AS$13,AK419*AJ419/AL419)-AM418)&lt;0.00001,AM418,IF(controls!$B$45=1,$AS$13,AK419*AJ419/AL419))</f>
        <v>3895.6095668071525</v>
      </c>
      <c r="AN419" s="44">
        <f>IF(controls!$B$46=0,0,IF(controls!$B$33=2,B420-B419*AC420-('normal case'!H420-D419*AD420-'main page'!$K$27*'normal case'!T419+'main page'!$K$31*'normal case'!AI419)-(('main page'!$K$25*'main page'!$U$13*'main page'!$K$29)/(1+('main page'!$K$25^2)*'main page'!$U$13))*('normal case'!L419-'main page'!$U$8),B420-B419*AC420-('normal case'!I420-D419*AD420-'main page'!$K$27*'normal case'!T419+'main page'!$K$31*'normal case'!AI419)-(('main page'!$K$25*'main page'!$U$13*'main page'!$K$29)/(1+('main page'!$K$25^2)*'main page'!$U$13))*('normal case'!L419-'main page'!$U$8)))</f>
        <v>0</v>
      </c>
      <c r="AU419" s="36"/>
      <c r="AV419" s="36"/>
    </row>
    <row r="420" spans="1:48">
      <c r="A420" s="43">
        <v>418</v>
      </c>
      <c r="B420" s="62">
        <f ca="1">IF(controls!$B$33=1,B419*(1+AC420)+AA420,B419*(1+AC420))</f>
        <v>101</v>
      </c>
      <c r="C420" s="67">
        <f t="shared" ca="1" si="56"/>
        <v>-1.5107707374006907E-7</v>
      </c>
      <c r="D420" s="64">
        <f t="shared" ca="1" si="52"/>
        <v>101.00000005960464</v>
      </c>
      <c r="E420" s="64">
        <f ca="1">AN419+IF(controls!$B$33=1,G420,F420)</f>
        <v>101.00000005960464</v>
      </c>
      <c r="F420" s="78">
        <f ca="1">IF(controls!$B$44=0,H420-'main page'!$K$27*T419,H420-'main page'!$K$27*T419+'main page'!$K$31*AI419)</f>
        <v>101.00000005960464</v>
      </c>
      <c r="G420" s="62">
        <f ca="1">IF(controls!$B$44=0,I420-'main page'!$K$27*T419,I420-'main page'!$K$27*T419+'main page'!$K$31*'normal case'!AI419)</f>
        <v>101.00000005960464</v>
      </c>
      <c r="H420" s="62">
        <f t="shared" ca="1" si="58"/>
        <v>108</v>
      </c>
      <c r="I420" s="62">
        <f t="shared" ca="1" si="59"/>
        <v>108</v>
      </c>
      <c r="L420" s="62">
        <f ca="1">IF(ABS('main page'!$K$29*L419+(1-'main page'!$K$29)*(controls!$B$9/100)*100+'main page'!$K$25*(D420-B420)-L419)&lt;0.0000001,L419,'main page'!$K$29*L419+(1-'main page'!$K$29)*(controls!$B$9/100)*100+'main page'!$K$25*(D420-B420))</f>
        <v>1.9999998807907104</v>
      </c>
      <c r="Q420" s="409">
        <f ca="1">(1-'main page'!$K$29)*($AS$11/100)*100+'main page'!$K$25*(D420-B420)</f>
        <v>5.9604644775390625E-8</v>
      </c>
      <c r="R420" s="409">
        <f>'main page'!G424+'main page'!$K$29*M419</f>
        <v>0</v>
      </c>
      <c r="S420" s="409">
        <f t="shared" ca="1" si="57"/>
        <v>5.9604644775390625E-8</v>
      </c>
      <c r="T420" s="79">
        <f ca="1">IF(controls!$B$10=1,T419,IF(SUM(controls!$B$44:$B$46)=2,U420-'main page'!$K$29*'normal case'!L420-(1-'main page'!$K$29)*'main page'!$K$32,U420-'main page'!$K$29*'normal case'!L420-(1-'main page'!$K$29)*controls!$B$9))</f>
        <v>3.4999999701976776</v>
      </c>
      <c r="U420" s="164">
        <f ca="1">IF(controls!$B$45=1,IF(controls!$B$46=1,'main page'!$K$24+'main page'!$K$11+'main page'!$U$8,'main page'!$K$24+'main page'!$K$11+'main page'!$K$32),IF(controls!$B$44=1,IF(V420&lt;0,0,V420),IF(V420+'main page'!$K$11&lt;0,0,V420+'main page'!$K$11)))</f>
        <v>5.4999998509883881</v>
      </c>
      <c r="V420" s="63">
        <f ca="1">IF(controls!$B$10=1,'normal case'!T420+'normal case'!L420,'normal case'!W420)</f>
        <v>5.4999998509883881</v>
      </c>
      <c r="W420" s="61">
        <f t="shared" ca="1" si="53"/>
        <v>5.4999998509883881</v>
      </c>
      <c r="X420" s="166">
        <f ca="1">IF(controls!$B$44=0,Y420+'main page'!$K$29*L420+(1-'main page'!$K$29)*controls!$B$9+(('main page'!$K$25*'main page'!$U$13*'main page'!$K$29)/('main page'!$K$27*(1+('main page'!$K$25^2)*'main page'!$U$13)))*(L420-controls!$B$9),Y420+'main page'!$K$29*L420+(1-'main page'!$K$29)*controls!$B$9+(('main page'!$K$25*'main page'!$U$13*'normal case'!$AV$3)/'normal case'!$AV$4)*('normal case'!L420-controls!$B$9))</f>
        <v>5.4999998509883881</v>
      </c>
      <c r="Y420" s="81">
        <f ca="1">IF(controls!$B$44=1,'main page'!$K$24+'main page'!$K$11,IF(controls!$B$33=1,((I421-D420*AD421-B421+B420*AC421)/'main page'!$K$27)-'main page'!$K$11,((H421-D420*AD421-B421+B420*AC421)/'main page'!$K$27)-'main page'!$K$11))</f>
        <v>3.5</v>
      </c>
      <c r="AA420" s="58">
        <f>IF(controls!$B$6=1,$AS$3*(1+('main page'!$K$35/100))^AB420-$AS$3*(1+('main page'!$K$35/100))^AB419,$AS$3*(1+('main page'!$G$8/100))*(1+('main page'!$K$35/100))^AB420-$AS$3*(1+('main page'!$G$8/100))*(1+('main page'!$K$35/100))^AB419)</f>
        <v>0</v>
      </c>
      <c r="AB420" s="60">
        <v>413</v>
      </c>
      <c r="AC420" s="125">
        <v>0</v>
      </c>
      <c r="AD420" s="36">
        <v>0</v>
      </c>
      <c r="AE420" s="44">
        <f ca="1">IF(controls!$B$33=1,D420-($I$3-'main page'!$K$27*2)*(1+('main page'!$K$35/100))^A419,D420-$AS$4)</f>
        <v>1.0000000596046448</v>
      </c>
      <c r="AF420" s="44">
        <f ca="1">ABS(L420-(controls!$B$9/100)*100)</f>
        <v>1.1920928955078125E-7</v>
      </c>
      <c r="AH420" s="44">
        <f ca="1">IF(controls!$B$33=1,(B421-B420*AC421-I421+D420*AD421+'main page'!$K$27*('main page'!$K$24+'main page'!$K$11))/'main page'!$K$31,(B421-B420*AC421+D420*AD421-H421+'main page'!$K$27*('main page'!$K$24+'main page'!$K$11))/'main page'!$K$31)</f>
        <v>1</v>
      </c>
      <c r="AI420" s="44">
        <f ca="1">IF(controls!$B$45=1,LOG(AM420,1.01)+LOG(AL420,1.01)-LOG(AK420,1.01),-((T420-('main page'!$K$24+'main page'!$K$11))/(1-'normal case'!$AV$3))+'normal case'!AH420)</f>
        <v>2.0000000596046448</v>
      </c>
      <c r="AJ420" s="80">
        <f t="shared" ca="1" si="54"/>
        <v>1.0506250015463039</v>
      </c>
      <c r="AK420" s="44">
        <f t="shared" ca="1" si="55"/>
        <v>3782.05520299932</v>
      </c>
      <c r="AL420" s="44">
        <f>AL419*(1+'main page'!$K$32/100)</f>
        <v>1</v>
      </c>
      <c r="AM420" s="44">
        <f ca="1">IF(ABS(IF(controls!$B$45=1,$AS$13,AK420*AJ420/AL420)-AM419)&lt;0.00001,AM419,IF(controls!$B$45=1,$AS$13,AK420*AJ420/AL420))</f>
        <v>3973.5217534993672</v>
      </c>
      <c r="AN420" s="44">
        <f>IF(controls!$B$46=0,0,IF(controls!$B$33=2,B421-B420*AC421-('normal case'!H421-D420*AD421-'main page'!$K$27*'normal case'!T420+'main page'!$K$31*'normal case'!AI420)-(('main page'!$K$25*'main page'!$U$13*'main page'!$K$29)/(1+('main page'!$K$25^2)*'main page'!$U$13))*('normal case'!L420-'main page'!$U$8),B421-B420*AC421-('normal case'!I421-D420*AD421-'main page'!$K$27*'normal case'!T420+'main page'!$K$31*'normal case'!AI420)-(('main page'!$K$25*'main page'!$U$13*'main page'!$K$29)/(1+('main page'!$K$25^2)*'main page'!$U$13))*('normal case'!L420-'main page'!$U$8)))</f>
        <v>0</v>
      </c>
      <c r="AU420" s="36"/>
      <c r="AV420" s="36"/>
    </row>
    <row r="421" spans="1:48">
      <c r="A421" s="43">
        <v>419</v>
      </c>
      <c r="B421" s="62">
        <f ca="1">IF(controls!$B$33=1,B420*(1+AC421)+AA421,B420*(1+AC421))</f>
        <v>101</v>
      </c>
      <c r="C421" s="67">
        <f t="shared" ca="1" si="56"/>
        <v>-1.5107707374006907E-7</v>
      </c>
      <c r="D421" s="64">
        <f t="shared" ca="1" si="52"/>
        <v>101.00000005960464</v>
      </c>
      <c r="E421" s="64">
        <f ca="1">AN420+IF(controls!$B$33=1,G421,F421)</f>
        <v>101.00000005960464</v>
      </c>
      <c r="F421" s="78">
        <f ca="1">IF(controls!$B$44=0,H421-'main page'!$K$27*T420,H421-'main page'!$K$27*T420+'main page'!$K$31*AI420)</f>
        <v>101.00000005960464</v>
      </c>
      <c r="G421" s="62">
        <f ca="1">IF(controls!$B$44=0,I421-'main page'!$K$27*T420,I421-'main page'!$K$27*T420+'main page'!$K$31*'normal case'!AI420)</f>
        <v>101.00000005960464</v>
      </c>
      <c r="H421" s="62">
        <f t="shared" ca="1" si="58"/>
        <v>108</v>
      </c>
      <c r="I421" s="62">
        <f t="shared" ca="1" si="59"/>
        <v>108</v>
      </c>
      <c r="L421" s="62">
        <f ca="1">IF(ABS('main page'!$K$29*L420+(1-'main page'!$K$29)*(controls!$B$9/100)*100+'main page'!$K$25*(D421-B421)-L420)&lt;0.0000001,L420,'main page'!$K$29*L420+(1-'main page'!$K$29)*(controls!$B$9/100)*100+'main page'!$K$25*(D421-B421))</f>
        <v>1.9999998807907104</v>
      </c>
      <c r="Q421" s="409">
        <f ca="1">(1-'main page'!$K$29)*($AS$11/100)*100+'main page'!$K$25*(D421-B421)</f>
        <v>5.9604644775390625E-8</v>
      </c>
      <c r="R421" s="409">
        <f>'main page'!G425+'main page'!$K$29*M420</f>
        <v>0</v>
      </c>
      <c r="S421" s="409">
        <f t="shared" ca="1" si="57"/>
        <v>5.9604644775390625E-8</v>
      </c>
      <c r="T421" s="79">
        <f ca="1">IF(controls!$B$10=1,T420,IF(SUM(controls!$B$44:$B$46)=2,U421-'main page'!$K$29*'normal case'!L421-(1-'main page'!$K$29)*'main page'!$K$32,U421-'main page'!$K$29*'normal case'!L421-(1-'main page'!$K$29)*controls!$B$9))</f>
        <v>3.4999999701976776</v>
      </c>
      <c r="U421" s="164">
        <f ca="1">IF(controls!$B$45=1,IF(controls!$B$46=1,'main page'!$K$24+'main page'!$K$11+'main page'!$U$8,'main page'!$K$24+'main page'!$K$11+'main page'!$K$32),IF(controls!$B$44=1,IF(V421&lt;0,0,V421),IF(V421+'main page'!$K$11&lt;0,0,V421+'main page'!$K$11)))</f>
        <v>5.4999998509883881</v>
      </c>
      <c r="V421" s="63">
        <f ca="1">IF(controls!$B$10=1,'normal case'!T421+'normal case'!L421,'normal case'!W421)</f>
        <v>5.4999998509883881</v>
      </c>
      <c r="W421" s="61">
        <f t="shared" ca="1" si="53"/>
        <v>5.4999998509883881</v>
      </c>
      <c r="X421" s="166">
        <f ca="1">IF(controls!$B$44=0,Y421+'main page'!$K$29*L421+(1-'main page'!$K$29)*controls!$B$9+(('main page'!$K$25*'main page'!$U$13*'main page'!$K$29)/('main page'!$K$27*(1+('main page'!$K$25^2)*'main page'!$U$13)))*(L421-controls!$B$9),Y421+'main page'!$K$29*L421+(1-'main page'!$K$29)*controls!$B$9+(('main page'!$K$25*'main page'!$U$13*'normal case'!$AV$3)/'normal case'!$AV$4)*('normal case'!L421-controls!$B$9))</f>
        <v>5.4999998509883881</v>
      </c>
      <c r="Y421" s="81">
        <f ca="1">IF(controls!$B$44=1,'main page'!$K$24+'main page'!$K$11,IF(controls!$B$33=1,((I422-D421*AD422-B422+B421*AC422)/'main page'!$K$27)-'main page'!$K$11,((H422-D421*AD422-B422+B421*AC422)/'main page'!$K$27)-'main page'!$K$11))</f>
        <v>3.5</v>
      </c>
      <c r="AA421" s="58">
        <f>IF(controls!$B$6=1,$AS$3*(1+('main page'!$K$35/100))^AB421-$AS$3*(1+('main page'!$K$35/100))^AB420,$AS$3*(1+('main page'!$G$8/100))*(1+('main page'!$K$35/100))^AB421-$AS$3*(1+('main page'!$G$8/100))*(1+('main page'!$K$35/100))^AB420)</f>
        <v>0</v>
      </c>
      <c r="AB421" s="60">
        <v>414</v>
      </c>
      <c r="AC421" s="125">
        <v>0</v>
      </c>
      <c r="AD421" s="36">
        <v>0</v>
      </c>
      <c r="AE421" s="44">
        <f ca="1">IF(controls!$B$33=1,D421-($I$3-'main page'!$K$27*2)*(1+('main page'!$K$35/100))^A420,D421-$AS$4)</f>
        <v>1.0000000596046448</v>
      </c>
      <c r="AF421" s="44">
        <f ca="1">ABS(L421-(controls!$B$9/100)*100)</f>
        <v>1.1920928955078125E-7</v>
      </c>
      <c r="AH421" s="44">
        <f ca="1">IF(controls!$B$33=1,(B422-B421*AC422-I422+D421*AD422+'main page'!$K$27*('main page'!$K$24+'main page'!$K$11))/'main page'!$K$31,(B422-B421*AC422+D421*AD422-H422+'main page'!$K$27*('main page'!$K$24+'main page'!$K$11))/'main page'!$K$31)</f>
        <v>1</v>
      </c>
      <c r="AI421" s="44">
        <f ca="1">IF(controls!$B$45=1,LOG(AM421,1.01)+LOG(AL421,1.01)-LOG(AK421,1.01),-((T421-('main page'!$K$24+'main page'!$K$11))/(1-'normal case'!$AV$3))+'normal case'!AH421)</f>
        <v>2.0000000596046448</v>
      </c>
      <c r="AJ421" s="80">
        <f t="shared" ca="1" si="54"/>
        <v>1.0506250015463039</v>
      </c>
      <c r="AK421" s="44">
        <f t="shared" ca="1" si="55"/>
        <v>3857.6963025507453</v>
      </c>
      <c r="AL421" s="44">
        <f>AL420*(1+'main page'!$K$32/100)</f>
        <v>1</v>
      </c>
      <c r="AM421" s="44">
        <f ca="1">IF(ABS(IF(controls!$B$45=1,$AS$13,AK421*AJ421/AL421)-AM420)&lt;0.00001,AM420,IF(controls!$B$45=1,$AS$13,AK421*AJ421/AL421))</f>
        <v>4052.9921838325477</v>
      </c>
      <c r="AN421" s="44">
        <f>IF(controls!$B$46=0,0,IF(controls!$B$33=2,B422-B421*AC422-('normal case'!H422-D421*AD422-'main page'!$K$27*'normal case'!T421+'main page'!$K$31*'normal case'!AI421)-(('main page'!$K$25*'main page'!$U$13*'main page'!$K$29)/(1+('main page'!$K$25^2)*'main page'!$U$13))*('normal case'!L421-'main page'!$U$8),B422-B421*AC422-('normal case'!I422-D421*AD422-'main page'!$K$27*'normal case'!T421+'main page'!$K$31*'normal case'!AI421)-(('main page'!$K$25*'main page'!$U$13*'main page'!$K$29)/(1+('main page'!$K$25^2)*'main page'!$U$13))*('normal case'!L421-'main page'!$U$8)))</f>
        <v>0</v>
      </c>
      <c r="AU421" s="36"/>
      <c r="AV421" s="36"/>
    </row>
    <row r="422" spans="1:48">
      <c r="A422" s="43">
        <v>420</v>
      </c>
      <c r="B422" s="62">
        <f ca="1">IF(controls!$B$33=1,B421*(1+AC422)+AA422,B421*(1+AC422))</f>
        <v>101</v>
      </c>
      <c r="C422" s="67">
        <f t="shared" ca="1" si="56"/>
        <v>-1.5107707374006907E-7</v>
      </c>
      <c r="D422" s="64">
        <f t="shared" ca="1" si="52"/>
        <v>101.00000005960464</v>
      </c>
      <c r="E422" s="64">
        <f ca="1">AN421+IF(controls!$B$33=1,G422,F422)</f>
        <v>101.00000005960464</v>
      </c>
      <c r="F422" s="78">
        <f ca="1">IF(controls!$B$44=0,H422-'main page'!$K$27*T421,H422-'main page'!$K$27*T421+'main page'!$K$31*AI421)</f>
        <v>101.00000005960464</v>
      </c>
      <c r="G422" s="62">
        <f ca="1">IF(controls!$B$44=0,I422-'main page'!$K$27*T421,I422-'main page'!$K$27*T421+'main page'!$K$31*'normal case'!AI421)</f>
        <v>101.00000005960464</v>
      </c>
      <c r="H422" s="62">
        <f t="shared" ca="1" si="58"/>
        <v>108</v>
      </c>
      <c r="I422" s="62">
        <f t="shared" ca="1" si="59"/>
        <v>108</v>
      </c>
      <c r="L422" s="62">
        <f ca="1">IF(ABS('main page'!$K$29*L421+(1-'main page'!$K$29)*(controls!$B$9/100)*100+'main page'!$K$25*(D422-B422)-L421)&lt;0.0000001,L421,'main page'!$K$29*L421+(1-'main page'!$K$29)*(controls!$B$9/100)*100+'main page'!$K$25*(D422-B422))</f>
        <v>1.9999998807907104</v>
      </c>
      <c r="Q422" s="409">
        <f ca="1">(1-'main page'!$K$29)*($AS$11/100)*100+'main page'!$K$25*(D422-B422)</f>
        <v>5.9604644775390625E-8</v>
      </c>
      <c r="R422" s="409">
        <f>'main page'!G426+'main page'!$K$29*M421</f>
        <v>0</v>
      </c>
      <c r="S422" s="409">
        <f t="shared" ca="1" si="57"/>
        <v>5.9604644775390625E-8</v>
      </c>
      <c r="T422" s="79">
        <f ca="1">IF(controls!$B$10=1,T421,IF(SUM(controls!$B$44:$B$46)=2,U422-'main page'!$K$29*'normal case'!L422-(1-'main page'!$K$29)*'main page'!$K$32,U422-'main page'!$K$29*'normal case'!L422-(1-'main page'!$K$29)*controls!$B$9))</f>
        <v>3.4999999701976776</v>
      </c>
      <c r="U422" s="164">
        <f ca="1">IF(controls!$B$45=1,IF(controls!$B$46=1,'main page'!$K$24+'main page'!$K$11+'main page'!$U$8,'main page'!$K$24+'main page'!$K$11+'main page'!$K$32),IF(controls!$B$44=1,IF(V422&lt;0,0,V422),IF(V422+'main page'!$K$11&lt;0,0,V422+'main page'!$K$11)))</f>
        <v>5.4999998509883881</v>
      </c>
      <c r="V422" s="63">
        <f ca="1">IF(controls!$B$10=1,'normal case'!T422+'normal case'!L422,'normal case'!W422)</f>
        <v>5.4999998509883881</v>
      </c>
      <c r="W422" s="61">
        <f t="shared" ca="1" si="53"/>
        <v>5.4999998509883881</v>
      </c>
      <c r="X422" s="166">
        <f ca="1">IF(controls!$B$44=0,Y422+'main page'!$K$29*L422+(1-'main page'!$K$29)*controls!$B$9+(('main page'!$K$25*'main page'!$U$13*'main page'!$K$29)/('main page'!$K$27*(1+('main page'!$K$25^2)*'main page'!$U$13)))*(L422-controls!$B$9),Y422+'main page'!$K$29*L422+(1-'main page'!$K$29)*controls!$B$9+(('main page'!$K$25*'main page'!$U$13*'normal case'!$AV$3)/'normal case'!$AV$4)*('normal case'!L422-controls!$B$9))</f>
        <v>5.4999998509883881</v>
      </c>
      <c r="Y422" s="81">
        <f ca="1">IF(controls!$B$44=1,'main page'!$K$24+'main page'!$K$11,IF(controls!$B$33=1,((I423-D422*AD423-B423+B422*AC423)/'main page'!$K$27)-'main page'!$K$11,((H423-D422*AD423-B423+B422*AC423)/'main page'!$K$27)-'main page'!$K$11))</f>
        <v>3.5</v>
      </c>
      <c r="AA422" s="58">
        <f>IF(controls!$B$6=1,$AS$3*(1+('main page'!$K$35/100))^AB422-$AS$3*(1+('main page'!$K$35/100))^AB421,$AS$3*(1+('main page'!$G$8/100))*(1+('main page'!$K$35/100))^AB422-$AS$3*(1+('main page'!$G$8/100))*(1+('main page'!$K$35/100))^AB421)</f>
        <v>0</v>
      </c>
      <c r="AB422" s="60">
        <v>415</v>
      </c>
      <c r="AC422" s="125">
        <f ca="1">IF(controls!$B$4=1,IF(controls!$H421=1,controls!$B$34*AC421+RAND()*('main page'!$K$16/100)-RAND()*('main page'!$K$16/100),0),0)</f>
        <v>0</v>
      </c>
      <c r="AD422" s="36">
        <f ca="1">IF(controls!$B$4=1,IF(controls!$I421=1,controls!$B$34*AD421+RAND()*('main page'!$K$16/100)-RAND()*('main page'!$K$16/100),0),0)</f>
        <v>0</v>
      </c>
      <c r="AE422" s="44">
        <f ca="1">IF(controls!$B$33=1,D422-($I$3-'main page'!$K$27*2)*(1+('main page'!$K$35/100))^A421,D422-$AS$4)</f>
        <v>1.0000000596046448</v>
      </c>
      <c r="AF422" s="44">
        <f ca="1">ABS(L422-(controls!$B$9/100)*100)</f>
        <v>1.1920928955078125E-7</v>
      </c>
      <c r="AH422" s="44">
        <f ca="1">IF(controls!$B$33=1,(B423-B422*AC423-I423+D422*AD423+'main page'!$K$27*('main page'!$K$24+'main page'!$K$11))/'main page'!$K$31,(B423-B422*AC423+D422*AD423-H423+'main page'!$K$27*('main page'!$K$24+'main page'!$K$11))/'main page'!$K$31)</f>
        <v>1</v>
      </c>
      <c r="AI422" s="44">
        <f ca="1">IF(controls!$B$45=1,LOG(AM422,1.01)+LOG(AL422,1.01)-LOG(AK422,1.01),-((T422-('main page'!$K$24+'main page'!$K$11))/(1-'normal case'!$AV$3))+'normal case'!AH422)</f>
        <v>2.0000000596046448</v>
      </c>
      <c r="AJ422" s="80">
        <f t="shared" ca="1" si="54"/>
        <v>1.0506250015463039</v>
      </c>
      <c r="AK422" s="44">
        <f t="shared" ca="1" si="55"/>
        <v>3934.850224003028</v>
      </c>
      <c r="AL422" s="44">
        <f>AL421*(1+'main page'!$K$32/100)</f>
        <v>1</v>
      </c>
      <c r="AM422" s="44">
        <f ca="1">IF(ABS(IF(controls!$B$45=1,$AS$13,AK422*AJ422/AL422)-AM421)&lt;0.00001,AM421,IF(controls!$B$45=1,$AS$13,AK422*AJ422/AL422))</f>
        <v>4134.0520226776553</v>
      </c>
      <c r="AN422" s="44">
        <f>IF(controls!$B$46=0,0,IF(controls!$B$33=2,B423-B422*AC423-('normal case'!H423-D422*AD423-'main page'!$K$27*'normal case'!T422+'main page'!$K$31*'normal case'!AI422)-(('main page'!$K$25*'main page'!$U$13*'main page'!$K$29)/(1+('main page'!$K$25^2)*'main page'!$U$13))*('normal case'!L422-'main page'!$U$8),B423-B422*AC423-('normal case'!I423-D422*AD423-'main page'!$K$27*'normal case'!T422+'main page'!$K$31*'normal case'!AI422)-(('main page'!$K$25*'main page'!$U$13*'main page'!$K$29)/(1+('main page'!$K$25^2)*'main page'!$U$13))*('normal case'!L422-'main page'!$U$8)))</f>
        <v>0</v>
      </c>
      <c r="AU422" s="36"/>
      <c r="AV422" s="36"/>
    </row>
    <row r="423" spans="1:48">
      <c r="A423" s="43">
        <v>421</v>
      </c>
      <c r="B423" s="62">
        <f ca="1">IF(controls!$B$33=1,B422*(1+AC423)+AA423,B422*(1+AC423))</f>
        <v>101</v>
      </c>
      <c r="C423" s="67">
        <f t="shared" ca="1" si="56"/>
        <v>-1.5107707374006907E-7</v>
      </c>
      <c r="D423" s="64">
        <f t="shared" ca="1" si="52"/>
        <v>101.00000005960464</v>
      </c>
      <c r="E423" s="64">
        <f ca="1">AN422+IF(controls!$B$33=1,G423,F423)</f>
        <v>101.00000005960464</v>
      </c>
      <c r="F423" s="78">
        <f ca="1">IF(controls!$B$44=0,H423-'main page'!$K$27*T422,H423-'main page'!$K$27*T422+'main page'!$K$31*AI422)</f>
        <v>101.00000005960464</v>
      </c>
      <c r="G423" s="62">
        <f ca="1">IF(controls!$B$44=0,I423-'main page'!$K$27*T422,I423-'main page'!$K$27*T422+'main page'!$K$31*'normal case'!AI422)</f>
        <v>101.00000005960464</v>
      </c>
      <c r="H423" s="62">
        <f t="shared" ca="1" si="58"/>
        <v>108</v>
      </c>
      <c r="I423" s="62">
        <f t="shared" ca="1" si="59"/>
        <v>108</v>
      </c>
      <c r="L423" s="62">
        <f ca="1">IF(ABS('main page'!$K$29*L422+(1-'main page'!$K$29)*(controls!$B$9/100)*100+'main page'!$K$25*(D423-B423)-L422)&lt;0.0000001,L422,'main page'!$K$29*L422+(1-'main page'!$K$29)*(controls!$B$9/100)*100+'main page'!$K$25*(D423-B423))</f>
        <v>1.9999998807907104</v>
      </c>
      <c r="Q423" s="409">
        <f ca="1">(1-'main page'!$K$29)*($AS$11/100)*100+'main page'!$K$25*(D423-B423)</f>
        <v>5.9604644775390625E-8</v>
      </c>
      <c r="R423" s="409">
        <f>'main page'!G427+'main page'!$K$29*M422</f>
        <v>0</v>
      </c>
      <c r="S423" s="409">
        <f t="shared" ca="1" si="57"/>
        <v>5.9604644775390625E-8</v>
      </c>
      <c r="T423" s="79">
        <f ca="1">IF(controls!$B$10=1,T422,IF(SUM(controls!$B$44:$B$46)=2,U423-'main page'!$K$29*'normal case'!L423-(1-'main page'!$K$29)*'main page'!$K$32,U423-'main page'!$K$29*'normal case'!L423-(1-'main page'!$K$29)*controls!$B$9))</f>
        <v>3.4999999701976776</v>
      </c>
      <c r="U423" s="164">
        <f ca="1">IF(controls!$B$45=1,IF(controls!$B$46=1,'main page'!$K$24+'main page'!$K$11+'main page'!$U$8,'main page'!$K$24+'main page'!$K$11+'main page'!$K$32),IF(controls!$B$44=1,IF(V423&lt;0,0,V423),IF(V423+'main page'!$K$11&lt;0,0,V423+'main page'!$K$11)))</f>
        <v>5.4999998509883881</v>
      </c>
      <c r="V423" s="63">
        <f ca="1">IF(controls!$B$10=1,'normal case'!T423+'normal case'!L423,'normal case'!W423)</f>
        <v>5.4999998509883881</v>
      </c>
      <c r="W423" s="61">
        <f t="shared" ca="1" si="53"/>
        <v>5.4999998509883881</v>
      </c>
      <c r="X423" s="166">
        <f ca="1">IF(controls!$B$44=0,Y423+'main page'!$K$29*L423+(1-'main page'!$K$29)*controls!$B$9+(('main page'!$K$25*'main page'!$U$13*'main page'!$K$29)/('main page'!$K$27*(1+('main page'!$K$25^2)*'main page'!$U$13)))*(L423-controls!$B$9),Y423+'main page'!$K$29*L423+(1-'main page'!$K$29)*controls!$B$9+(('main page'!$K$25*'main page'!$U$13*'normal case'!$AV$3)/'normal case'!$AV$4)*('normal case'!L423-controls!$B$9))</f>
        <v>5.4999998509883881</v>
      </c>
      <c r="Y423" s="81">
        <f ca="1">IF(controls!$B$44=1,'main page'!$K$24+'main page'!$K$11,IF(controls!$B$33=1,((I424-D423*AD424-B424+B423*AC424)/'main page'!$K$27)-'main page'!$K$11,((H424-D423*AD424-B424+B423*AC424)/'main page'!$K$27)-'main page'!$K$11))</f>
        <v>3.5</v>
      </c>
      <c r="AA423" s="58">
        <f>IF(controls!$B$6=1,$AS$3*(1+('main page'!$K$35/100))^AB423-$AS$3*(1+('main page'!$K$35/100))^AB422,$AS$3*(1+('main page'!$G$8/100))*(1+('main page'!$K$35/100))^AB423-$AS$3*(1+('main page'!$G$8/100))*(1+('main page'!$K$35/100))^AB422)</f>
        <v>0</v>
      </c>
      <c r="AB423" s="60">
        <v>416</v>
      </c>
      <c r="AC423" s="125">
        <v>0</v>
      </c>
      <c r="AD423" s="36">
        <v>0</v>
      </c>
      <c r="AE423" s="44">
        <f ca="1">IF(controls!$B$33=1,D423-($I$3-'main page'!$K$27*2)*(1+('main page'!$K$35/100))^A422,D423-$AS$4)</f>
        <v>1.0000000596046448</v>
      </c>
      <c r="AF423" s="44">
        <f ca="1">ABS(L423-(controls!$B$9/100)*100)</f>
        <v>1.1920928955078125E-7</v>
      </c>
      <c r="AH423" s="44">
        <f ca="1">IF(controls!$B$33=1,(B424-B423*AC424-I424+D423*AD424+'main page'!$K$27*('main page'!$K$24+'main page'!$K$11))/'main page'!$K$31,(B424-B423*AC424+D423*AD424-H424+'main page'!$K$27*('main page'!$K$24+'main page'!$K$11))/'main page'!$K$31)</f>
        <v>1</v>
      </c>
      <c r="AI423" s="44">
        <f ca="1">IF(controls!$B$45=1,LOG(AM423,1.01)+LOG(AL423,1.01)-LOG(AK423,1.01),-((T423-('main page'!$K$24+'main page'!$K$11))/(1-'normal case'!$AV$3))+'normal case'!AH423)</f>
        <v>2.0000000596046448</v>
      </c>
      <c r="AJ423" s="80">
        <f t="shared" ca="1" si="54"/>
        <v>1.0506250015463039</v>
      </c>
      <c r="AK423" s="44">
        <f t="shared" ca="1" si="55"/>
        <v>4013.5472237923818</v>
      </c>
      <c r="AL423" s="44">
        <f>AL422*(1+'main page'!$K$32/100)</f>
        <v>1</v>
      </c>
      <c r="AM423" s="44">
        <f ca="1">IF(ABS(IF(controls!$B$45=1,$AS$13,AK423*AJ423/AL423)-AM422)&lt;0.00001,AM422,IF(controls!$B$45=1,$AS$13,AK423*AJ423/AL423))</f>
        <v>4216.7330582030345</v>
      </c>
      <c r="AN423" s="44">
        <f>IF(controls!$B$46=0,0,IF(controls!$B$33=2,B424-B423*AC424-('normal case'!H424-D423*AD424-'main page'!$K$27*'normal case'!T423+'main page'!$K$31*'normal case'!AI423)-(('main page'!$K$25*'main page'!$U$13*'main page'!$K$29)/(1+('main page'!$K$25^2)*'main page'!$U$13))*('normal case'!L423-'main page'!$U$8),B424-B423*AC424-('normal case'!I424-D423*AD424-'main page'!$K$27*'normal case'!T423+'main page'!$K$31*'normal case'!AI423)-(('main page'!$K$25*'main page'!$U$13*'main page'!$K$29)/(1+('main page'!$K$25^2)*'main page'!$U$13))*('normal case'!L423-'main page'!$U$8)))</f>
        <v>0</v>
      </c>
      <c r="AU423" s="36"/>
      <c r="AV423" s="36"/>
    </row>
    <row r="424" spans="1:48">
      <c r="A424" s="43">
        <v>422</v>
      </c>
      <c r="B424" s="62">
        <f ca="1">IF(controls!$B$33=1,B423*(1+AC424)+AA424,B423*(1+AC424))</f>
        <v>101</v>
      </c>
      <c r="C424" s="67">
        <f t="shared" ca="1" si="56"/>
        <v>-1.5107707374006907E-7</v>
      </c>
      <c r="D424" s="64">
        <f t="shared" ca="1" si="52"/>
        <v>101.00000005960464</v>
      </c>
      <c r="E424" s="64">
        <f ca="1">AN423+IF(controls!$B$33=1,G424,F424)</f>
        <v>101.00000005960464</v>
      </c>
      <c r="F424" s="78">
        <f ca="1">IF(controls!$B$44=0,H424-'main page'!$K$27*T423,H424-'main page'!$K$27*T423+'main page'!$K$31*AI423)</f>
        <v>101.00000005960464</v>
      </c>
      <c r="G424" s="62">
        <f ca="1">IF(controls!$B$44=0,I424-'main page'!$K$27*T423,I424-'main page'!$K$27*T423+'main page'!$K$31*'normal case'!AI423)</f>
        <v>101.00000005960464</v>
      </c>
      <c r="H424" s="62">
        <f t="shared" ca="1" si="58"/>
        <v>108</v>
      </c>
      <c r="I424" s="62">
        <f t="shared" ca="1" si="59"/>
        <v>108</v>
      </c>
      <c r="L424" s="62">
        <f ca="1">IF(ABS('main page'!$K$29*L423+(1-'main page'!$K$29)*(controls!$B$9/100)*100+'main page'!$K$25*(D424-B424)-L423)&lt;0.0000001,L423,'main page'!$K$29*L423+(1-'main page'!$K$29)*(controls!$B$9/100)*100+'main page'!$K$25*(D424-B424))</f>
        <v>1.9999998807907104</v>
      </c>
      <c r="Q424" s="409">
        <f ca="1">(1-'main page'!$K$29)*($AS$11/100)*100+'main page'!$K$25*(D424-B424)</f>
        <v>5.9604644775390625E-8</v>
      </c>
      <c r="R424" s="409">
        <f>'main page'!G428+'main page'!$K$29*M423</f>
        <v>0</v>
      </c>
      <c r="S424" s="409">
        <f t="shared" ca="1" si="57"/>
        <v>5.9604644775390625E-8</v>
      </c>
      <c r="T424" s="79">
        <f ca="1">IF(controls!$B$10=1,T423,IF(SUM(controls!$B$44:$B$46)=2,U424-'main page'!$K$29*'normal case'!L424-(1-'main page'!$K$29)*'main page'!$K$32,U424-'main page'!$K$29*'normal case'!L424-(1-'main page'!$K$29)*controls!$B$9))</f>
        <v>3.4999999701976776</v>
      </c>
      <c r="U424" s="164">
        <f ca="1">IF(controls!$B$45=1,IF(controls!$B$46=1,'main page'!$K$24+'main page'!$K$11+'main page'!$U$8,'main page'!$K$24+'main page'!$K$11+'main page'!$K$32),IF(controls!$B$44=1,IF(V424&lt;0,0,V424),IF(V424+'main page'!$K$11&lt;0,0,V424+'main page'!$K$11)))</f>
        <v>5.4999998509883881</v>
      </c>
      <c r="V424" s="63">
        <f ca="1">IF(controls!$B$10=1,'normal case'!T424+'normal case'!L424,'normal case'!W424)</f>
        <v>5.4999998509883881</v>
      </c>
      <c r="W424" s="61">
        <f t="shared" ca="1" si="53"/>
        <v>5.4999998509883881</v>
      </c>
      <c r="X424" s="166">
        <f ca="1">IF(controls!$B$44=0,Y424+'main page'!$K$29*L424+(1-'main page'!$K$29)*controls!$B$9+(('main page'!$K$25*'main page'!$U$13*'main page'!$K$29)/('main page'!$K$27*(1+('main page'!$K$25^2)*'main page'!$U$13)))*(L424-controls!$B$9),Y424+'main page'!$K$29*L424+(1-'main page'!$K$29)*controls!$B$9+(('main page'!$K$25*'main page'!$U$13*'normal case'!$AV$3)/'normal case'!$AV$4)*('normal case'!L424-controls!$B$9))</f>
        <v>5.4999998509883881</v>
      </c>
      <c r="Y424" s="81">
        <f ca="1">IF(controls!$B$44=1,'main page'!$K$24+'main page'!$K$11,IF(controls!$B$33=1,((I425-D424*AD425-B425+B424*AC425)/'main page'!$K$27)-'main page'!$K$11,((H425-D424*AD425-B425+B424*AC425)/'main page'!$K$27)-'main page'!$K$11))</f>
        <v>3.5</v>
      </c>
      <c r="AA424" s="58">
        <f>IF(controls!$B$6=1,$AS$3*(1+('main page'!$K$35/100))^AB424-$AS$3*(1+('main page'!$K$35/100))^AB423,$AS$3*(1+('main page'!$G$8/100))*(1+('main page'!$K$35/100))^AB424-$AS$3*(1+('main page'!$G$8/100))*(1+('main page'!$K$35/100))^AB423)</f>
        <v>0</v>
      </c>
      <c r="AB424" s="60">
        <v>417</v>
      </c>
      <c r="AC424" s="125">
        <v>0</v>
      </c>
      <c r="AD424" s="36">
        <v>0</v>
      </c>
      <c r="AE424" s="44">
        <f ca="1">IF(controls!$B$33=1,D424-($I$3-'main page'!$K$27*2)*(1+('main page'!$K$35/100))^A423,D424-$AS$4)</f>
        <v>1.0000000596046448</v>
      </c>
      <c r="AF424" s="44">
        <f ca="1">ABS(L424-(controls!$B$9/100)*100)</f>
        <v>1.1920928955078125E-7</v>
      </c>
      <c r="AH424" s="44">
        <f ca="1">IF(controls!$B$33=1,(B425-B424*AC425-I425+D424*AD425+'main page'!$K$27*('main page'!$K$24+'main page'!$K$11))/'main page'!$K$31,(B425-B424*AC425+D424*AD425-H425+'main page'!$K$27*('main page'!$K$24+'main page'!$K$11))/'main page'!$K$31)</f>
        <v>1</v>
      </c>
      <c r="AI424" s="44">
        <f ca="1">IF(controls!$B$45=1,LOG(AM424,1.01)+LOG(AL424,1.01)-LOG(AK424,1.01),-((T424-('main page'!$K$24+'main page'!$K$11))/(1-'normal case'!$AV$3))+'normal case'!AH424)</f>
        <v>2.0000000596046448</v>
      </c>
      <c r="AJ424" s="80">
        <f t="shared" ca="1" si="54"/>
        <v>1.0506250015463039</v>
      </c>
      <c r="AK424" s="44">
        <f t="shared" ca="1" si="55"/>
        <v>4093.8181634837083</v>
      </c>
      <c r="AL424" s="44">
        <f>AL423*(1+'main page'!$K$32/100)</f>
        <v>1</v>
      </c>
      <c r="AM424" s="44">
        <f ca="1">IF(ABS(IF(controls!$B$45=1,$AS$13,AK424*AJ424/AL424)-AM423)&lt;0.00001,AM423,IF(controls!$B$45=1,$AS$13,AK424*AJ424/AL424))</f>
        <v>4301.0677143403582</v>
      </c>
      <c r="AN424" s="44">
        <f>IF(controls!$B$46=0,0,IF(controls!$B$33=2,B425-B424*AC425-('normal case'!H425-D424*AD425-'main page'!$K$27*'normal case'!T424+'main page'!$K$31*'normal case'!AI424)-(('main page'!$K$25*'main page'!$U$13*'main page'!$K$29)/(1+('main page'!$K$25^2)*'main page'!$U$13))*('normal case'!L424-'main page'!$U$8),B425-B424*AC425-('normal case'!I425-D424*AD425-'main page'!$K$27*'normal case'!T424+'main page'!$K$31*'normal case'!AI424)-(('main page'!$K$25*'main page'!$U$13*'main page'!$K$29)/(1+('main page'!$K$25^2)*'main page'!$U$13))*('normal case'!L424-'main page'!$U$8)))</f>
        <v>0</v>
      </c>
      <c r="AU424" s="36"/>
      <c r="AV424" s="36"/>
    </row>
    <row r="425" spans="1:48">
      <c r="A425" s="43">
        <v>423</v>
      </c>
      <c r="B425" s="62">
        <f ca="1">IF(controls!$B$33=1,B424*(1+AC425)+AA425,B424*(1+AC425))</f>
        <v>101</v>
      </c>
      <c r="C425" s="67">
        <f t="shared" ca="1" si="56"/>
        <v>-1.5107707374006907E-7</v>
      </c>
      <c r="D425" s="64">
        <f t="shared" ca="1" si="52"/>
        <v>101.00000005960464</v>
      </c>
      <c r="E425" s="64">
        <f ca="1">AN424+IF(controls!$B$33=1,G425,F425)</f>
        <v>101.00000005960464</v>
      </c>
      <c r="F425" s="78">
        <f ca="1">IF(controls!$B$44=0,H425-'main page'!$K$27*T424,H425-'main page'!$K$27*T424+'main page'!$K$31*AI424)</f>
        <v>101.00000005960464</v>
      </c>
      <c r="G425" s="62">
        <f ca="1">IF(controls!$B$44=0,I425-'main page'!$K$27*T424,I425-'main page'!$K$27*T424+'main page'!$K$31*'normal case'!AI424)</f>
        <v>101.00000005960464</v>
      </c>
      <c r="H425" s="62">
        <f t="shared" ca="1" si="58"/>
        <v>108</v>
      </c>
      <c r="I425" s="62">
        <f t="shared" ca="1" si="59"/>
        <v>108</v>
      </c>
      <c r="L425" s="62">
        <f ca="1">IF(ABS('main page'!$K$29*L424+(1-'main page'!$K$29)*(controls!$B$9/100)*100+'main page'!$K$25*(D425-B425)-L424)&lt;0.0000001,L424,'main page'!$K$29*L424+(1-'main page'!$K$29)*(controls!$B$9/100)*100+'main page'!$K$25*(D425-B425))</f>
        <v>1.9999998807907104</v>
      </c>
      <c r="Q425" s="409">
        <f ca="1">(1-'main page'!$K$29)*($AS$11/100)*100+'main page'!$K$25*(D425-B425)</f>
        <v>5.9604644775390625E-8</v>
      </c>
      <c r="R425" s="409">
        <f>'main page'!G429+'main page'!$K$29*M424</f>
        <v>0</v>
      </c>
      <c r="S425" s="409">
        <f t="shared" ca="1" si="57"/>
        <v>5.9604644775390625E-8</v>
      </c>
      <c r="T425" s="79">
        <f ca="1">IF(controls!$B$10=1,T424,IF(SUM(controls!$B$44:$B$46)=2,U425-'main page'!$K$29*'normal case'!L425-(1-'main page'!$K$29)*'main page'!$K$32,U425-'main page'!$K$29*'normal case'!L425-(1-'main page'!$K$29)*controls!$B$9))</f>
        <v>3.4999999701976776</v>
      </c>
      <c r="U425" s="164">
        <f ca="1">IF(controls!$B$45=1,IF(controls!$B$46=1,'main page'!$K$24+'main page'!$K$11+'main page'!$U$8,'main page'!$K$24+'main page'!$K$11+'main page'!$K$32),IF(controls!$B$44=1,IF(V425&lt;0,0,V425),IF(V425+'main page'!$K$11&lt;0,0,V425+'main page'!$K$11)))</f>
        <v>5.4999998509883881</v>
      </c>
      <c r="V425" s="63">
        <f ca="1">IF(controls!$B$10=1,'normal case'!T425+'normal case'!L425,'normal case'!W425)</f>
        <v>5.4999998509883881</v>
      </c>
      <c r="W425" s="61">
        <f t="shared" ca="1" si="53"/>
        <v>5.4999998509883881</v>
      </c>
      <c r="X425" s="166">
        <f ca="1">IF(controls!$B$44=0,Y425+'main page'!$K$29*L425+(1-'main page'!$K$29)*controls!$B$9+(('main page'!$K$25*'main page'!$U$13*'main page'!$K$29)/('main page'!$K$27*(1+('main page'!$K$25^2)*'main page'!$U$13)))*(L425-controls!$B$9),Y425+'main page'!$K$29*L425+(1-'main page'!$K$29)*controls!$B$9+(('main page'!$K$25*'main page'!$U$13*'normal case'!$AV$3)/'normal case'!$AV$4)*('normal case'!L425-controls!$B$9))</f>
        <v>5.4999998509883881</v>
      </c>
      <c r="Y425" s="81">
        <f ca="1">IF(controls!$B$44=1,'main page'!$K$24+'main page'!$K$11,IF(controls!$B$33=1,((I426-D425*AD426-B426+B425*AC426)/'main page'!$K$27)-'main page'!$K$11,((H426-D425*AD426-B426+B425*AC426)/'main page'!$K$27)-'main page'!$K$11))</f>
        <v>3.5</v>
      </c>
      <c r="AA425" s="58">
        <f>IF(controls!$B$6=1,$AS$3*(1+('main page'!$K$35/100))^AB425-$AS$3*(1+('main page'!$K$35/100))^AB424,$AS$3*(1+('main page'!$G$8/100))*(1+('main page'!$K$35/100))^AB425-$AS$3*(1+('main page'!$G$8/100))*(1+('main page'!$K$35/100))^AB424)</f>
        <v>0</v>
      </c>
      <c r="AB425" s="60">
        <v>418</v>
      </c>
      <c r="AC425" s="125">
        <f ca="1">IF(controls!$B$4=1,IF(controls!$H424=1,controls!$B$34*AC424+RAND()*('main page'!$K$16/100)-RAND()*('main page'!$K$16/100),0),0)</f>
        <v>0</v>
      </c>
      <c r="AD425" s="36">
        <f ca="1">IF(controls!$B$4=1,IF(controls!$I424=1,controls!$B$34*AD424+RAND()*('main page'!$K$16/100)-RAND()*('main page'!$K$16/100),0),0)</f>
        <v>0</v>
      </c>
      <c r="AE425" s="44">
        <f ca="1">IF(controls!$B$33=1,D425-($I$3-'main page'!$K$27*2)*(1+('main page'!$K$35/100))^A424,D425-$AS$4)</f>
        <v>1.0000000596046448</v>
      </c>
      <c r="AF425" s="44">
        <f ca="1">ABS(L425-(controls!$B$9/100)*100)</f>
        <v>1.1920928955078125E-7</v>
      </c>
      <c r="AH425" s="44">
        <f ca="1">IF(controls!$B$33=1,(B426-B425*AC426-I426+D425*AD426+'main page'!$K$27*('main page'!$K$24+'main page'!$K$11))/'main page'!$K$31,(B426-B425*AC426+D425*AD426-H426+'main page'!$K$27*('main page'!$K$24+'main page'!$K$11))/'main page'!$K$31)</f>
        <v>1</v>
      </c>
      <c r="AI425" s="44">
        <f ca="1">IF(controls!$B$45=1,LOG(AM425,1.01)+LOG(AL425,1.01)-LOG(AK425,1.01),-((T425-('main page'!$K$24+'main page'!$K$11))/(1-'normal case'!$AV$3))+'normal case'!AH425)</f>
        <v>2.0000000596046448</v>
      </c>
      <c r="AJ425" s="80">
        <f t="shared" ca="1" si="54"/>
        <v>1.0506250015463039</v>
      </c>
      <c r="AK425" s="44">
        <f t="shared" ca="1" si="55"/>
        <v>4175.6945218731707</v>
      </c>
      <c r="AL425" s="44">
        <f>AL424*(1+'main page'!$K$32/100)</f>
        <v>1</v>
      </c>
      <c r="AM425" s="44">
        <f ca="1">IF(ABS(IF(controls!$B$45=1,$AS$13,AK425*AJ425/AL425)-AM424)&lt;0.00001,AM424,IF(controls!$B$45=1,$AS$13,AK425*AJ425/AL425))</f>
        <v>4387.0890634998923</v>
      </c>
      <c r="AN425" s="44">
        <f>IF(controls!$B$46=0,0,IF(controls!$B$33=2,B426-B425*AC426-('normal case'!H426-D425*AD426-'main page'!$K$27*'normal case'!T425+'main page'!$K$31*'normal case'!AI425)-(('main page'!$K$25*'main page'!$U$13*'main page'!$K$29)/(1+('main page'!$K$25^2)*'main page'!$U$13))*('normal case'!L425-'main page'!$U$8),B426-B425*AC426-('normal case'!I426-D425*AD426-'main page'!$K$27*'normal case'!T425+'main page'!$K$31*'normal case'!AI425)-(('main page'!$K$25*'main page'!$U$13*'main page'!$K$29)/(1+('main page'!$K$25^2)*'main page'!$U$13))*('normal case'!L425-'main page'!$U$8)))</f>
        <v>0</v>
      </c>
      <c r="AU425" s="36"/>
      <c r="AV425" s="36"/>
    </row>
    <row r="426" spans="1:48">
      <c r="A426" s="43">
        <v>424</v>
      </c>
      <c r="B426" s="62">
        <f ca="1">IF(controls!$B$33=1,B425*(1+AC426)+AA426,B425*(1+AC426))</f>
        <v>101</v>
      </c>
      <c r="C426" s="67">
        <f t="shared" ca="1" si="56"/>
        <v>-1.5107707374006907E-7</v>
      </c>
      <c r="D426" s="64">
        <f t="shared" ca="1" si="52"/>
        <v>101.00000005960464</v>
      </c>
      <c r="E426" s="64">
        <f ca="1">AN425+IF(controls!$B$33=1,G426,F426)</f>
        <v>101.00000005960464</v>
      </c>
      <c r="F426" s="78">
        <f ca="1">IF(controls!$B$44=0,H426-'main page'!$K$27*T425,H426-'main page'!$K$27*T425+'main page'!$K$31*AI425)</f>
        <v>101.00000005960464</v>
      </c>
      <c r="G426" s="62">
        <f ca="1">IF(controls!$B$44=0,I426-'main page'!$K$27*T425,I426-'main page'!$K$27*T425+'main page'!$K$31*'normal case'!AI425)</f>
        <v>101.00000005960464</v>
      </c>
      <c r="H426" s="62">
        <f t="shared" ca="1" si="58"/>
        <v>108</v>
      </c>
      <c r="I426" s="62">
        <f t="shared" ca="1" si="59"/>
        <v>108</v>
      </c>
      <c r="L426" s="62">
        <f ca="1">IF(ABS('main page'!$K$29*L425+(1-'main page'!$K$29)*(controls!$B$9/100)*100+'main page'!$K$25*(D426-B426)-L425)&lt;0.0000001,L425,'main page'!$K$29*L425+(1-'main page'!$K$29)*(controls!$B$9/100)*100+'main page'!$K$25*(D426-B426))</f>
        <v>1.9999998807907104</v>
      </c>
      <c r="Q426" s="409">
        <f ca="1">(1-'main page'!$K$29)*($AS$11/100)*100+'main page'!$K$25*(D426-B426)</f>
        <v>5.9604644775390625E-8</v>
      </c>
      <c r="R426" s="409">
        <f>'main page'!G430+'main page'!$K$29*M425</f>
        <v>0</v>
      </c>
      <c r="S426" s="409">
        <f t="shared" ca="1" si="57"/>
        <v>5.9604644775390625E-8</v>
      </c>
      <c r="T426" s="79">
        <f ca="1">IF(controls!$B$10=1,T425,IF(SUM(controls!$B$44:$B$46)=2,U426-'main page'!$K$29*'normal case'!L426-(1-'main page'!$K$29)*'main page'!$K$32,U426-'main page'!$K$29*'normal case'!L426-(1-'main page'!$K$29)*controls!$B$9))</f>
        <v>3.4999999701976776</v>
      </c>
      <c r="U426" s="164">
        <f ca="1">IF(controls!$B$45=1,IF(controls!$B$46=1,'main page'!$K$24+'main page'!$K$11+'main page'!$U$8,'main page'!$K$24+'main page'!$K$11+'main page'!$K$32),IF(controls!$B$44=1,IF(V426&lt;0,0,V426),IF(V426+'main page'!$K$11&lt;0,0,V426+'main page'!$K$11)))</f>
        <v>5.4999998509883881</v>
      </c>
      <c r="V426" s="63">
        <f ca="1">IF(controls!$B$10=1,'normal case'!T426+'normal case'!L426,'normal case'!W426)</f>
        <v>5.4999998509883881</v>
      </c>
      <c r="W426" s="61">
        <f t="shared" ca="1" si="53"/>
        <v>5.4999998509883881</v>
      </c>
      <c r="X426" s="166">
        <f ca="1">IF(controls!$B$44=0,Y426+'main page'!$K$29*L426+(1-'main page'!$K$29)*controls!$B$9+(('main page'!$K$25*'main page'!$U$13*'main page'!$K$29)/('main page'!$K$27*(1+('main page'!$K$25^2)*'main page'!$U$13)))*(L426-controls!$B$9),Y426+'main page'!$K$29*L426+(1-'main page'!$K$29)*controls!$B$9+(('main page'!$K$25*'main page'!$U$13*'normal case'!$AV$3)/'normal case'!$AV$4)*('normal case'!L426-controls!$B$9))</f>
        <v>5.4999998509883881</v>
      </c>
      <c r="Y426" s="81">
        <f ca="1">IF(controls!$B$44=1,'main page'!$K$24+'main page'!$K$11,IF(controls!$B$33=1,((I427-D426*AD427-B427+B426*AC427)/'main page'!$K$27)-'main page'!$K$11,((H427-D426*AD427-B427+B426*AC427)/'main page'!$K$27)-'main page'!$K$11))</f>
        <v>3.5</v>
      </c>
      <c r="AA426" s="58">
        <f>IF(controls!$B$6=1,$AS$3*(1+('main page'!$K$35/100))^AB426-$AS$3*(1+('main page'!$K$35/100))^AB425,$AS$3*(1+('main page'!$G$8/100))*(1+('main page'!$K$35/100))^AB426-$AS$3*(1+('main page'!$G$8/100))*(1+('main page'!$K$35/100))^AB425)</f>
        <v>0</v>
      </c>
      <c r="AB426" s="60">
        <v>419</v>
      </c>
      <c r="AC426" s="125">
        <v>0</v>
      </c>
      <c r="AD426" s="36">
        <v>0</v>
      </c>
      <c r="AE426" s="44">
        <f ca="1">IF(controls!$B$33=1,D426-($I$3-'main page'!$K$27*2)*(1+('main page'!$K$35/100))^A425,D426-$AS$4)</f>
        <v>1.0000000596046448</v>
      </c>
      <c r="AF426" s="44">
        <f ca="1">ABS(L426-(controls!$B$9/100)*100)</f>
        <v>1.1920928955078125E-7</v>
      </c>
      <c r="AH426" s="44">
        <f ca="1">IF(controls!$B$33=1,(B427-B426*AC427-I427+D426*AD427+'main page'!$K$27*('main page'!$K$24+'main page'!$K$11))/'main page'!$K$31,(B427-B426*AC427+D426*AD427-H427+'main page'!$K$27*('main page'!$K$24+'main page'!$K$11))/'main page'!$K$31)</f>
        <v>1</v>
      </c>
      <c r="AI426" s="44">
        <f ca="1">IF(controls!$B$45=1,LOG(AM426,1.01)+LOG(AL426,1.01)-LOG(AK426,1.01),-((T426-('main page'!$K$24+'main page'!$K$11))/(1-'normal case'!$AV$3))+'normal case'!AH426)</f>
        <v>2.0000000596046448</v>
      </c>
      <c r="AJ426" s="80">
        <f t="shared" ca="1" si="54"/>
        <v>1.0506250015463039</v>
      </c>
      <c r="AK426" s="44">
        <f t="shared" ca="1" si="55"/>
        <v>4259.2084073328188</v>
      </c>
      <c r="AL426" s="44">
        <f>AL425*(1+'main page'!$K$32/100)</f>
        <v>1</v>
      </c>
      <c r="AM426" s="44">
        <f ca="1">IF(ABS(IF(controls!$B$45=1,$AS$13,AK426*AJ426/AL426)-AM425)&lt;0.00001,AM425,IF(controls!$B$45=1,$AS$13,AK426*AJ426/AL426))</f>
        <v>4474.8308395400736</v>
      </c>
      <c r="AN426" s="44">
        <f>IF(controls!$B$46=0,0,IF(controls!$B$33=2,B427-B426*AC427-('normal case'!H427-D426*AD427-'main page'!$K$27*'normal case'!T426+'main page'!$K$31*'normal case'!AI426)-(('main page'!$K$25*'main page'!$U$13*'main page'!$K$29)/(1+('main page'!$K$25^2)*'main page'!$U$13))*('normal case'!L426-'main page'!$U$8),B427-B426*AC427-('normal case'!I427-D426*AD427-'main page'!$K$27*'normal case'!T426+'main page'!$K$31*'normal case'!AI426)-(('main page'!$K$25*'main page'!$U$13*'main page'!$K$29)/(1+('main page'!$K$25^2)*'main page'!$U$13))*('normal case'!L426-'main page'!$U$8)))</f>
        <v>0</v>
      </c>
      <c r="AU426" s="36"/>
      <c r="AV426" s="36"/>
    </row>
    <row r="427" spans="1:48">
      <c r="A427" s="43">
        <v>425</v>
      </c>
      <c r="B427" s="62">
        <f ca="1">IF(controls!$B$33=1,B426*(1+AC427)+AA427,B426*(1+AC427))</f>
        <v>101</v>
      </c>
      <c r="C427" s="67">
        <f t="shared" ca="1" si="56"/>
        <v>-1.5107707374006907E-7</v>
      </c>
      <c r="D427" s="64">
        <f t="shared" ca="1" si="52"/>
        <v>101.00000005960464</v>
      </c>
      <c r="E427" s="64">
        <f ca="1">AN426+IF(controls!$B$33=1,G427,F427)</f>
        <v>101.00000005960464</v>
      </c>
      <c r="F427" s="78">
        <f ca="1">IF(controls!$B$44=0,H427-'main page'!$K$27*T426,H427-'main page'!$K$27*T426+'main page'!$K$31*AI426)</f>
        <v>101.00000005960464</v>
      </c>
      <c r="G427" s="62">
        <f ca="1">IF(controls!$B$44=0,I427-'main page'!$K$27*T426,I427-'main page'!$K$27*T426+'main page'!$K$31*'normal case'!AI426)</f>
        <v>101.00000005960464</v>
      </c>
      <c r="H427" s="62">
        <f t="shared" ca="1" si="58"/>
        <v>108</v>
      </c>
      <c r="I427" s="62">
        <f t="shared" ca="1" si="59"/>
        <v>108</v>
      </c>
      <c r="L427" s="62">
        <f ca="1">IF(ABS('main page'!$K$29*L426+(1-'main page'!$K$29)*(controls!$B$9/100)*100+'main page'!$K$25*(D427-B427)-L426)&lt;0.0000001,L426,'main page'!$K$29*L426+(1-'main page'!$K$29)*(controls!$B$9/100)*100+'main page'!$K$25*(D427-B427))</f>
        <v>1.9999998807907104</v>
      </c>
      <c r="Q427" s="409">
        <f ca="1">(1-'main page'!$K$29)*($AS$11/100)*100+'main page'!$K$25*(D427-B427)</f>
        <v>5.9604644775390625E-8</v>
      </c>
      <c r="R427" s="409">
        <f>'main page'!G431+'main page'!$K$29*M426</f>
        <v>0</v>
      </c>
      <c r="S427" s="409">
        <f t="shared" ca="1" si="57"/>
        <v>5.9604644775390625E-8</v>
      </c>
      <c r="T427" s="79">
        <f ca="1">IF(controls!$B$10=1,T426,IF(SUM(controls!$B$44:$B$46)=2,U427-'main page'!$K$29*'normal case'!L427-(1-'main page'!$K$29)*'main page'!$K$32,U427-'main page'!$K$29*'normal case'!L427-(1-'main page'!$K$29)*controls!$B$9))</f>
        <v>3.4999999701976776</v>
      </c>
      <c r="U427" s="164">
        <f ca="1">IF(controls!$B$45=1,IF(controls!$B$46=1,'main page'!$K$24+'main page'!$K$11+'main page'!$U$8,'main page'!$K$24+'main page'!$K$11+'main page'!$K$32),IF(controls!$B$44=1,IF(V427&lt;0,0,V427),IF(V427+'main page'!$K$11&lt;0,0,V427+'main page'!$K$11)))</f>
        <v>5.4999998509883881</v>
      </c>
      <c r="V427" s="63">
        <f ca="1">IF(controls!$B$10=1,'normal case'!T427+'normal case'!L427,'normal case'!W427)</f>
        <v>5.4999998509883881</v>
      </c>
      <c r="W427" s="61">
        <f t="shared" ca="1" si="53"/>
        <v>5.4999998509883881</v>
      </c>
      <c r="X427" s="166">
        <f ca="1">IF(controls!$B$44=0,Y427+'main page'!$K$29*L427+(1-'main page'!$K$29)*controls!$B$9+(('main page'!$K$25*'main page'!$U$13*'main page'!$K$29)/('main page'!$K$27*(1+('main page'!$K$25^2)*'main page'!$U$13)))*(L427-controls!$B$9),Y427+'main page'!$K$29*L427+(1-'main page'!$K$29)*controls!$B$9+(('main page'!$K$25*'main page'!$U$13*'normal case'!$AV$3)/'normal case'!$AV$4)*('normal case'!L427-controls!$B$9))</f>
        <v>5.4999998509883881</v>
      </c>
      <c r="Y427" s="81">
        <f ca="1">IF(controls!$B$44=1,'main page'!$K$24+'main page'!$K$11,IF(controls!$B$33=1,((I428-D427*AD428-B428+B427*AC428)/'main page'!$K$27)-'main page'!$K$11,((H428-D427*AD428-B428+B427*AC428)/'main page'!$K$27)-'main page'!$K$11))</f>
        <v>3.5</v>
      </c>
      <c r="AA427" s="58">
        <f>IF(controls!$B$6=1,$AS$3*(1+('main page'!$K$35/100))^AB427-$AS$3*(1+('main page'!$K$35/100))^AB426,$AS$3*(1+('main page'!$G$8/100))*(1+('main page'!$K$35/100))^AB427-$AS$3*(1+('main page'!$G$8/100))*(1+('main page'!$K$35/100))^AB426)</f>
        <v>0</v>
      </c>
      <c r="AB427" s="60">
        <v>420</v>
      </c>
      <c r="AC427" s="125">
        <v>0</v>
      </c>
      <c r="AD427" s="36">
        <v>0</v>
      </c>
      <c r="AE427" s="44">
        <f ca="1">IF(controls!$B$33=1,D427-($I$3-'main page'!$K$27*2)*(1+('main page'!$K$35/100))^A426,D427-$AS$4)</f>
        <v>1.0000000596046448</v>
      </c>
      <c r="AF427" s="44">
        <f ca="1">ABS(L427-(controls!$B$9/100)*100)</f>
        <v>1.1920928955078125E-7</v>
      </c>
      <c r="AH427" s="44">
        <f ca="1">IF(controls!$B$33=1,(B428-B427*AC428-I428+D427*AD428+'main page'!$K$27*('main page'!$K$24+'main page'!$K$11))/'main page'!$K$31,(B428-B427*AC428+D427*AD428-H428+'main page'!$K$27*('main page'!$K$24+'main page'!$K$11))/'main page'!$K$31)</f>
        <v>1</v>
      </c>
      <c r="AI427" s="44">
        <f ca="1">IF(controls!$B$45=1,LOG(AM427,1.01)+LOG(AL427,1.01)-LOG(AK427,1.01),-((T427-('main page'!$K$24+'main page'!$K$11))/(1-'normal case'!$AV$3))+'normal case'!AH427)</f>
        <v>2.0000000596046448</v>
      </c>
      <c r="AJ427" s="80">
        <f t="shared" ca="1" si="54"/>
        <v>1.0506250015463039</v>
      </c>
      <c r="AK427" s="44">
        <f t="shared" ca="1" si="55"/>
        <v>4344.392570402103</v>
      </c>
      <c r="AL427" s="44">
        <f>AL426*(1+'main page'!$K$32/100)</f>
        <v>1</v>
      </c>
      <c r="AM427" s="44">
        <f ca="1">IF(ABS(IF(controls!$B$45=1,$AS$13,AK427*AJ427/AL427)-AM426)&lt;0.00001,AM426,IF(controls!$B$45=1,$AS$13,AK427*AJ427/AL427))</f>
        <v>4564.3274509964604</v>
      </c>
      <c r="AN427" s="44">
        <f>IF(controls!$B$46=0,0,IF(controls!$B$33=2,B428-B427*AC428-('normal case'!H428-D427*AD428-'main page'!$K$27*'normal case'!T427+'main page'!$K$31*'normal case'!AI427)-(('main page'!$K$25*'main page'!$U$13*'main page'!$K$29)/(1+('main page'!$K$25^2)*'main page'!$U$13))*('normal case'!L427-'main page'!$U$8),B428-B427*AC428-('normal case'!I428-D427*AD428-'main page'!$K$27*'normal case'!T427+'main page'!$K$31*'normal case'!AI427)-(('main page'!$K$25*'main page'!$U$13*'main page'!$K$29)/(1+('main page'!$K$25^2)*'main page'!$U$13))*('normal case'!L427-'main page'!$U$8)))</f>
        <v>0</v>
      </c>
      <c r="AU427" s="36"/>
      <c r="AV427" s="36"/>
    </row>
    <row r="428" spans="1:48">
      <c r="A428" s="43">
        <v>426</v>
      </c>
      <c r="B428" s="62">
        <f ca="1">IF(controls!$B$33=1,B427*(1+AC428)+AA428,B427*(1+AC428))</f>
        <v>101</v>
      </c>
      <c r="C428" s="67">
        <f t="shared" ca="1" si="56"/>
        <v>-1.5107707374006907E-7</v>
      </c>
      <c r="D428" s="64">
        <f t="shared" ca="1" si="52"/>
        <v>101.00000005960464</v>
      </c>
      <c r="E428" s="64">
        <f ca="1">AN427+IF(controls!$B$33=1,G428,F428)</f>
        <v>101.00000005960464</v>
      </c>
      <c r="F428" s="78">
        <f ca="1">IF(controls!$B$44=0,H428-'main page'!$K$27*T427,H428-'main page'!$K$27*T427+'main page'!$K$31*AI427)</f>
        <v>101.00000005960464</v>
      </c>
      <c r="G428" s="62">
        <f ca="1">IF(controls!$B$44=0,I428-'main page'!$K$27*T427,I428-'main page'!$K$27*T427+'main page'!$K$31*'normal case'!AI427)</f>
        <v>101.00000005960464</v>
      </c>
      <c r="H428" s="62">
        <f t="shared" ca="1" si="58"/>
        <v>108</v>
      </c>
      <c r="I428" s="62">
        <f t="shared" ca="1" si="59"/>
        <v>108</v>
      </c>
      <c r="L428" s="62">
        <f ca="1">IF(ABS('main page'!$K$29*L427+(1-'main page'!$K$29)*(controls!$B$9/100)*100+'main page'!$K$25*(D428-B428)-L427)&lt;0.0000001,L427,'main page'!$K$29*L427+(1-'main page'!$K$29)*(controls!$B$9/100)*100+'main page'!$K$25*(D428-B428))</f>
        <v>1.9999998807907104</v>
      </c>
      <c r="Q428" s="409">
        <f ca="1">(1-'main page'!$K$29)*($AS$11/100)*100+'main page'!$K$25*(D428-B428)</f>
        <v>5.9604644775390625E-8</v>
      </c>
      <c r="R428" s="409">
        <f>'main page'!G432+'main page'!$K$29*M427</f>
        <v>0</v>
      </c>
      <c r="S428" s="409">
        <f t="shared" ca="1" si="57"/>
        <v>5.9604644775390625E-8</v>
      </c>
      <c r="T428" s="79">
        <f ca="1">IF(controls!$B$10=1,T427,IF(SUM(controls!$B$44:$B$46)=2,U428-'main page'!$K$29*'normal case'!L428-(1-'main page'!$K$29)*'main page'!$K$32,U428-'main page'!$K$29*'normal case'!L428-(1-'main page'!$K$29)*controls!$B$9))</f>
        <v>3.4999999701976776</v>
      </c>
      <c r="U428" s="164">
        <f ca="1">IF(controls!$B$45=1,IF(controls!$B$46=1,'main page'!$K$24+'main page'!$K$11+'main page'!$U$8,'main page'!$K$24+'main page'!$K$11+'main page'!$K$32),IF(controls!$B$44=1,IF(V428&lt;0,0,V428),IF(V428+'main page'!$K$11&lt;0,0,V428+'main page'!$K$11)))</f>
        <v>5.4999998509883881</v>
      </c>
      <c r="V428" s="63">
        <f ca="1">IF(controls!$B$10=1,'normal case'!T428+'normal case'!L428,'normal case'!W428)</f>
        <v>5.4999998509883881</v>
      </c>
      <c r="W428" s="61">
        <f t="shared" ca="1" si="53"/>
        <v>5.4999998509883881</v>
      </c>
      <c r="X428" s="166">
        <f ca="1">IF(controls!$B$44=0,Y428+'main page'!$K$29*L428+(1-'main page'!$K$29)*controls!$B$9+(('main page'!$K$25*'main page'!$U$13*'main page'!$K$29)/('main page'!$K$27*(1+('main page'!$K$25^2)*'main page'!$U$13)))*(L428-controls!$B$9),Y428+'main page'!$K$29*L428+(1-'main page'!$K$29)*controls!$B$9+(('main page'!$K$25*'main page'!$U$13*'normal case'!$AV$3)/'normal case'!$AV$4)*('normal case'!L428-controls!$B$9))</f>
        <v>5.4999998509883881</v>
      </c>
      <c r="Y428" s="81">
        <f ca="1">IF(controls!$B$44=1,'main page'!$K$24+'main page'!$K$11,IF(controls!$B$33=1,((I429-D428*AD429-B429+B428*AC429)/'main page'!$K$27)-'main page'!$K$11,((H429-D428*AD429-B429+B428*AC429)/'main page'!$K$27)-'main page'!$K$11))</f>
        <v>3.5</v>
      </c>
      <c r="AA428" s="58">
        <f>IF(controls!$B$6=1,$AS$3*(1+('main page'!$K$35/100))^AB428-$AS$3*(1+('main page'!$K$35/100))^AB427,$AS$3*(1+('main page'!$G$8/100))*(1+('main page'!$K$35/100))^AB428-$AS$3*(1+('main page'!$G$8/100))*(1+('main page'!$K$35/100))^AB427)</f>
        <v>0</v>
      </c>
      <c r="AB428" s="60">
        <v>421</v>
      </c>
      <c r="AC428" s="125">
        <f ca="1">IF(controls!$B$4=1,IF(controls!$H427=1,controls!$B$34*AC427+RAND()*('main page'!$K$16/100)-RAND()*('main page'!$K$16/100),0),0)</f>
        <v>0</v>
      </c>
      <c r="AD428" s="36">
        <f ca="1">IF(controls!$B$4=1,IF(controls!$I427=1,controls!$B$34*AD427+RAND()*('main page'!$K$16/100)-RAND()*('main page'!$K$16/100),0),0)</f>
        <v>0</v>
      </c>
      <c r="AE428" s="44">
        <f ca="1">IF(controls!$B$33=1,D428-($I$3-'main page'!$K$27*2)*(1+('main page'!$K$35/100))^A427,D428-$AS$4)</f>
        <v>1.0000000596046448</v>
      </c>
      <c r="AF428" s="44">
        <f ca="1">ABS(L428-(controls!$B$9/100)*100)</f>
        <v>1.1920928955078125E-7</v>
      </c>
      <c r="AH428" s="44">
        <f ca="1">IF(controls!$B$33=1,(B429-B428*AC429-I429+D428*AD429+'main page'!$K$27*('main page'!$K$24+'main page'!$K$11))/'main page'!$K$31,(B429-B428*AC429+D428*AD429-H429+'main page'!$K$27*('main page'!$K$24+'main page'!$K$11))/'main page'!$K$31)</f>
        <v>1</v>
      </c>
      <c r="AI428" s="44">
        <f ca="1">IF(controls!$B$45=1,LOG(AM428,1.01)+LOG(AL428,1.01)-LOG(AK428,1.01),-((T428-('main page'!$K$24+'main page'!$K$11))/(1-'normal case'!$AV$3))+'normal case'!AH428)</f>
        <v>2.0000000596046448</v>
      </c>
      <c r="AJ428" s="80">
        <f t="shared" ca="1" si="54"/>
        <v>1.0506250015463039</v>
      </c>
      <c r="AK428" s="44">
        <f t="shared" ca="1" si="55"/>
        <v>4431.2804166312262</v>
      </c>
      <c r="AL428" s="44">
        <f>AL427*(1+'main page'!$K$32/100)</f>
        <v>1</v>
      </c>
      <c r="AM428" s="44">
        <f ca="1">IF(ABS(IF(controls!$B$45=1,$AS$13,AK428*AJ428/AL428)-AM427)&lt;0.00001,AM427,IF(controls!$B$45=1,$AS$13,AK428*AJ428/AL428))</f>
        <v>4655.6139945752884</v>
      </c>
      <c r="AN428" s="44">
        <f>IF(controls!$B$46=0,0,IF(controls!$B$33=2,B429-B428*AC429-('normal case'!H429-D428*AD429-'main page'!$K$27*'normal case'!T428+'main page'!$K$31*'normal case'!AI428)-(('main page'!$K$25*'main page'!$U$13*'main page'!$K$29)/(1+('main page'!$K$25^2)*'main page'!$U$13))*('normal case'!L428-'main page'!$U$8),B429-B428*AC429-('normal case'!I429-D428*AD429-'main page'!$K$27*'normal case'!T428+'main page'!$K$31*'normal case'!AI428)-(('main page'!$K$25*'main page'!$U$13*'main page'!$K$29)/(1+('main page'!$K$25^2)*'main page'!$U$13))*('normal case'!L428-'main page'!$U$8)))</f>
        <v>0</v>
      </c>
      <c r="AU428" s="36"/>
      <c r="AV428" s="36"/>
    </row>
    <row r="429" spans="1:48">
      <c r="A429" s="43">
        <v>427</v>
      </c>
      <c r="B429" s="62">
        <f ca="1">IF(controls!$B$33=1,B428*(1+AC429)+AA429,B428*(1+AC429))</f>
        <v>101</v>
      </c>
      <c r="C429" s="67">
        <f t="shared" ca="1" si="56"/>
        <v>-1.5107707374006907E-7</v>
      </c>
      <c r="D429" s="64">
        <f t="shared" ca="1" si="52"/>
        <v>101.00000005960464</v>
      </c>
      <c r="E429" s="64">
        <f ca="1">AN428+IF(controls!$B$33=1,G429,F429)</f>
        <v>101.00000005960464</v>
      </c>
      <c r="F429" s="78">
        <f ca="1">IF(controls!$B$44=0,H429-'main page'!$K$27*T428,H429-'main page'!$K$27*T428+'main page'!$K$31*AI428)</f>
        <v>101.00000005960464</v>
      </c>
      <c r="G429" s="62">
        <f ca="1">IF(controls!$B$44=0,I429-'main page'!$K$27*T428,I429-'main page'!$K$27*T428+'main page'!$K$31*'normal case'!AI428)</f>
        <v>101.00000005960464</v>
      </c>
      <c r="H429" s="62">
        <f t="shared" ca="1" si="58"/>
        <v>108</v>
      </c>
      <c r="I429" s="62">
        <f t="shared" ca="1" si="59"/>
        <v>108</v>
      </c>
      <c r="L429" s="62">
        <f ca="1">IF(ABS('main page'!$K$29*L428+(1-'main page'!$K$29)*(controls!$B$9/100)*100+'main page'!$K$25*(D429-B429)-L428)&lt;0.0000001,L428,'main page'!$K$29*L428+(1-'main page'!$K$29)*(controls!$B$9/100)*100+'main page'!$K$25*(D429-B429))</f>
        <v>1.9999998807907104</v>
      </c>
      <c r="Q429" s="409">
        <f ca="1">(1-'main page'!$K$29)*($AS$11/100)*100+'main page'!$K$25*(D429-B429)</f>
        <v>5.9604644775390625E-8</v>
      </c>
      <c r="R429" s="409">
        <f>'main page'!G433+'main page'!$K$29*M428</f>
        <v>0</v>
      </c>
      <c r="S429" s="409">
        <f t="shared" ca="1" si="57"/>
        <v>5.9604644775390625E-8</v>
      </c>
      <c r="T429" s="79">
        <f ca="1">IF(controls!$B$10=1,T428,IF(SUM(controls!$B$44:$B$46)=2,U429-'main page'!$K$29*'normal case'!L429-(1-'main page'!$K$29)*'main page'!$K$32,U429-'main page'!$K$29*'normal case'!L429-(1-'main page'!$K$29)*controls!$B$9))</f>
        <v>3.4999999701976776</v>
      </c>
      <c r="U429" s="164">
        <f ca="1">IF(controls!$B$45=1,IF(controls!$B$46=1,'main page'!$K$24+'main page'!$K$11+'main page'!$U$8,'main page'!$K$24+'main page'!$K$11+'main page'!$K$32),IF(controls!$B$44=1,IF(V429&lt;0,0,V429),IF(V429+'main page'!$K$11&lt;0,0,V429+'main page'!$K$11)))</f>
        <v>5.4999998509883881</v>
      </c>
      <c r="V429" s="63">
        <f ca="1">IF(controls!$B$10=1,'normal case'!T429+'normal case'!L429,'normal case'!W429)</f>
        <v>5.4999998509883881</v>
      </c>
      <c r="W429" s="61">
        <f t="shared" ca="1" si="53"/>
        <v>5.4999998509883881</v>
      </c>
      <c r="X429" s="166">
        <f ca="1">IF(controls!$B$44=0,Y429+'main page'!$K$29*L429+(1-'main page'!$K$29)*controls!$B$9+(('main page'!$K$25*'main page'!$U$13*'main page'!$K$29)/('main page'!$K$27*(1+('main page'!$K$25^2)*'main page'!$U$13)))*(L429-controls!$B$9),Y429+'main page'!$K$29*L429+(1-'main page'!$K$29)*controls!$B$9+(('main page'!$K$25*'main page'!$U$13*'normal case'!$AV$3)/'normal case'!$AV$4)*('normal case'!L429-controls!$B$9))</f>
        <v>5.4999998509883881</v>
      </c>
      <c r="Y429" s="81">
        <f ca="1">IF(controls!$B$44=1,'main page'!$K$24+'main page'!$K$11,IF(controls!$B$33=1,((I430-D429*AD430-B430+B429*AC430)/'main page'!$K$27)-'main page'!$K$11,((H430-D429*AD430-B430+B429*AC430)/'main page'!$K$27)-'main page'!$K$11))</f>
        <v>3.5</v>
      </c>
      <c r="AA429" s="58">
        <f>IF(controls!$B$6=1,$AS$3*(1+('main page'!$K$35/100))^AB429-$AS$3*(1+('main page'!$K$35/100))^AB428,$AS$3*(1+('main page'!$G$8/100))*(1+('main page'!$K$35/100))^AB429-$AS$3*(1+('main page'!$G$8/100))*(1+('main page'!$K$35/100))^AB428)</f>
        <v>0</v>
      </c>
      <c r="AB429" s="60">
        <v>422</v>
      </c>
      <c r="AC429" s="125">
        <v>0</v>
      </c>
      <c r="AD429" s="36">
        <v>0</v>
      </c>
      <c r="AE429" s="44">
        <f ca="1">IF(controls!$B$33=1,D429-($I$3-'main page'!$K$27*2)*(1+('main page'!$K$35/100))^A428,D429-$AS$4)</f>
        <v>1.0000000596046448</v>
      </c>
      <c r="AF429" s="44">
        <f ca="1">ABS(L429-(controls!$B$9/100)*100)</f>
        <v>1.1920928955078125E-7</v>
      </c>
      <c r="AH429" s="44">
        <f ca="1">IF(controls!$B$33=1,(B430-B429*AC430-I430+D429*AD430+'main page'!$K$27*('main page'!$K$24+'main page'!$K$11))/'main page'!$K$31,(B430-B429*AC430+D429*AD430-H430+'main page'!$K$27*('main page'!$K$24+'main page'!$K$11))/'main page'!$K$31)</f>
        <v>1</v>
      </c>
      <c r="AI429" s="44">
        <f ca="1">IF(controls!$B$45=1,LOG(AM429,1.01)+LOG(AL429,1.01)-LOG(AK429,1.01),-((T429-('main page'!$K$24+'main page'!$K$11))/(1-'normal case'!$AV$3))+'normal case'!AH429)</f>
        <v>2.0000000596046448</v>
      </c>
      <c r="AJ429" s="80">
        <f t="shared" ca="1" si="54"/>
        <v>1.0506250015463039</v>
      </c>
      <c r="AK429" s="44">
        <f t="shared" ca="1" si="55"/>
        <v>4519.9060196813534</v>
      </c>
      <c r="AL429" s="44">
        <f>AL428*(1+'main page'!$K$32/100)</f>
        <v>1</v>
      </c>
      <c r="AM429" s="44">
        <f ca="1">IF(ABS(IF(controls!$B$45=1,$AS$13,AK429*AJ429/AL429)-AM428)&lt;0.00001,AM428,IF(controls!$B$45=1,$AS$13,AK429*AJ429/AL429))</f>
        <v>4748.7262689168701</v>
      </c>
      <c r="AN429" s="44">
        <f>IF(controls!$B$46=0,0,IF(controls!$B$33=2,B430-B429*AC430-('normal case'!H430-D429*AD430-'main page'!$K$27*'normal case'!T429+'main page'!$K$31*'normal case'!AI429)-(('main page'!$K$25*'main page'!$U$13*'main page'!$K$29)/(1+('main page'!$K$25^2)*'main page'!$U$13))*('normal case'!L429-'main page'!$U$8),B430-B429*AC430-('normal case'!I430-D429*AD430-'main page'!$K$27*'normal case'!T429+'main page'!$K$31*'normal case'!AI429)-(('main page'!$K$25*'main page'!$U$13*'main page'!$K$29)/(1+('main page'!$K$25^2)*'main page'!$U$13))*('normal case'!L429-'main page'!$U$8)))</f>
        <v>0</v>
      </c>
      <c r="AU429" s="36"/>
      <c r="AV429" s="36"/>
    </row>
    <row r="430" spans="1:48">
      <c r="A430" s="43">
        <v>428</v>
      </c>
      <c r="B430" s="62">
        <f ca="1">IF(controls!$B$33=1,B429*(1+AC430)+AA430,B429*(1+AC430))</f>
        <v>101</v>
      </c>
      <c r="C430" s="67">
        <f t="shared" ca="1" si="56"/>
        <v>-1.5107707374006907E-7</v>
      </c>
      <c r="D430" s="64">
        <f t="shared" ca="1" si="52"/>
        <v>101.00000005960464</v>
      </c>
      <c r="E430" s="64">
        <f ca="1">AN429+IF(controls!$B$33=1,G430,F430)</f>
        <v>101.00000005960464</v>
      </c>
      <c r="F430" s="78">
        <f ca="1">IF(controls!$B$44=0,H430-'main page'!$K$27*T429,H430-'main page'!$K$27*T429+'main page'!$K$31*AI429)</f>
        <v>101.00000005960464</v>
      </c>
      <c r="G430" s="62">
        <f ca="1">IF(controls!$B$44=0,I430-'main page'!$K$27*T429,I430-'main page'!$K$27*T429+'main page'!$K$31*'normal case'!AI429)</f>
        <v>101.00000005960464</v>
      </c>
      <c r="H430" s="62">
        <f t="shared" ca="1" si="58"/>
        <v>108</v>
      </c>
      <c r="I430" s="62">
        <f t="shared" ca="1" si="59"/>
        <v>108</v>
      </c>
      <c r="L430" s="62">
        <f ca="1">IF(ABS('main page'!$K$29*L429+(1-'main page'!$K$29)*(controls!$B$9/100)*100+'main page'!$K$25*(D430-B430)-L429)&lt;0.0000001,L429,'main page'!$K$29*L429+(1-'main page'!$K$29)*(controls!$B$9/100)*100+'main page'!$K$25*(D430-B430))</f>
        <v>1.9999998807907104</v>
      </c>
      <c r="Q430" s="409">
        <f ca="1">(1-'main page'!$K$29)*($AS$11/100)*100+'main page'!$K$25*(D430-B430)</f>
        <v>5.9604644775390625E-8</v>
      </c>
      <c r="R430" s="409">
        <f>'main page'!G434+'main page'!$K$29*M429</f>
        <v>0</v>
      </c>
      <c r="S430" s="409">
        <f t="shared" ca="1" si="57"/>
        <v>5.9604644775390625E-8</v>
      </c>
      <c r="T430" s="79">
        <f ca="1">IF(controls!$B$10=1,T429,IF(SUM(controls!$B$44:$B$46)=2,U430-'main page'!$K$29*'normal case'!L430-(1-'main page'!$K$29)*'main page'!$K$32,U430-'main page'!$K$29*'normal case'!L430-(1-'main page'!$K$29)*controls!$B$9))</f>
        <v>3.4999999701976776</v>
      </c>
      <c r="U430" s="164">
        <f ca="1">IF(controls!$B$45=1,IF(controls!$B$46=1,'main page'!$K$24+'main page'!$K$11+'main page'!$U$8,'main page'!$K$24+'main page'!$K$11+'main page'!$K$32),IF(controls!$B$44=1,IF(V430&lt;0,0,V430),IF(V430+'main page'!$K$11&lt;0,0,V430+'main page'!$K$11)))</f>
        <v>5.4999998509883881</v>
      </c>
      <c r="V430" s="63">
        <f ca="1">IF(controls!$B$10=1,'normal case'!T430+'normal case'!L430,'normal case'!W430)</f>
        <v>5.4999998509883881</v>
      </c>
      <c r="W430" s="61">
        <f t="shared" ca="1" si="53"/>
        <v>5.4999998509883881</v>
      </c>
      <c r="X430" s="166">
        <f ca="1">IF(controls!$B$44=0,Y430+'main page'!$K$29*L430+(1-'main page'!$K$29)*controls!$B$9+(('main page'!$K$25*'main page'!$U$13*'main page'!$K$29)/('main page'!$K$27*(1+('main page'!$K$25^2)*'main page'!$U$13)))*(L430-controls!$B$9),Y430+'main page'!$K$29*L430+(1-'main page'!$K$29)*controls!$B$9+(('main page'!$K$25*'main page'!$U$13*'normal case'!$AV$3)/'normal case'!$AV$4)*('normal case'!L430-controls!$B$9))</f>
        <v>5.4999998509883881</v>
      </c>
      <c r="Y430" s="81">
        <f ca="1">IF(controls!$B$44=1,'main page'!$K$24+'main page'!$K$11,IF(controls!$B$33=1,((I431-D430*AD431-B431+B430*AC431)/'main page'!$K$27)-'main page'!$K$11,((H431-D430*AD431-B431+B430*AC431)/'main page'!$K$27)-'main page'!$K$11))</f>
        <v>3.5</v>
      </c>
      <c r="AA430" s="58">
        <f>IF(controls!$B$6=1,$AS$3*(1+('main page'!$K$35/100))^AB430-$AS$3*(1+('main page'!$K$35/100))^AB429,$AS$3*(1+('main page'!$G$8/100))*(1+('main page'!$K$35/100))^AB430-$AS$3*(1+('main page'!$G$8/100))*(1+('main page'!$K$35/100))^AB429)</f>
        <v>0</v>
      </c>
      <c r="AB430" s="60">
        <v>423</v>
      </c>
      <c r="AC430" s="125">
        <v>0</v>
      </c>
      <c r="AD430" s="36">
        <v>0</v>
      </c>
      <c r="AE430" s="44">
        <f ca="1">IF(controls!$B$33=1,D430-($I$3-'main page'!$K$27*2)*(1+('main page'!$K$35/100))^A429,D430-$AS$4)</f>
        <v>1.0000000596046448</v>
      </c>
      <c r="AF430" s="44">
        <f ca="1">ABS(L430-(controls!$B$9/100)*100)</f>
        <v>1.1920928955078125E-7</v>
      </c>
      <c r="AH430" s="44">
        <f ca="1">IF(controls!$B$33=1,(B431-B430*AC431-I431+D430*AD431+'main page'!$K$27*('main page'!$K$24+'main page'!$K$11))/'main page'!$K$31,(B431-B430*AC431+D430*AD431-H431+'main page'!$K$27*('main page'!$K$24+'main page'!$K$11))/'main page'!$K$31)</f>
        <v>1</v>
      </c>
      <c r="AI430" s="44">
        <f ca="1">IF(controls!$B$45=1,LOG(AM430,1.01)+LOG(AL430,1.01)-LOG(AK430,1.01),-((T430-('main page'!$K$24+'main page'!$K$11))/(1-'normal case'!$AV$3))+'normal case'!AH430)</f>
        <v>2.0000000596046448</v>
      </c>
      <c r="AJ430" s="80">
        <f t="shared" ca="1" si="54"/>
        <v>1.0506250015463039</v>
      </c>
      <c r="AK430" s="44">
        <f t="shared" ca="1" si="55"/>
        <v>4610.3041346868331</v>
      </c>
      <c r="AL430" s="44">
        <f>AL429*(1+'main page'!$K$32/100)</f>
        <v>1</v>
      </c>
      <c r="AM430" s="44">
        <f ca="1">IF(ABS(IF(controls!$B$45=1,$AS$13,AK430*AJ430/AL430)-AM429)&lt;0.00001,AM429,IF(controls!$B$45=1,$AS$13,AK430*AJ430/AL430))</f>
        <v>4843.7007886342853</v>
      </c>
      <c r="AN430" s="44">
        <f>IF(controls!$B$46=0,0,IF(controls!$B$33=2,B431-B430*AC431-('normal case'!H431-D430*AD431-'main page'!$K$27*'normal case'!T430+'main page'!$K$31*'normal case'!AI430)-(('main page'!$K$25*'main page'!$U$13*'main page'!$K$29)/(1+('main page'!$K$25^2)*'main page'!$U$13))*('normal case'!L430-'main page'!$U$8),B431-B430*AC431-('normal case'!I431-D430*AD431-'main page'!$K$27*'normal case'!T430+'main page'!$K$31*'normal case'!AI430)-(('main page'!$K$25*'main page'!$U$13*'main page'!$K$29)/(1+('main page'!$K$25^2)*'main page'!$U$13))*('normal case'!L430-'main page'!$U$8)))</f>
        <v>0</v>
      </c>
      <c r="AU430" s="36"/>
      <c r="AV430" s="36"/>
    </row>
    <row r="431" spans="1:48">
      <c r="A431" s="43">
        <v>429</v>
      </c>
      <c r="B431" s="62">
        <f ca="1">IF(controls!$B$33=1,B430*(1+AC431)+AA431,B430*(1+AC431))</f>
        <v>101</v>
      </c>
      <c r="C431" s="67">
        <f t="shared" ca="1" si="56"/>
        <v>-1.5107707374006907E-7</v>
      </c>
      <c r="D431" s="64">
        <f t="shared" ca="1" si="52"/>
        <v>101.00000005960464</v>
      </c>
      <c r="E431" s="64">
        <f ca="1">AN430+IF(controls!$B$33=1,G431,F431)</f>
        <v>101.00000005960464</v>
      </c>
      <c r="F431" s="78">
        <f ca="1">IF(controls!$B$44=0,H431-'main page'!$K$27*T430,H431-'main page'!$K$27*T430+'main page'!$K$31*AI430)</f>
        <v>101.00000005960464</v>
      </c>
      <c r="G431" s="62">
        <f ca="1">IF(controls!$B$44=0,I431-'main page'!$K$27*T430,I431-'main page'!$K$27*T430+'main page'!$K$31*'normal case'!AI430)</f>
        <v>101.00000005960464</v>
      </c>
      <c r="H431" s="62">
        <f t="shared" ca="1" si="58"/>
        <v>108</v>
      </c>
      <c r="I431" s="62">
        <f t="shared" ca="1" si="59"/>
        <v>108</v>
      </c>
      <c r="L431" s="62">
        <f ca="1">IF(ABS('main page'!$K$29*L430+(1-'main page'!$K$29)*(controls!$B$9/100)*100+'main page'!$K$25*(D431-B431)-L430)&lt;0.0000001,L430,'main page'!$K$29*L430+(1-'main page'!$K$29)*(controls!$B$9/100)*100+'main page'!$K$25*(D431-B431))</f>
        <v>1.9999998807907104</v>
      </c>
      <c r="Q431" s="409">
        <f ca="1">(1-'main page'!$K$29)*($AS$11/100)*100+'main page'!$K$25*(D431-B431)</f>
        <v>5.9604644775390625E-8</v>
      </c>
      <c r="R431" s="409">
        <f>'main page'!G435+'main page'!$K$29*M430</f>
        <v>0</v>
      </c>
      <c r="S431" s="409">
        <f t="shared" ca="1" si="57"/>
        <v>5.9604644775390625E-8</v>
      </c>
      <c r="T431" s="79">
        <f ca="1">IF(controls!$B$10=1,T430,IF(SUM(controls!$B$44:$B$46)=2,U431-'main page'!$K$29*'normal case'!L431-(1-'main page'!$K$29)*'main page'!$K$32,U431-'main page'!$K$29*'normal case'!L431-(1-'main page'!$K$29)*controls!$B$9))</f>
        <v>3.4999999701976776</v>
      </c>
      <c r="U431" s="164">
        <f ca="1">IF(controls!$B$45=1,IF(controls!$B$46=1,'main page'!$K$24+'main page'!$K$11+'main page'!$U$8,'main page'!$K$24+'main page'!$K$11+'main page'!$K$32),IF(controls!$B$44=1,IF(V431&lt;0,0,V431),IF(V431+'main page'!$K$11&lt;0,0,V431+'main page'!$K$11)))</f>
        <v>5.4999998509883881</v>
      </c>
      <c r="V431" s="63">
        <f ca="1">IF(controls!$B$10=1,'normal case'!T431+'normal case'!L431,'normal case'!W431)</f>
        <v>5.4999998509883881</v>
      </c>
      <c r="W431" s="61">
        <f t="shared" ca="1" si="53"/>
        <v>5.4999998509883881</v>
      </c>
      <c r="X431" s="166">
        <f ca="1">IF(controls!$B$44=0,Y431+'main page'!$K$29*L431+(1-'main page'!$K$29)*controls!$B$9+(('main page'!$K$25*'main page'!$U$13*'main page'!$K$29)/('main page'!$K$27*(1+('main page'!$K$25^2)*'main page'!$U$13)))*(L431-controls!$B$9),Y431+'main page'!$K$29*L431+(1-'main page'!$K$29)*controls!$B$9+(('main page'!$K$25*'main page'!$U$13*'normal case'!$AV$3)/'normal case'!$AV$4)*('normal case'!L431-controls!$B$9))</f>
        <v>5.4999998509883881</v>
      </c>
      <c r="Y431" s="81">
        <f ca="1">IF(controls!$B$44=1,'main page'!$K$24+'main page'!$K$11,IF(controls!$B$33=1,((I432-D431*AD432-B432+B431*AC432)/'main page'!$K$27)-'main page'!$K$11,((H432-D431*AD432-B432+B431*AC432)/'main page'!$K$27)-'main page'!$K$11))</f>
        <v>3.5</v>
      </c>
      <c r="AA431" s="58">
        <f>IF(controls!$B$6=1,$AS$3*(1+('main page'!$K$35/100))^AB431-$AS$3*(1+('main page'!$K$35/100))^AB430,$AS$3*(1+('main page'!$G$8/100))*(1+('main page'!$K$35/100))^AB431-$AS$3*(1+('main page'!$G$8/100))*(1+('main page'!$K$35/100))^AB430)</f>
        <v>0</v>
      </c>
      <c r="AB431" s="60">
        <v>424</v>
      </c>
      <c r="AC431" s="125">
        <f ca="1">IF(controls!$B$4=1,IF(controls!$H430=1,controls!$B$34*AC430+RAND()*('main page'!$K$16/100)-RAND()*('main page'!$K$16/100),0),0)</f>
        <v>0</v>
      </c>
      <c r="AD431" s="36">
        <f ca="1">IF(controls!$B$4=1,IF(controls!$I430=1,controls!$B$34*AD430+RAND()*('main page'!$K$16/100)-RAND()*('main page'!$K$16/100),0),0)</f>
        <v>0</v>
      </c>
      <c r="AE431" s="44">
        <f ca="1">IF(controls!$B$33=1,D431-($I$3-'main page'!$K$27*2)*(1+('main page'!$K$35/100))^A430,D431-$AS$4)</f>
        <v>1.0000000596046448</v>
      </c>
      <c r="AF431" s="44">
        <f ca="1">ABS(L431-(controls!$B$9/100)*100)</f>
        <v>1.1920928955078125E-7</v>
      </c>
      <c r="AH431" s="44">
        <f ca="1">IF(controls!$B$33=1,(B432-B431*AC432-I432+D431*AD432+'main page'!$K$27*('main page'!$K$24+'main page'!$K$11))/'main page'!$K$31,(B432-B431*AC432+D431*AD432-H432+'main page'!$K$27*('main page'!$K$24+'main page'!$K$11))/'main page'!$K$31)</f>
        <v>1</v>
      </c>
      <c r="AI431" s="44">
        <f ca="1">IF(controls!$B$45=1,LOG(AM431,1.01)+LOG(AL431,1.01)-LOG(AK431,1.01),-((T431-('main page'!$K$24+'main page'!$K$11))/(1-'normal case'!$AV$3))+'normal case'!AH431)</f>
        <v>2.0000000596046448</v>
      </c>
      <c r="AJ431" s="80">
        <f t="shared" ca="1" si="54"/>
        <v>1.0506250015463039</v>
      </c>
      <c r="AK431" s="44">
        <f t="shared" ca="1" si="55"/>
        <v>4702.5102118846589</v>
      </c>
      <c r="AL431" s="44">
        <f>AL430*(1+'main page'!$K$32/100)</f>
        <v>1</v>
      </c>
      <c r="AM431" s="44">
        <f ca="1">IF(ABS(IF(controls!$B$45=1,$AS$13,AK431*AJ431/AL431)-AM430)&lt;0.00001,AM430,IF(controls!$B$45=1,$AS$13,AK431*AJ431/AL431))</f>
        <v>4940.5747986328297</v>
      </c>
      <c r="AN431" s="44">
        <f>IF(controls!$B$46=0,0,IF(controls!$B$33=2,B432-B431*AC432-('normal case'!H432-D431*AD432-'main page'!$K$27*'normal case'!T431+'main page'!$K$31*'normal case'!AI431)-(('main page'!$K$25*'main page'!$U$13*'main page'!$K$29)/(1+('main page'!$K$25^2)*'main page'!$U$13))*('normal case'!L431-'main page'!$U$8),B432-B431*AC432-('normal case'!I432-D431*AD432-'main page'!$K$27*'normal case'!T431+'main page'!$K$31*'normal case'!AI431)-(('main page'!$K$25*'main page'!$U$13*'main page'!$K$29)/(1+('main page'!$K$25^2)*'main page'!$U$13))*('normal case'!L431-'main page'!$U$8)))</f>
        <v>0</v>
      </c>
      <c r="AU431" s="36"/>
      <c r="AV431" s="36"/>
    </row>
    <row r="432" spans="1:48">
      <c r="A432" s="43">
        <v>430</v>
      </c>
      <c r="B432" s="62">
        <f ca="1">IF(controls!$B$33=1,B431*(1+AC432)+AA432,B431*(1+AC432))</f>
        <v>101</v>
      </c>
      <c r="C432" s="67">
        <f t="shared" ca="1" si="56"/>
        <v>-1.5107707374006907E-7</v>
      </c>
      <c r="D432" s="64">
        <f t="shared" ca="1" si="52"/>
        <v>101.00000005960464</v>
      </c>
      <c r="E432" s="64">
        <f ca="1">AN431+IF(controls!$B$33=1,G432,F432)</f>
        <v>101.00000005960464</v>
      </c>
      <c r="F432" s="78">
        <f ca="1">IF(controls!$B$44=0,H432-'main page'!$K$27*T431,H432-'main page'!$K$27*T431+'main page'!$K$31*AI431)</f>
        <v>101.00000005960464</v>
      </c>
      <c r="G432" s="62">
        <f ca="1">IF(controls!$B$44=0,I432-'main page'!$K$27*T431,I432-'main page'!$K$27*T431+'main page'!$K$31*'normal case'!AI431)</f>
        <v>101.00000005960464</v>
      </c>
      <c r="H432" s="62">
        <f t="shared" ca="1" si="58"/>
        <v>108</v>
      </c>
      <c r="I432" s="62">
        <f t="shared" ca="1" si="59"/>
        <v>108</v>
      </c>
      <c r="L432" s="62">
        <f ca="1">IF(ABS('main page'!$K$29*L431+(1-'main page'!$K$29)*(controls!$B$9/100)*100+'main page'!$K$25*(D432-B432)-L431)&lt;0.0000001,L431,'main page'!$K$29*L431+(1-'main page'!$K$29)*(controls!$B$9/100)*100+'main page'!$K$25*(D432-B432))</f>
        <v>1.9999998807907104</v>
      </c>
      <c r="Q432" s="409">
        <f ca="1">(1-'main page'!$K$29)*($AS$11/100)*100+'main page'!$K$25*(D432-B432)</f>
        <v>5.9604644775390625E-8</v>
      </c>
      <c r="R432" s="409">
        <f>'main page'!G436+'main page'!$K$29*M431</f>
        <v>0</v>
      </c>
      <c r="S432" s="409">
        <f t="shared" ca="1" si="57"/>
        <v>5.9604644775390625E-8</v>
      </c>
      <c r="T432" s="79">
        <f ca="1">IF(controls!$B$10=1,T431,IF(SUM(controls!$B$44:$B$46)=2,U432-'main page'!$K$29*'normal case'!L432-(1-'main page'!$K$29)*'main page'!$K$32,U432-'main page'!$K$29*'normal case'!L432-(1-'main page'!$K$29)*controls!$B$9))</f>
        <v>3.4999999701976776</v>
      </c>
      <c r="U432" s="164">
        <f ca="1">IF(controls!$B$45=1,IF(controls!$B$46=1,'main page'!$K$24+'main page'!$K$11+'main page'!$U$8,'main page'!$K$24+'main page'!$K$11+'main page'!$K$32),IF(controls!$B$44=1,IF(V432&lt;0,0,V432),IF(V432+'main page'!$K$11&lt;0,0,V432+'main page'!$K$11)))</f>
        <v>5.4999998509883881</v>
      </c>
      <c r="V432" s="63">
        <f ca="1">IF(controls!$B$10=1,'normal case'!T432+'normal case'!L432,'normal case'!W432)</f>
        <v>5.4999998509883881</v>
      </c>
      <c r="W432" s="61">
        <f t="shared" ca="1" si="53"/>
        <v>5.4999998509883881</v>
      </c>
      <c r="X432" s="166">
        <f ca="1">IF(controls!$B$44=0,Y432+'main page'!$K$29*L432+(1-'main page'!$K$29)*controls!$B$9+(('main page'!$K$25*'main page'!$U$13*'main page'!$K$29)/('main page'!$K$27*(1+('main page'!$K$25^2)*'main page'!$U$13)))*(L432-controls!$B$9),Y432+'main page'!$K$29*L432+(1-'main page'!$K$29)*controls!$B$9+(('main page'!$K$25*'main page'!$U$13*'normal case'!$AV$3)/'normal case'!$AV$4)*('normal case'!L432-controls!$B$9))</f>
        <v>5.4999998509883881</v>
      </c>
      <c r="Y432" s="81">
        <f ca="1">IF(controls!$B$44=1,'main page'!$K$24+'main page'!$K$11,IF(controls!$B$33=1,((I433-D432*AD433-B433+B432*AC433)/'main page'!$K$27)-'main page'!$K$11,((H433-D432*AD433-B433+B432*AC433)/'main page'!$K$27)-'main page'!$K$11))</f>
        <v>3.5</v>
      </c>
      <c r="AA432" s="58">
        <f>IF(controls!$B$6=1,$AS$3*(1+('main page'!$K$35/100))^AB432-$AS$3*(1+('main page'!$K$35/100))^AB431,$AS$3*(1+('main page'!$G$8/100))*(1+('main page'!$K$35/100))^AB432-$AS$3*(1+('main page'!$G$8/100))*(1+('main page'!$K$35/100))^AB431)</f>
        <v>0</v>
      </c>
      <c r="AB432" s="60">
        <v>425</v>
      </c>
      <c r="AC432" s="125">
        <v>0</v>
      </c>
      <c r="AD432" s="36">
        <v>0</v>
      </c>
      <c r="AE432" s="44">
        <f ca="1">IF(controls!$B$33=1,D432-($I$3-'main page'!$K$27*2)*(1+('main page'!$K$35/100))^A431,D432-$AS$4)</f>
        <v>1.0000000596046448</v>
      </c>
      <c r="AF432" s="44">
        <f ca="1">ABS(L432-(controls!$B$9/100)*100)</f>
        <v>1.1920928955078125E-7</v>
      </c>
      <c r="AH432" s="44">
        <f ca="1">IF(controls!$B$33=1,(B433-B432*AC433-I433+D432*AD433+'main page'!$K$27*('main page'!$K$24+'main page'!$K$11))/'main page'!$K$31,(B433-B432*AC433+D432*AD433-H433+'main page'!$K$27*('main page'!$K$24+'main page'!$K$11))/'main page'!$K$31)</f>
        <v>1</v>
      </c>
      <c r="AI432" s="44">
        <f ca="1">IF(controls!$B$45=1,LOG(AM432,1.01)+LOG(AL432,1.01)-LOG(AK432,1.01),-((T432-('main page'!$K$24+'main page'!$K$11))/(1-'normal case'!$AV$3))+'normal case'!AH432)</f>
        <v>2.0000000596046448</v>
      </c>
      <c r="AJ432" s="80">
        <f t="shared" ca="1" si="54"/>
        <v>1.0506250015463039</v>
      </c>
      <c r="AK432" s="44">
        <f t="shared" ca="1" si="55"/>
        <v>4796.560410516523</v>
      </c>
      <c r="AL432" s="44">
        <f>AL431*(1+'main page'!$K$32/100)</f>
        <v>1</v>
      </c>
      <c r="AM432" s="44">
        <f ca="1">IF(ABS(IF(controls!$B$45=1,$AS$13,AK432*AJ432/AL432)-AM431)&lt;0.00001,AM431,IF(controls!$B$45=1,$AS$13,AK432*AJ432/AL432))</f>
        <v>5039.3862887158621</v>
      </c>
      <c r="AN432" s="44">
        <f>IF(controls!$B$46=0,0,IF(controls!$B$33=2,B433-B432*AC433-('normal case'!H433-D432*AD433-'main page'!$K$27*'normal case'!T432+'main page'!$K$31*'normal case'!AI432)-(('main page'!$K$25*'main page'!$U$13*'main page'!$K$29)/(1+('main page'!$K$25^2)*'main page'!$U$13))*('normal case'!L432-'main page'!$U$8),B433-B432*AC433-('normal case'!I433-D432*AD433-'main page'!$K$27*'normal case'!T432+'main page'!$K$31*'normal case'!AI432)-(('main page'!$K$25*'main page'!$U$13*'main page'!$K$29)/(1+('main page'!$K$25^2)*'main page'!$U$13))*('normal case'!L432-'main page'!$U$8)))</f>
        <v>0</v>
      </c>
      <c r="AU432" s="36"/>
      <c r="AV432" s="36"/>
    </row>
    <row r="433" spans="1:48">
      <c r="A433" s="43">
        <v>431</v>
      </c>
      <c r="B433" s="62">
        <f ca="1">IF(controls!$B$33=1,B432*(1+AC433)+AA433,B432*(1+AC433))</f>
        <v>101</v>
      </c>
      <c r="C433" s="67">
        <f t="shared" ca="1" si="56"/>
        <v>-1.5107707374006907E-7</v>
      </c>
      <c r="D433" s="64">
        <f t="shared" ca="1" si="52"/>
        <v>101.00000005960464</v>
      </c>
      <c r="E433" s="64">
        <f ca="1">AN432+IF(controls!$B$33=1,G433,F433)</f>
        <v>101.00000005960464</v>
      </c>
      <c r="F433" s="78">
        <f ca="1">IF(controls!$B$44=0,H433-'main page'!$K$27*T432,H433-'main page'!$K$27*T432+'main page'!$K$31*AI432)</f>
        <v>101.00000005960464</v>
      </c>
      <c r="G433" s="62">
        <f ca="1">IF(controls!$B$44=0,I433-'main page'!$K$27*T432,I433-'main page'!$K$27*T432+'main page'!$K$31*'normal case'!AI432)</f>
        <v>101.00000005960464</v>
      </c>
      <c r="H433" s="62">
        <f t="shared" ca="1" si="58"/>
        <v>108</v>
      </c>
      <c r="I433" s="62">
        <f t="shared" ca="1" si="59"/>
        <v>108</v>
      </c>
      <c r="L433" s="62">
        <f ca="1">IF(ABS('main page'!$K$29*L432+(1-'main page'!$K$29)*(controls!$B$9/100)*100+'main page'!$K$25*(D433-B433)-L432)&lt;0.0000001,L432,'main page'!$K$29*L432+(1-'main page'!$K$29)*(controls!$B$9/100)*100+'main page'!$K$25*(D433-B433))</f>
        <v>1.9999998807907104</v>
      </c>
      <c r="Q433" s="409">
        <f ca="1">(1-'main page'!$K$29)*($AS$11/100)*100+'main page'!$K$25*(D433-B433)</f>
        <v>5.9604644775390625E-8</v>
      </c>
      <c r="R433" s="409">
        <f>'main page'!G437+'main page'!$K$29*M432</f>
        <v>0</v>
      </c>
      <c r="S433" s="409">
        <f t="shared" ca="1" si="57"/>
        <v>5.9604644775390625E-8</v>
      </c>
      <c r="T433" s="79">
        <f ca="1">IF(controls!$B$10=1,T432,IF(SUM(controls!$B$44:$B$46)=2,U433-'main page'!$K$29*'normal case'!L433-(1-'main page'!$K$29)*'main page'!$K$32,U433-'main page'!$K$29*'normal case'!L433-(1-'main page'!$K$29)*controls!$B$9))</f>
        <v>3.4999999701976776</v>
      </c>
      <c r="U433" s="164">
        <f ca="1">IF(controls!$B$45=1,IF(controls!$B$46=1,'main page'!$K$24+'main page'!$K$11+'main page'!$U$8,'main page'!$K$24+'main page'!$K$11+'main page'!$K$32),IF(controls!$B$44=1,IF(V433&lt;0,0,V433),IF(V433+'main page'!$K$11&lt;0,0,V433+'main page'!$K$11)))</f>
        <v>5.4999998509883881</v>
      </c>
      <c r="V433" s="63">
        <f ca="1">IF(controls!$B$10=1,'normal case'!T433+'normal case'!L433,'normal case'!W433)</f>
        <v>5.4999998509883881</v>
      </c>
      <c r="W433" s="61">
        <f t="shared" ca="1" si="53"/>
        <v>5.4999998509883881</v>
      </c>
      <c r="X433" s="166">
        <f ca="1">IF(controls!$B$44=0,Y433+'main page'!$K$29*L433+(1-'main page'!$K$29)*controls!$B$9+(('main page'!$K$25*'main page'!$U$13*'main page'!$K$29)/('main page'!$K$27*(1+('main page'!$K$25^2)*'main page'!$U$13)))*(L433-controls!$B$9),Y433+'main page'!$K$29*L433+(1-'main page'!$K$29)*controls!$B$9+(('main page'!$K$25*'main page'!$U$13*'normal case'!$AV$3)/'normal case'!$AV$4)*('normal case'!L433-controls!$B$9))</f>
        <v>5.4999998509883881</v>
      </c>
      <c r="Y433" s="81">
        <f ca="1">IF(controls!$B$44=1,'main page'!$K$24+'main page'!$K$11,IF(controls!$B$33=1,((I434-D433*AD434-B434+B433*AC434)/'main page'!$K$27)-'main page'!$K$11,((H434-D433*AD434-B434+B433*AC434)/'main page'!$K$27)-'main page'!$K$11))</f>
        <v>3.5</v>
      </c>
      <c r="AA433" s="58">
        <f>IF(controls!$B$6=1,$AS$3*(1+('main page'!$K$35/100))^AB433-$AS$3*(1+('main page'!$K$35/100))^AB432,$AS$3*(1+('main page'!$G$8/100))*(1+('main page'!$K$35/100))^AB433-$AS$3*(1+('main page'!$G$8/100))*(1+('main page'!$K$35/100))^AB432)</f>
        <v>0</v>
      </c>
      <c r="AB433" s="60">
        <v>426</v>
      </c>
      <c r="AC433" s="125">
        <v>0</v>
      </c>
      <c r="AD433" s="36">
        <v>0</v>
      </c>
      <c r="AE433" s="44">
        <f ca="1">IF(controls!$B$33=1,D433-($I$3-'main page'!$K$27*2)*(1+('main page'!$K$35/100))^A432,D433-$AS$4)</f>
        <v>1.0000000596046448</v>
      </c>
      <c r="AF433" s="44">
        <f ca="1">ABS(L433-(controls!$B$9/100)*100)</f>
        <v>1.1920928955078125E-7</v>
      </c>
      <c r="AH433" s="44">
        <f ca="1">IF(controls!$B$33=1,(B434-B433*AC434-I434+D433*AD434+'main page'!$K$27*('main page'!$K$24+'main page'!$K$11))/'main page'!$K$31,(B434-B433*AC434+D433*AD434-H434+'main page'!$K$27*('main page'!$K$24+'main page'!$K$11))/'main page'!$K$31)</f>
        <v>1</v>
      </c>
      <c r="AI433" s="44">
        <f ca="1">IF(controls!$B$45=1,LOG(AM433,1.01)+LOG(AL433,1.01)-LOG(AK433,1.01),-((T433-('main page'!$K$24+'main page'!$K$11))/(1-'normal case'!$AV$3))+'normal case'!AH433)</f>
        <v>2.0000000596046448</v>
      </c>
      <c r="AJ433" s="80">
        <f t="shared" ca="1" si="54"/>
        <v>1.0506250015463039</v>
      </c>
      <c r="AK433" s="44">
        <f t="shared" ca="1" si="55"/>
        <v>4892.4916130089077</v>
      </c>
      <c r="AL433" s="44">
        <f>AL432*(1+'main page'!$K$32/100)</f>
        <v>1</v>
      </c>
      <c r="AM433" s="44">
        <f ca="1">IF(ABS(IF(controls!$B$45=1,$AS$13,AK433*AJ433/AL433)-AM432)&lt;0.00001,AM432,IF(controls!$B$45=1,$AS$13,AK433*AJ433/AL433))</f>
        <v>5140.1740084827625</v>
      </c>
      <c r="AN433" s="44">
        <f>IF(controls!$B$46=0,0,IF(controls!$B$33=2,B434-B433*AC434-('normal case'!H434-D433*AD434-'main page'!$K$27*'normal case'!T433+'main page'!$K$31*'normal case'!AI433)-(('main page'!$K$25*'main page'!$U$13*'main page'!$K$29)/(1+('main page'!$K$25^2)*'main page'!$U$13))*('normal case'!L433-'main page'!$U$8),B434-B433*AC434-('normal case'!I434-D433*AD434-'main page'!$K$27*'normal case'!T433+'main page'!$K$31*'normal case'!AI433)-(('main page'!$K$25*'main page'!$U$13*'main page'!$K$29)/(1+('main page'!$K$25^2)*'main page'!$U$13))*('normal case'!L433-'main page'!$U$8)))</f>
        <v>0</v>
      </c>
      <c r="AU433" s="36"/>
      <c r="AV433" s="36"/>
    </row>
    <row r="434" spans="1:48">
      <c r="A434" s="43">
        <v>432</v>
      </c>
      <c r="B434" s="62">
        <f ca="1">IF(controls!$B$33=1,B433*(1+AC434)+AA434,B433*(1+AC434))</f>
        <v>101</v>
      </c>
      <c r="C434" s="67">
        <f t="shared" ca="1" si="56"/>
        <v>-1.5107707374006907E-7</v>
      </c>
      <c r="D434" s="64">
        <f t="shared" ca="1" si="52"/>
        <v>101.00000005960464</v>
      </c>
      <c r="E434" s="64">
        <f ca="1">AN433+IF(controls!$B$33=1,G434,F434)</f>
        <v>101.00000005960464</v>
      </c>
      <c r="F434" s="78">
        <f ca="1">IF(controls!$B$44=0,H434-'main page'!$K$27*T433,H434-'main page'!$K$27*T433+'main page'!$K$31*AI433)</f>
        <v>101.00000005960464</v>
      </c>
      <c r="G434" s="62">
        <f ca="1">IF(controls!$B$44=0,I434-'main page'!$K$27*T433,I434-'main page'!$K$27*T433+'main page'!$K$31*'normal case'!AI433)</f>
        <v>101.00000005960464</v>
      </c>
      <c r="H434" s="62">
        <f t="shared" ca="1" si="58"/>
        <v>108</v>
      </c>
      <c r="I434" s="62">
        <f t="shared" ca="1" si="59"/>
        <v>108</v>
      </c>
      <c r="L434" s="62">
        <f ca="1">IF(ABS('main page'!$K$29*L433+(1-'main page'!$K$29)*(controls!$B$9/100)*100+'main page'!$K$25*(D434-B434)-L433)&lt;0.0000001,L433,'main page'!$K$29*L433+(1-'main page'!$K$29)*(controls!$B$9/100)*100+'main page'!$K$25*(D434-B434))</f>
        <v>1.9999998807907104</v>
      </c>
      <c r="Q434" s="409">
        <f ca="1">(1-'main page'!$K$29)*($AS$11/100)*100+'main page'!$K$25*(D434-B434)</f>
        <v>5.9604644775390625E-8</v>
      </c>
      <c r="R434" s="409">
        <f>'main page'!G438+'main page'!$K$29*M433</f>
        <v>0</v>
      </c>
      <c r="S434" s="409">
        <f t="shared" ca="1" si="57"/>
        <v>5.9604644775390625E-8</v>
      </c>
      <c r="T434" s="79">
        <f ca="1">IF(controls!$B$10=1,T433,IF(SUM(controls!$B$44:$B$46)=2,U434-'main page'!$K$29*'normal case'!L434-(1-'main page'!$K$29)*'main page'!$K$32,U434-'main page'!$K$29*'normal case'!L434-(1-'main page'!$K$29)*controls!$B$9))</f>
        <v>3.4999999701976776</v>
      </c>
      <c r="U434" s="164">
        <f ca="1">IF(controls!$B$45=1,IF(controls!$B$46=1,'main page'!$K$24+'main page'!$K$11+'main page'!$U$8,'main page'!$K$24+'main page'!$K$11+'main page'!$K$32),IF(controls!$B$44=1,IF(V434&lt;0,0,V434),IF(V434+'main page'!$K$11&lt;0,0,V434+'main page'!$K$11)))</f>
        <v>5.4999998509883881</v>
      </c>
      <c r="V434" s="63">
        <f ca="1">IF(controls!$B$10=1,'normal case'!T434+'normal case'!L434,'normal case'!W434)</f>
        <v>5.4999998509883881</v>
      </c>
      <c r="W434" s="61">
        <f t="shared" ca="1" si="53"/>
        <v>5.4999998509883881</v>
      </c>
      <c r="X434" s="166">
        <f ca="1">IF(controls!$B$44=0,Y434+'main page'!$K$29*L434+(1-'main page'!$K$29)*controls!$B$9+(('main page'!$K$25*'main page'!$U$13*'main page'!$K$29)/('main page'!$K$27*(1+('main page'!$K$25^2)*'main page'!$U$13)))*(L434-controls!$B$9),Y434+'main page'!$K$29*L434+(1-'main page'!$K$29)*controls!$B$9+(('main page'!$K$25*'main page'!$U$13*'normal case'!$AV$3)/'normal case'!$AV$4)*('normal case'!L434-controls!$B$9))</f>
        <v>5.4999998509883881</v>
      </c>
      <c r="Y434" s="81">
        <f ca="1">IF(controls!$B$44=1,'main page'!$K$24+'main page'!$K$11,IF(controls!$B$33=1,((I435-D434*AD435-B435+B434*AC435)/'main page'!$K$27)-'main page'!$K$11,((H435-D434*AD435-B435+B434*AC435)/'main page'!$K$27)-'main page'!$K$11))</f>
        <v>3.5</v>
      </c>
      <c r="AA434" s="58">
        <f>IF(controls!$B$6=1,$AS$3*(1+('main page'!$K$35/100))^AB434-$AS$3*(1+('main page'!$K$35/100))^AB433,$AS$3*(1+('main page'!$G$8/100))*(1+('main page'!$K$35/100))^AB434-$AS$3*(1+('main page'!$G$8/100))*(1+('main page'!$K$35/100))^AB433)</f>
        <v>0</v>
      </c>
      <c r="AB434" s="60">
        <v>427</v>
      </c>
      <c r="AC434" s="125">
        <f ca="1">IF(controls!$B$4=1,IF(controls!$H433=1,controls!$B$34*AC433+RAND()*('main page'!$K$16/100)-RAND()*('main page'!$K$16/100),0),0)</f>
        <v>0</v>
      </c>
      <c r="AD434" s="36">
        <f ca="1">IF(controls!$B$4=1,IF(controls!$I433=1,controls!$B$34*AD433+RAND()*('main page'!$K$16/100)-RAND()*('main page'!$K$16/100),0),0)</f>
        <v>0</v>
      </c>
      <c r="AE434" s="44">
        <f ca="1">IF(controls!$B$33=1,D434-($I$3-'main page'!$K$27*2)*(1+('main page'!$K$35/100))^A433,D434-$AS$4)</f>
        <v>1.0000000596046448</v>
      </c>
      <c r="AF434" s="44">
        <f ca="1">ABS(L434-(controls!$B$9/100)*100)</f>
        <v>1.1920928955078125E-7</v>
      </c>
      <c r="AH434" s="44">
        <f ca="1">IF(controls!$B$33=1,(B435-B434*AC435-I435+D434*AD435+'main page'!$K$27*('main page'!$K$24+'main page'!$K$11))/'main page'!$K$31,(B435-B434*AC435+D434*AD435-H435+'main page'!$K$27*('main page'!$K$24+'main page'!$K$11))/'main page'!$K$31)</f>
        <v>1</v>
      </c>
      <c r="AI434" s="44">
        <f ca="1">IF(controls!$B$45=1,LOG(AM434,1.01)+LOG(AL434,1.01)-LOG(AK434,1.01),-((T434-('main page'!$K$24+'main page'!$K$11))/(1-'normal case'!$AV$3))+'normal case'!AH434)</f>
        <v>2.0000000596046448</v>
      </c>
      <c r="AJ434" s="80">
        <f t="shared" ca="1" si="54"/>
        <v>1.0506250015463039</v>
      </c>
      <c r="AK434" s="44">
        <f t="shared" ca="1" si="55"/>
        <v>4990.3414394367819</v>
      </c>
      <c r="AL434" s="44">
        <f>AL433*(1+'main page'!$K$32/100)</f>
        <v>1</v>
      </c>
      <c r="AM434" s="44">
        <f ca="1">IF(ABS(IF(controls!$B$45=1,$AS$13,AK434*AJ434/AL434)-AM433)&lt;0.00001,AM433,IF(controls!$B$45=1,$AS$13,AK434*AJ434/AL434))</f>
        <v>5242.9774825248533</v>
      </c>
      <c r="AN434" s="44">
        <f>IF(controls!$B$46=0,0,IF(controls!$B$33=2,B435-B434*AC435-('normal case'!H435-D434*AD435-'main page'!$K$27*'normal case'!T434+'main page'!$K$31*'normal case'!AI434)-(('main page'!$K$25*'main page'!$U$13*'main page'!$K$29)/(1+('main page'!$K$25^2)*'main page'!$U$13))*('normal case'!L434-'main page'!$U$8),B435-B434*AC435-('normal case'!I435-D434*AD435-'main page'!$K$27*'normal case'!T434+'main page'!$K$31*'normal case'!AI434)-(('main page'!$K$25*'main page'!$U$13*'main page'!$K$29)/(1+('main page'!$K$25^2)*'main page'!$U$13))*('normal case'!L434-'main page'!$U$8)))</f>
        <v>0</v>
      </c>
      <c r="AU434" s="36"/>
      <c r="AV434" s="36"/>
    </row>
    <row r="435" spans="1:48">
      <c r="A435" s="43">
        <v>433</v>
      </c>
      <c r="B435" s="62">
        <f ca="1">IF(controls!$B$33=1,B434*(1+AC435)+AA435,B434*(1+AC435))</f>
        <v>101</v>
      </c>
      <c r="C435" s="67">
        <f t="shared" ca="1" si="56"/>
        <v>-1.5107707374006907E-7</v>
      </c>
      <c r="D435" s="64">
        <f t="shared" ca="1" si="52"/>
        <v>101.00000005960464</v>
      </c>
      <c r="E435" s="64">
        <f ca="1">AN434+IF(controls!$B$33=1,G435,F435)</f>
        <v>101.00000005960464</v>
      </c>
      <c r="F435" s="78">
        <f ca="1">IF(controls!$B$44=0,H435-'main page'!$K$27*T434,H435-'main page'!$K$27*T434+'main page'!$K$31*AI434)</f>
        <v>101.00000005960464</v>
      </c>
      <c r="G435" s="62">
        <f ca="1">IF(controls!$B$44=0,I435-'main page'!$K$27*T434,I435-'main page'!$K$27*T434+'main page'!$K$31*'normal case'!AI434)</f>
        <v>101.00000005960464</v>
      </c>
      <c r="H435" s="62">
        <f t="shared" ca="1" si="58"/>
        <v>108</v>
      </c>
      <c r="I435" s="62">
        <f t="shared" ca="1" si="59"/>
        <v>108</v>
      </c>
      <c r="L435" s="62">
        <f ca="1">IF(ABS('main page'!$K$29*L434+(1-'main page'!$K$29)*(controls!$B$9/100)*100+'main page'!$K$25*(D435-B435)-L434)&lt;0.0000001,L434,'main page'!$K$29*L434+(1-'main page'!$K$29)*(controls!$B$9/100)*100+'main page'!$K$25*(D435-B435))</f>
        <v>1.9999998807907104</v>
      </c>
      <c r="Q435" s="409">
        <f ca="1">(1-'main page'!$K$29)*($AS$11/100)*100+'main page'!$K$25*(D435-B435)</f>
        <v>5.9604644775390625E-8</v>
      </c>
      <c r="R435" s="409">
        <f>'main page'!G439+'main page'!$K$29*M434</f>
        <v>0</v>
      </c>
      <c r="S435" s="409">
        <f t="shared" ca="1" si="57"/>
        <v>5.9604644775390625E-8</v>
      </c>
      <c r="T435" s="79">
        <f ca="1">IF(controls!$B$10=1,T434,IF(SUM(controls!$B$44:$B$46)=2,U435-'main page'!$K$29*'normal case'!L435-(1-'main page'!$K$29)*'main page'!$K$32,U435-'main page'!$K$29*'normal case'!L435-(1-'main page'!$K$29)*controls!$B$9))</f>
        <v>3.4999999701976776</v>
      </c>
      <c r="U435" s="164">
        <f ca="1">IF(controls!$B$45=1,IF(controls!$B$46=1,'main page'!$K$24+'main page'!$K$11+'main page'!$U$8,'main page'!$K$24+'main page'!$K$11+'main page'!$K$32),IF(controls!$B$44=1,IF(V435&lt;0,0,V435),IF(V435+'main page'!$K$11&lt;0,0,V435+'main page'!$K$11)))</f>
        <v>5.4999998509883881</v>
      </c>
      <c r="V435" s="63">
        <f ca="1">IF(controls!$B$10=1,'normal case'!T435+'normal case'!L435,'normal case'!W435)</f>
        <v>5.4999998509883881</v>
      </c>
      <c r="W435" s="61">
        <f t="shared" ca="1" si="53"/>
        <v>5.4999998509883881</v>
      </c>
      <c r="X435" s="166">
        <f ca="1">IF(controls!$B$44=0,Y435+'main page'!$K$29*L435+(1-'main page'!$K$29)*controls!$B$9+(('main page'!$K$25*'main page'!$U$13*'main page'!$K$29)/('main page'!$K$27*(1+('main page'!$K$25^2)*'main page'!$U$13)))*(L435-controls!$B$9),Y435+'main page'!$K$29*L435+(1-'main page'!$K$29)*controls!$B$9+(('main page'!$K$25*'main page'!$U$13*'normal case'!$AV$3)/'normal case'!$AV$4)*('normal case'!L435-controls!$B$9))</f>
        <v>5.4999998509883881</v>
      </c>
      <c r="Y435" s="81">
        <f ca="1">IF(controls!$B$44=1,'main page'!$K$24+'main page'!$K$11,IF(controls!$B$33=1,((I436-D435*AD436-B436+B435*AC436)/'main page'!$K$27)-'main page'!$K$11,((H436-D435*AD436-B436+B435*AC436)/'main page'!$K$27)-'main page'!$K$11))</f>
        <v>3.5</v>
      </c>
      <c r="AA435" s="58">
        <f>IF(controls!$B$6=1,$AS$3*(1+('main page'!$K$35/100))^AB435-$AS$3*(1+('main page'!$K$35/100))^AB434,$AS$3*(1+('main page'!$G$8/100))*(1+('main page'!$K$35/100))^AB435-$AS$3*(1+('main page'!$G$8/100))*(1+('main page'!$K$35/100))^AB434)</f>
        <v>0</v>
      </c>
      <c r="AB435" s="60">
        <v>428</v>
      </c>
      <c r="AC435" s="125">
        <v>0</v>
      </c>
      <c r="AD435" s="36">
        <v>0</v>
      </c>
      <c r="AE435" s="44">
        <f ca="1">IF(controls!$B$33=1,D435-($I$3-'main page'!$K$27*2)*(1+('main page'!$K$35/100))^A434,D435-$AS$4)</f>
        <v>1.0000000596046448</v>
      </c>
      <c r="AF435" s="44">
        <f ca="1">ABS(L435-(controls!$B$9/100)*100)</f>
        <v>1.1920928955078125E-7</v>
      </c>
      <c r="AH435" s="44">
        <f ca="1">IF(controls!$B$33=1,(B436-B435*AC436-I436+D435*AD436+'main page'!$K$27*('main page'!$K$24+'main page'!$K$11))/'main page'!$K$31,(B436-B435*AC436+D435*AD436-H436+'main page'!$K$27*('main page'!$K$24+'main page'!$K$11))/'main page'!$K$31)</f>
        <v>1</v>
      </c>
      <c r="AI435" s="44">
        <f ca="1">IF(controls!$B$45=1,LOG(AM435,1.01)+LOG(AL435,1.01)-LOG(AK435,1.01),-((T435-('main page'!$K$24+'main page'!$K$11))/(1-'normal case'!$AV$3))+'normal case'!AH435)</f>
        <v>2.0000000596046448</v>
      </c>
      <c r="AJ435" s="80">
        <f t="shared" ca="1" si="54"/>
        <v>1.0506250015463039</v>
      </c>
      <c r="AK435" s="44">
        <f t="shared" ca="1" si="55"/>
        <v>5090.148262276567</v>
      </c>
      <c r="AL435" s="44">
        <f>AL434*(1+'main page'!$K$32/100)</f>
        <v>1</v>
      </c>
      <c r="AM435" s="44">
        <f ca="1">IF(ABS(IF(controls!$B$45=1,$AS$13,AK435*AJ435/AL435)-AM434)&lt;0.00001,AM434,IF(controls!$B$45=1,$AS$13,AK435*AJ435/AL435))</f>
        <v>5347.8370259252342</v>
      </c>
      <c r="AN435" s="44">
        <f>IF(controls!$B$46=0,0,IF(controls!$B$33=2,B436-B435*AC436-('normal case'!H436-D435*AD436-'main page'!$K$27*'normal case'!T435+'main page'!$K$31*'normal case'!AI435)-(('main page'!$K$25*'main page'!$U$13*'main page'!$K$29)/(1+('main page'!$K$25^2)*'main page'!$U$13))*('normal case'!L435-'main page'!$U$8),B436-B435*AC436-('normal case'!I436-D435*AD436-'main page'!$K$27*'normal case'!T435+'main page'!$K$31*'normal case'!AI435)-(('main page'!$K$25*'main page'!$U$13*'main page'!$K$29)/(1+('main page'!$K$25^2)*'main page'!$U$13))*('normal case'!L435-'main page'!$U$8)))</f>
        <v>0</v>
      </c>
      <c r="AU435" s="36"/>
      <c r="AV435" s="36"/>
    </row>
    <row r="436" spans="1:48">
      <c r="A436" s="43">
        <v>434</v>
      </c>
      <c r="B436" s="62">
        <f ca="1">IF(controls!$B$33=1,B435*(1+AC436)+AA436,B435*(1+AC436))</f>
        <v>101</v>
      </c>
      <c r="C436" s="67">
        <f t="shared" ca="1" si="56"/>
        <v>-1.5107707374006907E-7</v>
      </c>
      <c r="D436" s="64">
        <f t="shared" ca="1" si="52"/>
        <v>101.00000005960464</v>
      </c>
      <c r="E436" s="64">
        <f ca="1">AN435+IF(controls!$B$33=1,G436,F436)</f>
        <v>101.00000005960464</v>
      </c>
      <c r="F436" s="78">
        <f ca="1">IF(controls!$B$44=0,H436-'main page'!$K$27*T435,H436-'main page'!$K$27*T435+'main page'!$K$31*AI435)</f>
        <v>101.00000005960464</v>
      </c>
      <c r="G436" s="62">
        <f ca="1">IF(controls!$B$44=0,I436-'main page'!$K$27*T435,I436-'main page'!$K$27*T435+'main page'!$K$31*'normal case'!AI435)</f>
        <v>101.00000005960464</v>
      </c>
      <c r="H436" s="62">
        <f t="shared" ca="1" si="58"/>
        <v>108</v>
      </c>
      <c r="I436" s="62">
        <f t="shared" ca="1" si="59"/>
        <v>108</v>
      </c>
      <c r="L436" s="62">
        <f ca="1">IF(ABS('main page'!$K$29*L435+(1-'main page'!$K$29)*(controls!$B$9/100)*100+'main page'!$K$25*(D436-B436)-L435)&lt;0.0000001,L435,'main page'!$K$29*L435+(1-'main page'!$K$29)*(controls!$B$9/100)*100+'main page'!$K$25*(D436-B436))</f>
        <v>1.9999998807907104</v>
      </c>
      <c r="Q436" s="409">
        <f ca="1">(1-'main page'!$K$29)*($AS$11/100)*100+'main page'!$K$25*(D436-B436)</f>
        <v>5.9604644775390625E-8</v>
      </c>
      <c r="R436" s="409">
        <f>'main page'!G440+'main page'!$K$29*M435</f>
        <v>0</v>
      </c>
      <c r="S436" s="409">
        <f t="shared" ca="1" si="57"/>
        <v>5.9604644775390625E-8</v>
      </c>
      <c r="T436" s="79">
        <f ca="1">IF(controls!$B$10=1,T435,IF(SUM(controls!$B$44:$B$46)=2,U436-'main page'!$K$29*'normal case'!L436-(1-'main page'!$K$29)*'main page'!$K$32,U436-'main page'!$K$29*'normal case'!L436-(1-'main page'!$K$29)*controls!$B$9))</f>
        <v>3.4999999701976776</v>
      </c>
      <c r="U436" s="164">
        <f ca="1">IF(controls!$B$45=1,IF(controls!$B$46=1,'main page'!$K$24+'main page'!$K$11+'main page'!$U$8,'main page'!$K$24+'main page'!$K$11+'main page'!$K$32),IF(controls!$B$44=1,IF(V436&lt;0,0,V436),IF(V436+'main page'!$K$11&lt;0,0,V436+'main page'!$K$11)))</f>
        <v>5.4999998509883881</v>
      </c>
      <c r="V436" s="63">
        <f ca="1">IF(controls!$B$10=1,'normal case'!T436+'normal case'!L436,'normal case'!W436)</f>
        <v>5.4999998509883881</v>
      </c>
      <c r="W436" s="61">
        <f t="shared" ca="1" si="53"/>
        <v>5.4999998509883881</v>
      </c>
      <c r="X436" s="166">
        <f ca="1">IF(controls!$B$44=0,Y436+'main page'!$K$29*L436+(1-'main page'!$K$29)*controls!$B$9+(('main page'!$K$25*'main page'!$U$13*'main page'!$K$29)/('main page'!$K$27*(1+('main page'!$K$25^2)*'main page'!$U$13)))*(L436-controls!$B$9),Y436+'main page'!$K$29*L436+(1-'main page'!$K$29)*controls!$B$9+(('main page'!$K$25*'main page'!$U$13*'normal case'!$AV$3)/'normal case'!$AV$4)*('normal case'!L436-controls!$B$9))</f>
        <v>5.4999998509883881</v>
      </c>
      <c r="Y436" s="81">
        <f ca="1">IF(controls!$B$44=1,'main page'!$K$24+'main page'!$K$11,IF(controls!$B$33=1,((I437-D436*AD437-B437+B436*AC437)/'main page'!$K$27)-'main page'!$K$11,((H437-D436*AD437-B437+B436*AC437)/'main page'!$K$27)-'main page'!$K$11))</f>
        <v>3.5</v>
      </c>
      <c r="AA436" s="58">
        <f>IF(controls!$B$6=1,$AS$3*(1+('main page'!$K$35/100))^AB436-$AS$3*(1+('main page'!$K$35/100))^AB435,$AS$3*(1+('main page'!$G$8/100))*(1+('main page'!$K$35/100))^AB436-$AS$3*(1+('main page'!$G$8/100))*(1+('main page'!$K$35/100))^AB435)</f>
        <v>0</v>
      </c>
      <c r="AB436" s="60">
        <v>429</v>
      </c>
      <c r="AC436" s="125">
        <v>0</v>
      </c>
      <c r="AD436" s="36">
        <v>0</v>
      </c>
      <c r="AE436" s="44">
        <f ca="1">IF(controls!$B$33=1,D436-($I$3-'main page'!$K$27*2)*(1+('main page'!$K$35/100))^A435,D436-$AS$4)</f>
        <v>1.0000000596046448</v>
      </c>
      <c r="AF436" s="44">
        <f ca="1">ABS(L436-(controls!$B$9/100)*100)</f>
        <v>1.1920928955078125E-7</v>
      </c>
      <c r="AH436" s="44">
        <f ca="1">IF(controls!$B$33=1,(B437-B436*AC437-I437+D436*AD437+'main page'!$K$27*('main page'!$K$24+'main page'!$K$11))/'main page'!$K$31,(B437-B436*AC437+D436*AD437-H437+'main page'!$K$27*('main page'!$K$24+'main page'!$K$11))/'main page'!$K$31)</f>
        <v>1</v>
      </c>
      <c r="AI436" s="44">
        <f ca="1">IF(controls!$B$45=1,LOG(AM436,1.01)+LOG(AL436,1.01)-LOG(AK436,1.01),-((T436-('main page'!$K$24+'main page'!$K$11))/(1-'normal case'!$AV$3))+'normal case'!AH436)</f>
        <v>2.0000000596046448</v>
      </c>
      <c r="AJ436" s="80">
        <f t="shared" ca="1" si="54"/>
        <v>1.0506250015463039</v>
      </c>
      <c r="AK436" s="44">
        <f t="shared" ca="1" si="55"/>
        <v>5191.9512214541692</v>
      </c>
      <c r="AL436" s="44">
        <f>AL435*(1+'main page'!$K$32/100)</f>
        <v>1</v>
      </c>
      <c r="AM436" s="44">
        <f ca="1">IF(ABS(IF(controls!$B$45=1,$AS$13,AK436*AJ436/AL436)-AM435)&lt;0.00001,AM435,IF(controls!$B$45=1,$AS$13,AK436*AJ436/AL436))</f>
        <v>5454.7937600686209</v>
      </c>
      <c r="AN436" s="44">
        <f>IF(controls!$B$46=0,0,IF(controls!$B$33=2,B437-B436*AC437-('normal case'!H437-D436*AD437-'main page'!$K$27*'normal case'!T436+'main page'!$K$31*'normal case'!AI436)-(('main page'!$K$25*'main page'!$U$13*'main page'!$K$29)/(1+('main page'!$K$25^2)*'main page'!$U$13))*('normal case'!L436-'main page'!$U$8),B437-B436*AC437-('normal case'!I437-D436*AD437-'main page'!$K$27*'normal case'!T436+'main page'!$K$31*'normal case'!AI436)-(('main page'!$K$25*'main page'!$U$13*'main page'!$K$29)/(1+('main page'!$K$25^2)*'main page'!$U$13))*('normal case'!L436-'main page'!$U$8)))</f>
        <v>0</v>
      </c>
      <c r="AU436" s="36"/>
      <c r="AV436" s="36"/>
    </row>
    <row r="437" spans="1:48">
      <c r="A437" s="43">
        <v>435</v>
      </c>
      <c r="B437" s="62">
        <f ca="1">IF(controls!$B$33=1,B436*(1+AC437)+AA437,B436*(1+AC437))</f>
        <v>101</v>
      </c>
      <c r="C437" s="67">
        <f t="shared" ca="1" si="56"/>
        <v>-1.5107707374006907E-7</v>
      </c>
      <c r="D437" s="64">
        <f t="shared" ca="1" si="52"/>
        <v>101.00000005960464</v>
      </c>
      <c r="E437" s="64">
        <f ca="1">AN436+IF(controls!$B$33=1,G437,F437)</f>
        <v>101.00000005960464</v>
      </c>
      <c r="F437" s="78">
        <f ca="1">IF(controls!$B$44=0,H437-'main page'!$K$27*T436,H437-'main page'!$K$27*T436+'main page'!$K$31*AI436)</f>
        <v>101.00000005960464</v>
      </c>
      <c r="G437" s="62">
        <f ca="1">IF(controls!$B$44=0,I437-'main page'!$K$27*T436,I437-'main page'!$K$27*T436+'main page'!$K$31*'normal case'!AI436)</f>
        <v>101.00000005960464</v>
      </c>
      <c r="H437" s="62">
        <f t="shared" ca="1" si="58"/>
        <v>108</v>
      </c>
      <c r="I437" s="62">
        <f t="shared" ca="1" si="59"/>
        <v>108</v>
      </c>
      <c r="L437" s="62">
        <f ca="1">IF(ABS('main page'!$K$29*L436+(1-'main page'!$K$29)*(controls!$B$9/100)*100+'main page'!$K$25*(D437-B437)-L436)&lt;0.0000001,L436,'main page'!$K$29*L436+(1-'main page'!$K$29)*(controls!$B$9/100)*100+'main page'!$K$25*(D437-B437))</f>
        <v>1.9999998807907104</v>
      </c>
      <c r="Q437" s="409">
        <f ca="1">(1-'main page'!$K$29)*($AS$11/100)*100+'main page'!$K$25*(D437-B437)</f>
        <v>5.9604644775390625E-8</v>
      </c>
      <c r="R437" s="409">
        <f>'main page'!G441+'main page'!$K$29*M436</f>
        <v>0</v>
      </c>
      <c r="S437" s="409">
        <f t="shared" ca="1" si="57"/>
        <v>5.9604644775390625E-8</v>
      </c>
      <c r="T437" s="79">
        <f ca="1">IF(controls!$B$10=1,T436,IF(SUM(controls!$B$44:$B$46)=2,U437-'main page'!$K$29*'normal case'!L437-(1-'main page'!$K$29)*'main page'!$K$32,U437-'main page'!$K$29*'normal case'!L437-(1-'main page'!$K$29)*controls!$B$9))</f>
        <v>3.4999999701976776</v>
      </c>
      <c r="U437" s="164">
        <f ca="1">IF(controls!$B$45=1,IF(controls!$B$46=1,'main page'!$K$24+'main page'!$K$11+'main page'!$U$8,'main page'!$K$24+'main page'!$K$11+'main page'!$K$32),IF(controls!$B$44=1,IF(V437&lt;0,0,V437),IF(V437+'main page'!$K$11&lt;0,0,V437+'main page'!$K$11)))</f>
        <v>5.4999998509883881</v>
      </c>
      <c r="V437" s="63">
        <f ca="1">IF(controls!$B$10=1,'normal case'!T437+'normal case'!L437,'normal case'!W437)</f>
        <v>5.4999998509883881</v>
      </c>
      <c r="W437" s="61">
        <f t="shared" ca="1" si="53"/>
        <v>5.4999998509883881</v>
      </c>
      <c r="X437" s="166">
        <f ca="1">IF(controls!$B$44=0,Y437+'main page'!$K$29*L437+(1-'main page'!$K$29)*controls!$B$9+(('main page'!$K$25*'main page'!$U$13*'main page'!$K$29)/('main page'!$K$27*(1+('main page'!$K$25^2)*'main page'!$U$13)))*(L437-controls!$B$9),Y437+'main page'!$K$29*L437+(1-'main page'!$K$29)*controls!$B$9+(('main page'!$K$25*'main page'!$U$13*'normal case'!$AV$3)/'normal case'!$AV$4)*('normal case'!L437-controls!$B$9))</f>
        <v>5.4999998509883881</v>
      </c>
      <c r="Y437" s="81">
        <f ca="1">IF(controls!$B$44=1,'main page'!$K$24+'main page'!$K$11,IF(controls!$B$33=1,((I438-D437*AD438-B438+B437*AC438)/'main page'!$K$27)-'main page'!$K$11,((H438-D437*AD438-B438+B437*AC438)/'main page'!$K$27)-'main page'!$K$11))</f>
        <v>3.5</v>
      </c>
      <c r="AA437" s="58">
        <f>IF(controls!$B$6=1,$AS$3*(1+('main page'!$K$35/100))^AB437-$AS$3*(1+('main page'!$K$35/100))^AB436,$AS$3*(1+('main page'!$G$8/100))*(1+('main page'!$K$35/100))^AB437-$AS$3*(1+('main page'!$G$8/100))*(1+('main page'!$K$35/100))^AB436)</f>
        <v>0</v>
      </c>
      <c r="AB437" s="60">
        <v>430</v>
      </c>
      <c r="AC437" s="125">
        <f ca="1">IF(controls!$B$4=1,IF(controls!$H436=1,controls!$B$34*AC436+RAND()*('main page'!$K$16/100)-RAND()*('main page'!$K$16/100),0),0)</f>
        <v>0</v>
      </c>
      <c r="AD437" s="36">
        <f ca="1">IF(controls!$B$4=1,IF(controls!$I436=1,controls!$B$34*AD436+RAND()*('main page'!$K$16/100)-RAND()*('main page'!$K$16/100),0),0)</f>
        <v>0</v>
      </c>
      <c r="AE437" s="44">
        <f ca="1">IF(controls!$B$33=1,D437-($I$3-'main page'!$K$27*2)*(1+('main page'!$K$35/100))^A436,D437-$AS$4)</f>
        <v>1.0000000596046448</v>
      </c>
      <c r="AF437" s="44">
        <f ca="1">ABS(L437-(controls!$B$9/100)*100)</f>
        <v>1.1920928955078125E-7</v>
      </c>
      <c r="AH437" s="44">
        <f ca="1">IF(controls!$B$33=1,(B438-B437*AC438-I438+D437*AD438+'main page'!$K$27*('main page'!$K$24+'main page'!$K$11))/'main page'!$K$31,(B438-B437*AC438+D437*AD438-H438+'main page'!$K$27*('main page'!$K$24+'main page'!$K$11))/'main page'!$K$31)</f>
        <v>1</v>
      </c>
      <c r="AI437" s="44">
        <f ca="1">IF(controls!$B$45=1,LOG(AM437,1.01)+LOG(AL437,1.01)-LOG(AK437,1.01),-((T437-('main page'!$K$24+'main page'!$K$11))/(1-'normal case'!$AV$3))+'normal case'!AH437)</f>
        <v>2.0000000596046448</v>
      </c>
      <c r="AJ437" s="80">
        <f t="shared" ca="1" si="54"/>
        <v>1.0506250015463039</v>
      </c>
      <c r="AK437" s="44">
        <f t="shared" ca="1" si="55"/>
        <v>5295.7902396939644</v>
      </c>
      <c r="AL437" s="44">
        <f>AL436*(1+'main page'!$K$32/100)</f>
        <v>1</v>
      </c>
      <c r="AM437" s="44">
        <f ca="1">IF(ABS(IF(controls!$B$45=1,$AS$13,AK437*AJ437/AL437)-AM436)&lt;0.00001,AM436,IF(controls!$B$45=1,$AS$13,AK437*AJ437/AL437))</f>
        <v>5563.8896287673724</v>
      </c>
      <c r="AN437" s="44">
        <f>IF(controls!$B$46=0,0,IF(controls!$B$33=2,B438-B437*AC438-('normal case'!H438-D437*AD438-'main page'!$K$27*'normal case'!T437+'main page'!$K$31*'normal case'!AI437)-(('main page'!$K$25*'main page'!$U$13*'main page'!$K$29)/(1+('main page'!$K$25^2)*'main page'!$U$13))*('normal case'!L437-'main page'!$U$8),B438-B437*AC438-('normal case'!I438-D437*AD438-'main page'!$K$27*'normal case'!T437+'main page'!$K$31*'normal case'!AI437)-(('main page'!$K$25*'main page'!$U$13*'main page'!$K$29)/(1+('main page'!$K$25^2)*'main page'!$U$13))*('normal case'!L437-'main page'!$U$8)))</f>
        <v>0</v>
      </c>
      <c r="AU437" s="36"/>
      <c r="AV437" s="36"/>
    </row>
    <row r="438" spans="1:48">
      <c r="A438" s="43">
        <v>436</v>
      </c>
      <c r="B438" s="62">
        <f ca="1">IF(controls!$B$33=1,B437*(1+AC438)+AA438,B437*(1+AC438))</f>
        <v>101</v>
      </c>
      <c r="C438" s="67">
        <f t="shared" ca="1" si="56"/>
        <v>-1.5107707374006907E-7</v>
      </c>
      <c r="D438" s="64">
        <f t="shared" ca="1" si="52"/>
        <v>101.00000005960464</v>
      </c>
      <c r="E438" s="64">
        <f ca="1">AN437+IF(controls!$B$33=1,G438,F438)</f>
        <v>101.00000005960464</v>
      </c>
      <c r="F438" s="78">
        <f ca="1">IF(controls!$B$44=0,H438-'main page'!$K$27*T437,H438-'main page'!$K$27*T437+'main page'!$K$31*AI437)</f>
        <v>101.00000005960464</v>
      </c>
      <c r="G438" s="62">
        <f ca="1">IF(controls!$B$44=0,I438-'main page'!$K$27*T437,I438-'main page'!$K$27*T437+'main page'!$K$31*'normal case'!AI437)</f>
        <v>101.00000005960464</v>
      </c>
      <c r="H438" s="62">
        <f t="shared" ca="1" si="58"/>
        <v>108</v>
      </c>
      <c r="I438" s="62">
        <f t="shared" ca="1" si="59"/>
        <v>108</v>
      </c>
      <c r="L438" s="62">
        <f ca="1">IF(ABS('main page'!$K$29*L437+(1-'main page'!$K$29)*(controls!$B$9/100)*100+'main page'!$K$25*(D438-B438)-L437)&lt;0.0000001,L437,'main page'!$K$29*L437+(1-'main page'!$K$29)*(controls!$B$9/100)*100+'main page'!$K$25*(D438-B438))</f>
        <v>1.9999998807907104</v>
      </c>
      <c r="Q438" s="409">
        <f ca="1">(1-'main page'!$K$29)*($AS$11/100)*100+'main page'!$K$25*(D438-B438)</f>
        <v>5.9604644775390625E-8</v>
      </c>
      <c r="R438" s="409">
        <f>'main page'!G442+'main page'!$K$29*M437</f>
        <v>0</v>
      </c>
      <c r="S438" s="409">
        <f t="shared" ca="1" si="57"/>
        <v>5.9604644775390625E-8</v>
      </c>
      <c r="T438" s="79">
        <f ca="1">IF(controls!$B$10=1,T437,IF(SUM(controls!$B$44:$B$46)=2,U438-'main page'!$K$29*'normal case'!L438-(1-'main page'!$K$29)*'main page'!$K$32,U438-'main page'!$K$29*'normal case'!L438-(1-'main page'!$K$29)*controls!$B$9))</f>
        <v>3.4999999701976776</v>
      </c>
      <c r="U438" s="164">
        <f ca="1">IF(controls!$B$45=1,IF(controls!$B$46=1,'main page'!$K$24+'main page'!$K$11+'main page'!$U$8,'main page'!$K$24+'main page'!$K$11+'main page'!$K$32),IF(controls!$B$44=1,IF(V438&lt;0,0,V438),IF(V438+'main page'!$K$11&lt;0,0,V438+'main page'!$K$11)))</f>
        <v>5.4999998509883881</v>
      </c>
      <c r="V438" s="63">
        <f ca="1">IF(controls!$B$10=1,'normal case'!T438+'normal case'!L438,'normal case'!W438)</f>
        <v>5.4999998509883881</v>
      </c>
      <c r="W438" s="61">
        <f t="shared" ca="1" si="53"/>
        <v>5.4999998509883881</v>
      </c>
      <c r="X438" s="166">
        <f ca="1">IF(controls!$B$44=0,Y438+'main page'!$K$29*L438+(1-'main page'!$K$29)*controls!$B$9+(('main page'!$K$25*'main page'!$U$13*'main page'!$K$29)/('main page'!$K$27*(1+('main page'!$K$25^2)*'main page'!$U$13)))*(L438-controls!$B$9),Y438+'main page'!$K$29*L438+(1-'main page'!$K$29)*controls!$B$9+(('main page'!$K$25*'main page'!$U$13*'normal case'!$AV$3)/'normal case'!$AV$4)*('normal case'!L438-controls!$B$9))</f>
        <v>5.4999998509883881</v>
      </c>
      <c r="Y438" s="81">
        <f ca="1">IF(controls!$B$44=1,'main page'!$K$24+'main page'!$K$11,IF(controls!$B$33=1,((I439-D438*AD439-B439+B438*AC439)/'main page'!$K$27)-'main page'!$K$11,((H439-D438*AD439-B439+B438*AC439)/'main page'!$K$27)-'main page'!$K$11))</f>
        <v>3.5</v>
      </c>
      <c r="AA438" s="58">
        <f>IF(controls!$B$6=1,$AS$3*(1+('main page'!$K$35/100))^AB438-$AS$3*(1+('main page'!$K$35/100))^AB437,$AS$3*(1+('main page'!$G$8/100))*(1+('main page'!$K$35/100))^AB438-$AS$3*(1+('main page'!$G$8/100))*(1+('main page'!$K$35/100))^AB437)</f>
        <v>0</v>
      </c>
      <c r="AB438" s="60">
        <v>431</v>
      </c>
      <c r="AC438" s="125">
        <v>0</v>
      </c>
      <c r="AD438" s="36">
        <v>0</v>
      </c>
      <c r="AE438" s="44">
        <f ca="1">IF(controls!$B$33=1,D438-($I$3-'main page'!$K$27*2)*(1+('main page'!$K$35/100))^A437,D438-$AS$4)</f>
        <v>1.0000000596046448</v>
      </c>
      <c r="AF438" s="44">
        <f ca="1">ABS(L438-(controls!$B$9/100)*100)</f>
        <v>1.1920928955078125E-7</v>
      </c>
      <c r="AH438" s="44">
        <f ca="1">IF(controls!$B$33=1,(B439-B438*AC439-I439+D438*AD439+'main page'!$K$27*('main page'!$K$24+'main page'!$K$11))/'main page'!$K$31,(B439-B438*AC439+D438*AD439-H439+'main page'!$K$27*('main page'!$K$24+'main page'!$K$11))/'main page'!$K$31)</f>
        <v>1</v>
      </c>
      <c r="AI438" s="44">
        <f ca="1">IF(controls!$B$45=1,LOG(AM438,1.01)+LOG(AL438,1.01)-LOG(AK438,1.01),-((T438-('main page'!$K$24+'main page'!$K$11))/(1-'normal case'!$AV$3))+'normal case'!AH438)</f>
        <v>2.0000000596046448</v>
      </c>
      <c r="AJ438" s="80">
        <f t="shared" ca="1" si="54"/>
        <v>1.0506250015463039</v>
      </c>
      <c r="AK438" s="44">
        <f t="shared" ca="1" si="55"/>
        <v>5401.7060381747697</v>
      </c>
      <c r="AL438" s="44">
        <f>AL437*(1+'main page'!$K$32/100)</f>
        <v>1</v>
      </c>
      <c r="AM438" s="44">
        <f ca="1">IF(ABS(IF(controls!$B$45=1,$AS$13,AK438*AJ438/AL438)-AM437)&lt;0.00001,AM437,IF(controls!$B$45=1,$AS$13,AK438*AJ438/AL438))</f>
        <v>5675.1674147100466</v>
      </c>
      <c r="AN438" s="44">
        <f>IF(controls!$B$46=0,0,IF(controls!$B$33=2,B439-B438*AC439-('normal case'!H439-D438*AD439-'main page'!$K$27*'normal case'!T438+'main page'!$K$31*'normal case'!AI438)-(('main page'!$K$25*'main page'!$U$13*'main page'!$K$29)/(1+('main page'!$K$25^2)*'main page'!$U$13))*('normal case'!L438-'main page'!$U$8),B439-B438*AC439-('normal case'!I439-D438*AD439-'main page'!$K$27*'normal case'!T438+'main page'!$K$31*'normal case'!AI438)-(('main page'!$K$25*'main page'!$U$13*'main page'!$K$29)/(1+('main page'!$K$25^2)*'main page'!$U$13))*('normal case'!L438-'main page'!$U$8)))</f>
        <v>0</v>
      </c>
      <c r="AU438" s="36"/>
      <c r="AV438" s="36"/>
    </row>
    <row r="439" spans="1:48">
      <c r="A439" s="43">
        <v>437</v>
      </c>
      <c r="B439" s="62">
        <f ca="1">IF(controls!$B$33=1,B438*(1+AC439)+AA439,B438*(1+AC439))</f>
        <v>101</v>
      </c>
      <c r="C439" s="67">
        <f t="shared" ca="1" si="56"/>
        <v>-1.5107707374006907E-7</v>
      </c>
      <c r="D439" s="64">
        <f t="shared" ca="1" si="52"/>
        <v>101.00000005960464</v>
      </c>
      <c r="E439" s="64">
        <f ca="1">AN438+IF(controls!$B$33=1,G439,F439)</f>
        <v>101.00000005960464</v>
      </c>
      <c r="F439" s="78">
        <f ca="1">IF(controls!$B$44=0,H439-'main page'!$K$27*T438,H439-'main page'!$K$27*T438+'main page'!$K$31*AI438)</f>
        <v>101.00000005960464</v>
      </c>
      <c r="G439" s="62">
        <f ca="1">IF(controls!$B$44=0,I439-'main page'!$K$27*T438,I439-'main page'!$K$27*T438+'main page'!$K$31*'normal case'!AI438)</f>
        <v>101.00000005960464</v>
      </c>
      <c r="H439" s="62">
        <f t="shared" ca="1" si="58"/>
        <v>108</v>
      </c>
      <c r="I439" s="62">
        <f t="shared" ca="1" si="59"/>
        <v>108</v>
      </c>
      <c r="L439" s="62">
        <f ca="1">IF(ABS('main page'!$K$29*L438+(1-'main page'!$K$29)*(controls!$B$9/100)*100+'main page'!$K$25*(D439-B439)-L438)&lt;0.0000001,L438,'main page'!$K$29*L438+(1-'main page'!$K$29)*(controls!$B$9/100)*100+'main page'!$K$25*(D439-B439))</f>
        <v>1.9999998807907104</v>
      </c>
      <c r="Q439" s="409">
        <f ca="1">(1-'main page'!$K$29)*($AS$11/100)*100+'main page'!$K$25*(D439-B439)</f>
        <v>5.9604644775390625E-8</v>
      </c>
      <c r="R439" s="409">
        <f>'main page'!G443+'main page'!$K$29*M438</f>
        <v>0</v>
      </c>
      <c r="S439" s="409">
        <f t="shared" ca="1" si="57"/>
        <v>5.9604644775390625E-8</v>
      </c>
      <c r="T439" s="79">
        <f ca="1">IF(controls!$B$10=1,T438,IF(SUM(controls!$B$44:$B$46)=2,U439-'main page'!$K$29*'normal case'!L439-(1-'main page'!$K$29)*'main page'!$K$32,U439-'main page'!$K$29*'normal case'!L439-(1-'main page'!$K$29)*controls!$B$9))</f>
        <v>3.4999999701976776</v>
      </c>
      <c r="U439" s="164">
        <f ca="1">IF(controls!$B$45=1,IF(controls!$B$46=1,'main page'!$K$24+'main page'!$K$11+'main page'!$U$8,'main page'!$K$24+'main page'!$K$11+'main page'!$K$32),IF(controls!$B$44=1,IF(V439&lt;0,0,V439),IF(V439+'main page'!$K$11&lt;0,0,V439+'main page'!$K$11)))</f>
        <v>5.4999998509883881</v>
      </c>
      <c r="V439" s="63">
        <f ca="1">IF(controls!$B$10=1,'normal case'!T439+'normal case'!L439,'normal case'!W439)</f>
        <v>5.4999998509883881</v>
      </c>
      <c r="W439" s="61">
        <f t="shared" ca="1" si="53"/>
        <v>5.4999998509883881</v>
      </c>
      <c r="X439" s="166">
        <f ca="1">IF(controls!$B$44=0,Y439+'main page'!$K$29*L439+(1-'main page'!$K$29)*controls!$B$9+(('main page'!$K$25*'main page'!$U$13*'main page'!$K$29)/('main page'!$K$27*(1+('main page'!$K$25^2)*'main page'!$U$13)))*(L439-controls!$B$9),Y439+'main page'!$K$29*L439+(1-'main page'!$K$29)*controls!$B$9+(('main page'!$K$25*'main page'!$U$13*'normal case'!$AV$3)/'normal case'!$AV$4)*('normal case'!L439-controls!$B$9))</f>
        <v>5.4999998509883881</v>
      </c>
      <c r="Y439" s="81">
        <f ca="1">IF(controls!$B$44=1,'main page'!$K$24+'main page'!$K$11,IF(controls!$B$33=1,((I440-D439*AD440-B440+B439*AC440)/'main page'!$K$27)-'main page'!$K$11,((H440-D439*AD440-B440+B439*AC440)/'main page'!$K$27)-'main page'!$K$11))</f>
        <v>3.5</v>
      </c>
      <c r="AA439" s="58">
        <f>IF(controls!$B$6=1,$AS$3*(1+('main page'!$K$35/100))^AB439-$AS$3*(1+('main page'!$K$35/100))^AB438,$AS$3*(1+('main page'!$G$8/100))*(1+('main page'!$K$35/100))^AB439-$AS$3*(1+('main page'!$G$8/100))*(1+('main page'!$K$35/100))^AB438)</f>
        <v>0</v>
      </c>
      <c r="AB439" s="60">
        <v>432</v>
      </c>
      <c r="AC439" s="125">
        <v>0</v>
      </c>
      <c r="AD439" s="36">
        <v>0</v>
      </c>
      <c r="AE439" s="44">
        <f ca="1">IF(controls!$B$33=1,D439-($I$3-'main page'!$K$27*2)*(1+('main page'!$K$35/100))^A438,D439-$AS$4)</f>
        <v>1.0000000596046448</v>
      </c>
      <c r="AF439" s="44">
        <f ca="1">ABS(L439-(controls!$B$9/100)*100)</f>
        <v>1.1920928955078125E-7</v>
      </c>
      <c r="AH439" s="44">
        <f ca="1">IF(controls!$B$33=1,(B440-B439*AC440-I440+D439*AD440+'main page'!$K$27*('main page'!$K$24+'main page'!$K$11))/'main page'!$K$31,(B440-B439*AC440+D439*AD440-H440+'main page'!$K$27*('main page'!$K$24+'main page'!$K$11))/'main page'!$K$31)</f>
        <v>1</v>
      </c>
      <c r="AI439" s="44">
        <f ca="1">IF(controls!$B$45=1,LOG(AM439,1.01)+LOG(AL439,1.01)-LOG(AK439,1.01),-((T439-('main page'!$K$24+'main page'!$K$11))/(1-'normal case'!$AV$3))+'normal case'!AH439)</f>
        <v>2.0000000596046448</v>
      </c>
      <c r="AJ439" s="80">
        <f t="shared" ca="1" si="54"/>
        <v>1.0506250015463039</v>
      </c>
      <c r="AK439" s="44">
        <f t="shared" ca="1" si="55"/>
        <v>5509.74015249893</v>
      </c>
      <c r="AL439" s="44">
        <f>AL438*(1+'main page'!$K$32/100)</f>
        <v>1</v>
      </c>
      <c r="AM439" s="44">
        <f ca="1">IF(ABS(IF(controls!$B$45=1,$AS$13,AK439*AJ439/AL439)-AM438)&lt;0.00001,AM438,IF(controls!$B$45=1,$AS$13,AK439*AJ439/AL439))</f>
        <v>5788.6707562389211</v>
      </c>
      <c r="AN439" s="44">
        <f>IF(controls!$B$46=0,0,IF(controls!$B$33=2,B440-B439*AC440-('normal case'!H440-D439*AD440-'main page'!$K$27*'normal case'!T439+'main page'!$K$31*'normal case'!AI439)-(('main page'!$K$25*'main page'!$U$13*'main page'!$K$29)/(1+('main page'!$K$25^2)*'main page'!$U$13))*('normal case'!L439-'main page'!$U$8),B440-B439*AC440-('normal case'!I440-D439*AD440-'main page'!$K$27*'normal case'!T439+'main page'!$K$31*'normal case'!AI439)-(('main page'!$K$25*'main page'!$U$13*'main page'!$K$29)/(1+('main page'!$K$25^2)*'main page'!$U$13))*('normal case'!L439-'main page'!$U$8)))</f>
        <v>0</v>
      </c>
      <c r="AU439" s="36"/>
      <c r="AV439" s="36"/>
    </row>
    <row r="440" spans="1:48">
      <c r="A440" s="43">
        <v>438</v>
      </c>
      <c r="B440" s="62">
        <f ca="1">IF(controls!$B$33=1,B439*(1+AC440)+AA440,B439*(1+AC440))</f>
        <v>101</v>
      </c>
      <c r="C440" s="67">
        <f t="shared" ca="1" si="56"/>
        <v>-1.5107707374006907E-7</v>
      </c>
      <c r="D440" s="64">
        <f t="shared" ca="1" si="52"/>
        <v>101.00000005960464</v>
      </c>
      <c r="E440" s="64">
        <f ca="1">AN439+IF(controls!$B$33=1,G440,F440)</f>
        <v>101.00000005960464</v>
      </c>
      <c r="F440" s="78">
        <f ca="1">IF(controls!$B$44=0,H440-'main page'!$K$27*T439,H440-'main page'!$K$27*T439+'main page'!$K$31*AI439)</f>
        <v>101.00000005960464</v>
      </c>
      <c r="G440" s="62">
        <f ca="1">IF(controls!$B$44=0,I440-'main page'!$K$27*T439,I440-'main page'!$K$27*T439+'main page'!$K$31*'normal case'!AI439)</f>
        <v>101.00000005960464</v>
      </c>
      <c r="H440" s="62">
        <f t="shared" ca="1" si="58"/>
        <v>108</v>
      </c>
      <c r="I440" s="62">
        <f t="shared" ca="1" si="59"/>
        <v>108</v>
      </c>
      <c r="L440" s="62">
        <f ca="1">IF(ABS('main page'!$K$29*L439+(1-'main page'!$K$29)*(controls!$B$9/100)*100+'main page'!$K$25*(D440-B440)-L439)&lt;0.0000001,L439,'main page'!$K$29*L439+(1-'main page'!$K$29)*(controls!$B$9/100)*100+'main page'!$K$25*(D440-B440))</f>
        <v>1.9999998807907104</v>
      </c>
      <c r="Q440" s="409">
        <f ca="1">(1-'main page'!$K$29)*($AS$11/100)*100+'main page'!$K$25*(D440-B440)</f>
        <v>5.9604644775390625E-8</v>
      </c>
      <c r="R440" s="409">
        <f>'main page'!G444+'main page'!$K$29*M439</f>
        <v>0</v>
      </c>
      <c r="S440" s="409">
        <f t="shared" ca="1" si="57"/>
        <v>5.9604644775390625E-8</v>
      </c>
      <c r="T440" s="79">
        <f ca="1">IF(controls!$B$10=1,T439,IF(SUM(controls!$B$44:$B$46)=2,U440-'main page'!$K$29*'normal case'!L440-(1-'main page'!$K$29)*'main page'!$K$32,U440-'main page'!$K$29*'normal case'!L440-(1-'main page'!$K$29)*controls!$B$9))</f>
        <v>3.4999999701976776</v>
      </c>
      <c r="U440" s="164">
        <f ca="1">IF(controls!$B$45=1,IF(controls!$B$46=1,'main page'!$K$24+'main page'!$K$11+'main page'!$U$8,'main page'!$K$24+'main page'!$K$11+'main page'!$K$32),IF(controls!$B$44=1,IF(V440&lt;0,0,V440),IF(V440+'main page'!$K$11&lt;0,0,V440+'main page'!$K$11)))</f>
        <v>5.4999998509883881</v>
      </c>
      <c r="V440" s="63">
        <f ca="1">IF(controls!$B$10=1,'normal case'!T440+'normal case'!L440,'normal case'!W440)</f>
        <v>5.4999998509883881</v>
      </c>
      <c r="W440" s="61">
        <f t="shared" ca="1" si="53"/>
        <v>5.4999998509883881</v>
      </c>
      <c r="X440" s="166">
        <f ca="1">IF(controls!$B$44=0,Y440+'main page'!$K$29*L440+(1-'main page'!$K$29)*controls!$B$9+(('main page'!$K$25*'main page'!$U$13*'main page'!$K$29)/('main page'!$K$27*(1+('main page'!$K$25^2)*'main page'!$U$13)))*(L440-controls!$B$9),Y440+'main page'!$K$29*L440+(1-'main page'!$K$29)*controls!$B$9+(('main page'!$K$25*'main page'!$U$13*'normal case'!$AV$3)/'normal case'!$AV$4)*('normal case'!L440-controls!$B$9))</f>
        <v>5.4999998509883881</v>
      </c>
      <c r="Y440" s="81">
        <f ca="1">IF(controls!$B$44=1,'main page'!$K$24+'main page'!$K$11,IF(controls!$B$33=1,((I441-D440*AD441-B441+B440*AC441)/'main page'!$K$27)-'main page'!$K$11,((H441-D440*AD441-B441+B440*AC441)/'main page'!$K$27)-'main page'!$K$11))</f>
        <v>3.5</v>
      </c>
      <c r="AA440" s="58">
        <f>IF(controls!$B$6=1,$AS$3*(1+('main page'!$K$35/100))^AB440-$AS$3*(1+('main page'!$K$35/100))^AB439,$AS$3*(1+('main page'!$G$8/100))*(1+('main page'!$K$35/100))^AB440-$AS$3*(1+('main page'!$G$8/100))*(1+('main page'!$K$35/100))^AB439)</f>
        <v>0</v>
      </c>
      <c r="AB440" s="60">
        <v>433</v>
      </c>
      <c r="AC440" s="125">
        <f ca="1">IF(controls!$B$4=1,IF(controls!$H439=1,controls!$B$34*AC439+RAND()*('main page'!$K$16/100)-RAND()*('main page'!$K$16/100),0),0)</f>
        <v>0</v>
      </c>
      <c r="AD440" s="36">
        <f ca="1">IF(controls!$B$4=1,IF(controls!$I439=1,controls!$B$34*AD439+RAND()*('main page'!$K$16/100)-RAND()*('main page'!$K$16/100),0),0)</f>
        <v>0</v>
      </c>
      <c r="AE440" s="44">
        <f ca="1">IF(controls!$B$33=1,D440-($I$3-'main page'!$K$27*2)*(1+('main page'!$K$35/100))^A439,D440-$AS$4)</f>
        <v>1.0000000596046448</v>
      </c>
      <c r="AF440" s="44">
        <f ca="1">ABS(L440-(controls!$B$9/100)*100)</f>
        <v>1.1920928955078125E-7</v>
      </c>
      <c r="AH440" s="44">
        <f ca="1">IF(controls!$B$33=1,(B441-B440*AC441-I441+D440*AD441+'main page'!$K$27*('main page'!$K$24+'main page'!$K$11))/'main page'!$K$31,(B441-B440*AC441+D440*AD441-H441+'main page'!$K$27*('main page'!$K$24+'main page'!$K$11))/'main page'!$K$31)</f>
        <v>1</v>
      </c>
      <c r="AI440" s="44">
        <f ca="1">IF(controls!$B$45=1,LOG(AM440,1.01)+LOG(AL440,1.01)-LOG(AK440,1.01),-((T440-('main page'!$K$24+'main page'!$K$11))/(1-'normal case'!$AV$3))+'normal case'!AH440)</f>
        <v>2.0000000596046448</v>
      </c>
      <c r="AJ440" s="80">
        <f t="shared" ca="1" si="54"/>
        <v>1.0506250015463039</v>
      </c>
      <c r="AK440" s="44">
        <f t="shared" ca="1" si="55"/>
        <v>5619.9349489807864</v>
      </c>
      <c r="AL440" s="44">
        <f>AL439*(1+'main page'!$K$32/100)</f>
        <v>1</v>
      </c>
      <c r="AM440" s="44">
        <f ca="1">IF(ABS(IF(controls!$B$45=1,$AS$13,AK440*AJ440/AL440)-AM439)&lt;0.00001,AM439,IF(controls!$B$45=1,$AS$13,AK440*AJ440/AL440))</f>
        <v>5904.444164463066</v>
      </c>
      <c r="AN440" s="44">
        <f>IF(controls!$B$46=0,0,IF(controls!$B$33=2,B441-B440*AC441-('normal case'!H441-D440*AD441-'main page'!$K$27*'normal case'!T440+'main page'!$K$31*'normal case'!AI440)-(('main page'!$K$25*'main page'!$U$13*'main page'!$K$29)/(1+('main page'!$K$25^2)*'main page'!$U$13))*('normal case'!L440-'main page'!$U$8),B441-B440*AC441-('normal case'!I441-D440*AD441-'main page'!$K$27*'normal case'!T440+'main page'!$K$31*'normal case'!AI440)-(('main page'!$K$25*'main page'!$U$13*'main page'!$K$29)/(1+('main page'!$K$25^2)*'main page'!$U$13))*('normal case'!L440-'main page'!$U$8)))</f>
        <v>0</v>
      </c>
      <c r="AU440" s="36"/>
      <c r="AV440" s="36"/>
    </row>
    <row r="441" spans="1:48">
      <c r="A441" s="43">
        <v>439</v>
      </c>
      <c r="B441" s="62">
        <f ca="1">IF(controls!$B$33=1,B440*(1+AC441)+AA441,B440*(1+AC441))</f>
        <v>101</v>
      </c>
      <c r="C441" s="67">
        <f t="shared" ca="1" si="56"/>
        <v>-1.5107707374006907E-7</v>
      </c>
      <c r="D441" s="64">
        <f t="shared" ca="1" si="52"/>
        <v>101.00000005960464</v>
      </c>
      <c r="E441" s="64">
        <f ca="1">AN440+IF(controls!$B$33=1,G441,F441)</f>
        <v>101.00000005960464</v>
      </c>
      <c r="F441" s="78">
        <f ca="1">IF(controls!$B$44=0,H441-'main page'!$K$27*T440,H441-'main page'!$K$27*T440+'main page'!$K$31*AI440)</f>
        <v>101.00000005960464</v>
      </c>
      <c r="G441" s="62">
        <f ca="1">IF(controls!$B$44=0,I441-'main page'!$K$27*T440,I441-'main page'!$K$27*T440+'main page'!$K$31*'normal case'!AI440)</f>
        <v>101.00000005960464</v>
      </c>
      <c r="H441" s="62">
        <f t="shared" ca="1" si="58"/>
        <v>108</v>
      </c>
      <c r="I441" s="62">
        <f t="shared" ca="1" si="59"/>
        <v>108</v>
      </c>
      <c r="L441" s="62">
        <f ca="1">IF(ABS('main page'!$K$29*L440+(1-'main page'!$K$29)*(controls!$B$9/100)*100+'main page'!$K$25*(D441-B441)-L440)&lt;0.0000001,L440,'main page'!$K$29*L440+(1-'main page'!$K$29)*(controls!$B$9/100)*100+'main page'!$K$25*(D441-B441))</f>
        <v>1.9999998807907104</v>
      </c>
      <c r="Q441" s="409">
        <f ca="1">(1-'main page'!$K$29)*($AS$11/100)*100+'main page'!$K$25*(D441-B441)</f>
        <v>5.9604644775390625E-8</v>
      </c>
      <c r="R441" s="409">
        <f>'main page'!G445+'main page'!$K$29*M440</f>
        <v>0</v>
      </c>
      <c r="S441" s="409">
        <f t="shared" ca="1" si="57"/>
        <v>5.9604644775390625E-8</v>
      </c>
      <c r="T441" s="79">
        <f ca="1">IF(controls!$B$10=1,T440,IF(SUM(controls!$B$44:$B$46)=2,U441-'main page'!$K$29*'normal case'!L441-(1-'main page'!$K$29)*'main page'!$K$32,U441-'main page'!$K$29*'normal case'!L441-(1-'main page'!$K$29)*controls!$B$9))</f>
        <v>3.4999999701976776</v>
      </c>
      <c r="U441" s="164">
        <f ca="1">IF(controls!$B$45=1,IF(controls!$B$46=1,'main page'!$K$24+'main page'!$K$11+'main page'!$U$8,'main page'!$K$24+'main page'!$K$11+'main page'!$K$32),IF(controls!$B$44=1,IF(V441&lt;0,0,V441),IF(V441+'main page'!$K$11&lt;0,0,V441+'main page'!$K$11)))</f>
        <v>5.4999998509883881</v>
      </c>
      <c r="V441" s="63">
        <f ca="1">IF(controls!$B$10=1,'normal case'!T441+'normal case'!L441,'normal case'!W441)</f>
        <v>5.4999998509883881</v>
      </c>
      <c r="W441" s="61">
        <f t="shared" ca="1" si="53"/>
        <v>5.4999998509883881</v>
      </c>
      <c r="X441" s="166">
        <f ca="1">IF(controls!$B$44=0,Y441+'main page'!$K$29*L441+(1-'main page'!$K$29)*controls!$B$9+(('main page'!$K$25*'main page'!$U$13*'main page'!$K$29)/('main page'!$K$27*(1+('main page'!$K$25^2)*'main page'!$U$13)))*(L441-controls!$B$9),Y441+'main page'!$K$29*L441+(1-'main page'!$K$29)*controls!$B$9+(('main page'!$K$25*'main page'!$U$13*'normal case'!$AV$3)/'normal case'!$AV$4)*('normal case'!L441-controls!$B$9))</f>
        <v>5.4999998509883881</v>
      </c>
      <c r="Y441" s="81">
        <f ca="1">IF(controls!$B$44=1,'main page'!$K$24+'main page'!$K$11,IF(controls!$B$33=1,((I442-D441*AD442-B442+B441*AC442)/'main page'!$K$27)-'main page'!$K$11,((H442-D441*AD442-B442+B441*AC442)/'main page'!$K$27)-'main page'!$K$11))</f>
        <v>3.5</v>
      </c>
      <c r="AA441" s="58">
        <f>IF(controls!$B$6=1,$AS$3*(1+('main page'!$K$35/100))^AB441-$AS$3*(1+('main page'!$K$35/100))^AB440,$AS$3*(1+('main page'!$G$8/100))*(1+('main page'!$K$35/100))^AB441-$AS$3*(1+('main page'!$G$8/100))*(1+('main page'!$K$35/100))^AB440)</f>
        <v>0</v>
      </c>
      <c r="AB441" s="60">
        <v>434</v>
      </c>
      <c r="AC441" s="125">
        <v>0</v>
      </c>
      <c r="AD441" s="36">
        <v>0</v>
      </c>
      <c r="AE441" s="44">
        <f ca="1">IF(controls!$B$33=1,D441-($I$3-'main page'!$K$27*2)*(1+('main page'!$K$35/100))^A440,D441-$AS$4)</f>
        <v>1.0000000596046448</v>
      </c>
      <c r="AF441" s="44">
        <f ca="1">ABS(L441-(controls!$B$9/100)*100)</f>
        <v>1.1920928955078125E-7</v>
      </c>
      <c r="AH441" s="44">
        <f ca="1">IF(controls!$B$33=1,(B442-B441*AC442-I442+D441*AD442+'main page'!$K$27*('main page'!$K$24+'main page'!$K$11))/'main page'!$K$31,(B442-B441*AC442+D441*AD442-H442+'main page'!$K$27*('main page'!$K$24+'main page'!$K$11))/'main page'!$K$31)</f>
        <v>1</v>
      </c>
      <c r="AI441" s="44">
        <f ca="1">IF(controls!$B$45=1,LOG(AM441,1.01)+LOG(AL441,1.01)-LOG(AK441,1.01),-((T441-('main page'!$K$24+'main page'!$K$11))/(1-'normal case'!$AV$3))+'normal case'!AH441)</f>
        <v>2.0000000596046448</v>
      </c>
      <c r="AJ441" s="80">
        <f t="shared" ca="1" si="54"/>
        <v>1.0506250015463039</v>
      </c>
      <c r="AK441" s="44">
        <f t="shared" ca="1" si="55"/>
        <v>5732.3336412609178</v>
      </c>
      <c r="AL441" s="44">
        <f>AL440*(1+'main page'!$K$32/100)</f>
        <v>1</v>
      </c>
      <c r="AM441" s="44">
        <f ca="1">IF(ABS(IF(controls!$B$45=1,$AS$13,AK441*AJ441/AL441)-AM440)&lt;0.00001,AM440,IF(controls!$B$45=1,$AS$13,AK441*AJ441/AL441))</f>
        <v>6022.5330407136817</v>
      </c>
      <c r="AN441" s="44">
        <f>IF(controls!$B$46=0,0,IF(controls!$B$33=2,B442-B441*AC442-('normal case'!H442-D441*AD442-'main page'!$K$27*'normal case'!T441+'main page'!$K$31*'normal case'!AI441)-(('main page'!$K$25*'main page'!$U$13*'main page'!$K$29)/(1+('main page'!$K$25^2)*'main page'!$U$13))*('normal case'!L441-'main page'!$U$8),B442-B441*AC442-('normal case'!I442-D441*AD442-'main page'!$K$27*'normal case'!T441+'main page'!$K$31*'normal case'!AI441)-(('main page'!$K$25*'main page'!$U$13*'main page'!$K$29)/(1+('main page'!$K$25^2)*'main page'!$U$13))*('normal case'!L441-'main page'!$U$8)))</f>
        <v>0</v>
      </c>
      <c r="AU441" s="36"/>
      <c r="AV441" s="36"/>
    </row>
    <row r="442" spans="1:48">
      <c r="A442" s="43">
        <v>440</v>
      </c>
      <c r="B442" s="62">
        <f ca="1">IF(controls!$B$33=1,B441*(1+AC442)+AA442,B441*(1+AC442))</f>
        <v>101</v>
      </c>
      <c r="C442" s="67">
        <f t="shared" ca="1" si="56"/>
        <v>-1.5107707374006907E-7</v>
      </c>
      <c r="D442" s="64">
        <f t="shared" ca="1" si="52"/>
        <v>101.00000005960464</v>
      </c>
      <c r="E442" s="64">
        <f ca="1">AN441+IF(controls!$B$33=1,G442,F442)</f>
        <v>101.00000005960464</v>
      </c>
      <c r="F442" s="78">
        <f ca="1">IF(controls!$B$44=0,H442-'main page'!$K$27*T441,H442-'main page'!$K$27*T441+'main page'!$K$31*AI441)</f>
        <v>101.00000005960464</v>
      </c>
      <c r="G442" s="62">
        <f ca="1">IF(controls!$B$44=0,I442-'main page'!$K$27*T441,I442-'main page'!$K$27*T441+'main page'!$K$31*'normal case'!AI441)</f>
        <v>101.00000005960464</v>
      </c>
      <c r="H442" s="62">
        <f t="shared" ca="1" si="58"/>
        <v>108</v>
      </c>
      <c r="I442" s="62">
        <f t="shared" ca="1" si="59"/>
        <v>108</v>
      </c>
      <c r="L442" s="62">
        <f ca="1">IF(ABS('main page'!$K$29*L441+(1-'main page'!$K$29)*(controls!$B$9/100)*100+'main page'!$K$25*(D442-B442)-L441)&lt;0.0000001,L441,'main page'!$K$29*L441+(1-'main page'!$K$29)*(controls!$B$9/100)*100+'main page'!$K$25*(D442-B442))</f>
        <v>1.9999998807907104</v>
      </c>
      <c r="Q442" s="409">
        <f ca="1">(1-'main page'!$K$29)*($AS$11/100)*100+'main page'!$K$25*(D442-B442)</f>
        <v>5.9604644775390625E-8</v>
      </c>
      <c r="R442" s="409">
        <f>'main page'!G446+'main page'!$K$29*M441</f>
        <v>0</v>
      </c>
      <c r="S442" s="409">
        <f t="shared" ca="1" si="57"/>
        <v>5.9604644775390625E-8</v>
      </c>
      <c r="T442" s="79">
        <f ca="1">IF(controls!$B$10=1,T441,IF(SUM(controls!$B$44:$B$46)=2,U442-'main page'!$K$29*'normal case'!L442-(1-'main page'!$K$29)*'main page'!$K$32,U442-'main page'!$K$29*'normal case'!L442-(1-'main page'!$K$29)*controls!$B$9))</f>
        <v>3.4999999701976776</v>
      </c>
      <c r="U442" s="164">
        <f ca="1">IF(controls!$B$45=1,IF(controls!$B$46=1,'main page'!$K$24+'main page'!$K$11+'main page'!$U$8,'main page'!$K$24+'main page'!$K$11+'main page'!$K$32),IF(controls!$B$44=1,IF(V442&lt;0,0,V442),IF(V442+'main page'!$K$11&lt;0,0,V442+'main page'!$K$11)))</f>
        <v>5.4999998509883881</v>
      </c>
      <c r="V442" s="63">
        <f ca="1">IF(controls!$B$10=1,'normal case'!T442+'normal case'!L442,'normal case'!W442)</f>
        <v>5.4999998509883881</v>
      </c>
      <c r="W442" s="61">
        <f t="shared" ca="1" si="53"/>
        <v>5.4999998509883881</v>
      </c>
      <c r="X442" s="166">
        <f ca="1">IF(controls!$B$44=0,Y442+'main page'!$K$29*L442+(1-'main page'!$K$29)*controls!$B$9+(('main page'!$K$25*'main page'!$U$13*'main page'!$K$29)/('main page'!$K$27*(1+('main page'!$K$25^2)*'main page'!$U$13)))*(L442-controls!$B$9),Y442+'main page'!$K$29*L442+(1-'main page'!$K$29)*controls!$B$9+(('main page'!$K$25*'main page'!$U$13*'normal case'!$AV$3)/'normal case'!$AV$4)*('normal case'!L442-controls!$B$9))</f>
        <v>5.4999998509883881</v>
      </c>
      <c r="Y442" s="81">
        <f ca="1">IF(controls!$B$44=1,'main page'!$K$24+'main page'!$K$11,IF(controls!$B$33=1,((I443-D442*AD443-B443+B442*AC443)/'main page'!$K$27)-'main page'!$K$11,((H443-D442*AD443-B443+B442*AC443)/'main page'!$K$27)-'main page'!$K$11))</f>
        <v>3.5</v>
      </c>
      <c r="AA442" s="58">
        <f>IF(controls!$B$6=1,$AS$3*(1+('main page'!$K$35/100))^AB442-$AS$3*(1+('main page'!$K$35/100))^AB441,$AS$3*(1+('main page'!$G$8/100))*(1+('main page'!$K$35/100))^AB442-$AS$3*(1+('main page'!$G$8/100))*(1+('main page'!$K$35/100))^AB441)</f>
        <v>0</v>
      </c>
      <c r="AB442" s="60">
        <v>435</v>
      </c>
      <c r="AC442" s="125">
        <v>0</v>
      </c>
      <c r="AD442" s="36">
        <v>0</v>
      </c>
      <c r="AE442" s="44">
        <f ca="1">IF(controls!$B$33=1,D442-($I$3-'main page'!$K$27*2)*(1+('main page'!$K$35/100))^A441,D442-$AS$4)</f>
        <v>1.0000000596046448</v>
      </c>
      <c r="AF442" s="44">
        <f ca="1">ABS(L442-(controls!$B$9/100)*100)</f>
        <v>1.1920928955078125E-7</v>
      </c>
      <c r="AH442" s="44">
        <f ca="1">IF(controls!$B$33=1,(B443-B442*AC443-I443+D442*AD443+'main page'!$K$27*('main page'!$K$24+'main page'!$K$11))/'main page'!$K$31,(B443-B442*AC443+D442*AD443-H443+'main page'!$K$27*('main page'!$K$24+'main page'!$K$11))/'main page'!$K$31)</f>
        <v>1</v>
      </c>
      <c r="AI442" s="44">
        <f ca="1">IF(controls!$B$45=1,LOG(AM442,1.01)+LOG(AL442,1.01)-LOG(AK442,1.01),-((T442-('main page'!$K$24+'main page'!$K$11))/(1-'normal case'!$AV$3))+'normal case'!AH442)</f>
        <v>2.0000000596046448</v>
      </c>
      <c r="AJ442" s="80">
        <f t="shared" ca="1" si="54"/>
        <v>1.0506250015463039</v>
      </c>
      <c r="AK442" s="44">
        <f t="shared" ca="1" si="55"/>
        <v>5846.980307252662</v>
      </c>
      <c r="AL442" s="44">
        <f>AL441*(1+'main page'!$K$32/100)</f>
        <v>1</v>
      </c>
      <c r="AM442" s="44">
        <f ca="1">IF(ABS(IF(controls!$B$45=1,$AS$13,AK442*AJ442/AL442)-AM441)&lt;0.00001,AM441,IF(controls!$B$45=1,$AS$13,AK442*AJ442/AL442))</f>
        <v>6142.9836943485361</v>
      </c>
      <c r="AN442" s="44">
        <f>IF(controls!$B$46=0,0,IF(controls!$B$33=2,B443-B442*AC443-('normal case'!H443-D442*AD443-'main page'!$K$27*'normal case'!T442+'main page'!$K$31*'normal case'!AI442)-(('main page'!$K$25*'main page'!$U$13*'main page'!$K$29)/(1+('main page'!$K$25^2)*'main page'!$U$13))*('normal case'!L442-'main page'!$U$8),B443-B442*AC443-('normal case'!I443-D442*AD443-'main page'!$K$27*'normal case'!T442+'main page'!$K$31*'normal case'!AI442)-(('main page'!$K$25*'main page'!$U$13*'main page'!$K$29)/(1+('main page'!$K$25^2)*'main page'!$U$13))*('normal case'!L442-'main page'!$U$8)))</f>
        <v>0</v>
      </c>
      <c r="AU442" s="36"/>
      <c r="AV442" s="36"/>
    </row>
    <row r="443" spans="1:48">
      <c r="A443" s="43">
        <v>441</v>
      </c>
      <c r="B443" s="62">
        <f ca="1">IF(controls!$B$33=1,B442*(1+AC443)+AA443,B442*(1+AC443))</f>
        <v>101</v>
      </c>
      <c r="C443" s="67">
        <f t="shared" ca="1" si="56"/>
        <v>-1.5107707374006907E-7</v>
      </c>
      <c r="D443" s="64">
        <f t="shared" ca="1" si="52"/>
        <v>101.00000005960464</v>
      </c>
      <c r="E443" s="64">
        <f ca="1">AN442+IF(controls!$B$33=1,G443,F443)</f>
        <v>101.00000005960464</v>
      </c>
      <c r="F443" s="78">
        <f ca="1">IF(controls!$B$44=0,H443-'main page'!$K$27*T442,H443-'main page'!$K$27*T442+'main page'!$K$31*AI442)</f>
        <v>101.00000005960464</v>
      </c>
      <c r="G443" s="62">
        <f ca="1">IF(controls!$B$44=0,I443-'main page'!$K$27*T442,I443-'main page'!$K$27*T442+'main page'!$K$31*'normal case'!AI442)</f>
        <v>101.00000005960464</v>
      </c>
      <c r="H443" s="62">
        <f t="shared" ca="1" si="58"/>
        <v>108</v>
      </c>
      <c r="I443" s="62">
        <f t="shared" ca="1" si="59"/>
        <v>108</v>
      </c>
      <c r="L443" s="62">
        <f ca="1">IF(ABS('main page'!$K$29*L442+(1-'main page'!$K$29)*(controls!$B$9/100)*100+'main page'!$K$25*(D443-B443)-L442)&lt;0.0000001,L442,'main page'!$K$29*L442+(1-'main page'!$K$29)*(controls!$B$9/100)*100+'main page'!$K$25*(D443-B443))</f>
        <v>1.9999998807907104</v>
      </c>
      <c r="Q443" s="409">
        <f ca="1">(1-'main page'!$K$29)*($AS$11/100)*100+'main page'!$K$25*(D443-B443)</f>
        <v>5.9604644775390625E-8</v>
      </c>
      <c r="R443" s="409">
        <f>'main page'!G447+'main page'!$K$29*M442</f>
        <v>0</v>
      </c>
      <c r="S443" s="409">
        <f t="shared" ca="1" si="57"/>
        <v>5.9604644775390625E-8</v>
      </c>
      <c r="T443" s="79">
        <f ca="1">IF(controls!$B$10=1,T442,IF(SUM(controls!$B$44:$B$46)=2,U443-'main page'!$K$29*'normal case'!L443-(1-'main page'!$K$29)*'main page'!$K$32,U443-'main page'!$K$29*'normal case'!L443-(1-'main page'!$K$29)*controls!$B$9))</f>
        <v>3.4999999701976776</v>
      </c>
      <c r="U443" s="164">
        <f ca="1">IF(controls!$B$45=1,IF(controls!$B$46=1,'main page'!$K$24+'main page'!$K$11+'main page'!$U$8,'main page'!$K$24+'main page'!$K$11+'main page'!$K$32),IF(controls!$B$44=1,IF(V443&lt;0,0,V443),IF(V443+'main page'!$K$11&lt;0,0,V443+'main page'!$K$11)))</f>
        <v>5.4999998509883881</v>
      </c>
      <c r="V443" s="63">
        <f ca="1">IF(controls!$B$10=1,'normal case'!T443+'normal case'!L443,'normal case'!W443)</f>
        <v>5.4999998509883881</v>
      </c>
      <c r="W443" s="61">
        <f t="shared" ca="1" si="53"/>
        <v>5.4999998509883881</v>
      </c>
      <c r="X443" s="166">
        <f ca="1">IF(controls!$B$44=0,Y443+'main page'!$K$29*L443+(1-'main page'!$K$29)*controls!$B$9+(('main page'!$K$25*'main page'!$U$13*'main page'!$K$29)/('main page'!$K$27*(1+('main page'!$K$25^2)*'main page'!$U$13)))*(L443-controls!$B$9),Y443+'main page'!$K$29*L443+(1-'main page'!$K$29)*controls!$B$9+(('main page'!$K$25*'main page'!$U$13*'normal case'!$AV$3)/'normal case'!$AV$4)*('normal case'!L443-controls!$B$9))</f>
        <v>5.4999998509883881</v>
      </c>
      <c r="Y443" s="81">
        <f ca="1">IF(controls!$B$44=1,'main page'!$K$24+'main page'!$K$11,IF(controls!$B$33=1,((I444-D443*AD444-B444+B443*AC444)/'main page'!$K$27)-'main page'!$K$11,((H444-D443*AD444-B444+B443*AC444)/'main page'!$K$27)-'main page'!$K$11))</f>
        <v>3.5</v>
      </c>
      <c r="AA443" s="58">
        <f>IF(controls!$B$6=1,$AS$3*(1+('main page'!$K$35/100))^AB443-$AS$3*(1+('main page'!$K$35/100))^AB442,$AS$3*(1+('main page'!$G$8/100))*(1+('main page'!$K$35/100))^AB443-$AS$3*(1+('main page'!$G$8/100))*(1+('main page'!$K$35/100))^AB442)</f>
        <v>0</v>
      </c>
      <c r="AB443" s="60">
        <v>436</v>
      </c>
      <c r="AC443" s="125">
        <f ca="1">IF(controls!$B$4=1,IF(controls!$H442=1,controls!$B$34*AC442+RAND()*('main page'!$K$16/100)-RAND()*('main page'!$K$16/100),0),0)</f>
        <v>0</v>
      </c>
      <c r="AD443" s="36">
        <f ca="1">IF(controls!$B$4=1,IF(controls!$I442=1,controls!$B$34*AD442+RAND()*('main page'!$K$16/100)-RAND()*('main page'!$K$16/100),0),0)</f>
        <v>0</v>
      </c>
      <c r="AE443" s="44">
        <f ca="1">IF(controls!$B$33=1,D443-($I$3-'main page'!$K$27*2)*(1+('main page'!$K$35/100))^A442,D443-$AS$4)</f>
        <v>1.0000000596046448</v>
      </c>
      <c r="AF443" s="44">
        <f ca="1">ABS(L443-(controls!$B$9/100)*100)</f>
        <v>1.1920928955078125E-7</v>
      </c>
      <c r="AH443" s="44">
        <f ca="1">IF(controls!$B$33=1,(B444-B443*AC444-I444+D443*AD444+'main page'!$K$27*('main page'!$K$24+'main page'!$K$11))/'main page'!$K$31,(B444-B443*AC444+D443*AD444-H444+'main page'!$K$27*('main page'!$K$24+'main page'!$K$11))/'main page'!$K$31)</f>
        <v>1</v>
      </c>
      <c r="AI443" s="44">
        <f ca="1">IF(controls!$B$45=1,LOG(AM443,1.01)+LOG(AL443,1.01)-LOG(AK443,1.01),-((T443-('main page'!$K$24+'main page'!$K$11))/(1-'normal case'!$AV$3))+'normal case'!AH443)</f>
        <v>2.0000000596046448</v>
      </c>
      <c r="AJ443" s="80">
        <f t="shared" ca="1" si="54"/>
        <v>1.0506250015463039</v>
      </c>
      <c r="AK443" s="44">
        <f t="shared" ca="1" si="55"/>
        <v>5963.9199064275717</v>
      </c>
      <c r="AL443" s="44">
        <f>AL442*(1+'main page'!$K$32/100)</f>
        <v>1</v>
      </c>
      <c r="AM443" s="44">
        <f ca="1">IF(ABS(IF(controls!$B$45=1,$AS$13,AK443*AJ443/AL443)-AM442)&lt;0.00001,AM442,IF(controls!$B$45=1,$AS$13,AK443*AJ443/AL443))</f>
        <v>6265.8433609125004</v>
      </c>
      <c r="AN443" s="44">
        <f>IF(controls!$B$46=0,0,IF(controls!$B$33=2,B444-B443*AC444-('normal case'!H444-D443*AD444-'main page'!$K$27*'normal case'!T443+'main page'!$K$31*'normal case'!AI443)-(('main page'!$K$25*'main page'!$U$13*'main page'!$K$29)/(1+('main page'!$K$25^2)*'main page'!$U$13))*('normal case'!L443-'main page'!$U$8),B444-B443*AC444-('normal case'!I444-D443*AD444-'main page'!$K$27*'normal case'!T443+'main page'!$K$31*'normal case'!AI443)-(('main page'!$K$25*'main page'!$U$13*'main page'!$K$29)/(1+('main page'!$K$25^2)*'main page'!$U$13))*('normal case'!L443-'main page'!$U$8)))</f>
        <v>0</v>
      </c>
      <c r="AU443" s="36"/>
      <c r="AV443" s="36"/>
    </row>
    <row r="444" spans="1:48">
      <c r="A444" s="43">
        <v>442</v>
      </c>
      <c r="B444" s="62">
        <f ca="1">IF(controls!$B$33=1,B443*(1+AC444)+AA444,B443*(1+AC444))</f>
        <v>101</v>
      </c>
      <c r="C444" s="67">
        <f t="shared" ca="1" si="56"/>
        <v>-1.5107707374006907E-7</v>
      </c>
      <c r="D444" s="64">
        <f t="shared" ca="1" si="52"/>
        <v>101.00000005960464</v>
      </c>
      <c r="E444" s="64">
        <f ca="1">AN443+IF(controls!$B$33=1,G444,F444)</f>
        <v>101.00000005960464</v>
      </c>
      <c r="F444" s="78">
        <f ca="1">IF(controls!$B$44=0,H444-'main page'!$K$27*T443,H444-'main page'!$K$27*T443+'main page'!$K$31*AI443)</f>
        <v>101.00000005960464</v>
      </c>
      <c r="G444" s="62">
        <f ca="1">IF(controls!$B$44=0,I444-'main page'!$K$27*T443,I444-'main page'!$K$27*T443+'main page'!$K$31*'normal case'!AI443)</f>
        <v>101.00000005960464</v>
      </c>
      <c r="H444" s="62">
        <f t="shared" ca="1" si="58"/>
        <v>108</v>
      </c>
      <c r="I444" s="62">
        <f t="shared" ca="1" si="59"/>
        <v>108</v>
      </c>
      <c r="L444" s="62">
        <f ca="1">IF(ABS('main page'!$K$29*L443+(1-'main page'!$K$29)*(controls!$B$9/100)*100+'main page'!$K$25*(D444-B444)-L443)&lt;0.0000001,L443,'main page'!$K$29*L443+(1-'main page'!$K$29)*(controls!$B$9/100)*100+'main page'!$K$25*(D444-B444))</f>
        <v>1.9999998807907104</v>
      </c>
      <c r="Q444" s="409">
        <f ca="1">(1-'main page'!$K$29)*($AS$11/100)*100+'main page'!$K$25*(D444-B444)</f>
        <v>5.9604644775390625E-8</v>
      </c>
      <c r="R444" s="409">
        <f>'main page'!G448+'main page'!$K$29*M443</f>
        <v>0</v>
      </c>
      <c r="S444" s="409">
        <f t="shared" ca="1" si="57"/>
        <v>5.9604644775390625E-8</v>
      </c>
      <c r="T444" s="79">
        <f ca="1">IF(controls!$B$10=1,T443,IF(SUM(controls!$B$44:$B$46)=2,U444-'main page'!$K$29*'normal case'!L444-(1-'main page'!$K$29)*'main page'!$K$32,U444-'main page'!$K$29*'normal case'!L444-(1-'main page'!$K$29)*controls!$B$9))</f>
        <v>3.4999999701976776</v>
      </c>
      <c r="U444" s="164">
        <f ca="1">IF(controls!$B$45=1,IF(controls!$B$46=1,'main page'!$K$24+'main page'!$K$11+'main page'!$U$8,'main page'!$K$24+'main page'!$K$11+'main page'!$K$32),IF(controls!$B$44=1,IF(V444&lt;0,0,V444),IF(V444+'main page'!$K$11&lt;0,0,V444+'main page'!$K$11)))</f>
        <v>5.4999998509883881</v>
      </c>
      <c r="V444" s="63">
        <f ca="1">IF(controls!$B$10=1,'normal case'!T444+'normal case'!L444,'normal case'!W444)</f>
        <v>5.4999998509883881</v>
      </c>
      <c r="W444" s="61">
        <f t="shared" ca="1" si="53"/>
        <v>5.4999998509883881</v>
      </c>
      <c r="X444" s="166">
        <f ca="1">IF(controls!$B$44=0,Y444+'main page'!$K$29*L444+(1-'main page'!$K$29)*controls!$B$9+(('main page'!$K$25*'main page'!$U$13*'main page'!$K$29)/('main page'!$K$27*(1+('main page'!$K$25^2)*'main page'!$U$13)))*(L444-controls!$B$9),Y444+'main page'!$K$29*L444+(1-'main page'!$K$29)*controls!$B$9+(('main page'!$K$25*'main page'!$U$13*'normal case'!$AV$3)/'normal case'!$AV$4)*('normal case'!L444-controls!$B$9))</f>
        <v>5.4999998509883881</v>
      </c>
      <c r="Y444" s="81">
        <f ca="1">IF(controls!$B$44=1,'main page'!$K$24+'main page'!$K$11,IF(controls!$B$33=1,((I445-D444*AD445-B445+B444*AC445)/'main page'!$K$27)-'main page'!$K$11,((H445-D444*AD445-B445+B444*AC445)/'main page'!$K$27)-'main page'!$K$11))</f>
        <v>3.5</v>
      </c>
      <c r="AA444" s="58">
        <f>IF(controls!$B$6=1,$AS$3*(1+('main page'!$K$35/100))^AB444-$AS$3*(1+('main page'!$K$35/100))^AB443,$AS$3*(1+('main page'!$G$8/100))*(1+('main page'!$K$35/100))^AB444-$AS$3*(1+('main page'!$G$8/100))*(1+('main page'!$K$35/100))^AB443)</f>
        <v>0</v>
      </c>
      <c r="AB444" s="60">
        <v>437</v>
      </c>
      <c r="AC444" s="125">
        <v>0</v>
      </c>
      <c r="AD444" s="36">
        <v>0</v>
      </c>
      <c r="AE444" s="44">
        <f ca="1">IF(controls!$B$33=1,D444-($I$3-'main page'!$K$27*2)*(1+('main page'!$K$35/100))^A443,D444-$AS$4)</f>
        <v>1.0000000596046448</v>
      </c>
      <c r="AF444" s="44">
        <f ca="1">ABS(L444-(controls!$B$9/100)*100)</f>
        <v>1.1920928955078125E-7</v>
      </c>
      <c r="AH444" s="44">
        <f ca="1">IF(controls!$B$33=1,(B445-B444*AC445-I445+D444*AD445+'main page'!$K$27*('main page'!$K$24+'main page'!$K$11))/'main page'!$K$31,(B445-B444*AC445+D444*AD445-H445+'main page'!$K$27*('main page'!$K$24+'main page'!$K$11))/'main page'!$K$31)</f>
        <v>1</v>
      </c>
      <c r="AI444" s="44">
        <f ca="1">IF(controls!$B$45=1,LOG(AM444,1.01)+LOG(AL444,1.01)-LOG(AK444,1.01),-((T444-('main page'!$K$24+'main page'!$K$11))/(1-'normal case'!$AV$3))+'normal case'!AH444)</f>
        <v>2.0000000596046448</v>
      </c>
      <c r="AJ444" s="80">
        <f t="shared" ca="1" si="54"/>
        <v>1.0506250015463039</v>
      </c>
      <c r="AK444" s="44">
        <f t="shared" ca="1" si="55"/>
        <v>6083.1982974465773</v>
      </c>
      <c r="AL444" s="44">
        <f>AL443*(1+'main page'!$K$32/100)</f>
        <v>1</v>
      </c>
      <c r="AM444" s="44">
        <f ca="1">IF(ABS(IF(controls!$B$45=1,$AS$13,AK444*AJ444/AL444)-AM443)&lt;0.00001,AM443,IF(controls!$B$45=1,$AS$13,AK444*AJ444/AL444))</f>
        <v>6391.1602206612833</v>
      </c>
      <c r="AN444" s="44">
        <f>IF(controls!$B$46=0,0,IF(controls!$B$33=2,B445-B444*AC445-('normal case'!H445-D444*AD445-'main page'!$K$27*'normal case'!T444+'main page'!$K$31*'normal case'!AI444)-(('main page'!$K$25*'main page'!$U$13*'main page'!$K$29)/(1+('main page'!$K$25^2)*'main page'!$U$13))*('normal case'!L444-'main page'!$U$8),B445-B444*AC445-('normal case'!I445-D444*AD445-'main page'!$K$27*'normal case'!T444+'main page'!$K$31*'normal case'!AI444)-(('main page'!$K$25*'main page'!$U$13*'main page'!$K$29)/(1+('main page'!$K$25^2)*'main page'!$U$13))*('normal case'!L444-'main page'!$U$8)))</f>
        <v>0</v>
      </c>
      <c r="AU444" s="36"/>
      <c r="AV444" s="36"/>
    </row>
    <row r="445" spans="1:48">
      <c r="A445" s="43">
        <v>443</v>
      </c>
      <c r="B445" s="62">
        <f ca="1">IF(controls!$B$33=1,B444*(1+AC445)+AA445,B444*(1+AC445))</f>
        <v>101</v>
      </c>
      <c r="C445" s="67">
        <f t="shared" ca="1" si="56"/>
        <v>-1.5107707374006907E-7</v>
      </c>
      <c r="D445" s="64">
        <f t="shared" ca="1" si="52"/>
        <v>101.00000005960464</v>
      </c>
      <c r="E445" s="64">
        <f ca="1">AN444+IF(controls!$B$33=1,G445,F445)</f>
        <v>101.00000005960464</v>
      </c>
      <c r="F445" s="78">
        <f ca="1">IF(controls!$B$44=0,H445-'main page'!$K$27*T444,H445-'main page'!$K$27*T444+'main page'!$K$31*AI444)</f>
        <v>101.00000005960464</v>
      </c>
      <c r="G445" s="62">
        <f ca="1">IF(controls!$B$44=0,I445-'main page'!$K$27*T444,I445-'main page'!$K$27*T444+'main page'!$K$31*'normal case'!AI444)</f>
        <v>101.00000005960464</v>
      </c>
      <c r="H445" s="62">
        <f t="shared" ca="1" si="58"/>
        <v>108</v>
      </c>
      <c r="I445" s="62">
        <f t="shared" ca="1" si="59"/>
        <v>108</v>
      </c>
      <c r="L445" s="62">
        <f ca="1">IF(ABS('main page'!$K$29*L444+(1-'main page'!$K$29)*(controls!$B$9/100)*100+'main page'!$K$25*(D445-B445)-L444)&lt;0.0000001,L444,'main page'!$K$29*L444+(1-'main page'!$K$29)*(controls!$B$9/100)*100+'main page'!$K$25*(D445-B445))</f>
        <v>1.9999998807907104</v>
      </c>
      <c r="Q445" s="409">
        <f ca="1">(1-'main page'!$K$29)*($AS$11/100)*100+'main page'!$K$25*(D445-B445)</f>
        <v>5.9604644775390625E-8</v>
      </c>
      <c r="R445" s="409">
        <f>'main page'!G449+'main page'!$K$29*M444</f>
        <v>0</v>
      </c>
      <c r="S445" s="409">
        <f t="shared" ca="1" si="57"/>
        <v>5.9604644775390625E-8</v>
      </c>
      <c r="T445" s="79">
        <f ca="1">IF(controls!$B$10=1,T444,IF(SUM(controls!$B$44:$B$46)=2,U445-'main page'!$K$29*'normal case'!L445-(1-'main page'!$K$29)*'main page'!$K$32,U445-'main page'!$K$29*'normal case'!L445-(1-'main page'!$K$29)*controls!$B$9))</f>
        <v>3.4999999701976776</v>
      </c>
      <c r="U445" s="164">
        <f ca="1">IF(controls!$B$45=1,IF(controls!$B$46=1,'main page'!$K$24+'main page'!$K$11+'main page'!$U$8,'main page'!$K$24+'main page'!$K$11+'main page'!$K$32),IF(controls!$B$44=1,IF(V445&lt;0,0,V445),IF(V445+'main page'!$K$11&lt;0,0,V445+'main page'!$K$11)))</f>
        <v>5.4999998509883881</v>
      </c>
      <c r="V445" s="63">
        <f ca="1">IF(controls!$B$10=1,'normal case'!T445+'normal case'!L445,'normal case'!W445)</f>
        <v>5.4999998509883881</v>
      </c>
      <c r="W445" s="61">
        <f t="shared" ca="1" si="53"/>
        <v>5.4999998509883881</v>
      </c>
      <c r="X445" s="166">
        <f ca="1">IF(controls!$B$44=0,Y445+'main page'!$K$29*L445+(1-'main page'!$K$29)*controls!$B$9+(('main page'!$K$25*'main page'!$U$13*'main page'!$K$29)/('main page'!$K$27*(1+('main page'!$K$25^2)*'main page'!$U$13)))*(L445-controls!$B$9),Y445+'main page'!$K$29*L445+(1-'main page'!$K$29)*controls!$B$9+(('main page'!$K$25*'main page'!$U$13*'normal case'!$AV$3)/'normal case'!$AV$4)*('normal case'!L445-controls!$B$9))</f>
        <v>5.4999998509883881</v>
      </c>
      <c r="Y445" s="81">
        <f ca="1">IF(controls!$B$44=1,'main page'!$K$24+'main page'!$K$11,IF(controls!$B$33=1,((I446-D445*AD446-B446+B445*AC446)/'main page'!$K$27)-'main page'!$K$11,((H446-D445*AD446-B446+B445*AC446)/'main page'!$K$27)-'main page'!$K$11))</f>
        <v>3.5</v>
      </c>
      <c r="AA445" s="58">
        <f>IF(controls!$B$6=1,$AS$3*(1+('main page'!$K$35/100))^AB445-$AS$3*(1+('main page'!$K$35/100))^AB444,$AS$3*(1+('main page'!$G$8/100))*(1+('main page'!$K$35/100))^AB445-$AS$3*(1+('main page'!$G$8/100))*(1+('main page'!$K$35/100))^AB444)</f>
        <v>0</v>
      </c>
      <c r="AB445" s="60">
        <v>438</v>
      </c>
      <c r="AC445" s="125">
        <v>0</v>
      </c>
      <c r="AD445" s="36">
        <v>0</v>
      </c>
      <c r="AE445" s="44">
        <f ca="1">IF(controls!$B$33=1,D445-($I$3-'main page'!$K$27*2)*(1+('main page'!$K$35/100))^A444,D445-$AS$4)</f>
        <v>1.0000000596046448</v>
      </c>
      <c r="AF445" s="44">
        <f ca="1">ABS(L445-(controls!$B$9/100)*100)</f>
        <v>1.1920928955078125E-7</v>
      </c>
      <c r="AH445" s="44">
        <f ca="1">IF(controls!$B$33=1,(B446-B445*AC446-I446+D445*AD446+'main page'!$K$27*('main page'!$K$24+'main page'!$K$11))/'main page'!$K$31,(B446-B445*AC446+D445*AD446-H446+'main page'!$K$27*('main page'!$K$24+'main page'!$K$11))/'main page'!$K$31)</f>
        <v>1</v>
      </c>
      <c r="AI445" s="44">
        <f ca="1">IF(controls!$B$45=1,LOG(AM445,1.01)+LOG(AL445,1.01)-LOG(AK445,1.01),-((T445-('main page'!$K$24+'main page'!$K$11))/(1-'normal case'!$AV$3))+'normal case'!AH445)</f>
        <v>2.0000000596046448</v>
      </c>
      <c r="AJ445" s="80">
        <f t="shared" ca="1" si="54"/>
        <v>1.0506250015463039</v>
      </c>
      <c r="AK445" s="44">
        <f t="shared" ca="1" si="55"/>
        <v>6204.8622561437714</v>
      </c>
      <c r="AL445" s="44">
        <f>AL444*(1+'main page'!$K$32/100)</f>
        <v>1</v>
      </c>
      <c r="AM445" s="44">
        <f ca="1">IF(ABS(IF(controls!$B$45=1,$AS$13,AK445*AJ445/AL445)-AM444)&lt;0.00001,AM444,IF(controls!$B$45=1,$AS$13,AK445*AJ445/AL445))</f>
        <v>6518.9834174556527</v>
      </c>
      <c r="AN445" s="44">
        <f>IF(controls!$B$46=0,0,IF(controls!$B$33=2,B446-B445*AC446-('normal case'!H446-D445*AD446-'main page'!$K$27*'normal case'!T445+'main page'!$K$31*'normal case'!AI445)-(('main page'!$K$25*'main page'!$U$13*'main page'!$K$29)/(1+('main page'!$K$25^2)*'main page'!$U$13))*('normal case'!L445-'main page'!$U$8),B446-B445*AC446-('normal case'!I446-D445*AD446-'main page'!$K$27*'normal case'!T445+'main page'!$K$31*'normal case'!AI445)-(('main page'!$K$25*'main page'!$U$13*'main page'!$K$29)/(1+('main page'!$K$25^2)*'main page'!$U$13))*('normal case'!L445-'main page'!$U$8)))</f>
        <v>0</v>
      </c>
      <c r="AU445" s="36"/>
      <c r="AV445" s="36"/>
    </row>
    <row r="446" spans="1:48">
      <c r="A446" s="43">
        <v>444</v>
      </c>
      <c r="B446" s="62">
        <f ca="1">IF(controls!$B$33=1,B445*(1+AC446)+AA446,B445*(1+AC446))</f>
        <v>101</v>
      </c>
      <c r="C446" s="67">
        <f t="shared" ca="1" si="56"/>
        <v>-1.5107707374006907E-7</v>
      </c>
      <c r="D446" s="64">
        <f t="shared" ca="1" si="52"/>
        <v>101.00000005960464</v>
      </c>
      <c r="E446" s="64">
        <f ca="1">AN445+IF(controls!$B$33=1,G446,F446)</f>
        <v>101.00000005960464</v>
      </c>
      <c r="F446" s="78">
        <f ca="1">IF(controls!$B$44=0,H446-'main page'!$K$27*T445,H446-'main page'!$K$27*T445+'main page'!$K$31*AI445)</f>
        <v>101.00000005960464</v>
      </c>
      <c r="G446" s="62">
        <f ca="1">IF(controls!$B$44=0,I446-'main page'!$K$27*T445,I446-'main page'!$K$27*T445+'main page'!$K$31*'normal case'!AI445)</f>
        <v>101.00000005960464</v>
      </c>
      <c r="H446" s="62">
        <f t="shared" ca="1" si="58"/>
        <v>108</v>
      </c>
      <c r="I446" s="62">
        <f t="shared" ca="1" si="59"/>
        <v>108</v>
      </c>
      <c r="L446" s="62">
        <f ca="1">IF(ABS('main page'!$K$29*L445+(1-'main page'!$K$29)*(controls!$B$9/100)*100+'main page'!$K$25*(D446-B446)-L445)&lt;0.0000001,L445,'main page'!$K$29*L445+(1-'main page'!$K$29)*(controls!$B$9/100)*100+'main page'!$K$25*(D446-B446))</f>
        <v>1.9999998807907104</v>
      </c>
      <c r="Q446" s="409">
        <f ca="1">(1-'main page'!$K$29)*($AS$11/100)*100+'main page'!$K$25*(D446-B446)</f>
        <v>5.9604644775390625E-8</v>
      </c>
      <c r="R446" s="409">
        <f>'main page'!G450+'main page'!$K$29*M445</f>
        <v>0</v>
      </c>
      <c r="S446" s="409">
        <f t="shared" ca="1" si="57"/>
        <v>5.9604644775390625E-8</v>
      </c>
      <c r="T446" s="79">
        <f ca="1">IF(controls!$B$10=1,T445,IF(SUM(controls!$B$44:$B$46)=2,U446-'main page'!$K$29*'normal case'!L446-(1-'main page'!$K$29)*'main page'!$K$32,U446-'main page'!$K$29*'normal case'!L446-(1-'main page'!$K$29)*controls!$B$9))</f>
        <v>3.4999999701976776</v>
      </c>
      <c r="U446" s="164">
        <f ca="1">IF(controls!$B$45=1,IF(controls!$B$46=1,'main page'!$K$24+'main page'!$K$11+'main page'!$U$8,'main page'!$K$24+'main page'!$K$11+'main page'!$K$32),IF(controls!$B$44=1,IF(V446&lt;0,0,V446),IF(V446+'main page'!$K$11&lt;0,0,V446+'main page'!$K$11)))</f>
        <v>5.4999998509883881</v>
      </c>
      <c r="V446" s="63">
        <f ca="1">IF(controls!$B$10=1,'normal case'!T446+'normal case'!L446,'normal case'!W446)</f>
        <v>5.4999998509883881</v>
      </c>
      <c r="W446" s="61">
        <f t="shared" ca="1" si="53"/>
        <v>5.4999998509883881</v>
      </c>
      <c r="X446" s="166">
        <f ca="1">IF(controls!$B$44=0,Y446+'main page'!$K$29*L446+(1-'main page'!$K$29)*controls!$B$9+(('main page'!$K$25*'main page'!$U$13*'main page'!$K$29)/('main page'!$K$27*(1+('main page'!$K$25^2)*'main page'!$U$13)))*(L446-controls!$B$9),Y446+'main page'!$K$29*L446+(1-'main page'!$K$29)*controls!$B$9+(('main page'!$K$25*'main page'!$U$13*'normal case'!$AV$3)/'normal case'!$AV$4)*('normal case'!L446-controls!$B$9))</f>
        <v>5.4999998509883881</v>
      </c>
      <c r="Y446" s="81">
        <f ca="1">IF(controls!$B$44=1,'main page'!$K$24+'main page'!$K$11,IF(controls!$B$33=1,((I447-D446*AD447-B447+B446*AC447)/'main page'!$K$27)-'main page'!$K$11,((H447-D446*AD447-B447+B446*AC447)/'main page'!$K$27)-'main page'!$K$11))</f>
        <v>3.5</v>
      </c>
      <c r="AA446" s="58">
        <f>IF(controls!$B$6=1,$AS$3*(1+('main page'!$K$35/100))^AB446-$AS$3*(1+('main page'!$K$35/100))^AB445,$AS$3*(1+('main page'!$G$8/100))*(1+('main page'!$K$35/100))^AB446-$AS$3*(1+('main page'!$G$8/100))*(1+('main page'!$K$35/100))^AB445)</f>
        <v>0</v>
      </c>
      <c r="AB446" s="60">
        <v>439</v>
      </c>
      <c r="AC446" s="125">
        <f ca="1">IF(controls!$B$4=1,IF(controls!$H445=1,controls!$B$34*AC445+RAND()*('main page'!$K$16/100)-RAND()*('main page'!$K$16/100),0),0)</f>
        <v>0</v>
      </c>
      <c r="AD446" s="36">
        <f ca="1">IF(controls!$B$4=1,IF(controls!$I445=1,controls!$B$34*AD445+RAND()*('main page'!$K$16/100)-RAND()*('main page'!$K$16/100),0),0)</f>
        <v>0</v>
      </c>
      <c r="AE446" s="44">
        <f ca="1">IF(controls!$B$33=1,D446-($I$3-'main page'!$K$27*2)*(1+('main page'!$K$35/100))^A445,D446-$AS$4)</f>
        <v>1.0000000596046448</v>
      </c>
      <c r="AF446" s="44">
        <f ca="1">ABS(L446-(controls!$B$9/100)*100)</f>
        <v>1.1920928955078125E-7</v>
      </c>
      <c r="AH446" s="44">
        <f ca="1">IF(controls!$B$33=1,(B447-B446*AC447-I447+D446*AD447+'main page'!$K$27*('main page'!$K$24+'main page'!$K$11))/'main page'!$K$31,(B447-B446*AC447+D446*AD447-H447+'main page'!$K$27*('main page'!$K$24+'main page'!$K$11))/'main page'!$K$31)</f>
        <v>1</v>
      </c>
      <c r="AI446" s="44">
        <f ca="1">IF(controls!$B$45=1,LOG(AM446,1.01)+LOG(AL446,1.01)-LOG(AK446,1.01),-((T446-('main page'!$K$24+'main page'!$K$11))/(1-'normal case'!$AV$3))+'normal case'!AH446)</f>
        <v>2.0000000596046448</v>
      </c>
      <c r="AJ446" s="80">
        <f t="shared" ca="1" si="54"/>
        <v>1.0506250015463039</v>
      </c>
      <c r="AK446" s="44">
        <f t="shared" ca="1" si="55"/>
        <v>6328.9594938698747</v>
      </c>
      <c r="AL446" s="44">
        <f>AL445*(1+'main page'!$K$32/100)</f>
        <v>1</v>
      </c>
      <c r="AM446" s="44">
        <f ca="1">IF(ABS(IF(controls!$B$45=1,$AS$13,AK446*AJ446/AL446)-AM445)&lt;0.00001,AM445,IF(controls!$B$45=1,$AS$13,AK446*AJ446/AL446))</f>
        <v>6649.3630780335316</v>
      </c>
      <c r="AN446" s="44">
        <f>IF(controls!$B$46=0,0,IF(controls!$B$33=2,B447-B446*AC447-('normal case'!H447-D446*AD447-'main page'!$K$27*'normal case'!T446+'main page'!$K$31*'normal case'!AI446)-(('main page'!$K$25*'main page'!$U$13*'main page'!$K$29)/(1+('main page'!$K$25^2)*'main page'!$U$13))*('normal case'!L446-'main page'!$U$8),B447-B446*AC447-('normal case'!I447-D446*AD447-'main page'!$K$27*'normal case'!T446+'main page'!$K$31*'normal case'!AI446)-(('main page'!$K$25*'main page'!$U$13*'main page'!$K$29)/(1+('main page'!$K$25^2)*'main page'!$U$13))*('normal case'!L446-'main page'!$U$8)))</f>
        <v>0</v>
      </c>
      <c r="AU446" s="36"/>
      <c r="AV446" s="36"/>
    </row>
    <row r="447" spans="1:48">
      <c r="A447" s="43">
        <v>445</v>
      </c>
      <c r="B447" s="62">
        <f ca="1">IF(controls!$B$33=1,B446*(1+AC447)+AA447,B446*(1+AC447))</f>
        <v>101</v>
      </c>
      <c r="C447" s="67">
        <f t="shared" ca="1" si="56"/>
        <v>-1.5107707374006907E-7</v>
      </c>
      <c r="D447" s="64">
        <f t="shared" ca="1" si="52"/>
        <v>101.00000005960464</v>
      </c>
      <c r="E447" s="64">
        <f ca="1">AN446+IF(controls!$B$33=1,G447,F447)</f>
        <v>101.00000005960464</v>
      </c>
      <c r="F447" s="78">
        <f ca="1">IF(controls!$B$44=0,H447-'main page'!$K$27*T446,H447-'main page'!$K$27*T446+'main page'!$K$31*AI446)</f>
        <v>101.00000005960464</v>
      </c>
      <c r="G447" s="62">
        <f ca="1">IF(controls!$B$44=0,I447-'main page'!$K$27*T446,I447-'main page'!$K$27*T446+'main page'!$K$31*'normal case'!AI446)</f>
        <v>101.00000005960464</v>
      </c>
      <c r="H447" s="62">
        <f t="shared" ca="1" si="58"/>
        <v>108</v>
      </c>
      <c r="I447" s="62">
        <f t="shared" ca="1" si="59"/>
        <v>108</v>
      </c>
      <c r="L447" s="62">
        <f ca="1">IF(ABS('main page'!$K$29*L446+(1-'main page'!$K$29)*(controls!$B$9/100)*100+'main page'!$K$25*(D447-B447)-L446)&lt;0.0000001,L446,'main page'!$K$29*L446+(1-'main page'!$K$29)*(controls!$B$9/100)*100+'main page'!$K$25*(D447-B447))</f>
        <v>1.9999998807907104</v>
      </c>
      <c r="Q447" s="409">
        <f ca="1">(1-'main page'!$K$29)*($AS$11/100)*100+'main page'!$K$25*(D447-B447)</f>
        <v>5.9604644775390625E-8</v>
      </c>
      <c r="R447" s="409">
        <f>'main page'!G451+'main page'!$K$29*M446</f>
        <v>0</v>
      </c>
      <c r="S447" s="409">
        <f t="shared" ca="1" si="57"/>
        <v>5.9604644775390625E-8</v>
      </c>
      <c r="T447" s="79">
        <f ca="1">IF(controls!$B$10=1,T446,IF(SUM(controls!$B$44:$B$46)=2,U447-'main page'!$K$29*'normal case'!L447-(1-'main page'!$K$29)*'main page'!$K$32,U447-'main page'!$K$29*'normal case'!L447-(1-'main page'!$K$29)*controls!$B$9))</f>
        <v>3.4999999701976776</v>
      </c>
      <c r="U447" s="164">
        <f ca="1">IF(controls!$B$45=1,IF(controls!$B$46=1,'main page'!$K$24+'main page'!$K$11+'main page'!$U$8,'main page'!$K$24+'main page'!$K$11+'main page'!$K$32),IF(controls!$B$44=1,IF(V447&lt;0,0,V447),IF(V447+'main page'!$K$11&lt;0,0,V447+'main page'!$K$11)))</f>
        <v>5.4999998509883881</v>
      </c>
      <c r="V447" s="63">
        <f ca="1">IF(controls!$B$10=1,'normal case'!T447+'normal case'!L447,'normal case'!W447)</f>
        <v>5.4999998509883881</v>
      </c>
      <c r="W447" s="61">
        <f t="shared" ca="1" si="53"/>
        <v>5.4999998509883881</v>
      </c>
      <c r="X447" s="166">
        <f ca="1">IF(controls!$B$44=0,Y447+'main page'!$K$29*L447+(1-'main page'!$K$29)*controls!$B$9+(('main page'!$K$25*'main page'!$U$13*'main page'!$K$29)/('main page'!$K$27*(1+('main page'!$K$25^2)*'main page'!$U$13)))*(L447-controls!$B$9),Y447+'main page'!$K$29*L447+(1-'main page'!$K$29)*controls!$B$9+(('main page'!$K$25*'main page'!$U$13*'normal case'!$AV$3)/'normal case'!$AV$4)*('normal case'!L447-controls!$B$9))</f>
        <v>5.4999998509883881</v>
      </c>
      <c r="Y447" s="81">
        <f ca="1">IF(controls!$B$44=1,'main page'!$K$24+'main page'!$K$11,IF(controls!$B$33=1,((I448-D447*AD448-B448+B447*AC448)/'main page'!$K$27)-'main page'!$K$11,((H448-D447*AD448-B448+B447*AC448)/'main page'!$K$27)-'main page'!$K$11))</f>
        <v>3.5</v>
      </c>
      <c r="AA447" s="58">
        <f>IF(controls!$B$6=1,$AS$3*(1+('main page'!$K$35/100))^AB447-$AS$3*(1+('main page'!$K$35/100))^AB446,$AS$3*(1+('main page'!$G$8/100))*(1+('main page'!$K$35/100))^AB447-$AS$3*(1+('main page'!$G$8/100))*(1+('main page'!$K$35/100))^AB446)</f>
        <v>0</v>
      </c>
      <c r="AB447" s="60">
        <v>440</v>
      </c>
      <c r="AC447" s="125">
        <v>0</v>
      </c>
      <c r="AD447" s="36">
        <v>0</v>
      </c>
      <c r="AE447" s="44">
        <f ca="1">IF(controls!$B$33=1,D447-($I$3-'main page'!$K$27*2)*(1+('main page'!$K$35/100))^A446,D447-$AS$4)</f>
        <v>1.0000000596046448</v>
      </c>
      <c r="AF447" s="44">
        <f ca="1">ABS(L447-(controls!$B$9/100)*100)</f>
        <v>1.1920928955078125E-7</v>
      </c>
      <c r="AH447" s="44">
        <f ca="1">IF(controls!$B$33=1,(B448-B447*AC448-I448+D447*AD448+'main page'!$K$27*('main page'!$K$24+'main page'!$K$11))/'main page'!$K$31,(B448-B447*AC448+D447*AD448-H448+'main page'!$K$27*('main page'!$K$24+'main page'!$K$11))/'main page'!$K$31)</f>
        <v>1</v>
      </c>
      <c r="AI447" s="44">
        <f ca="1">IF(controls!$B$45=1,LOG(AM447,1.01)+LOG(AL447,1.01)-LOG(AK447,1.01),-((T447-('main page'!$K$24+'main page'!$K$11))/(1-'normal case'!$AV$3))+'normal case'!AH447)</f>
        <v>2.0000000596046448</v>
      </c>
      <c r="AJ447" s="80">
        <f t="shared" ca="1" si="54"/>
        <v>1.0506250015463039</v>
      </c>
      <c r="AK447" s="44">
        <f t="shared" ca="1" si="55"/>
        <v>6455.5386762025646</v>
      </c>
      <c r="AL447" s="44">
        <f>AL446*(1+'main page'!$K$32/100)</f>
        <v>1</v>
      </c>
      <c r="AM447" s="44">
        <f ca="1">IF(ABS(IF(controls!$B$45=1,$AS$13,AK447*AJ447/AL447)-AM446)&lt;0.00001,AM446,IF(controls!$B$45=1,$AS$13,AK447*AJ447/AL447))</f>
        <v>6782.3503316675442</v>
      </c>
      <c r="AN447" s="44">
        <f>IF(controls!$B$46=0,0,IF(controls!$B$33=2,B448-B447*AC448-('normal case'!H448-D447*AD448-'main page'!$K$27*'normal case'!T447+'main page'!$K$31*'normal case'!AI447)-(('main page'!$K$25*'main page'!$U$13*'main page'!$K$29)/(1+('main page'!$K$25^2)*'main page'!$U$13))*('normal case'!L447-'main page'!$U$8),B448-B447*AC448-('normal case'!I448-D447*AD448-'main page'!$K$27*'normal case'!T447+'main page'!$K$31*'normal case'!AI447)-(('main page'!$K$25*'main page'!$U$13*'main page'!$K$29)/(1+('main page'!$K$25^2)*'main page'!$U$13))*('normal case'!L447-'main page'!$U$8)))</f>
        <v>0</v>
      </c>
      <c r="AU447" s="36"/>
      <c r="AV447" s="36"/>
    </row>
    <row r="448" spans="1:48">
      <c r="A448" s="43">
        <v>446</v>
      </c>
      <c r="B448" s="62">
        <f ca="1">IF(controls!$B$33=1,B447*(1+AC448)+AA448,B447*(1+AC448))</f>
        <v>101</v>
      </c>
      <c r="C448" s="67">
        <f t="shared" ca="1" si="56"/>
        <v>-1.5107707374006907E-7</v>
      </c>
      <c r="D448" s="64">
        <f t="shared" ca="1" si="52"/>
        <v>101.00000005960464</v>
      </c>
      <c r="E448" s="64">
        <f ca="1">AN447+IF(controls!$B$33=1,G448,F448)</f>
        <v>101.00000005960464</v>
      </c>
      <c r="F448" s="78">
        <f ca="1">IF(controls!$B$44=0,H448-'main page'!$K$27*T447,H448-'main page'!$K$27*T447+'main page'!$K$31*AI447)</f>
        <v>101.00000005960464</v>
      </c>
      <c r="G448" s="62">
        <f ca="1">IF(controls!$B$44=0,I448-'main page'!$K$27*T447,I448-'main page'!$K$27*T447+'main page'!$K$31*'normal case'!AI447)</f>
        <v>101.00000005960464</v>
      </c>
      <c r="H448" s="62">
        <f t="shared" ca="1" si="58"/>
        <v>108</v>
      </c>
      <c r="I448" s="62">
        <f t="shared" ca="1" si="59"/>
        <v>108</v>
      </c>
      <c r="L448" s="62">
        <f ca="1">IF(ABS('main page'!$K$29*L447+(1-'main page'!$K$29)*(controls!$B$9/100)*100+'main page'!$K$25*(D448-B448)-L447)&lt;0.0000001,L447,'main page'!$K$29*L447+(1-'main page'!$K$29)*(controls!$B$9/100)*100+'main page'!$K$25*(D448-B448))</f>
        <v>1.9999998807907104</v>
      </c>
      <c r="Q448" s="409">
        <f ca="1">(1-'main page'!$K$29)*($AS$11/100)*100+'main page'!$K$25*(D448-B448)</f>
        <v>5.9604644775390625E-8</v>
      </c>
      <c r="R448" s="409">
        <f>'main page'!G452+'main page'!$K$29*M447</f>
        <v>0</v>
      </c>
      <c r="S448" s="409">
        <f t="shared" ca="1" si="57"/>
        <v>5.9604644775390625E-8</v>
      </c>
      <c r="T448" s="79">
        <f ca="1">IF(controls!$B$10=1,T447,IF(SUM(controls!$B$44:$B$46)=2,U448-'main page'!$K$29*'normal case'!L448-(1-'main page'!$K$29)*'main page'!$K$32,U448-'main page'!$K$29*'normal case'!L448-(1-'main page'!$K$29)*controls!$B$9))</f>
        <v>3.4999999701976776</v>
      </c>
      <c r="U448" s="164">
        <f ca="1">IF(controls!$B$45=1,IF(controls!$B$46=1,'main page'!$K$24+'main page'!$K$11+'main page'!$U$8,'main page'!$K$24+'main page'!$K$11+'main page'!$K$32),IF(controls!$B$44=1,IF(V448&lt;0,0,V448),IF(V448+'main page'!$K$11&lt;0,0,V448+'main page'!$K$11)))</f>
        <v>5.4999998509883881</v>
      </c>
      <c r="V448" s="63">
        <f ca="1">IF(controls!$B$10=1,'normal case'!T448+'normal case'!L448,'normal case'!W448)</f>
        <v>5.4999998509883881</v>
      </c>
      <c r="W448" s="61">
        <f t="shared" ca="1" si="53"/>
        <v>5.4999998509883881</v>
      </c>
      <c r="X448" s="166">
        <f ca="1">IF(controls!$B$44=0,Y448+'main page'!$K$29*L448+(1-'main page'!$K$29)*controls!$B$9+(('main page'!$K$25*'main page'!$U$13*'main page'!$K$29)/('main page'!$K$27*(1+('main page'!$K$25^2)*'main page'!$U$13)))*(L448-controls!$B$9),Y448+'main page'!$K$29*L448+(1-'main page'!$K$29)*controls!$B$9+(('main page'!$K$25*'main page'!$U$13*'normal case'!$AV$3)/'normal case'!$AV$4)*('normal case'!L448-controls!$B$9))</f>
        <v>5.4999998509883881</v>
      </c>
      <c r="Y448" s="81">
        <f ca="1">IF(controls!$B$44=1,'main page'!$K$24+'main page'!$K$11,IF(controls!$B$33=1,((I449-D448*AD449-B449+B448*AC449)/'main page'!$K$27)-'main page'!$K$11,((H449-D448*AD449-B449+B448*AC449)/'main page'!$K$27)-'main page'!$K$11))</f>
        <v>3.5</v>
      </c>
      <c r="AA448" s="58">
        <f>IF(controls!$B$6=1,$AS$3*(1+('main page'!$K$35/100))^AB448-$AS$3*(1+('main page'!$K$35/100))^AB447,$AS$3*(1+('main page'!$G$8/100))*(1+('main page'!$K$35/100))^AB448-$AS$3*(1+('main page'!$G$8/100))*(1+('main page'!$K$35/100))^AB447)</f>
        <v>0</v>
      </c>
      <c r="AB448" s="60">
        <v>441</v>
      </c>
      <c r="AC448" s="125">
        <v>0</v>
      </c>
      <c r="AD448" s="36">
        <v>0</v>
      </c>
      <c r="AE448" s="44">
        <f ca="1">IF(controls!$B$33=1,D448-($I$3-'main page'!$K$27*2)*(1+('main page'!$K$35/100))^A447,D448-$AS$4)</f>
        <v>1.0000000596046448</v>
      </c>
      <c r="AF448" s="44">
        <f ca="1">ABS(L448-(controls!$B$9/100)*100)</f>
        <v>1.1920928955078125E-7</v>
      </c>
      <c r="AH448" s="44">
        <f ca="1">IF(controls!$B$33=1,(B449-B448*AC449-I449+D448*AD449+'main page'!$K$27*('main page'!$K$24+'main page'!$K$11))/'main page'!$K$31,(B449-B448*AC449+D448*AD449-H449+'main page'!$K$27*('main page'!$K$24+'main page'!$K$11))/'main page'!$K$31)</f>
        <v>1</v>
      </c>
      <c r="AI448" s="44">
        <f ca="1">IF(controls!$B$45=1,LOG(AM448,1.01)+LOG(AL448,1.01)-LOG(AK448,1.01),-((T448-('main page'!$K$24+'main page'!$K$11))/(1-'normal case'!$AV$3))+'normal case'!AH448)</f>
        <v>2.0000000596046448</v>
      </c>
      <c r="AJ448" s="80">
        <f t="shared" ca="1" si="54"/>
        <v>1.0506250015463039</v>
      </c>
      <c r="AK448" s="44">
        <f t="shared" ca="1" si="55"/>
        <v>6584.6494420310146</v>
      </c>
      <c r="AL448" s="44">
        <f>AL447*(1+'main page'!$K$32/100)</f>
        <v>1</v>
      </c>
      <c r="AM448" s="44">
        <f ca="1">IF(ABS(IF(controls!$B$45=1,$AS$13,AK448*AJ448/AL448)-AM447)&lt;0.00001,AM447,IF(controls!$B$45=1,$AS$13,AK448*AJ448/AL448))</f>
        <v>6917.9973302157041</v>
      </c>
      <c r="AN448" s="44">
        <f>IF(controls!$B$46=0,0,IF(controls!$B$33=2,B449-B448*AC449-('normal case'!H449-D448*AD449-'main page'!$K$27*'normal case'!T448+'main page'!$K$31*'normal case'!AI448)-(('main page'!$K$25*'main page'!$U$13*'main page'!$K$29)/(1+('main page'!$K$25^2)*'main page'!$U$13))*('normal case'!L448-'main page'!$U$8),B449-B448*AC449-('normal case'!I449-D448*AD449-'main page'!$K$27*'normal case'!T448+'main page'!$K$31*'normal case'!AI448)-(('main page'!$K$25*'main page'!$U$13*'main page'!$K$29)/(1+('main page'!$K$25^2)*'main page'!$U$13))*('normal case'!L448-'main page'!$U$8)))</f>
        <v>0</v>
      </c>
      <c r="AU448" s="36"/>
      <c r="AV448" s="36"/>
    </row>
    <row r="449" spans="1:48">
      <c r="A449" s="43">
        <v>447</v>
      </c>
      <c r="B449" s="62">
        <f ca="1">IF(controls!$B$33=1,B448*(1+AC449)+AA449,B448*(1+AC449))</f>
        <v>101</v>
      </c>
      <c r="C449" s="67">
        <f t="shared" ca="1" si="56"/>
        <v>-1.5107707374006907E-7</v>
      </c>
      <c r="D449" s="64">
        <f t="shared" ca="1" si="52"/>
        <v>101.00000005960464</v>
      </c>
      <c r="E449" s="64">
        <f ca="1">AN448+IF(controls!$B$33=1,G449,F449)</f>
        <v>101.00000005960464</v>
      </c>
      <c r="F449" s="78">
        <f ca="1">IF(controls!$B$44=0,H449-'main page'!$K$27*T448,H449-'main page'!$K$27*T448+'main page'!$K$31*AI448)</f>
        <v>101.00000005960464</v>
      </c>
      <c r="G449" s="62">
        <f ca="1">IF(controls!$B$44=0,I449-'main page'!$K$27*T448,I449-'main page'!$K$27*T448+'main page'!$K$31*'normal case'!AI448)</f>
        <v>101.00000005960464</v>
      </c>
      <c r="H449" s="62">
        <f t="shared" ca="1" si="58"/>
        <v>108</v>
      </c>
      <c r="I449" s="62">
        <f t="shared" ca="1" si="59"/>
        <v>108</v>
      </c>
      <c r="L449" s="62">
        <f ca="1">IF(ABS('main page'!$K$29*L448+(1-'main page'!$K$29)*(controls!$B$9/100)*100+'main page'!$K$25*(D449-B449)-L448)&lt;0.0000001,L448,'main page'!$K$29*L448+(1-'main page'!$K$29)*(controls!$B$9/100)*100+'main page'!$K$25*(D449-B449))</f>
        <v>1.9999998807907104</v>
      </c>
      <c r="Q449" s="409">
        <f ca="1">(1-'main page'!$K$29)*($AS$11/100)*100+'main page'!$K$25*(D449-B449)</f>
        <v>5.9604644775390625E-8</v>
      </c>
      <c r="R449" s="409">
        <f>'main page'!G453+'main page'!$K$29*M448</f>
        <v>0</v>
      </c>
      <c r="S449" s="409">
        <f t="shared" ca="1" si="57"/>
        <v>5.9604644775390625E-8</v>
      </c>
      <c r="T449" s="79">
        <f ca="1">IF(controls!$B$10=1,T448,IF(SUM(controls!$B$44:$B$46)=2,U449-'main page'!$K$29*'normal case'!L449-(1-'main page'!$K$29)*'main page'!$K$32,U449-'main page'!$K$29*'normal case'!L449-(1-'main page'!$K$29)*controls!$B$9))</f>
        <v>3.4999999701976776</v>
      </c>
      <c r="U449" s="164">
        <f ca="1">IF(controls!$B$45=1,IF(controls!$B$46=1,'main page'!$K$24+'main page'!$K$11+'main page'!$U$8,'main page'!$K$24+'main page'!$K$11+'main page'!$K$32),IF(controls!$B$44=1,IF(V449&lt;0,0,V449),IF(V449+'main page'!$K$11&lt;0,0,V449+'main page'!$K$11)))</f>
        <v>5.4999998509883881</v>
      </c>
      <c r="V449" s="63">
        <f ca="1">IF(controls!$B$10=1,'normal case'!T449+'normal case'!L449,'normal case'!W449)</f>
        <v>5.4999998509883881</v>
      </c>
      <c r="W449" s="61">
        <f t="shared" ca="1" si="53"/>
        <v>5.4999998509883881</v>
      </c>
      <c r="X449" s="166">
        <f ca="1">IF(controls!$B$44=0,Y449+'main page'!$K$29*L449+(1-'main page'!$K$29)*controls!$B$9+(('main page'!$K$25*'main page'!$U$13*'main page'!$K$29)/('main page'!$K$27*(1+('main page'!$K$25^2)*'main page'!$U$13)))*(L449-controls!$B$9),Y449+'main page'!$K$29*L449+(1-'main page'!$K$29)*controls!$B$9+(('main page'!$K$25*'main page'!$U$13*'normal case'!$AV$3)/'normal case'!$AV$4)*('normal case'!L449-controls!$B$9))</f>
        <v>5.4999998509883881</v>
      </c>
      <c r="Y449" s="81">
        <f ca="1">IF(controls!$B$44=1,'main page'!$K$24+'main page'!$K$11,IF(controls!$B$33=1,((I450-D449*AD450-B450+B449*AC450)/'main page'!$K$27)-'main page'!$K$11,((H450-D449*AD450-B450+B449*AC450)/'main page'!$K$27)-'main page'!$K$11))</f>
        <v>3.5</v>
      </c>
      <c r="AA449" s="58">
        <f>IF(controls!$B$6=1,$AS$3*(1+('main page'!$K$35/100))^AB449-$AS$3*(1+('main page'!$K$35/100))^AB448,$AS$3*(1+('main page'!$G$8/100))*(1+('main page'!$K$35/100))^AB449-$AS$3*(1+('main page'!$G$8/100))*(1+('main page'!$K$35/100))^AB448)</f>
        <v>0</v>
      </c>
      <c r="AB449" s="60">
        <v>442</v>
      </c>
      <c r="AC449" s="125">
        <f ca="1">IF(controls!$B$4=1,IF(controls!$H448=1,controls!$B$34*AC448+RAND()*('main page'!$K$16/100)-RAND()*('main page'!$K$16/100),0),0)</f>
        <v>0</v>
      </c>
      <c r="AD449" s="36">
        <f ca="1">IF(controls!$B$4=1,IF(controls!$I448=1,controls!$B$34*AD448+RAND()*('main page'!$K$16/100)-RAND()*('main page'!$K$16/100),0),0)</f>
        <v>0</v>
      </c>
      <c r="AE449" s="44">
        <f ca="1">IF(controls!$B$33=1,D449-($I$3-'main page'!$K$27*2)*(1+('main page'!$K$35/100))^A448,D449-$AS$4)</f>
        <v>1.0000000596046448</v>
      </c>
      <c r="AF449" s="44">
        <f ca="1">ABS(L449-(controls!$B$9/100)*100)</f>
        <v>1.1920928955078125E-7</v>
      </c>
      <c r="AH449" s="44">
        <f ca="1">IF(controls!$B$33=1,(B450-B449*AC450-I450+D449*AD450+'main page'!$K$27*('main page'!$K$24+'main page'!$K$11))/'main page'!$K$31,(B450-B449*AC450+D449*AD450-H450+'main page'!$K$27*('main page'!$K$24+'main page'!$K$11))/'main page'!$K$31)</f>
        <v>1</v>
      </c>
      <c r="AI449" s="44">
        <f ca="1">IF(controls!$B$45=1,LOG(AM449,1.01)+LOG(AL449,1.01)-LOG(AK449,1.01),-((T449-('main page'!$K$24+'main page'!$K$11))/(1-'normal case'!$AV$3))+'normal case'!AH449)</f>
        <v>2.0000000596046448</v>
      </c>
      <c r="AJ449" s="80">
        <f t="shared" ca="1" si="54"/>
        <v>1.0506250015463039</v>
      </c>
      <c r="AK449" s="44">
        <f t="shared" ca="1" si="55"/>
        <v>6716.3424230221217</v>
      </c>
      <c r="AL449" s="44">
        <f>AL448*(1+'main page'!$K$32/100)</f>
        <v>1</v>
      </c>
      <c r="AM449" s="44">
        <f ca="1">IF(ABS(IF(controls!$B$45=1,$AS$13,AK449*AJ449/AL449)-AM448)&lt;0.00001,AM448,IF(controls!$B$45=1,$AS$13,AK449*AJ449/AL449))</f>
        <v>7056.3572685731233</v>
      </c>
      <c r="AN449" s="44">
        <f>IF(controls!$B$46=0,0,IF(controls!$B$33=2,B450-B449*AC450-('normal case'!H450-D449*AD450-'main page'!$K$27*'normal case'!T449+'main page'!$K$31*'normal case'!AI449)-(('main page'!$K$25*'main page'!$U$13*'main page'!$K$29)/(1+('main page'!$K$25^2)*'main page'!$U$13))*('normal case'!L449-'main page'!$U$8),B450-B449*AC450-('normal case'!I450-D449*AD450-'main page'!$K$27*'normal case'!T449+'main page'!$K$31*'normal case'!AI449)-(('main page'!$K$25*'main page'!$U$13*'main page'!$K$29)/(1+('main page'!$K$25^2)*'main page'!$U$13))*('normal case'!L449-'main page'!$U$8)))</f>
        <v>0</v>
      </c>
      <c r="AU449" s="36"/>
      <c r="AV449" s="36"/>
    </row>
    <row r="450" spans="1:48">
      <c r="A450" s="43">
        <v>448</v>
      </c>
      <c r="B450" s="62">
        <f ca="1">IF(controls!$B$33=1,B449*(1+AC450)+AA450,B449*(1+AC450))</f>
        <v>101</v>
      </c>
      <c r="C450" s="67">
        <f t="shared" ca="1" si="56"/>
        <v>-1.5107707374006907E-7</v>
      </c>
      <c r="D450" s="64">
        <f t="shared" ca="1" si="52"/>
        <v>101.00000005960464</v>
      </c>
      <c r="E450" s="64">
        <f ca="1">AN449+IF(controls!$B$33=1,G450,F450)</f>
        <v>101.00000005960464</v>
      </c>
      <c r="F450" s="78">
        <f ca="1">IF(controls!$B$44=0,H450-'main page'!$K$27*T449,H450-'main page'!$K$27*T449+'main page'!$K$31*AI449)</f>
        <v>101.00000005960464</v>
      </c>
      <c r="G450" s="62">
        <f ca="1">IF(controls!$B$44=0,I450-'main page'!$K$27*T449,I450-'main page'!$K$27*T449+'main page'!$K$31*'normal case'!AI449)</f>
        <v>101.00000005960464</v>
      </c>
      <c r="H450" s="62">
        <f t="shared" ca="1" si="58"/>
        <v>108</v>
      </c>
      <c r="I450" s="62">
        <f t="shared" ca="1" si="59"/>
        <v>108</v>
      </c>
      <c r="L450" s="62">
        <f ca="1">IF(ABS('main page'!$K$29*L449+(1-'main page'!$K$29)*(controls!$B$9/100)*100+'main page'!$K$25*(D450-B450)-L449)&lt;0.0000001,L449,'main page'!$K$29*L449+(1-'main page'!$K$29)*(controls!$B$9/100)*100+'main page'!$K$25*(D450-B450))</f>
        <v>1.9999998807907104</v>
      </c>
      <c r="Q450" s="409">
        <f ca="1">(1-'main page'!$K$29)*($AS$11/100)*100+'main page'!$K$25*(D450-B450)</f>
        <v>5.9604644775390625E-8</v>
      </c>
      <c r="R450" s="409">
        <f>'main page'!G454+'main page'!$K$29*M449</f>
        <v>0</v>
      </c>
      <c r="S450" s="409">
        <f t="shared" ca="1" si="57"/>
        <v>5.9604644775390625E-8</v>
      </c>
      <c r="T450" s="79">
        <f ca="1">IF(controls!$B$10=1,T449,IF(SUM(controls!$B$44:$B$46)=2,U450-'main page'!$K$29*'normal case'!L450-(1-'main page'!$K$29)*'main page'!$K$32,U450-'main page'!$K$29*'normal case'!L450-(1-'main page'!$K$29)*controls!$B$9))</f>
        <v>3.4999999701976776</v>
      </c>
      <c r="U450" s="164">
        <f ca="1">IF(controls!$B$45=1,IF(controls!$B$46=1,'main page'!$K$24+'main page'!$K$11+'main page'!$U$8,'main page'!$K$24+'main page'!$K$11+'main page'!$K$32),IF(controls!$B$44=1,IF(V450&lt;0,0,V450),IF(V450+'main page'!$K$11&lt;0,0,V450+'main page'!$K$11)))</f>
        <v>5.4999998509883881</v>
      </c>
      <c r="V450" s="63">
        <f ca="1">IF(controls!$B$10=1,'normal case'!T450+'normal case'!L450,'normal case'!W450)</f>
        <v>5.4999998509883881</v>
      </c>
      <c r="W450" s="61">
        <f t="shared" ca="1" si="53"/>
        <v>5.4999998509883881</v>
      </c>
      <c r="X450" s="166">
        <f ca="1">IF(controls!$B$44=0,Y450+'main page'!$K$29*L450+(1-'main page'!$K$29)*controls!$B$9+(('main page'!$K$25*'main page'!$U$13*'main page'!$K$29)/('main page'!$K$27*(1+('main page'!$K$25^2)*'main page'!$U$13)))*(L450-controls!$B$9),Y450+'main page'!$K$29*L450+(1-'main page'!$K$29)*controls!$B$9+(('main page'!$K$25*'main page'!$U$13*'normal case'!$AV$3)/'normal case'!$AV$4)*('normal case'!L450-controls!$B$9))</f>
        <v>5.4999998509883881</v>
      </c>
      <c r="Y450" s="81">
        <f ca="1">IF(controls!$B$44=1,'main page'!$K$24+'main page'!$K$11,IF(controls!$B$33=1,((I451-D450*AD451-B451+B450*AC451)/'main page'!$K$27)-'main page'!$K$11,((H451-D450*AD451-B451+B450*AC451)/'main page'!$K$27)-'main page'!$K$11))</f>
        <v>3.5</v>
      </c>
      <c r="AA450" s="58">
        <f>IF(controls!$B$6=1,$AS$3*(1+('main page'!$K$35/100))^AB450-$AS$3*(1+('main page'!$K$35/100))^AB449,$AS$3*(1+('main page'!$G$8/100))*(1+('main page'!$K$35/100))^AB450-$AS$3*(1+('main page'!$G$8/100))*(1+('main page'!$K$35/100))^AB449)</f>
        <v>0</v>
      </c>
      <c r="AB450" s="60">
        <v>443</v>
      </c>
      <c r="AC450" s="125">
        <v>0</v>
      </c>
      <c r="AD450" s="36">
        <v>0</v>
      </c>
      <c r="AE450" s="44">
        <f ca="1">IF(controls!$B$33=1,D450-($I$3-'main page'!$K$27*2)*(1+('main page'!$K$35/100))^A449,D450-$AS$4)</f>
        <v>1.0000000596046448</v>
      </c>
      <c r="AF450" s="44">
        <f ca="1">ABS(L450-(controls!$B$9/100)*100)</f>
        <v>1.1920928955078125E-7</v>
      </c>
      <c r="AH450" s="44">
        <f ca="1">IF(controls!$B$33=1,(B451-B450*AC451-I451+D450*AD451+'main page'!$K$27*('main page'!$K$24+'main page'!$K$11))/'main page'!$K$31,(B451-B450*AC451+D450*AD451-H451+'main page'!$K$27*('main page'!$K$24+'main page'!$K$11))/'main page'!$K$31)</f>
        <v>1</v>
      </c>
      <c r="AI450" s="44">
        <f ca="1">IF(controls!$B$45=1,LOG(AM450,1.01)+LOG(AL450,1.01)-LOG(AK450,1.01),-((T450-('main page'!$K$24+'main page'!$K$11))/(1-'normal case'!$AV$3))+'normal case'!AH450)</f>
        <v>2.0000000596046448</v>
      </c>
      <c r="AJ450" s="80">
        <f t="shared" ca="1" si="54"/>
        <v>1.0506250015463039</v>
      </c>
      <c r="AK450" s="44">
        <f t="shared" ca="1" si="55"/>
        <v>6850.6692634760602</v>
      </c>
      <c r="AL450" s="44">
        <f>AL449*(1+'main page'!$K$32/100)</f>
        <v>1</v>
      </c>
      <c r="AM450" s="44">
        <f ca="1">IF(ABS(IF(controls!$B$45=1,$AS$13,AK450*AJ450/AL450)-AM449)&lt;0.00001,AM449,IF(controls!$B$45=1,$AS$13,AK450*AJ450/AL450))</f>
        <v>7197.4844055327521</v>
      </c>
      <c r="AN450" s="44">
        <f>IF(controls!$B$46=0,0,IF(controls!$B$33=2,B451-B450*AC451-('normal case'!H451-D450*AD451-'main page'!$K$27*'normal case'!T450+'main page'!$K$31*'normal case'!AI450)-(('main page'!$K$25*'main page'!$U$13*'main page'!$K$29)/(1+('main page'!$K$25^2)*'main page'!$U$13))*('normal case'!L450-'main page'!$U$8),B451-B450*AC451-('normal case'!I451-D450*AD451-'main page'!$K$27*'normal case'!T450+'main page'!$K$31*'normal case'!AI450)-(('main page'!$K$25*'main page'!$U$13*'main page'!$K$29)/(1+('main page'!$K$25^2)*'main page'!$U$13))*('normal case'!L450-'main page'!$U$8)))</f>
        <v>0</v>
      </c>
      <c r="AU450" s="36"/>
      <c r="AV450" s="36"/>
    </row>
    <row r="451" spans="1:48">
      <c r="A451" s="43">
        <v>449</v>
      </c>
      <c r="B451" s="62">
        <f ca="1">IF(controls!$B$33=1,B450*(1+AC451)+AA451,B450*(1+AC451))</f>
        <v>101</v>
      </c>
      <c r="C451" s="67">
        <f t="shared" ca="1" si="56"/>
        <v>-1.5107707374006907E-7</v>
      </c>
      <c r="D451" s="64">
        <f t="shared" ca="1" si="52"/>
        <v>101.00000005960464</v>
      </c>
      <c r="E451" s="64">
        <f ca="1">AN450+IF(controls!$B$33=1,G451,F451)</f>
        <v>101.00000005960464</v>
      </c>
      <c r="F451" s="78">
        <f ca="1">IF(controls!$B$44=0,H451-'main page'!$K$27*T450,H451-'main page'!$K$27*T450+'main page'!$K$31*AI450)</f>
        <v>101.00000005960464</v>
      </c>
      <c r="G451" s="62">
        <f ca="1">IF(controls!$B$44=0,I451-'main page'!$K$27*T450,I451-'main page'!$K$27*T450+'main page'!$K$31*'normal case'!AI450)</f>
        <v>101.00000005960464</v>
      </c>
      <c r="H451" s="62">
        <f t="shared" ca="1" si="58"/>
        <v>108</v>
      </c>
      <c r="I451" s="62">
        <f t="shared" ca="1" si="59"/>
        <v>108</v>
      </c>
      <c r="L451" s="62">
        <f ca="1">IF(ABS('main page'!$K$29*L450+(1-'main page'!$K$29)*(controls!$B$9/100)*100+'main page'!$K$25*(D451-B451)-L450)&lt;0.0000001,L450,'main page'!$K$29*L450+(1-'main page'!$K$29)*(controls!$B$9/100)*100+'main page'!$K$25*(D451-B451))</f>
        <v>1.9999998807907104</v>
      </c>
      <c r="Q451" s="409">
        <f ca="1">(1-'main page'!$K$29)*($AS$11/100)*100+'main page'!$K$25*(D451-B451)</f>
        <v>5.9604644775390625E-8</v>
      </c>
      <c r="R451" s="409">
        <f>'main page'!G455+'main page'!$K$29*M450</f>
        <v>0</v>
      </c>
      <c r="S451" s="409">
        <f t="shared" ca="1" si="57"/>
        <v>5.9604644775390625E-8</v>
      </c>
      <c r="T451" s="79">
        <f ca="1">IF(controls!$B$10=1,T450,IF(SUM(controls!$B$44:$B$46)=2,U451-'main page'!$K$29*'normal case'!L451-(1-'main page'!$K$29)*'main page'!$K$32,U451-'main page'!$K$29*'normal case'!L451-(1-'main page'!$K$29)*controls!$B$9))</f>
        <v>3.4999999701976776</v>
      </c>
      <c r="U451" s="164">
        <f ca="1">IF(controls!$B$45=1,IF(controls!$B$46=1,'main page'!$K$24+'main page'!$K$11+'main page'!$U$8,'main page'!$K$24+'main page'!$K$11+'main page'!$K$32),IF(controls!$B$44=1,IF(V451&lt;0,0,V451),IF(V451+'main page'!$K$11&lt;0,0,V451+'main page'!$K$11)))</f>
        <v>5.4999998509883881</v>
      </c>
      <c r="V451" s="63">
        <f ca="1">IF(controls!$B$10=1,'normal case'!T451+'normal case'!L451,'normal case'!W451)</f>
        <v>5.4999998509883881</v>
      </c>
      <c r="W451" s="61">
        <f t="shared" ca="1" si="53"/>
        <v>5.4999998509883881</v>
      </c>
      <c r="X451" s="166">
        <f ca="1">IF(controls!$B$44=0,Y451+'main page'!$K$29*L451+(1-'main page'!$K$29)*controls!$B$9+(('main page'!$K$25*'main page'!$U$13*'main page'!$K$29)/('main page'!$K$27*(1+('main page'!$K$25^2)*'main page'!$U$13)))*(L451-controls!$B$9),Y451+'main page'!$K$29*L451+(1-'main page'!$K$29)*controls!$B$9+(('main page'!$K$25*'main page'!$U$13*'normal case'!$AV$3)/'normal case'!$AV$4)*('normal case'!L451-controls!$B$9))</f>
        <v>5.4999998509883881</v>
      </c>
      <c r="Y451" s="81">
        <f ca="1">IF(controls!$B$44=1,'main page'!$K$24+'main page'!$K$11,IF(controls!$B$33=1,((I452-D451*AD452-B452+B451*AC452)/'main page'!$K$27)-'main page'!$K$11,((H452-D451*AD452-B452+B451*AC452)/'main page'!$K$27)-'main page'!$K$11))</f>
        <v>3.5</v>
      </c>
      <c r="AA451" s="58">
        <f>IF(controls!$B$6=1,$AS$3*(1+('main page'!$K$35/100))^AB451-$AS$3*(1+('main page'!$K$35/100))^AB450,$AS$3*(1+('main page'!$G$8/100))*(1+('main page'!$K$35/100))^AB451-$AS$3*(1+('main page'!$G$8/100))*(1+('main page'!$K$35/100))^AB450)</f>
        <v>0</v>
      </c>
      <c r="AB451" s="60">
        <v>444</v>
      </c>
      <c r="AC451" s="125">
        <v>0</v>
      </c>
      <c r="AD451" s="36">
        <v>0</v>
      </c>
      <c r="AE451" s="44">
        <f ca="1">IF(controls!$B$33=1,D451-($I$3-'main page'!$K$27*2)*(1+('main page'!$K$35/100))^A450,D451-$AS$4)</f>
        <v>1.0000000596046448</v>
      </c>
      <c r="AF451" s="44">
        <f ca="1">ABS(L451-(controls!$B$9/100)*100)</f>
        <v>1.1920928955078125E-7</v>
      </c>
      <c r="AH451" s="44">
        <f ca="1">IF(controls!$B$33=1,(B452-B451*AC452-I452+D451*AD452+'main page'!$K$27*('main page'!$K$24+'main page'!$K$11))/'main page'!$K$31,(B452-B451*AC452+D451*AD452-H452+'main page'!$K$27*('main page'!$K$24+'main page'!$K$11))/'main page'!$K$31)</f>
        <v>1</v>
      </c>
      <c r="AI451" s="44">
        <f ca="1">IF(controls!$B$45=1,LOG(AM451,1.01)+LOG(AL451,1.01)-LOG(AK451,1.01),-((T451-('main page'!$K$24+'main page'!$K$11))/(1-'normal case'!$AV$3))+'normal case'!AH451)</f>
        <v>2.0000000596046448</v>
      </c>
      <c r="AJ451" s="80">
        <f t="shared" ca="1" si="54"/>
        <v>1.0506250015463039</v>
      </c>
      <c r="AK451" s="44">
        <f t="shared" ca="1" si="55"/>
        <v>6987.6826405789479</v>
      </c>
      <c r="AL451" s="44">
        <f>AL450*(1+'main page'!$K$32/100)</f>
        <v>1</v>
      </c>
      <c r="AM451" s="44">
        <f ca="1">IF(ABS(IF(controls!$B$45=1,$AS$13,AK451*AJ451/AL451)-AM450)&lt;0.00001,AM450,IF(controls!$B$45=1,$AS$13,AK451*AJ451/AL451))</f>
        <v>7341.434085063338</v>
      </c>
      <c r="AN451" s="44">
        <f>IF(controls!$B$46=0,0,IF(controls!$B$33=2,B452-B451*AC452-('normal case'!H452-D451*AD452-'main page'!$K$27*'normal case'!T451+'main page'!$K$31*'normal case'!AI451)-(('main page'!$K$25*'main page'!$U$13*'main page'!$K$29)/(1+('main page'!$K$25^2)*'main page'!$U$13))*('normal case'!L451-'main page'!$U$8),B452-B451*AC452-('normal case'!I452-D451*AD452-'main page'!$K$27*'normal case'!T451+'main page'!$K$31*'normal case'!AI451)-(('main page'!$K$25*'main page'!$U$13*'main page'!$K$29)/(1+('main page'!$K$25^2)*'main page'!$U$13))*('normal case'!L451-'main page'!$U$8)))</f>
        <v>0</v>
      </c>
      <c r="AU451" s="36"/>
      <c r="AV451" s="36"/>
    </row>
    <row r="452" spans="1:48">
      <c r="A452" s="43">
        <v>450</v>
      </c>
      <c r="B452" s="62">
        <f ca="1">IF(controls!$B$33=1,B451*(1+AC452)+AA452,B451*(1+AC452))</f>
        <v>101</v>
      </c>
      <c r="C452" s="67">
        <f t="shared" ca="1" si="56"/>
        <v>-1.5107707374006907E-7</v>
      </c>
      <c r="D452" s="64">
        <f t="shared" ref="D452:D502" ca="1" si="60">IF(E452&gt;0,E452,0.1)</f>
        <v>101.00000005960464</v>
      </c>
      <c r="E452" s="64">
        <f ca="1">AN451+IF(controls!$B$33=1,G452,F452)</f>
        <v>101.00000005960464</v>
      </c>
      <c r="F452" s="78">
        <f ca="1">IF(controls!$B$44=0,H452-'main page'!$K$27*T451,H452-'main page'!$K$27*T451+'main page'!$K$31*AI451)</f>
        <v>101.00000005960464</v>
      </c>
      <c r="G452" s="62">
        <f ca="1">IF(controls!$B$44=0,I452-'main page'!$K$27*T451,I452-'main page'!$K$27*T451+'main page'!$K$31*'normal case'!AI451)</f>
        <v>101.00000005960464</v>
      </c>
      <c r="H452" s="62">
        <f t="shared" ca="1" si="58"/>
        <v>108</v>
      </c>
      <c r="I452" s="62">
        <f t="shared" ca="1" si="59"/>
        <v>108</v>
      </c>
      <c r="L452" s="62">
        <f ca="1">IF(ABS('main page'!$K$29*L451+(1-'main page'!$K$29)*(controls!$B$9/100)*100+'main page'!$K$25*(D452-B452)-L451)&lt;0.0000001,L451,'main page'!$K$29*L451+(1-'main page'!$K$29)*(controls!$B$9/100)*100+'main page'!$K$25*(D452-B452))</f>
        <v>1.9999998807907104</v>
      </c>
      <c r="Q452" s="409">
        <f ca="1">(1-'main page'!$K$29)*($AS$11/100)*100+'main page'!$K$25*(D452-B452)</f>
        <v>5.9604644775390625E-8</v>
      </c>
      <c r="R452" s="409">
        <f>'main page'!G456+'main page'!$K$29*M451</f>
        <v>0</v>
      </c>
      <c r="S452" s="409">
        <f t="shared" ca="1" si="57"/>
        <v>5.9604644775390625E-8</v>
      </c>
      <c r="T452" s="79">
        <f ca="1">IF(controls!$B$10=1,T451,IF(SUM(controls!$B$44:$B$46)=2,U452-'main page'!$K$29*'normal case'!L452-(1-'main page'!$K$29)*'main page'!$K$32,U452-'main page'!$K$29*'normal case'!L452-(1-'main page'!$K$29)*controls!$B$9))</f>
        <v>3.4999999701976776</v>
      </c>
      <c r="U452" s="164">
        <f ca="1">IF(controls!$B$45=1,IF(controls!$B$46=1,'main page'!$K$24+'main page'!$K$11+'main page'!$U$8,'main page'!$K$24+'main page'!$K$11+'main page'!$K$32),IF(controls!$B$44=1,IF(V452&lt;0,0,V452),IF(V452+'main page'!$K$11&lt;0,0,V452+'main page'!$K$11)))</f>
        <v>5.4999998509883881</v>
      </c>
      <c r="V452" s="63">
        <f ca="1">IF(controls!$B$10=1,'normal case'!T452+'normal case'!L452,'normal case'!W452)</f>
        <v>5.4999998509883881</v>
      </c>
      <c r="W452" s="61">
        <f t="shared" ref="W452:W502" ca="1" si="61">IF(X452&lt;0,0,X452)</f>
        <v>5.4999998509883881</v>
      </c>
      <c r="X452" s="166">
        <f ca="1">IF(controls!$B$44=0,Y452+'main page'!$K$29*L452+(1-'main page'!$K$29)*controls!$B$9+(('main page'!$K$25*'main page'!$U$13*'main page'!$K$29)/('main page'!$K$27*(1+('main page'!$K$25^2)*'main page'!$U$13)))*(L452-controls!$B$9),Y452+'main page'!$K$29*L452+(1-'main page'!$K$29)*controls!$B$9+(('main page'!$K$25*'main page'!$U$13*'normal case'!$AV$3)/'normal case'!$AV$4)*('normal case'!L452-controls!$B$9))</f>
        <v>5.4999998509883881</v>
      </c>
      <c r="Y452" s="81">
        <f ca="1">IF(controls!$B$44=1,'main page'!$K$24+'main page'!$K$11,IF(controls!$B$33=1,((I453-D452*AD453-B453+B452*AC453)/'main page'!$K$27)-'main page'!$K$11,((H453-D452*AD453-B453+B452*AC453)/'main page'!$K$27)-'main page'!$K$11))</f>
        <v>3.5</v>
      </c>
      <c r="AA452" s="58">
        <f>IF(controls!$B$6=1,$AS$3*(1+('main page'!$K$35/100))^AB452-$AS$3*(1+('main page'!$K$35/100))^AB451,$AS$3*(1+('main page'!$G$8/100))*(1+('main page'!$K$35/100))^AB452-$AS$3*(1+('main page'!$G$8/100))*(1+('main page'!$K$35/100))^AB451)</f>
        <v>0</v>
      </c>
      <c r="AB452" s="60">
        <v>445</v>
      </c>
      <c r="AC452" s="125">
        <f ca="1">IF(controls!$B$4=1,IF(controls!$H451=1,controls!$B$34*AC451+RAND()*('main page'!$K$16/100)-RAND()*('main page'!$K$16/100),0),0)</f>
        <v>0</v>
      </c>
      <c r="AD452" s="36">
        <f ca="1">IF(controls!$B$4=1,IF(controls!$I451=1,controls!$B$34*AD451+RAND()*('main page'!$K$16/100)-RAND()*('main page'!$K$16/100),0),0)</f>
        <v>0</v>
      </c>
      <c r="AE452" s="44">
        <f ca="1">IF(controls!$B$33=1,D452-($I$3-'main page'!$K$27*2)*(1+('main page'!$K$35/100))^A451,D452-$AS$4)</f>
        <v>1.0000000596046448</v>
      </c>
      <c r="AF452" s="44">
        <f ca="1">ABS(L452-(controls!$B$9/100)*100)</f>
        <v>1.1920928955078125E-7</v>
      </c>
      <c r="AH452" s="44">
        <f ca="1">IF(controls!$B$33=1,(B453-B452*AC453-I453+D452*AD453+'main page'!$K$27*('main page'!$K$24+'main page'!$K$11))/'main page'!$K$31,(B453-B452*AC453+D452*AD453-H453+'main page'!$K$27*('main page'!$K$24+'main page'!$K$11))/'main page'!$K$31)</f>
        <v>1</v>
      </c>
      <c r="AI452" s="44">
        <f ca="1">IF(controls!$B$45=1,LOG(AM452,1.01)+LOG(AL452,1.01)-LOG(AK452,1.01),-((T452-('main page'!$K$24+'main page'!$K$11))/(1-'normal case'!$AV$3))+'normal case'!AH452)</f>
        <v>2.0000000596046448</v>
      </c>
      <c r="AJ452" s="80">
        <f t="shared" ref="AJ452:AJ502" ca="1" si="62">IF(ABS(1.025^AI452-1)&lt;0.000000000001,1,1.025^AI452)</f>
        <v>1.0506250015463039</v>
      </c>
      <c r="AK452" s="44">
        <f t="shared" ref="AK452:AK502" ca="1" si="63">AK451*(1+L452/100)</f>
        <v>7127.4362850605603</v>
      </c>
      <c r="AL452" s="44">
        <f>AL451*(1+'main page'!$K$32/100)</f>
        <v>1</v>
      </c>
      <c r="AM452" s="44">
        <f ca="1">IF(ABS(IF(controls!$B$45=1,$AS$13,AK452*AJ452/AL452)-AM451)&lt;0.00001,AM451,IF(controls!$B$45=1,$AS$13,AK452*AJ452/AL452))</f>
        <v>7488.2627580129338</v>
      </c>
      <c r="AN452" s="44">
        <f>IF(controls!$B$46=0,0,IF(controls!$B$33=2,B453-B452*AC453-('normal case'!H453-D452*AD453-'main page'!$K$27*'normal case'!T452+'main page'!$K$31*'normal case'!AI452)-(('main page'!$K$25*'main page'!$U$13*'main page'!$K$29)/(1+('main page'!$K$25^2)*'main page'!$U$13))*('normal case'!L452-'main page'!$U$8),B453-B452*AC453-('normal case'!I453-D452*AD453-'main page'!$K$27*'normal case'!T452+'main page'!$K$31*'normal case'!AI452)-(('main page'!$K$25*'main page'!$U$13*'main page'!$K$29)/(1+('main page'!$K$25^2)*'main page'!$U$13))*('normal case'!L452-'main page'!$U$8)))</f>
        <v>0</v>
      </c>
      <c r="AU452" s="36"/>
      <c r="AV452" s="36"/>
    </row>
    <row r="453" spans="1:48">
      <c r="A453" s="43">
        <v>451</v>
      </c>
      <c r="B453" s="62">
        <f ca="1">IF(controls!$B$33=1,B452*(1+AC453)+AA453,B452*(1+AC453))</f>
        <v>101</v>
      </c>
      <c r="C453" s="67">
        <f t="shared" ca="1" si="56"/>
        <v>-1.5107707374006907E-7</v>
      </c>
      <c r="D453" s="64">
        <f t="shared" ca="1" si="60"/>
        <v>101.00000005960464</v>
      </c>
      <c r="E453" s="64">
        <f ca="1">AN452+IF(controls!$B$33=1,G453,F453)</f>
        <v>101.00000005960464</v>
      </c>
      <c r="F453" s="78">
        <f ca="1">IF(controls!$B$44=0,H453-'main page'!$K$27*T452,H453-'main page'!$K$27*T452+'main page'!$K$31*AI452)</f>
        <v>101.00000005960464</v>
      </c>
      <c r="G453" s="62">
        <f ca="1">IF(controls!$B$44=0,I453-'main page'!$K$27*T452,I453-'main page'!$K$27*T452+'main page'!$K$31*'normal case'!AI452)</f>
        <v>101.00000005960464</v>
      </c>
      <c r="H453" s="62">
        <f t="shared" ca="1" si="58"/>
        <v>108</v>
      </c>
      <c r="I453" s="62">
        <f t="shared" ca="1" si="59"/>
        <v>108</v>
      </c>
      <c r="L453" s="62">
        <f ca="1">IF(ABS('main page'!$K$29*L452+(1-'main page'!$K$29)*(controls!$B$9/100)*100+'main page'!$K$25*(D453-B453)-L452)&lt;0.0000001,L452,'main page'!$K$29*L452+(1-'main page'!$K$29)*(controls!$B$9/100)*100+'main page'!$K$25*(D453-B453))</f>
        <v>1.9999998807907104</v>
      </c>
      <c r="Q453" s="409">
        <f ca="1">(1-'main page'!$K$29)*($AS$11/100)*100+'main page'!$K$25*(D453-B453)</f>
        <v>5.9604644775390625E-8</v>
      </c>
      <c r="R453" s="409">
        <f>'main page'!G457+'main page'!$K$29*M452</f>
        <v>0</v>
      </c>
      <c r="S453" s="409">
        <f t="shared" ca="1" si="57"/>
        <v>5.9604644775390625E-8</v>
      </c>
      <c r="T453" s="79">
        <f ca="1">IF(controls!$B$10=1,T452,IF(SUM(controls!$B$44:$B$46)=2,U453-'main page'!$K$29*'normal case'!L453-(1-'main page'!$K$29)*'main page'!$K$32,U453-'main page'!$K$29*'normal case'!L453-(1-'main page'!$K$29)*controls!$B$9))</f>
        <v>3.4999999701976776</v>
      </c>
      <c r="U453" s="164">
        <f ca="1">IF(controls!$B$45=1,IF(controls!$B$46=1,'main page'!$K$24+'main page'!$K$11+'main page'!$U$8,'main page'!$K$24+'main page'!$K$11+'main page'!$K$32),IF(controls!$B$44=1,IF(V453&lt;0,0,V453),IF(V453+'main page'!$K$11&lt;0,0,V453+'main page'!$K$11)))</f>
        <v>5.4999998509883881</v>
      </c>
      <c r="V453" s="63">
        <f ca="1">IF(controls!$B$10=1,'normal case'!T453+'normal case'!L453,'normal case'!W453)</f>
        <v>5.4999998509883881</v>
      </c>
      <c r="W453" s="61">
        <f t="shared" ca="1" si="61"/>
        <v>5.4999998509883881</v>
      </c>
      <c r="X453" s="166">
        <f ca="1">IF(controls!$B$44=0,Y453+'main page'!$K$29*L453+(1-'main page'!$K$29)*controls!$B$9+(('main page'!$K$25*'main page'!$U$13*'main page'!$K$29)/('main page'!$K$27*(1+('main page'!$K$25^2)*'main page'!$U$13)))*(L453-controls!$B$9),Y453+'main page'!$K$29*L453+(1-'main page'!$K$29)*controls!$B$9+(('main page'!$K$25*'main page'!$U$13*'normal case'!$AV$3)/'normal case'!$AV$4)*('normal case'!L453-controls!$B$9))</f>
        <v>5.4999998509883881</v>
      </c>
      <c r="Y453" s="81">
        <f ca="1">IF(controls!$B$44=1,'main page'!$K$24+'main page'!$K$11,IF(controls!$B$33=1,((I454-D453*AD454-B454+B453*AC454)/'main page'!$K$27)-'main page'!$K$11,((H454-D453*AD454-B454+B453*AC454)/'main page'!$K$27)-'main page'!$K$11))</f>
        <v>3.5</v>
      </c>
      <c r="AA453" s="58">
        <f>IF(controls!$B$6=1,$AS$3*(1+('main page'!$K$35/100))^AB453-$AS$3*(1+('main page'!$K$35/100))^AB452,$AS$3*(1+('main page'!$G$8/100))*(1+('main page'!$K$35/100))^AB453-$AS$3*(1+('main page'!$G$8/100))*(1+('main page'!$K$35/100))^AB452)</f>
        <v>0</v>
      </c>
      <c r="AB453" s="60">
        <v>446</v>
      </c>
      <c r="AC453" s="125">
        <v>0</v>
      </c>
      <c r="AD453" s="36">
        <v>0</v>
      </c>
      <c r="AE453" s="44">
        <f ca="1">IF(controls!$B$33=1,D453-($I$3-'main page'!$K$27*2)*(1+('main page'!$K$35/100))^A452,D453-$AS$4)</f>
        <v>1.0000000596046448</v>
      </c>
      <c r="AF453" s="44">
        <f ca="1">ABS(L453-(controls!$B$9/100)*100)</f>
        <v>1.1920928955078125E-7</v>
      </c>
      <c r="AH453" s="44">
        <f ca="1">IF(controls!$B$33=1,(B454-B453*AC454-I454+D453*AD454+'main page'!$K$27*('main page'!$K$24+'main page'!$K$11))/'main page'!$K$31,(B454-B453*AC454+D453*AD454-H454+'main page'!$K$27*('main page'!$K$24+'main page'!$K$11))/'main page'!$K$31)</f>
        <v>1</v>
      </c>
      <c r="AI453" s="44">
        <f ca="1">IF(controls!$B$45=1,LOG(AM453,1.01)+LOG(AL453,1.01)-LOG(AK453,1.01),-((T453-('main page'!$K$24+'main page'!$K$11))/(1-'normal case'!$AV$3))+'normal case'!AH453)</f>
        <v>2.0000000596046448</v>
      </c>
      <c r="AJ453" s="80">
        <f t="shared" ca="1" si="62"/>
        <v>1.0506250015463039</v>
      </c>
      <c r="AK453" s="44">
        <f t="shared" ca="1" si="63"/>
        <v>7269.9850022652054</v>
      </c>
      <c r="AL453" s="44">
        <f>AL452*(1+'main page'!$K$32/100)</f>
        <v>1</v>
      </c>
      <c r="AM453" s="44">
        <f ca="1">IF(ABS(IF(controls!$B$45=1,$AS$13,AK453*AJ453/AL453)-AM452)&lt;0.00001,AM452,IF(controls!$B$45=1,$AS$13,AK453*AJ453/AL453))</f>
        <v>7638.0280042464874</v>
      </c>
      <c r="AN453" s="44">
        <f>IF(controls!$B$46=0,0,IF(controls!$B$33=2,B454-B453*AC454-('normal case'!H454-D453*AD454-'main page'!$K$27*'normal case'!T453+'main page'!$K$31*'normal case'!AI453)-(('main page'!$K$25*'main page'!$U$13*'main page'!$K$29)/(1+('main page'!$K$25^2)*'main page'!$U$13))*('normal case'!L453-'main page'!$U$8),B454-B453*AC454-('normal case'!I454-D453*AD454-'main page'!$K$27*'normal case'!T453+'main page'!$K$31*'normal case'!AI453)-(('main page'!$K$25*'main page'!$U$13*'main page'!$K$29)/(1+('main page'!$K$25^2)*'main page'!$U$13))*('normal case'!L453-'main page'!$U$8)))</f>
        <v>0</v>
      </c>
      <c r="AU453" s="36"/>
      <c r="AV453" s="36"/>
    </row>
    <row r="454" spans="1:48">
      <c r="A454" s="43">
        <v>452</v>
      </c>
      <c r="B454" s="62">
        <f ca="1">IF(controls!$B$33=1,B453*(1+AC454)+AA454,B453*(1+AC454))</f>
        <v>101</v>
      </c>
      <c r="C454" s="67">
        <f t="shared" ref="C454:C502" ca="1" si="64">IF(ABS((D454/D453-1)-C453)&lt;0.000001,C453,D454/D453-1)</f>
        <v>-1.5107707374006907E-7</v>
      </c>
      <c r="D454" s="64">
        <f t="shared" ca="1" si="60"/>
        <v>101.00000005960464</v>
      </c>
      <c r="E454" s="64">
        <f ca="1">AN453+IF(controls!$B$33=1,G454,F454)</f>
        <v>101.00000005960464</v>
      </c>
      <c r="F454" s="78">
        <f ca="1">IF(controls!$B$44=0,H454-'main page'!$K$27*T453,H454-'main page'!$K$27*T453+'main page'!$K$31*AI453)</f>
        <v>101.00000005960464</v>
      </c>
      <c r="G454" s="62">
        <f ca="1">IF(controls!$B$44=0,I454-'main page'!$K$27*T453,I454-'main page'!$K$27*T453+'main page'!$K$31*'normal case'!AI453)</f>
        <v>101.00000005960464</v>
      </c>
      <c r="H454" s="62">
        <f t="shared" ca="1" si="58"/>
        <v>108</v>
      </c>
      <c r="I454" s="62">
        <f t="shared" ca="1" si="59"/>
        <v>108</v>
      </c>
      <c r="L454" s="62">
        <f ca="1">IF(ABS('main page'!$K$29*L453+(1-'main page'!$K$29)*(controls!$B$9/100)*100+'main page'!$K$25*(D454-B454)-L453)&lt;0.0000001,L453,'main page'!$K$29*L453+(1-'main page'!$K$29)*(controls!$B$9/100)*100+'main page'!$K$25*(D454-B454))</f>
        <v>1.9999998807907104</v>
      </c>
      <c r="Q454" s="409">
        <f ca="1">(1-'main page'!$K$29)*($AS$11/100)*100+'main page'!$K$25*(D454-B454)</f>
        <v>5.9604644775390625E-8</v>
      </c>
      <c r="R454" s="409">
        <f>'main page'!G458+'main page'!$K$29*M453</f>
        <v>0</v>
      </c>
      <c r="S454" s="409">
        <f t="shared" ca="1" si="57"/>
        <v>5.9604644775390625E-8</v>
      </c>
      <c r="T454" s="79">
        <f ca="1">IF(controls!$B$10=1,T453,IF(SUM(controls!$B$44:$B$46)=2,U454-'main page'!$K$29*'normal case'!L454-(1-'main page'!$K$29)*'main page'!$K$32,U454-'main page'!$K$29*'normal case'!L454-(1-'main page'!$K$29)*controls!$B$9))</f>
        <v>3.4999999701976776</v>
      </c>
      <c r="U454" s="164">
        <f ca="1">IF(controls!$B$45=1,IF(controls!$B$46=1,'main page'!$K$24+'main page'!$K$11+'main page'!$U$8,'main page'!$K$24+'main page'!$K$11+'main page'!$K$32),IF(controls!$B$44=1,IF(V454&lt;0,0,V454),IF(V454+'main page'!$K$11&lt;0,0,V454+'main page'!$K$11)))</f>
        <v>5.4999998509883881</v>
      </c>
      <c r="V454" s="63">
        <f ca="1">IF(controls!$B$10=1,'normal case'!T454+'normal case'!L454,'normal case'!W454)</f>
        <v>5.4999998509883881</v>
      </c>
      <c r="W454" s="61">
        <f t="shared" ca="1" si="61"/>
        <v>5.4999998509883881</v>
      </c>
      <c r="X454" s="166">
        <f ca="1">IF(controls!$B$44=0,Y454+'main page'!$K$29*L454+(1-'main page'!$K$29)*controls!$B$9+(('main page'!$K$25*'main page'!$U$13*'main page'!$K$29)/('main page'!$K$27*(1+('main page'!$K$25^2)*'main page'!$U$13)))*(L454-controls!$B$9),Y454+'main page'!$K$29*L454+(1-'main page'!$K$29)*controls!$B$9+(('main page'!$K$25*'main page'!$U$13*'normal case'!$AV$3)/'normal case'!$AV$4)*('normal case'!L454-controls!$B$9))</f>
        <v>5.4999998509883881</v>
      </c>
      <c r="Y454" s="81">
        <f ca="1">IF(controls!$B$44=1,'main page'!$K$24+'main page'!$K$11,IF(controls!$B$33=1,((I455-D454*AD455-B455+B454*AC455)/'main page'!$K$27)-'main page'!$K$11,((H455-D454*AD455-B455+B454*AC455)/'main page'!$K$27)-'main page'!$K$11))</f>
        <v>3.5</v>
      </c>
      <c r="AA454" s="58">
        <f>IF(controls!$B$6=1,$AS$3*(1+('main page'!$K$35/100))^AB454-$AS$3*(1+('main page'!$K$35/100))^AB453,$AS$3*(1+('main page'!$G$8/100))*(1+('main page'!$K$35/100))^AB454-$AS$3*(1+('main page'!$G$8/100))*(1+('main page'!$K$35/100))^AB453)</f>
        <v>0</v>
      </c>
      <c r="AB454" s="60">
        <v>447</v>
      </c>
      <c r="AC454" s="125">
        <v>0</v>
      </c>
      <c r="AD454" s="36">
        <v>0</v>
      </c>
      <c r="AE454" s="44">
        <f ca="1">IF(controls!$B$33=1,D454-($I$3-'main page'!$K$27*2)*(1+('main page'!$K$35/100))^A453,D454-$AS$4)</f>
        <v>1.0000000596046448</v>
      </c>
      <c r="AF454" s="44">
        <f ca="1">ABS(L454-(controls!$B$9/100)*100)</f>
        <v>1.1920928955078125E-7</v>
      </c>
      <c r="AH454" s="44">
        <f ca="1">IF(controls!$B$33=1,(B455-B454*AC455-I455+D454*AD455+'main page'!$K$27*('main page'!$K$24+'main page'!$K$11))/'main page'!$K$31,(B455-B454*AC455+D454*AD455-H455+'main page'!$K$27*('main page'!$K$24+'main page'!$K$11))/'main page'!$K$31)</f>
        <v>1</v>
      </c>
      <c r="AI454" s="44">
        <f ca="1">IF(controls!$B$45=1,LOG(AM454,1.01)+LOG(AL454,1.01)-LOG(AK454,1.01),-((T454-('main page'!$K$24+'main page'!$K$11))/(1-'normal case'!$AV$3))+'normal case'!AH454)</f>
        <v>2.0000000596046448</v>
      </c>
      <c r="AJ454" s="80">
        <f t="shared" ca="1" si="62"/>
        <v>1.0506250015463039</v>
      </c>
      <c r="AK454" s="44">
        <f t="shared" ca="1" si="63"/>
        <v>7415.3846936440123</v>
      </c>
      <c r="AL454" s="44">
        <f>AL453*(1+'main page'!$K$32/100)</f>
        <v>1</v>
      </c>
      <c r="AM454" s="44">
        <f ca="1">IF(ABS(IF(controls!$B$45=1,$AS$13,AK454*AJ454/AL454)-AM453)&lt;0.00001,AM453,IF(controls!$B$45=1,$AS$13,AK454*AJ454/AL454))</f>
        <v>7790.7885552261787</v>
      </c>
      <c r="AN454" s="44">
        <f>IF(controls!$B$46=0,0,IF(controls!$B$33=2,B455-B454*AC455-('normal case'!H455-D454*AD455-'main page'!$K$27*'normal case'!T454+'main page'!$K$31*'normal case'!AI454)-(('main page'!$K$25*'main page'!$U$13*'main page'!$K$29)/(1+('main page'!$K$25^2)*'main page'!$U$13))*('normal case'!L454-'main page'!$U$8),B455-B454*AC455-('normal case'!I455-D454*AD455-'main page'!$K$27*'normal case'!T454+'main page'!$K$31*'normal case'!AI454)-(('main page'!$K$25*'main page'!$U$13*'main page'!$K$29)/(1+('main page'!$K$25^2)*'main page'!$U$13))*('normal case'!L454-'main page'!$U$8)))</f>
        <v>0</v>
      </c>
      <c r="AU454" s="36"/>
      <c r="AV454" s="36"/>
    </row>
    <row r="455" spans="1:48">
      <c r="A455" s="43">
        <v>453</v>
      </c>
      <c r="B455" s="62">
        <f ca="1">IF(controls!$B$33=1,B454*(1+AC455)+AA455,B454*(1+AC455))</f>
        <v>101</v>
      </c>
      <c r="C455" s="67">
        <f t="shared" ca="1" si="64"/>
        <v>-1.5107707374006907E-7</v>
      </c>
      <c r="D455" s="64">
        <f t="shared" ca="1" si="60"/>
        <v>101.00000005960464</v>
      </c>
      <c r="E455" s="64">
        <f ca="1">AN454+IF(controls!$B$33=1,G455,F455)</f>
        <v>101.00000005960464</v>
      </c>
      <c r="F455" s="78">
        <f ca="1">IF(controls!$B$44=0,H455-'main page'!$K$27*T454,H455-'main page'!$K$27*T454+'main page'!$K$31*AI454)</f>
        <v>101.00000005960464</v>
      </c>
      <c r="G455" s="62">
        <f ca="1">IF(controls!$B$44=0,I455-'main page'!$K$27*T454,I455-'main page'!$K$27*T454+'main page'!$K$31*'normal case'!AI454)</f>
        <v>101.00000005960464</v>
      </c>
      <c r="H455" s="62">
        <f t="shared" ca="1" si="58"/>
        <v>108</v>
      </c>
      <c r="I455" s="62">
        <f t="shared" ca="1" si="59"/>
        <v>108</v>
      </c>
      <c r="L455" s="62">
        <f ca="1">IF(ABS('main page'!$K$29*L454+(1-'main page'!$K$29)*(controls!$B$9/100)*100+'main page'!$K$25*(D455-B455)-L454)&lt;0.0000001,L454,'main page'!$K$29*L454+(1-'main page'!$K$29)*(controls!$B$9/100)*100+'main page'!$K$25*(D455-B455))</f>
        <v>1.9999998807907104</v>
      </c>
      <c r="Q455" s="409">
        <f ca="1">(1-'main page'!$K$29)*($AS$11/100)*100+'main page'!$K$25*(D455-B455)</f>
        <v>5.9604644775390625E-8</v>
      </c>
      <c r="R455" s="409">
        <f>'main page'!G459+'main page'!$K$29*M454</f>
        <v>0</v>
      </c>
      <c r="S455" s="409">
        <f t="shared" ca="1" si="57"/>
        <v>5.9604644775390625E-8</v>
      </c>
      <c r="T455" s="79">
        <f ca="1">IF(controls!$B$10=1,T454,IF(SUM(controls!$B$44:$B$46)=2,U455-'main page'!$K$29*'normal case'!L455-(1-'main page'!$K$29)*'main page'!$K$32,U455-'main page'!$K$29*'normal case'!L455-(1-'main page'!$K$29)*controls!$B$9))</f>
        <v>3.4999999701976776</v>
      </c>
      <c r="U455" s="164">
        <f ca="1">IF(controls!$B$45=1,IF(controls!$B$46=1,'main page'!$K$24+'main page'!$K$11+'main page'!$U$8,'main page'!$K$24+'main page'!$K$11+'main page'!$K$32),IF(controls!$B$44=1,IF(V455&lt;0,0,V455),IF(V455+'main page'!$K$11&lt;0,0,V455+'main page'!$K$11)))</f>
        <v>5.4999998509883881</v>
      </c>
      <c r="V455" s="63">
        <f ca="1">IF(controls!$B$10=1,'normal case'!T455+'normal case'!L455,'normal case'!W455)</f>
        <v>5.4999998509883881</v>
      </c>
      <c r="W455" s="61">
        <f t="shared" ca="1" si="61"/>
        <v>5.4999998509883881</v>
      </c>
      <c r="X455" s="166">
        <f ca="1">IF(controls!$B$44=0,Y455+'main page'!$K$29*L455+(1-'main page'!$K$29)*controls!$B$9+(('main page'!$K$25*'main page'!$U$13*'main page'!$K$29)/('main page'!$K$27*(1+('main page'!$K$25^2)*'main page'!$U$13)))*(L455-controls!$B$9),Y455+'main page'!$K$29*L455+(1-'main page'!$K$29)*controls!$B$9+(('main page'!$K$25*'main page'!$U$13*'normal case'!$AV$3)/'normal case'!$AV$4)*('normal case'!L455-controls!$B$9))</f>
        <v>5.4999998509883881</v>
      </c>
      <c r="Y455" s="81">
        <f ca="1">IF(controls!$B$44=1,'main page'!$K$24+'main page'!$K$11,IF(controls!$B$33=1,((I456-D455*AD456-B456+B455*AC456)/'main page'!$K$27)-'main page'!$K$11,((H456-D455*AD456-B456+B455*AC456)/'main page'!$K$27)-'main page'!$K$11))</f>
        <v>3.5</v>
      </c>
      <c r="AA455" s="58">
        <f>IF(controls!$B$6=1,$AS$3*(1+('main page'!$K$35/100))^AB455-$AS$3*(1+('main page'!$K$35/100))^AB454,$AS$3*(1+('main page'!$G$8/100))*(1+('main page'!$K$35/100))^AB455-$AS$3*(1+('main page'!$G$8/100))*(1+('main page'!$K$35/100))^AB454)</f>
        <v>0</v>
      </c>
      <c r="AB455" s="60">
        <v>448</v>
      </c>
      <c r="AC455" s="125">
        <f ca="1">IF(controls!$B$4=1,IF(controls!$H454=1,controls!$B$34*AC454+RAND()*('main page'!$K$16/100)-RAND()*('main page'!$K$16/100),0),0)</f>
        <v>0</v>
      </c>
      <c r="AD455" s="36">
        <f ca="1">IF(controls!$B$4=1,IF(controls!$I454=1,controls!$B$34*AD454+RAND()*('main page'!$K$16/100)-RAND()*('main page'!$K$16/100),0),0)</f>
        <v>0</v>
      </c>
      <c r="AE455" s="44">
        <f ca="1">IF(controls!$B$33=1,D455-($I$3-'main page'!$K$27*2)*(1+('main page'!$K$35/100))^A454,D455-$AS$4)</f>
        <v>1.0000000596046448</v>
      </c>
      <c r="AF455" s="44">
        <f ca="1">ABS(L455-(controls!$B$9/100)*100)</f>
        <v>1.1920928955078125E-7</v>
      </c>
      <c r="AH455" s="44">
        <f ca="1">IF(controls!$B$33=1,(B456-B455*AC456-I456+D455*AD456+'main page'!$K$27*('main page'!$K$24+'main page'!$K$11))/'main page'!$K$31,(B456-B455*AC456+D455*AD456-H456+'main page'!$K$27*('main page'!$K$24+'main page'!$K$11))/'main page'!$K$31)</f>
        <v>1</v>
      </c>
      <c r="AI455" s="44">
        <f ca="1">IF(controls!$B$45=1,LOG(AM455,1.01)+LOG(AL455,1.01)-LOG(AK455,1.01),-((T455-('main page'!$K$24+'main page'!$K$11))/(1-'normal case'!$AV$3))+'normal case'!AH455)</f>
        <v>2.0000000596046448</v>
      </c>
      <c r="AJ455" s="80">
        <f t="shared" ca="1" si="62"/>
        <v>1.0506250015463039</v>
      </c>
      <c r="AK455" s="44">
        <f t="shared" ca="1" si="63"/>
        <v>7563.6923786770658</v>
      </c>
      <c r="AL455" s="44">
        <f>AL454*(1+'main page'!$K$32/100)</f>
        <v>1</v>
      </c>
      <c r="AM455" s="44">
        <f ca="1">IF(ABS(IF(controls!$B$45=1,$AS$13,AK455*AJ455/AL455)-AM454)&lt;0.00001,AM454,IF(controls!$B$45=1,$AS$13,AK455*AJ455/AL455))</f>
        <v>7946.6043170433595</v>
      </c>
      <c r="AN455" s="44">
        <f>IF(controls!$B$46=0,0,IF(controls!$B$33=2,B456-B455*AC456-('normal case'!H456-D455*AD456-'main page'!$K$27*'normal case'!T455+'main page'!$K$31*'normal case'!AI455)-(('main page'!$K$25*'main page'!$U$13*'main page'!$K$29)/(1+('main page'!$K$25^2)*'main page'!$U$13))*('normal case'!L455-'main page'!$U$8),B456-B455*AC456-('normal case'!I456-D455*AD456-'main page'!$K$27*'normal case'!T455+'main page'!$K$31*'normal case'!AI455)-(('main page'!$K$25*'main page'!$U$13*'main page'!$K$29)/(1+('main page'!$K$25^2)*'main page'!$U$13))*('normal case'!L455-'main page'!$U$8)))</f>
        <v>0</v>
      </c>
      <c r="AU455" s="36"/>
      <c r="AV455" s="36"/>
    </row>
    <row r="456" spans="1:48">
      <c r="A456" s="43">
        <v>454</v>
      </c>
      <c r="B456" s="62">
        <f ca="1">IF(controls!$B$33=1,B455*(1+AC456)+AA456,B455*(1+AC456))</f>
        <v>101</v>
      </c>
      <c r="C456" s="67">
        <f t="shared" ca="1" si="64"/>
        <v>-1.5107707374006907E-7</v>
      </c>
      <c r="D456" s="64">
        <f t="shared" ca="1" si="60"/>
        <v>101.00000005960464</v>
      </c>
      <c r="E456" s="64">
        <f ca="1">AN455+IF(controls!$B$33=1,G456,F456)</f>
        <v>101.00000005960464</v>
      </c>
      <c r="F456" s="78">
        <f ca="1">IF(controls!$B$44=0,H456-'main page'!$K$27*T455,H456-'main page'!$K$27*T455+'main page'!$K$31*AI455)</f>
        <v>101.00000005960464</v>
      </c>
      <c r="G456" s="62">
        <f ca="1">IF(controls!$B$44=0,I456-'main page'!$K$27*T455,I456-'main page'!$K$27*T455+'main page'!$K$31*'normal case'!AI455)</f>
        <v>101.00000005960464</v>
      </c>
      <c r="H456" s="62">
        <f t="shared" ca="1" si="58"/>
        <v>108</v>
      </c>
      <c r="I456" s="62">
        <f t="shared" ca="1" si="59"/>
        <v>108</v>
      </c>
      <c r="L456" s="62">
        <f ca="1">IF(ABS('main page'!$K$29*L455+(1-'main page'!$K$29)*(controls!$B$9/100)*100+'main page'!$K$25*(D456-B456)-L455)&lt;0.0000001,L455,'main page'!$K$29*L455+(1-'main page'!$K$29)*(controls!$B$9/100)*100+'main page'!$K$25*(D456-B456))</f>
        <v>1.9999998807907104</v>
      </c>
      <c r="Q456" s="409">
        <f ca="1">(1-'main page'!$K$29)*($AS$11/100)*100+'main page'!$K$25*(D456-B456)</f>
        <v>5.9604644775390625E-8</v>
      </c>
      <c r="R456" s="409">
        <f>'main page'!G460+'main page'!$K$29*M455</f>
        <v>0</v>
      </c>
      <c r="S456" s="409">
        <f t="shared" ref="S456:S501" ca="1" si="65">Q456+R456</f>
        <v>5.9604644775390625E-8</v>
      </c>
      <c r="T456" s="79">
        <f ca="1">IF(controls!$B$10=1,T455,IF(SUM(controls!$B$44:$B$46)=2,U456-'main page'!$K$29*'normal case'!L456-(1-'main page'!$K$29)*'main page'!$K$32,U456-'main page'!$K$29*'normal case'!L456-(1-'main page'!$K$29)*controls!$B$9))</f>
        <v>3.4999999701976776</v>
      </c>
      <c r="U456" s="164">
        <f ca="1">IF(controls!$B$45=1,IF(controls!$B$46=1,'main page'!$K$24+'main page'!$K$11+'main page'!$U$8,'main page'!$K$24+'main page'!$K$11+'main page'!$K$32),IF(controls!$B$44=1,IF(V456&lt;0,0,V456),IF(V456+'main page'!$K$11&lt;0,0,V456+'main page'!$K$11)))</f>
        <v>5.4999998509883881</v>
      </c>
      <c r="V456" s="63">
        <f ca="1">IF(controls!$B$10=1,'normal case'!T456+'normal case'!L456,'normal case'!W456)</f>
        <v>5.4999998509883881</v>
      </c>
      <c r="W456" s="61">
        <f t="shared" ca="1" si="61"/>
        <v>5.4999998509883881</v>
      </c>
      <c r="X456" s="166">
        <f ca="1">IF(controls!$B$44=0,Y456+'main page'!$K$29*L456+(1-'main page'!$K$29)*controls!$B$9+(('main page'!$K$25*'main page'!$U$13*'main page'!$K$29)/('main page'!$K$27*(1+('main page'!$K$25^2)*'main page'!$U$13)))*(L456-controls!$B$9),Y456+'main page'!$K$29*L456+(1-'main page'!$K$29)*controls!$B$9+(('main page'!$K$25*'main page'!$U$13*'normal case'!$AV$3)/'normal case'!$AV$4)*('normal case'!L456-controls!$B$9))</f>
        <v>5.4999998509883881</v>
      </c>
      <c r="Y456" s="81">
        <f ca="1">IF(controls!$B$44=1,'main page'!$K$24+'main page'!$K$11,IF(controls!$B$33=1,((I457-D456*AD457-B457+B456*AC457)/'main page'!$K$27)-'main page'!$K$11,((H457-D456*AD457-B457+B456*AC457)/'main page'!$K$27)-'main page'!$K$11))</f>
        <v>3.5</v>
      </c>
      <c r="AA456" s="58">
        <f>IF(controls!$B$6=1,$AS$3*(1+('main page'!$K$35/100))^AB456-$AS$3*(1+('main page'!$K$35/100))^AB455,$AS$3*(1+('main page'!$G$8/100))*(1+('main page'!$K$35/100))^AB456-$AS$3*(1+('main page'!$G$8/100))*(1+('main page'!$K$35/100))^AB455)</f>
        <v>0</v>
      </c>
      <c r="AB456" s="60">
        <v>449</v>
      </c>
      <c r="AC456" s="125">
        <v>0</v>
      </c>
      <c r="AD456" s="36">
        <v>0</v>
      </c>
      <c r="AE456" s="44">
        <f ca="1">IF(controls!$B$33=1,D456-($I$3-'main page'!$K$27*2)*(1+('main page'!$K$35/100))^A455,D456-$AS$4)</f>
        <v>1.0000000596046448</v>
      </c>
      <c r="AF456" s="44">
        <f ca="1">ABS(L456-(controls!$B$9/100)*100)</f>
        <v>1.1920928955078125E-7</v>
      </c>
      <c r="AH456" s="44">
        <f ca="1">IF(controls!$B$33=1,(B457-B456*AC457-I457+D456*AD457+'main page'!$K$27*('main page'!$K$24+'main page'!$K$11))/'main page'!$K$31,(B457-B456*AC457+D456*AD457-H457+'main page'!$K$27*('main page'!$K$24+'main page'!$K$11))/'main page'!$K$31)</f>
        <v>1</v>
      </c>
      <c r="AI456" s="44">
        <f ca="1">IF(controls!$B$45=1,LOG(AM456,1.01)+LOG(AL456,1.01)-LOG(AK456,1.01),-((T456-('main page'!$K$24+'main page'!$K$11))/(1-'normal case'!$AV$3))+'normal case'!AH456)</f>
        <v>2.0000000596046448</v>
      </c>
      <c r="AJ456" s="80">
        <f t="shared" ca="1" si="62"/>
        <v>1.0506250015463039</v>
      </c>
      <c r="AK456" s="44">
        <f t="shared" ca="1" si="63"/>
        <v>7714.9662172339831</v>
      </c>
      <c r="AL456" s="44">
        <f>AL455*(1+'main page'!$K$32/100)</f>
        <v>1</v>
      </c>
      <c r="AM456" s="44">
        <f ca="1">IF(ABS(IF(controls!$B$45=1,$AS$13,AK456*AJ456/AL456)-AM455)&lt;0.00001,AM455,IF(controls!$B$45=1,$AS$13,AK456*AJ456/AL456))</f>
        <v>8105.5363939111357</v>
      </c>
      <c r="AN456" s="44">
        <f>IF(controls!$B$46=0,0,IF(controls!$B$33=2,B457-B456*AC457-('normal case'!H457-D456*AD457-'main page'!$K$27*'normal case'!T456+'main page'!$K$31*'normal case'!AI456)-(('main page'!$K$25*'main page'!$U$13*'main page'!$K$29)/(1+('main page'!$K$25^2)*'main page'!$U$13))*('normal case'!L456-'main page'!$U$8),B457-B456*AC457-('normal case'!I457-D456*AD457-'main page'!$K$27*'normal case'!T456+'main page'!$K$31*'normal case'!AI456)-(('main page'!$K$25*'main page'!$U$13*'main page'!$K$29)/(1+('main page'!$K$25^2)*'main page'!$U$13))*('normal case'!L456-'main page'!$U$8)))</f>
        <v>0</v>
      </c>
      <c r="AU456" s="36"/>
      <c r="AV456" s="36"/>
    </row>
    <row r="457" spans="1:48">
      <c r="A457" s="43">
        <v>455</v>
      </c>
      <c r="B457" s="62">
        <f ca="1">IF(controls!$B$33=1,B456*(1+AC457)+AA457,B456*(1+AC457))</f>
        <v>101</v>
      </c>
      <c r="C457" s="67">
        <f t="shared" ca="1" si="64"/>
        <v>-1.5107707374006907E-7</v>
      </c>
      <c r="D457" s="64">
        <f t="shared" ca="1" si="60"/>
        <v>101.00000005960464</v>
      </c>
      <c r="E457" s="64">
        <f ca="1">AN456+IF(controls!$B$33=1,G457,F457)</f>
        <v>101.00000005960464</v>
      </c>
      <c r="F457" s="78">
        <f ca="1">IF(controls!$B$44=0,H457-'main page'!$K$27*T456,H457-'main page'!$K$27*T456+'main page'!$K$31*AI456)</f>
        <v>101.00000005960464</v>
      </c>
      <c r="G457" s="62">
        <f ca="1">IF(controls!$B$44=0,I457-'main page'!$K$27*T456,I457-'main page'!$K$27*T456+'main page'!$K$31*'normal case'!AI456)</f>
        <v>101.00000005960464</v>
      </c>
      <c r="H457" s="62">
        <f t="shared" ca="1" si="58"/>
        <v>108</v>
      </c>
      <c r="I457" s="62">
        <f t="shared" ca="1" si="59"/>
        <v>108</v>
      </c>
      <c r="L457" s="62">
        <f ca="1">IF(ABS('main page'!$K$29*L456+(1-'main page'!$K$29)*(controls!$B$9/100)*100+'main page'!$K$25*(D457-B457)-L456)&lt;0.0000001,L456,'main page'!$K$29*L456+(1-'main page'!$K$29)*(controls!$B$9/100)*100+'main page'!$K$25*(D457-B457))</f>
        <v>1.9999998807907104</v>
      </c>
      <c r="Q457" s="409">
        <f ca="1">(1-'main page'!$K$29)*($AS$11/100)*100+'main page'!$K$25*(D457-B457)</f>
        <v>5.9604644775390625E-8</v>
      </c>
      <c r="R457" s="409">
        <f>'main page'!G461+'main page'!$K$29*M456</f>
        <v>0</v>
      </c>
      <c r="S457" s="409">
        <f t="shared" ca="1" si="65"/>
        <v>5.9604644775390625E-8</v>
      </c>
      <c r="T457" s="79">
        <f ca="1">IF(controls!$B$10=1,T456,IF(SUM(controls!$B$44:$B$46)=2,U457-'main page'!$K$29*'normal case'!L457-(1-'main page'!$K$29)*'main page'!$K$32,U457-'main page'!$K$29*'normal case'!L457-(1-'main page'!$K$29)*controls!$B$9))</f>
        <v>3.4999999701976776</v>
      </c>
      <c r="U457" s="164">
        <f ca="1">IF(controls!$B$45=1,IF(controls!$B$46=1,'main page'!$K$24+'main page'!$K$11+'main page'!$U$8,'main page'!$K$24+'main page'!$K$11+'main page'!$K$32),IF(controls!$B$44=1,IF(V457&lt;0,0,V457),IF(V457+'main page'!$K$11&lt;0,0,V457+'main page'!$K$11)))</f>
        <v>5.4999998509883881</v>
      </c>
      <c r="V457" s="63">
        <f ca="1">IF(controls!$B$10=1,'normal case'!T457+'normal case'!L457,'normal case'!W457)</f>
        <v>5.4999998509883881</v>
      </c>
      <c r="W457" s="61">
        <f t="shared" ca="1" si="61"/>
        <v>5.4999998509883881</v>
      </c>
      <c r="X457" s="166">
        <f ca="1">IF(controls!$B$44=0,Y457+'main page'!$K$29*L457+(1-'main page'!$K$29)*controls!$B$9+(('main page'!$K$25*'main page'!$U$13*'main page'!$K$29)/('main page'!$K$27*(1+('main page'!$K$25^2)*'main page'!$U$13)))*(L457-controls!$B$9),Y457+'main page'!$K$29*L457+(1-'main page'!$K$29)*controls!$B$9+(('main page'!$K$25*'main page'!$U$13*'normal case'!$AV$3)/'normal case'!$AV$4)*('normal case'!L457-controls!$B$9))</f>
        <v>5.4999998509883881</v>
      </c>
      <c r="Y457" s="81">
        <f ca="1">IF(controls!$B$44=1,'main page'!$K$24+'main page'!$K$11,IF(controls!$B$33=1,((I458-D457*AD458-B458+B457*AC458)/'main page'!$K$27)-'main page'!$K$11,((H458-D457*AD458-B458+B457*AC458)/'main page'!$K$27)-'main page'!$K$11))</f>
        <v>3.5</v>
      </c>
      <c r="AA457" s="58">
        <f>IF(controls!$B$6=1,$AS$3*(1+('main page'!$K$35/100))^AB457-$AS$3*(1+('main page'!$K$35/100))^AB456,$AS$3*(1+('main page'!$G$8/100))*(1+('main page'!$K$35/100))^AB457-$AS$3*(1+('main page'!$G$8/100))*(1+('main page'!$K$35/100))^AB456)</f>
        <v>0</v>
      </c>
      <c r="AB457" s="60">
        <v>450</v>
      </c>
      <c r="AC457" s="125">
        <v>0</v>
      </c>
      <c r="AD457" s="36">
        <v>0</v>
      </c>
      <c r="AE457" s="44">
        <f ca="1">IF(controls!$B$33=1,D457-($I$3-'main page'!$K$27*2)*(1+('main page'!$K$35/100))^A456,D457-$AS$4)</f>
        <v>1.0000000596046448</v>
      </c>
      <c r="AF457" s="44">
        <f ca="1">ABS(L457-(controls!$B$9/100)*100)</f>
        <v>1.1920928955078125E-7</v>
      </c>
      <c r="AH457" s="44">
        <f ca="1">IF(controls!$B$33=1,(B458-B457*AC458-I458+D457*AD458+'main page'!$K$27*('main page'!$K$24+'main page'!$K$11))/'main page'!$K$31,(B458-B457*AC458+D457*AD458-H458+'main page'!$K$27*('main page'!$K$24+'main page'!$K$11))/'main page'!$K$31)</f>
        <v>1</v>
      </c>
      <c r="AI457" s="44">
        <f ca="1">IF(controls!$B$45=1,LOG(AM457,1.01)+LOG(AL457,1.01)-LOG(AK457,1.01),-((T457-('main page'!$K$24+'main page'!$K$11))/(1-'normal case'!$AV$3))+'normal case'!AH457)</f>
        <v>2.0000000596046448</v>
      </c>
      <c r="AJ457" s="80">
        <f t="shared" ca="1" si="62"/>
        <v>1.0506250015463039</v>
      </c>
      <c r="AK457" s="44">
        <f t="shared" ca="1" si="63"/>
        <v>7869.2655323817071</v>
      </c>
      <c r="AL457" s="44">
        <f>AL456*(1+'main page'!$K$32/100)</f>
        <v>1</v>
      </c>
      <c r="AM457" s="44">
        <f ca="1">IF(ABS(IF(controls!$B$45=1,$AS$13,AK457*AJ457/AL457)-AM456)&lt;0.00001,AM456,IF(controls!$B$45=1,$AS$13,AK457*AJ457/AL457))</f>
        <v>8267.6471121268078</v>
      </c>
      <c r="AN457" s="44">
        <f>IF(controls!$B$46=0,0,IF(controls!$B$33=2,B458-B457*AC458-('normal case'!H458-D457*AD458-'main page'!$K$27*'normal case'!T457+'main page'!$K$31*'normal case'!AI457)-(('main page'!$K$25*'main page'!$U$13*'main page'!$K$29)/(1+('main page'!$K$25^2)*'main page'!$U$13))*('normal case'!L457-'main page'!$U$8),B458-B457*AC458-('normal case'!I458-D457*AD458-'main page'!$K$27*'normal case'!T457+'main page'!$K$31*'normal case'!AI457)-(('main page'!$K$25*'main page'!$U$13*'main page'!$K$29)/(1+('main page'!$K$25^2)*'main page'!$U$13))*('normal case'!L457-'main page'!$U$8)))</f>
        <v>0</v>
      </c>
      <c r="AU457" s="36"/>
      <c r="AV457" s="36"/>
    </row>
    <row r="458" spans="1:48">
      <c r="A458" s="43">
        <v>456</v>
      </c>
      <c r="B458" s="62">
        <f ca="1">IF(controls!$B$33=1,B457*(1+AC458)+AA458,B457*(1+AC458))</f>
        <v>101</v>
      </c>
      <c r="C458" s="67">
        <f t="shared" ca="1" si="64"/>
        <v>-1.5107707374006907E-7</v>
      </c>
      <c r="D458" s="64">
        <f t="shared" ca="1" si="60"/>
        <v>101.00000005960464</v>
      </c>
      <c r="E458" s="64">
        <f ca="1">AN457+IF(controls!$B$33=1,G458,F458)</f>
        <v>101.00000005960464</v>
      </c>
      <c r="F458" s="78">
        <f ca="1">IF(controls!$B$44=0,H458-'main page'!$K$27*T457,H458-'main page'!$K$27*T457+'main page'!$K$31*AI457)</f>
        <v>101.00000005960464</v>
      </c>
      <c r="G458" s="62">
        <f ca="1">IF(controls!$B$44=0,I458-'main page'!$K$27*T457,I458-'main page'!$K$27*T457+'main page'!$K$31*'normal case'!AI457)</f>
        <v>101.00000005960464</v>
      </c>
      <c r="H458" s="62">
        <f t="shared" ca="1" si="58"/>
        <v>108</v>
      </c>
      <c r="I458" s="62">
        <f t="shared" ca="1" si="59"/>
        <v>108</v>
      </c>
      <c r="L458" s="62">
        <f ca="1">IF(ABS('main page'!$K$29*L457+(1-'main page'!$K$29)*(controls!$B$9/100)*100+'main page'!$K$25*(D458-B458)-L457)&lt;0.0000001,L457,'main page'!$K$29*L457+(1-'main page'!$K$29)*(controls!$B$9/100)*100+'main page'!$K$25*(D458-B458))</f>
        <v>1.9999998807907104</v>
      </c>
      <c r="Q458" s="409">
        <f ca="1">(1-'main page'!$K$29)*($AS$11/100)*100+'main page'!$K$25*(D458-B458)</f>
        <v>5.9604644775390625E-8</v>
      </c>
      <c r="R458" s="409">
        <f>'main page'!G462+'main page'!$K$29*M457</f>
        <v>0</v>
      </c>
      <c r="S458" s="409">
        <f t="shared" ca="1" si="65"/>
        <v>5.9604644775390625E-8</v>
      </c>
      <c r="T458" s="79">
        <f ca="1">IF(controls!$B$10=1,T457,IF(SUM(controls!$B$44:$B$46)=2,U458-'main page'!$K$29*'normal case'!L458-(1-'main page'!$K$29)*'main page'!$K$32,U458-'main page'!$K$29*'normal case'!L458-(1-'main page'!$K$29)*controls!$B$9))</f>
        <v>3.4999999701976776</v>
      </c>
      <c r="U458" s="164">
        <f ca="1">IF(controls!$B$45=1,IF(controls!$B$46=1,'main page'!$K$24+'main page'!$K$11+'main page'!$U$8,'main page'!$K$24+'main page'!$K$11+'main page'!$K$32),IF(controls!$B$44=1,IF(V458&lt;0,0,V458),IF(V458+'main page'!$K$11&lt;0,0,V458+'main page'!$K$11)))</f>
        <v>5.4999998509883881</v>
      </c>
      <c r="V458" s="63">
        <f ca="1">IF(controls!$B$10=1,'normal case'!T458+'normal case'!L458,'normal case'!W458)</f>
        <v>5.4999998509883881</v>
      </c>
      <c r="W458" s="61">
        <f t="shared" ca="1" si="61"/>
        <v>5.4999998509883881</v>
      </c>
      <c r="X458" s="166">
        <f ca="1">IF(controls!$B$44=0,Y458+'main page'!$K$29*L458+(1-'main page'!$K$29)*controls!$B$9+(('main page'!$K$25*'main page'!$U$13*'main page'!$K$29)/('main page'!$K$27*(1+('main page'!$K$25^2)*'main page'!$U$13)))*(L458-controls!$B$9),Y458+'main page'!$K$29*L458+(1-'main page'!$K$29)*controls!$B$9+(('main page'!$K$25*'main page'!$U$13*'normal case'!$AV$3)/'normal case'!$AV$4)*('normal case'!L458-controls!$B$9))</f>
        <v>5.4999998509883881</v>
      </c>
      <c r="Y458" s="81">
        <f ca="1">IF(controls!$B$44=1,'main page'!$K$24+'main page'!$K$11,IF(controls!$B$33=1,((I459-D458*AD459-B459+B458*AC459)/'main page'!$K$27)-'main page'!$K$11,((H459-D458*AD459-B459+B458*AC459)/'main page'!$K$27)-'main page'!$K$11))</f>
        <v>3.5</v>
      </c>
      <c r="AA458" s="58">
        <f>IF(controls!$B$6=1,$AS$3*(1+('main page'!$K$35/100))^AB458-$AS$3*(1+('main page'!$K$35/100))^AB457,$AS$3*(1+('main page'!$G$8/100))*(1+('main page'!$K$35/100))^AB458-$AS$3*(1+('main page'!$G$8/100))*(1+('main page'!$K$35/100))^AB457)</f>
        <v>0</v>
      </c>
      <c r="AB458" s="60">
        <v>451</v>
      </c>
      <c r="AC458" s="125">
        <f ca="1">IF(controls!$B$4=1,IF(controls!$H457=1,controls!$B$34*AC457+RAND()*('main page'!$K$16/100)-RAND()*('main page'!$K$16/100),0),0)</f>
        <v>0</v>
      </c>
      <c r="AD458" s="36">
        <f ca="1">IF(controls!$B$4=1,IF(controls!$I457=1,controls!$B$34*AD457+RAND()*('main page'!$K$16/100)-RAND()*('main page'!$K$16/100),0),0)</f>
        <v>0</v>
      </c>
      <c r="AE458" s="44">
        <f ca="1">IF(controls!$B$33=1,D458-($I$3-'main page'!$K$27*2)*(1+('main page'!$K$35/100))^A457,D458-$AS$4)</f>
        <v>1.0000000596046448</v>
      </c>
      <c r="AF458" s="44">
        <f ca="1">ABS(L458-(controls!$B$9/100)*100)</f>
        <v>1.1920928955078125E-7</v>
      </c>
      <c r="AH458" s="44">
        <f ca="1">IF(controls!$B$33=1,(B459-B458*AC459-I459+D458*AD459+'main page'!$K$27*('main page'!$K$24+'main page'!$K$11))/'main page'!$K$31,(B459-B458*AC459+D458*AD459-H459+'main page'!$K$27*('main page'!$K$24+'main page'!$K$11))/'main page'!$K$31)</f>
        <v>1</v>
      </c>
      <c r="AI458" s="44">
        <f ca="1">IF(controls!$B$45=1,LOG(AM458,1.01)+LOG(AL458,1.01)-LOG(AK458,1.01),-((T458-('main page'!$K$24+'main page'!$K$11))/(1-'normal case'!$AV$3))+'normal case'!AH458)</f>
        <v>2.0000000596046448</v>
      </c>
      <c r="AJ458" s="80">
        <f t="shared" ca="1" si="62"/>
        <v>1.0506250015463039</v>
      </c>
      <c r="AK458" s="44">
        <f t="shared" ca="1" si="63"/>
        <v>8026.6508336484458</v>
      </c>
      <c r="AL458" s="44">
        <f>AL457*(1+'main page'!$K$32/100)</f>
        <v>1</v>
      </c>
      <c r="AM458" s="44">
        <f ca="1">IF(ABS(IF(controls!$B$45=1,$AS$13,AK458*AJ458/AL458)-AM457)&lt;0.00001,AM457,IF(controls!$B$45=1,$AS$13,AK458*AJ458/AL458))</f>
        <v>8433.0000445135393</v>
      </c>
      <c r="AN458" s="44">
        <f>IF(controls!$B$46=0,0,IF(controls!$B$33=2,B459-B458*AC459-('normal case'!H459-D458*AD459-'main page'!$K$27*'normal case'!T458+'main page'!$K$31*'normal case'!AI458)-(('main page'!$K$25*'main page'!$U$13*'main page'!$K$29)/(1+('main page'!$K$25^2)*'main page'!$U$13))*('normal case'!L458-'main page'!$U$8),B459-B458*AC459-('normal case'!I459-D458*AD459-'main page'!$K$27*'normal case'!T458+'main page'!$K$31*'normal case'!AI458)-(('main page'!$K$25*'main page'!$U$13*'main page'!$K$29)/(1+('main page'!$K$25^2)*'main page'!$U$13))*('normal case'!L458-'main page'!$U$8)))</f>
        <v>0</v>
      </c>
      <c r="AU458" s="36"/>
      <c r="AV458" s="36"/>
    </row>
    <row r="459" spans="1:48">
      <c r="A459" s="43">
        <v>457</v>
      </c>
      <c r="B459" s="62">
        <f ca="1">IF(controls!$B$33=1,B458*(1+AC459)+AA459,B458*(1+AC459))</f>
        <v>101</v>
      </c>
      <c r="C459" s="67">
        <f t="shared" ca="1" si="64"/>
        <v>-1.5107707374006907E-7</v>
      </c>
      <c r="D459" s="64">
        <f t="shared" ca="1" si="60"/>
        <v>101.00000005960464</v>
      </c>
      <c r="E459" s="64">
        <f ca="1">AN458+IF(controls!$B$33=1,G459,F459)</f>
        <v>101.00000005960464</v>
      </c>
      <c r="F459" s="78">
        <f ca="1">IF(controls!$B$44=0,H459-'main page'!$K$27*T458,H459-'main page'!$K$27*T458+'main page'!$K$31*AI458)</f>
        <v>101.00000005960464</v>
      </c>
      <c r="G459" s="62">
        <f ca="1">IF(controls!$B$44=0,I459-'main page'!$K$27*T458,I459-'main page'!$K$27*T458+'main page'!$K$31*'normal case'!AI458)</f>
        <v>101.00000005960464</v>
      </c>
      <c r="H459" s="62">
        <f t="shared" ca="1" si="58"/>
        <v>108</v>
      </c>
      <c r="I459" s="62">
        <f t="shared" ca="1" si="59"/>
        <v>108</v>
      </c>
      <c r="L459" s="62">
        <f ca="1">IF(ABS('main page'!$K$29*L458+(1-'main page'!$K$29)*(controls!$B$9/100)*100+'main page'!$K$25*(D459-B459)-L458)&lt;0.0000001,L458,'main page'!$K$29*L458+(1-'main page'!$K$29)*(controls!$B$9/100)*100+'main page'!$K$25*(D459-B459))</f>
        <v>1.9999998807907104</v>
      </c>
      <c r="Q459" s="409">
        <f ca="1">(1-'main page'!$K$29)*($AS$11/100)*100+'main page'!$K$25*(D459-B459)</f>
        <v>5.9604644775390625E-8</v>
      </c>
      <c r="R459" s="409">
        <f>'main page'!G463+'main page'!$K$29*M458</f>
        <v>0</v>
      </c>
      <c r="S459" s="409">
        <f t="shared" ca="1" si="65"/>
        <v>5.9604644775390625E-8</v>
      </c>
      <c r="T459" s="79">
        <f ca="1">IF(controls!$B$10=1,T458,IF(SUM(controls!$B$44:$B$46)=2,U459-'main page'!$K$29*'normal case'!L459-(1-'main page'!$K$29)*'main page'!$K$32,U459-'main page'!$K$29*'normal case'!L459-(1-'main page'!$K$29)*controls!$B$9))</f>
        <v>3.4999999701976776</v>
      </c>
      <c r="U459" s="164">
        <f ca="1">IF(controls!$B$45=1,IF(controls!$B$46=1,'main page'!$K$24+'main page'!$K$11+'main page'!$U$8,'main page'!$K$24+'main page'!$K$11+'main page'!$K$32),IF(controls!$B$44=1,IF(V459&lt;0,0,V459),IF(V459+'main page'!$K$11&lt;0,0,V459+'main page'!$K$11)))</f>
        <v>5.4999998509883881</v>
      </c>
      <c r="V459" s="63">
        <f ca="1">IF(controls!$B$10=1,'normal case'!T459+'normal case'!L459,'normal case'!W459)</f>
        <v>5.4999998509883881</v>
      </c>
      <c r="W459" s="61">
        <f t="shared" ca="1" si="61"/>
        <v>5.4999998509883881</v>
      </c>
      <c r="X459" s="166">
        <f ca="1">IF(controls!$B$44=0,Y459+'main page'!$K$29*L459+(1-'main page'!$K$29)*controls!$B$9+(('main page'!$K$25*'main page'!$U$13*'main page'!$K$29)/('main page'!$K$27*(1+('main page'!$K$25^2)*'main page'!$U$13)))*(L459-controls!$B$9),Y459+'main page'!$K$29*L459+(1-'main page'!$K$29)*controls!$B$9+(('main page'!$K$25*'main page'!$U$13*'normal case'!$AV$3)/'normal case'!$AV$4)*('normal case'!L459-controls!$B$9))</f>
        <v>5.4999998509883881</v>
      </c>
      <c r="Y459" s="81">
        <f ca="1">IF(controls!$B$44=1,'main page'!$K$24+'main page'!$K$11,IF(controls!$B$33=1,((I460-D459*AD460-B460+B459*AC460)/'main page'!$K$27)-'main page'!$K$11,((H460-D459*AD460-B460+B459*AC460)/'main page'!$K$27)-'main page'!$K$11))</f>
        <v>3.5</v>
      </c>
      <c r="AA459" s="58">
        <f>IF(controls!$B$6=1,$AS$3*(1+('main page'!$K$35/100))^AB459-$AS$3*(1+('main page'!$K$35/100))^AB458,$AS$3*(1+('main page'!$G$8/100))*(1+('main page'!$K$35/100))^AB459-$AS$3*(1+('main page'!$G$8/100))*(1+('main page'!$K$35/100))^AB458)</f>
        <v>0</v>
      </c>
      <c r="AB459" s="60">
        <v>452</v>
      </c>
      <c r="AC459" s="125">
        <v>0</v>
      </c>
      <c r="AD459" s="36">
        <v>0</v>
      </c>
      <c r="AE459" s="44">
        <f ca="1">IF(controls!$B$33=1,D459-($I$3-'main page'!$K$27*2)*(1+('main page'!$K$35/100))^A458,D459-$AS$4)</f>
        <v>1.0000000596046448</v>
      </c>
      <c r="AF459" s="44">
        <f ca="1">ABS(L459-(controls!$B$9/100)*100)</f>
        <v>1.1920928955078125E-7</v>
      </c>
      <c r="AH459" s="44">
        <f ca="1">IF(controls!$B$33=1,(B460-B459*AC460-I460+D459*AD460+'main page'!$K$27*('main page'!$K$24+'main page'!$K$11))/'main page'!$K$31,(B460-B459*AC460+D459*AD460-H460+'main page'!$K$27*('main page'!$K$24+'main page'!$K$11))/'main page'!$K$31)</f>
        <v>1</v>
      </c>
      <c r="AI459" s="44">
        <f ca="1">IF(controls!$B$45=1,LOG(AM459,1.01)+LOG(AL459,1.01)-LOG(AK459,1.01),-((T459-('main page'!$K$24+'main page'!$K$11))/(1-'normal case'!$AV$3))+'normal case'!AH459)</f>
        <v>2.0000000596046448</v>
      </c>
      <c r="AJ459" s="80">
        <f t="shared" ca="1" si="62"/>
        <v>1.0506250015463039</v>
      </c>
      <c r="AK459" s="44">
        <f t="shared" ca="1" si="63"/>
        <v>8187.1838407529012</v>
      </c>
      <c r="AL459" s="44">
        <f>AL458*(1+'main page'!$K$32/100)</f>
        <v>1</v>
      </c>
      <c r="AM459" s="44">
        <f ca="1">IF(ABS(IF(controls!$B$45=1,$AS$13,AK459*AJ459/AL459)-AM458)&lt;0.00001,AM458,IF(controls!$B$45=1,$AS$13,AK459*AJ459/AL459))</f>
        <v>8601.6600353508911</v>
      </c>
      <c r="AN459" s="44">
        <f>IF(controls!$B$46=0,0,IF(controls!$B$33=2,B460-B459*AC460-('normal case'!H460-D459*AD460-'main page'!$K$27*'normal case'!T459+'main page'!$K$31*'normal case'!AI459)-(('main page'!$K$25*'main page'!$U$13*'main page'!$K$29)/(1+('main page'!$K$25^2)*'main page'!$U$13))*('normal case'!L459-'main page'!$U$8),B460-B459*AC460-('normal case'!I460-D459*AD460-'main page'!$K$27*'normal case'!T459+'main page'!$K$31*'normal case'!AI459)-(('main page'!$K$25*'main page'!$U$13*'main page'!$K$29)/(1+('main page'!$K$25^2)*'main page'!$U$13))*('normal case'!L459-'main page'!$U$8)))</f>
        <v>0</v>
      </c>
      <c r="AU459" s="36"/>
      <c r="AV459" s="36"/>
    </row>
    <row r="460" spans="1:48">
      <c r="A460" s="43">
        <v>458</v>
      </c>
      <c r="B460" s="62">
        <f ca="1">IF(controls!$B$33=1,B459*(1+AC460)+AA460,B459*(1+AC460))</f>
        <v>101</v>
      </c>
      <c r="C460" s="67">
        <f t="shared" ca="1" si="64"/>
        <v>-1.5107707374006907E-7</v>
      </c>
      <c r="D460" s="64">
        <f t="shared" ca="1" si="60"/>
        <v>101.00000005960464</v>
      </c>
      <c r="E460" s="64">
        <f ca="1">AN459+IF(controls!$B$33=1,G460,F460)</f>
        <v>101.00000005960464</v>
      </c>
      <c r="F460" s="78">
        <f ca="1">IF(controls!$B$44=0,H460-'main page'!$K$27*T459,H460-'main page'!$K$27*T459+'main page'!$K$31*AI459)</f>
        <v>101.00000005960464</v>
      </c>
      <c r="G460" s="62">
        <f ca="1">IF(controls!$B$44=0,I460-'main page'!$K$27*T459,I460-'main page'!$K$27*T459+'main page'!$K$31*'normal case'!AI459)</f>
        <v>101.00000005960464</v>
      </c>
      <c r="H460" s="62">
        <f t="shared" ca="1" si="58"/>
        <v>108</v>
      </c>
      <c r="I460" s="62">
        <f t="shared" ca="1" si="59"/>
        <v>108</v>
      </c>
      <c r="L460" s="62">
        <f ca="1">IF(ABS('main page'!$K$29*L459+(1-'main page'!$K$29)*(controls!$B$9/100)*100+'main page'!$K$25*(D460-B460)-L459)&lt;0.0000001,L459,'main page'!$K$29*L459+(1-'main page'!$K$29)*(controls!$B$9/100)*100+'main page'!$K$25*(D460-B460))</f>
        <v>1.9999998807907104</v>
      </c>
      <c r="Q460" s="409">
        <f ca="1">(1-'main page'!$K$29)*($AS$11/100)*100+'main page'!$K$25*(D460-B460)</f>
        <v>5.9604644775390625E-8</v>
      </c>
      <c r="R460" s="409">
        <f>'main page'!G464+'main page'!$K$29*M459</f>
        <v>0</v>
      </c>
      <c r="S460" s="409">
        <f t="shared" ca="1" si="65"/>
        <v>5.9604644775390625E-8</v>
      </c>
      <c r="T460" s="79">
        <f ca="1">IF(controls!$B$10=1,T459,IF(SUM(controls!$B$44:$B$46)=2,U460-'main page'!$K$29*'normal case'!L460-(1-'main page'!$K$29)*'main page'!$K$32,U460-'main page'!$K$29*'normal case'!L460-(1-'main page'!$K$29)*controls!$B$9))</f>
        <v>3.4999999701976776</v>
      </c>
      <c r="U460" s="164">
        <f ca="1">IF(controls!$B$45=1,IF(controls!$B$46=1,'main page'!$K$24+'main page'!$K$11+'main page'!$U$8,'main page'!$K$24+'main page'!$K$11+'main page'!$K$32),IF(controls!$B$44=1,IF(V460&lt;0,0,V460),IF(V460+'main page'!$K$11&lt;0,0,V460+'main page'!$K$11)))</f>
        <v>5.4999998509883881</v>
      </c>
      <c r="V460" s="63">
        <f ca="1">IF(controls!$B$10=1,'normal case'!T460+'normal case'!L460,'normal case'!W460)</f>
        <v>5.4999998509883881</v>
      </c>
      <c r="W460" s="61">
        <f t="shared" ca="1" si="61"/>
        <v>5.4999998509883881</v>
      </c>
      <c r="X460" s="166">
        <f ca="1">IF(controls!$B$44=0,Y460+'main page'!$K$29*L460+(1-'main page'!$K$29)*controls!$B$9+(('main page'!$K$25*'main page'!$U$13*'main page'!$K$29)/('main page'!$K$27*(1+('main page'!$K$25^2)*'main page'!$U$13)))*(L460-controls!$B$9),Y460+'main page'!$K$29*L460+(1-'main page'!$K$29)*controls!$B$9+(('main page'!$K$25*'main page'!$U$13*'normal case'!$AV$3)/'normal case'!$AV$4)*('normal case'!L460-controls!$B$9))</f>
        <v>5.4999998509883881</v>
      </c>
      <c r="Y460" s="81">
        <f ca="1">IF(controls!$B$44=1,'main page'!$K$24+'main page'!$K$11,IF(controls!$B$33=1,((I461-D460*AD461-B461+B460*AC461)/'main page'!$K$27)-'main page'!$K$11,((H461-D460*AD461-B461+B460*AC461)/'main page'!$K$27)-'main page'!$K$11))</f>
        <v>3.5</v>
      </c>
      <c r="AA460" s="58">
        <f>IF(controls!$B$6=1,$AS$3*(1+('main page'!$K$35/100))^AB460-$AS$3*(1+('main page'!$K$35/100))^AB459,$AS$3*(1+('main page'!$G$8/100))*(1+('main page'!$K$35/100))^AB460-$AS$3*(1+('main page'!$G$8/100))*(1+('main page'!$K$35/100))^AB459)</f>
        <v>0</v>
      </c>
      <c r="AB460" s="60">
        <v>453</v>
      </c>
      <c r="AC460" s="125">
        <v>0</v>
      </c>
      <c r="AD460" s="36">
        <v>0</v>
      </c>
      <c r="AE460" s="44">
        <f ca="1">IF(controls!$B$33=1,D460-($I$3-'main page'!$K$27*2)*(1+('main page'!$K$35/100))^A459,D460-$AS$4)</f>
        <v>1.0000000596046448</v>
      </c>
      <c r="AF460" s="44">
        <f ca="1">ABS(L460-(controls!$B$9/100)*100)</f>
        <v>1.1920928955078125E-7</v>
      </c>
      <c r="AH460" s="44">
        <f ca="1">IF(controls!$B$33=1,(B461-B460*AC461-I461+D460*AD461+'main page'!$K$27*('main page'!$K$24+'main page'!$K$11))/'main page'!$K$31,(B461-B460*AC461+D460*AD461-H461+'main page'!$K$27*('main page'!$K$24+'main page'!$K$11))/'main page'!$K$31)</f>
        <v>1</v>
      </c>
      <c r="AI460" s="44">
        <f ca="1">IF(controls!$B$45=1,LOG(AM460,1.01)+LOG(AL460,1.01)-LOG(AK460,1.01),-((T460-('main page'!$K$24+'main page'!$K$11))/(1-'normal case'!$AV$3))+'normal case'!AH460)</f>
        <v>2.0000000596046448</v>
      </c>
      <c r="AJ460" s="80">
        <f t="shared" ca="1" si="62"/>
        <v>1.0506250015463039</v>
      </c>
      <c r="AK460" s="44">
        <f t="shared" ca="1" si="63"/>
        <v>8350.9275078080755</v>
      </c>
      <c r="AL460" s="44">
        <f>AL459*(1+'main page'!$K$32/100)</f>
        <v>1</v>
      </c>
      <c r="AM460" s="44">
        <f ca="1">IF(ABS(IF(controls!$B$45=1,$AS$13,AK460*AJ460/AL460)-AM459)&lt;0.00001,AM459,IF(controls!$B$45=1,$AS$13,AK460*AJ460/AL460))</f>
        <v>8773.6932258039305</v>
      </c>
      <c r="AN460" s="44">
        <f>IF(controls!$B$46=0,0,IF(controls!$B$33=2,B461-B460*AC461-('normal case'!H461-D460*AD461-'main page'!$K$27*'normal case'!T460+'main page'!$K$31*'normal case'!AI460)-(('main page'!$K$25*'main page'!$U$13*'main page'!$K$29)/(1+('main page'!$K$25^2)*'main page'!$U$13))*('normal case'!L460-'main page'!$U$8),B461-B460*AC461-('normal case'!I461-D460*AD461-'main page'!$K$27*'normal case'!T460+'main page'!$K$31*'normal case'!AI460)-(('main page'!$K$25*'main page'!$U$13*'main page'!$K$29)/(1+('main page'!$K$25^2)*'main page'!$U$13))*('normal case'!L460-'main page'!$U$8)))</f>
        <v>0</v>
      </c>
      <c r="AU460" s="36"/>
      <c r="AV460" s="36"/>
    </row>
    <row r="461" spans="1:48">
      <c r="A461" s="43">
        <v>459</v>
      </c>
      <c r="B461" s="62">
        <f ca="1">IF(controls!$B$33=1,B460*(1+AC461)+AA461,B460*(1+AC461))</f>
        <v>101</v>
      </c>
      <c r="C461" s="67">
        <f t="shared" ca="1" si="64"/>
        <v>-1.5107707374006907E-7</v>
      </c>
      <c r="D461" s="64">
        <f t="shared" ca="1" si="60"/>
        <v>101.00000005960464</v>
      </c>
      <c r="E461" s="64">
        <f ca="1">AN460+IF(controls!$B$33=1,G461,F461)</f>
        <v>101.00000005960464</v>
      </c>
      <c r="F461" s="78">
        <f ca="1">IF(controls!$B$44=0,H461-'main page'!$K$27*T460,H461-'main page'!$K$27*T460+'main page'!$K$31*AI460)</f>
        <v>101.00000005960464</v>
      </c>
      <c r="G461" s="62">
        <f ca="1">IF(controls!$B$44=0,I461-'main page'!$K$27*T460,I461-'main page'!$K$27*T460+'main page'!$K$31*'normal case'!AI460)</f>
        <v>101.00000005960464</v>
      </c>
      <c r="H461" s="62">
        <f t="shared" ca="1" si="58"/>
        <v>108</v>
      </c>
      <c r="I461" s="62">
        <f t="shared" ca="1" si="59"/>
        <v>108</v>
      </c>
      <c r="L461" s="62">
        <f ca="1">IF(ABS('main page'!$K$29*L460+(1-'main page'!$K$29)*(controls!$B$9/100)*100+'main page'!$K$25*(D461-B461)-L460)&lt;0.0000001,L460,'main page'!$K$29*L460+(1-'main page'!$K$29)*(controls!$B$9/100)*100+'main page'!$K$25*(D461-B461))</f>
        <v>1.9999998807907104</v>
      </c>
      <c r="Q461" s="409">
        <f ca="1">(1-'main page'!$K$29)*($AS$11/100)*100+'main page'!$K$25*(D461-B461)</f>
        <v>5.9604644775390625E-8</v>
      </c>
      <c r="R461" s="409">
        <f>'main page'!G465+'main page'!$K$29*M460</f>
        <v>0</v>
      </c>
      <c r="S461" s="409">
        <f t="shared" ca="1" si="65"/>
        <v>5.9604644775390625E-8</v>
      </c>
      <c r="T461" s="79">
        <f ca="1">IF(controls!$B$10=1,T460,IF(SUM(controls!$B$44:$B$46)=2,U461-'main page'!$K$29*'normal case'!L461-(1-'main page'!$K$29)*'main page'!$K$32,U461-'main page'!$K$29*'normal case'!L461-(1-'main page'!$K$29)*controls!$B$9))</f>
        <v>3.4999999701976776</v>
      </c>
      <c r="U461" s="164">
        <f ca="1">IF(controls!$B$45=1,IF(controls!$B$46=1,'main page'!$K$24+'main page'!$K$11+'main page'!$U$8,'main page'!$K$24+'main page'!$K$11+'main page'!$K$32),IF(controls!$B$44=1,IF(V461&lt;0,0,V461),IF(V461+'main page'!$K$11&lt;0,0,V461+'main page'!$K$11)))</f>
        <v>5.4999998509883881</v>
      </c>
      <c r="V461" s="63">
        <f ca="1">IF(controls!$B$10=1,'normal case'!T461+'normal case'!L461,'normal case'!W461)</f>
        <v>5.4999998509883881</v>
      </c>
      <c r="W461" s="61">
        <f t="shared" ca="1" si="61"/>
        <v>5.4999998509883881</v>
      </c>
      <c r="X461" s="166">
        <f ca="1">IF(controls!$B$44=0,Y461+'main page'!$K$29*L461+(1-'main page'!$K$29)*controls!$B$9+(('main page'!$K$25*'main page'!$U$13*'main page'!$K$29)/('main page'!$K$27*(1+('main page'!$K$25^2)*'main page'!$U$13)))*(L461-controls!$B$9),Y461+'main page'!$K$29*L461+(1-'main page'!$K$29)*controls!$B$9+(('main page'!$K$25*'main page'!$U$13*'normal case'!$AV$3)/'normal case'!$AV$4)*('normal case'!L461-controls!$B$9))</f>
        <v>5.4999998509883881</v>
      </c>
      <c r="Y461" s="81">
        <f ca="1">IF(controls!$B$44=1,'main page'!$K$24+'main page'!$K$11,IF(controls!$B$33=1,((I462-D461*AD462-B462+B461*AC462)/'main page'!$K$27)-'main page'!$K$11,((H462-D461*AD462-B462+B461*AC462)/'main page'!$K$27)-'main page'!$K$11))</f>
        <v>3.5</v>
      </c>
      <c r="AA461" s="58">
        <f>IF(controls!$B$6=1,$AS$3*(1+('main page'!$K$35/100))^AB461-$AS$3*(1+('main page'!$K$35/100))^AB460,$AS$3*(1+('main page'!$G$8/100))*(1+('main page'!$K$35/100))^AB461-$AS$3*(1+('main page'!$G$8/100))*(1+('main page'!$K$35/100))^AB460)</f>
        <v>0</v>
      </c>
      <c r="AB461" s="60">
        <v>454</v>
      </c>
      <c r="AC461" s="125">
        <f ca="1">IF(controls!$B$4=1,IF(controls!$H460=1,controls!$B$34*AC460+RAND()*('main page'!$K$16/100)-RAND()*('main page'!$K$16/100),0),0)</f>
        <v>0</v>
      </c>
      <c r="AD461" s="36">
        <f ca="1">IF(controls!$B$4=1,IF(controls!$I460=1,controls!$B$34*AD460+RAND()*('main page'!$K$16/100)-RAND()*('main page'!$K$16/100),0),0)</f>
        <v>0</v>
      </c>
      <c r="AE461" s="44">
        <f ca="1">IF(controls!$B$33=1,D461-($I$3-'main page'!$K$27*2)*(1+('main page'!$K$35/100))^A460,D461-$AS$4)</f>
        <v>1.0000000596046448</v>
      </c>
      <c r="AF461" s="44">
        <f ca="1">ABS(L461-(controls!$B$9/100)*100)</f>
        <v>1.1920928955078125E-7</v>
      </c>
      <c r="AH461" s="44">
        <f ca="1">IF(controls!$B$33=1,(B462-B461*AC462-I462+D461*AD462+'main page'!$K$27*('main page'!$K$24+'main page'!$K$11))/'main page'!$K$31,(B462-B461*AC462+D461*AD462-H462+'main page'!$K$27*('main page'!$K$24+'main page'!$K$11))/'main page'!$K$31)</f>
        <v>1</v>
      </c>
      <c r="AI461" s="44">
        <f ca="1">IF(controls!$B$45=1,LOG(AM461,1.01)+LOG(AL461,1.01)-LOG(AK461,1.01),-((T461-('main page'!$K$24+'main page'!$K$11))/(1-'normal case'!$AV$3))+'normal case'!AH461)</f>
        <v>2.0000000596046448</v>
      </c>
      <c r="AJ461" s="80">
        <f t="shared" ca="1" si="62"/>
        <v>1.0506250015463039</v>
      </c>
      <c r="AK461" s="44">
        <f t="shared" ca="1" si="63"/>
        <v>8517.9460480091566</v>
      </c>
      <c r="AL461" s="44">
        <f>AL460*(1+'main page'!$K$32/100)</f>
        <v>1</v>
      </c>
      <c r="AM461" s="44">
        <f ca="1">IF(ABS(IF(controls!$B$45=1,$AS$13,AK461*AJ461/AL461)-AM460)&lt;0.00001,AM460,IF(controls!$B$45=1,$AS$13,AK461*AJ461/AL461))</f>
        <v>8949.1670798609539</v>
      </c>
      <c r="AN461" s="44">
        <f>IF(controls!$B$46=0,0,IF(controls!$B$33=2,B462-B461*AC462-('normal case'!H462-D461*AD462-'main page'!$K$27*'normal case'!T461+'main page'!$K$31*'normal case'!AI461)-(('main page'!$K$25*'main page'!$U$13*'main page'!$K$29)/(1+('main page'!$K$25^2)*'main page'!$U$13))*('normal case'!L461-'main page'!$U$8),B462-B461*AC462-('normal case'!I462-D461*AD462-'main page'!$K$27*'normal case'!T461+'main page'!$K$31*'normal case'!AI461)-(('main page'!$K$25*'main page'!$U$13*'main page'!$K$29)/(1+('main page'!$K$25^2)*'main page'!$U$13))*('normal case'!L461-'main page'!$U$8)))</f>
        <v>0</v>
      </c>
      <c r="AU461" s="36"/>
      <c r="AV461" s="36"/>
    </row>
    <row r="462" spans="1:48">
      <c r="A462" s="43">
        <v>460</v>
      </c>
      <c r="B462" s="62">
        <f ca="1">IF(controls!$B$33=1,B461*(1+AC462)+AA462,B461*(1+AC462))</f>
        <v>101</v>
      </c>
      <c r="C462" s="67">
        <f t="shared" ca="1" si="64"/>
        <v>-1.5107707374006907E-7</v>
      </c>
      <c r="D462" s="64">
        <f t="shared" ca="1" si="60"/>
        <v>101.00000005960464</v>
      </c>
      <c r="E462" s="64">
        <f ca="1">AN461+IF(controls!$B$33=1,G462,F462)</f>
        <v>101.00000005960464</v>
      </c>
      <c r="F462" s="78">
        <f ca="1">IF(controls!$B$44=0,H462-'main page'!$K$27*T461,H462-'main page'!$K$27*T461+'main page'!$K$31*AI461)</f>
        <v>101.00000005960464</v>
      </c>
      <c r="G462" s="62">
        <f ca="1">IF(controls!$B$44=0,I462-'main page'!$K$27*T461,I462-'main page'!$K$27*T461+'main page'!$K$31*'normal case'!AI461)</f>
        <v>101.00000005960464</v>
      </c>
      <c r="H462" s="62">
        <f t="shared" ca="1" si="58"/>
        <v>108</v>
      </c>
      <c r="I462" s="62">
        <f t="shared" ca="1" si="59"/>
        <v>108</v>
      </c>
      <c r="L462" s="62">
        <f ca="1">IF(ABS('main page'!$K$29*L461+(1-'main page'!$K$29)*(controls!$B$9/100)*100+'main page'!$K$25*(D462-B462)-L461)&lt;0.0000001,L461,'main page'!$K$29*L461+(1-'main page'!$K$29)*(controls!$B$9/100)*100+'main page'!$K$25*(D462-B462))</f>
        <v>1.9999998807907104</v>
      </c>
      <c r="Q462" s="409">
        <f ca="1">(1-'main page'!$K$29)*($AS$11/100)*100+'main page'!$K$25*(D462-B462)</f>
        <v>5.9604644775390625E-8</v>
      </c>
      <c r="R462" s="409">
        <f>'main page'!G466+'main page'!$K$29*M461</f>
        <v>0</v>
      </c>
      <c r="S462" s="409">
        <f t="shared" ca="1" si="65"/>
        <v>5.9604644775390625E-8</v>
      </c>
      <c r="T462" s="79">
        <f ca="1">IF(controls!$B$10=1,T461,IF(SUM(controls!$B$44:$B$46)=2,U462-'main page'!$K$29*'normal case'!L462-(1-'main page'!$K$29)*'main page'!$K$32,U462-'main page'!$K$29*'normal case'!L462-(1-'main page'!$K$29)*controls!$B$9))</f>
        <v>3.4999999701976776</v>
      </c>
      <c r="U462" s="164">
        <f ca="1">IF(controls!$B$45=1,IF(controls!$B$46=1,'main page'!$K$24+'main page'!$K$11+'main page'!$U$8,'main page'!$K$24+'main page'!$K$11+'main page'!$K$32),IF(controls!$B$44=1,IF(V462&lt;0,0,V462),IF(V462+'main page'!$K$11&lt;0,0,V462+'main page'!$K$11)))</f>
        <v>5.4999998509883881</v>
      </c>
      <c r="V462" s="63">
        <f ca="1">IF(controls!$B$10=1,'normal case'!T462+'normal case'!L462,'normal case'!W462)</f>
        <v>5.4999998509883881</v>
      </c>
      <c r="W462" s="61">
        <f t="shared" ca="1" si="61"/>
        <v>5.4999998509883881</v>
      </c>
      <c r="X462" s="166">
        <f ca="1">IF(controls!$B$44=0,Y462+'main page'!$K$29*L462+(1-'main page'!$K$29)*controls!$B$9+(('main page'!$K$25*'main page'!$U$13*'main page'!$K$29)/('main page'!$K$27*(1+('main page'!$K$25^2)*'main page'!$U$13)))*(L462-controls!$B$9),Y462+'main page'!$K$29*L462+(1-'main page'!$K$29)*controls!$B$9+(('main page'!$K$25*'main page'!$U$13*'normal case'!$AV$3)/'normal case'!$AV$4)*('normal case'!L462-controls!$B$9))</f>
        <v>5.4999998509883881</v>
      </c>
      <c r="Y462" s="81">
        <f ca="1">IF(controls!$B$44=1,'main page'!$K$24+'main page'!$K$11,IF(controls!$B$33=1,((I463-D462*AD463-B463+B462*AC463)/'main page'!$K$27)-'main page'!$K$11,((H463-D462*AD463-B463+B462*AC463)/'main page'!$K$27)-'main page'!$K$11))</f>
        <v>3.5</v>
      </c>
      <c r="AA462" s="58">
        <f>IF(controls!$B$6=1,$AS$3*(1+('main page'!$K$35/100))^AB462-$AS$3*(1+('main page'!$K$35/100))^AB461,$AS$3*(1+('main page'!$G$8/100))*(1+('main page'!$K$35/100))^AB462-$AS$3*(1+('main page'!$G$8/100))*(1+('main page'!$K$35/100))^AB461)</f>
        <v>0</v>
      </c>
      <c r="AB462" s="60">
        <v>455</v>
      </c>
      <c r="AC462" s="125">
        <v>0</v>
      </c>
      <c r="AD462" s="36">
        <v>0</v>
      </c>
      <c r="AE462" s="44">
        <f ca="1">IF(controls!$B$33=1,D462-($I$3-'main page'!$K$27*2)*(1+('main page'!$K$35/100))^A461,D462-$AS$4)</f>
        <v>1.0000000596046448</v>
      </c>
      <c r="AF462" s="44">
        <f ca="1">ABS(L462-(controls!$B$9/100)*100)</f>
        <v>1.1920928955078125E-7</v>
      </c>
      <c r="AH462" s="44">
        <f ca="1">IF(controls!$B$33=1,(B463-B462*AC463-I463+D462*AD463+'main page'!$K$27*('main page'!$K$24+'main page'!$K$11))/'main page'!$K$31,(B463-B462*AC463+D462*AD463-H463+'main page'!$K$27*('main page'!$K$24+'main page'!$K$11))/'main page'!$K$31)</f>
        <v>1</v>
      </c>
      <c r="AI462" s="44">
        <f ca="1">IF(controls!$B$45=1,LOG(AM462,1.01)+LOG(AL462,1.01)-LOG(AK462,1.01),-((T462-('main page'!$K$24+'main page'!$K$11))/(1-'normal case'!$AV$3))+'normal case'!AH462)</f>
        <v>2.0000000596046448</v>
      </c>
      <c r="AJ462" s="80">
        <f t="shared" ca="1" si="62"/>
        <v>1.0506250015463039</v>
      </c>
      <c r="AK462" s="44">
        <f t="shared" ca="1" si="63"/>
        <v>8688.3049588151571</v>
      </c>
      <c r="AL462" s="44">
        <f>AL461*(1+'main page'!$K$32/100)</f>
        <v>1</v>
      </c>
      <c r="AM462" s="44">
        <f ca="1">IF(ABS(IF(controls!$B$45=1,$AS$13,AK462*AJ462/AL462)-AM461)&lt;0.00001,AM461,IF(controls!$B$45=1,$AS$13,AK462*AJ462/AL462))</f>
        <v>9128.1504107899345</v>
      </c>
      <c r="AN462" s="44">
        <f>IF(controls!$B$46=0,0,IF(controls!$B$33=2,B463-B462*AC463-('normal case'!H463-D462*AD463-'main page'!$K$27*'normal case'!T462+'main page'!$K$31*'normal case'!AI462)-(('main page'!$K$25*'main page'!$U$13*'main page'!$K$29)/(1+('main page'!$K$25^2)*'main page'!$U$13))*('normal case'!L462-'main page'!$U$8),B463-B462*AC463-('normal case'!I463-D462*AD463-'main page'!$K$27*'normal case'!T462+'main page'!$K$31*'normal case'!AI462)-(('main page'!$K$25*'main page'!$U$13*'main page'!$K$29)/(1+('main page'!$K$25^2)*'main page'!$U$13))*('normal case'!L462-'main page'!$U$8)))</f>
        <v>0</v>
      </c>
      <c r="AU462" s="36"/>
      <c r="AV462" s="36"/>
    </row>
    <row r="463" spans="1:48">
      <c r="A463" s="43">
        <v>461</v>
      </c>
      <c r="B463" s="62">
        <f ca="1">IF(controls!$B$33=1,B462*(1+AC463)+AA463,B462*(1+AC463))</f>
        <v>101</v>
      </c>
      <c r="C463" s="67">
        <f t="shared" ca="1" si="64"/>
        <v>-1.5107707374006907E-7</v>
      </c>
      <c r="D463" s="64">
        <f t="shared" ca="1" si="60"/>
        <v>101.00000005960464</v>
      </c>
      <c r="E463" s="64">
        <f ca="1">AN462+IF(controls!$B$33=1,G463,F463)</f>
        <v>101.00000005960464</v>
      </c>
      <c r="F463" s="78">
        <f ca="1">IF(controls!$B$44=0,H463-'main page'!$K$27*T462,H463-'main page'!$K$27*T462+'main page'!$K$31*AI462)</f>
        <v>101.00000005960464</v>
      </c>
      <c r="G463" s="62">
        <f ca="1">IF(controls!$B$44=0,I463-'main page'!$K$27*T462,I463-'main page'!$K$27*T462+'main page'!$K$31*'normal case'!AI462)</f>
        <v>101.00000005960464</v>
      </c>
      <c r="H463" s="62">
        <f t="shared" ca="1" si="58"/>
        <v>108</v>
      </c>
      <c r="I463" s="62">
        <f t="shared" ca="1" si="59"/>
        <v>108</v>
      </c>
      <c r="L463" s="62">
        <f ca="1">IF(ABS('main page'!$K$29*L462+(1-'main page'!$K$29)*(controls!$B$9/100)*100+'main page'!$K$25*(D463-B463)-L462)&lt;0.0000001,L462,'main page'!$K$29*L462+(1-'main page'!$K$29)*(controls!$B$9/100)*100+'main page'!$K$25*(D463-B463))</f>
        <v>1.9999998807907104</v>
      </c>
      <c r="Q463" s="409">
        <f ca="1">(1-'main page'!$K$29)*($AS$11/100)*100+'main page'!$K$25*(D463-B463)</f>
        <v>5.9604644775390625E-8</v>
      </c>
      <c r="R463" s="409">
        <f>'main page'!G467+'main page'!$K$29*M462</f>
        <v>0</v>
      </c>
      <c r="S463" s="409">
        <f t="shared" ca="1" si="65"/>
        <v>5.9604644775390625E-8</v>
      </c>
      <c r="T463" s="79">
        <f ca="1">IF(controls!$B$10=1,T462,IF(SUM(controls!$B$44:$B$46)=2,U463-'main page'!$K$29*'normal case'!L463-(1-'main page'!$K$29)*'main page'!$K$32,U463-'main page'!$K$29*'normal case'!L463-(1-'main page'!$K$29)*controls!$B$9))</f>
        <v>3.4999999701976776</v>
      </c>
      <c r="U463" s="164">
        <f ca="1">IF(controls!$B$45=1,IF(controls!$B$46=1,'main page'!$K$24+'main page'!$K$11+'main page'!$U$8,'main page'!$K$24+'main page'!$K$11+'main page'!$K$32),IF(controls!$B$44=1,IF(V463&lt;0,0,V463),IF(V463+'main page'!$K$11&lt;0,0,V463+'main page'!$K$11)))</f>
        <v>5.4999998509883881</v>
      </c>
      <c r="V463" s="63">
        <f ca="1">IF(controls!$B$10=1,'normal case'!T463+'normal case'!L463,'normal case'!W463)</f>
        <v>5.4999998509883881</v>
      </c>
      <c r="W463" s="61">
        <f t="shared" ca="1" si="61"/>
        <v>5.4999998509883881</v>
      </c>
      <c r="X463" s="166">
        <f ca="1">IF(controls!$B$44=0,Y463+'main page'!$K$29*L463+(1-'main page'!$K$29)*controls!$B$9+(('main page'!$K$25*'main page'!$U$13*'main page'!$K$29)/('main page'!$K$27*(1+('main page'!$K$25^2)*'main page'!$U$13)))*(L463-controls!$B$9),Y463+'main page'!$K$29*L463+(1-'main page'!$K$29)*controls!$B$9+(('main page'!$K$25*'main page'!$U$13*'normal case'!$AV$3)/'normal case'!$AV$4)*('normal case'!L463-controls!$B$9))</f>
        <v>5.4999998509883881</v>
      </c>
      <c r="Y463" s="81">
        <f ca="1">IF(controls!$B$44=1,'main page'!$K$24+'main page'!$K$11,IF(controls!$B$33=1,((I464-D463*AD464-B464+B463*AC464)/'main page'!$K$27)-'main page'!$K$11,((H464-D463*AD464-B464+B463*AC464)/'main page'!$K$27)-'main page'!$K$11))</f>
        <v>3.5</v>
      </c>
      <c r="AA463" s="58">
        <f>IF(controls!$B$6=1,$AS$3*(1+('main page'!$K$35/100))^AB463-$AS$3*(1+('main page'!$K$35/100))^AB462,$AS$3*(1+('main page'!$G$8/100))*(1+('main page'!$K$35/100))^AB463-$AS$3*(1+('main page'!$G$8/100))*(1+('main page'!$K$35/100))^AB462)</f>
        <v>0</v>
      </c>
      <c r="AB463" s="60">
        <v>456</v>
      </c>
      <c r="AC463" s="125">
        <v>0</v>
      </c>
      <c r="AD463" s="36">
        <v>0</v>
      </c>
      <c r="AE463" s="44">
        <f ca="1">IF(controls!$B$33=1,D463-($I$3-'main page'!$K$27*2)*(1+('main page'!$K$35/100))^A462,D463-$AS$4)</f>
        <v>1.0000000596046448</v>
      </c>
      <c r="AF463" s="44">
        <f ca="1">ABS(L463-(controls!$B$9/100)*100)</f>
        <v>1.1920928955078125E-7</v>
      </c>
      <c r="AH463" s="44">
        <f ca="1">IF(controls!$B$33=1,(B464-B463*AC464-I464+D463*AD464+'main page'!$K$27*('main page'!$K$24+'main page'!$K$11))/'main page'!$K$31,(B464-B463*AC464+D463*AD464-H464+'main page'!$K$27*('main page'!$K$24+'main page'!$K$11))/'main page'!$K$31)</f>
        <v>1</v>
      </c>
      <c r="AI463" s="44">
        <f ca="1">IF(controls!$B$45=1,LOG(AM463,1.01)+LOG(AL463,1.01)-LOG(AK463,1.01),-((T463-('main page'!$K$24+'main page'!$K$11))/(1-'normal case'!$AV$3))+'normal case'!AH463)</f>
        <v>2.0000000596046448</v>
      </c>
      <c r="AJ463" s="80">
        <f t="shared" ca="1" si="62"/>
        <v>1.0506250015463039</v>
      </c>
      <c r="AK463" s="44">
        <f t="shared" ca="1" si="63"/>
        <v>8862.0710476341937</v>
      </c>
      <c r="AL463" s="44">
        <f>AL462*(1+'main page'!$K$32/100)</f>
        <v>1</v>
      </c>
      <c r="AM463" s="44">
        <f ca="1">IF(ABS(IF(controls!$B$45=1,$AS$13,AK463*AJ463/AL463)-AM462)&lt;0.00001,AM462,IF(controls!$B$45=1,$AS$13,AK463*AJ463/AL463))</f>
        <v>9310.7134081241293</v>
      </c>
      <c r="AN463" s="44">
        <f>IF(controls!$B$46=0,0,IF(controls!$B$33=2,B464-B463*AC464-('normal case'!H464-D463*AD464-'main page'!$K$27*'normal case'!T463+'main page'!$K$31*'normal case'!AI463)-(('main page'!$K$25*'main page'!$U$13*'main page'!$K$29)/(1+('main page'!$K$25^2)*'main page'!$U$13))*('normal case'!L463-'main page'!$U$8),B464-B463*AC464-('normal case'!I464-D463*AD464-'main page'!$K$27*'normal case'!T463+'main page'!$K$31*'normal case'!AI463)-(('main page'!$K$25*'main page'!$U$13*'main page'!$K$29)/(1+('main page'!$K$25^2)*'main page'!$U$13))*('normal case'!L463-'main page'!$U$8)))</f>
        <v>0</v>
      </c>
      <c r="AU463" s="36"/>
      <c r="AV463" s="36"/>
    </row>
    <row r="464" spans="1:48">
      <c r="A464" s="43">
        <v>462</v>
      </c>
      <c r="B464" s="62">
        <f ca="1">IF(controls!$B$33=1,B463*(1+AC464)+AA464,B463*(1+AC464))</f>
        <v>101</v>
      </c>
      <c r="C464" s="67">
        <f t="shared" ca="1" si="64"/>
        <v>-1.5107707374006907E-7</v>
      </c>
      <c r="D464" s="64">
        <f t="shared" ca="1" si="60"/>
        <v>101.00000005960464</v>
      </c>
      <c r="E464" s="64">
        <f ca="1">AN463+IF(controls!$B$33=1,G464,F464)</f>
        <v>101.00000005960464</v>
      </c>
      <c r="F464" s="78">
        <f ca="1">IF(controls!$B$44=0,H464-'main page'!$K$27*T463,H464-'main page'!$K$27*T463+'main page'!$K$31*AI463)</f>
        <v>101.00000005960464</v>
      </c>
      <c r="G464" s="62">
        <f ca="1">IF(controls!$B$44=0,I464-'main page'!$K$27*T463,I464-'main page'!$K$27*T463+'main page'!$K$31*'normal case'!AI463)</f>
        <v>101.00000005960464</v>
      </c>
      <c r="H464" s="62">
        <f t="shared" ca="1" si="58"/>
        <v>108</v>
      </c>
      <c r="I464" s="62">
        <f t="shared" ca="1" si="59"/>
        <v>108</v>
      </c>
      <c r="L464" s="62">
        <f ca="1">IF(ABS('main page'!$K$29*L463+(1-'main page'!$K$29)*(controls!$B$9/100)*100+'main page'!$K$25*(D464-B464)-L463)&lt;0.0000001,L463,'main page'!$K$29*L463+(1-'main page'!$K$29)*(controls!$B$9/100)*100+'main page'!$K$25*(D464-B464))</f>
        <v>1.9999998807907104</v>
      </c>
      <c r="Q464" s="409">
        <f ca="1">(1-'main page'!$K$29)*($AS$11/100)*100+'main page'!$K$25*(D464-B464)</f>
        <v>5.9604644775390625E-8</v>
      </c>
      <c r="R464" s="409">
        <f>'main page'!G468+'main page'!$K$29*M463</f>
        <v>0</v>
      </c>
      <c r="S464" s="409">
        <f t="shared" ca="1" si="65"/>
        <v>5.9604644775390625E-8</v>
      </c>
      <c r="T464" s="79">
        <f ca="1">IF(controls!$B$10=1,T463,IF(SUM(controls!$B$44:$B$46)=2,U464-'main page'!$K$29*'normal case'!L464-(1-'main page'!$K$29)*'main page'!$K$32,U464-'main page'!$K$29*'normal case'!L464-(1-'main page'!$K$29)*controls!$B$9))</f>
        <v>3.4999999701976776</v>
      </c>
      <c r="U464" s="164">
        <f ca="1">IF(controls!$B$45=1,IF(controls!$B$46=1,'main page'!$K$24+'main page'!$K$11+'main page'!$U$8,'main page'!$K$24+'main page'!$K$11+'main page'!$K$32),IF(controls!$B$44=1,IF(V464&lt;0,0,V464),IF(V464+'main page'!$K$11&lt;0,0,V464+'main page'!$K$11)))</f>
        <v>5.4999998509883881</v>
      </c>
      <c r="V464" s="63">
        <f ca="1">IF(controls!$B$10=1,'normal case'!T464+'normal case'!L464,'normal case'!W464)</f>
        <v>5.4999998509883881</v>
      </c>
      <c r="W464" s="61">
        <f t="shared" ca="1" si="61"/>
        <v>5.4999998509883881</v>
      </c>
      <c r="X464" s="166">
        <f ca="1">IF(controls!$B$44=0,Y464+'main page'!$K$29*L464+(1-'main page'!$K$29)*controls!$B$9+(('main page'!$K$25*'main page'!$U$13*'main page'!$K$29)/('main page'!$K$27*(1+('main page'!$K$25^2)*'main page'!$U$13)))*(L464-controls!$B$9),Y464+'main page'!$K$29*L464+(1-'main page'!$K$29)*controls!$B$9+(('main page'!$K$25*'main page'!$U$13*'normal case'!$AV$3)/'normal case'!$AV$4)*('normal case'!L464-controls!$B$9))</f>
        <v>5.4999998509883881</v>
      </c>
      <c r="Y464" s="81">
        <f ca="1">IF(controls!$B$44=1,'main page'!$K$24+'main page'!$K$11,IF(controls!$B$33=1,((I465-D464*AD465-B465+B464*AC465)/'main page'!$K$27)-'main page'!$K$11,((H465-D464*AD465-B465+B464*AC465)/'main page'!$K$27)-'main page'!$K$11))</f>
        <v>3.5</v>
      </c>
      <c r="AA464" s="58">
        <f>IF(controls!$B$6=1,$AS$3*(1+('main page'!$K$35/100))^AB464-$AS$3*(1+('main page'!$K$35/100))^AB463,$AS$3*(1+('main page'!$G$8/100))*(1+('main page'!$K$35/100))^AB464-$AS$3*(1+('main page'!$G$8/100))*(1+('main page'!$K$35/100))^AB463)</f>
        <v>0</v>
      </c>
      <c r="AB464" s="60">
        <v>457</v>
      </c>
      <c r="AC464" s="125">
        <f ca="1">IF(controls!$B$4=1,IF(controls!$H463=1,controls!$B$34*AC463+RAND()*('main page'!$K$16/100)-RAND()*('main page'!$K$16/100),0),0)</f>
        <v>0</v>
      </c>
      <c r="AD464" s="36">
        <f ca="1">IF(controls!$B$4=1,IF(controls!$I463=1,controls!$B$34*AD463+RAND()*('main page'!$K$16/100)-RAND()*('main page'!$K$16/100),0),0)</f>
        <v>0</v>
      </c>
      <c r="AE464" s="44">
        <f ca="1">IF(controls!$B$33=1,D464-($I$3-'main page'!$K$27*2)*(1+('main page'!$K$35/100))^A463,D464-$AS$4)</f>
        <v>1.0000000596046448</v>
      </c>
      <c r="AF464" s="44">
        <f ca="1">ABS(L464-(controls!$B$9/100)*100)</f>
        <v>1.1920928955078125E-7</v>
      </c>
      <c r="AH464" s="44">
        <f ca="1">IF(controls!$B$33=1,(B465-B464*AC465-I465+D464*AD465+'main page'!$K$27*('main page'!$K$24+'main page'!$K$11))/'main page'!$K$31,(B465-B464*AC465+D464*AD465-H465+'main page'!$K$27*('main page'!$K$24+'main page'!$K$11))/'main page'!$K$31)</f>
        <v>1</v>
      </c>
      <c r="AI464" s="44">
        <f ca="1">IF(controls!$B$45=1,LOG(AM464,1.01)+LOG(AL464,1.01)-LOG(AK464,1.01),-((T464-('main page'!$K$24+'main page'!$K$11))/(1-'normal case'!$AV$3))+'normal case'!AH464)</f>
        <v>2.0000000596046448</v>
      </c>
      <c r="AJ464" s="80">
        <f t="shared" ca="1" si="62"/>
        <v>1.0506250015463039</v>
      </c>
      <c r="AK464" s="44">
        <f t="shared" ca="1" si="63"/>
        <v>9039.3124580224667</v>
      </c>
      <c r="AL464" s="44">
        <f>AL463*(1+'main page'!$K$32/100)</f>
        <v>1</v>
      </c>
      <c r="AM464" s="44">
        <f ca="1">IF(ABS(IF(controls!$B$45=1,$AS$13,AK464*AJ464/AL464)-AM463)&lt;0.00001,AM463,IF(controls!$B$45=1,$AS$13,AK464*AJ464/AL464))</f>
        <v>9496.9276651873788</v>
      </c>
      <c r="AN464" s="44">
        <f>IF(controls!$B$46=0,0,IF(controls!$B$33=2,B465-B464*AC465-('normal case'!H465-D464*AD465-'main page'!$K$27*'normal case'!T464+'main page'!$K$31*'normal case'!AI464)-(('main page'!$K$25*'main page'!$U$13*'main page'!$K$29)/(1+('main page'!$K$25^2)*'main page'!$U$13))*('normal case'!L464-'main page'!$U$8),B465-B464*AC465-('normal case'!I465-D464*AD465-'main page'!$K$27*'normal case'!T464+'main page'!$K$31*'normal case'!AI464)-(('main page'!$K$25*'main page'!$U$13*'main page'!$K$29)/(1+('main page'!$K$25^2)*'main page'!$U$13))*('normal case'!L464-'main page'!$U$8)))</f>
        <v>0</v>
      </c>
      <c r="AU464" s="36"/>
      <c r="AV464" s="36"/>
    </row>
    <row r="465" spans="1:48">
      <c r="A465" s="43">
        <v>463</v>
      </c>
      <c r="B465" s="62">
        <f ca="1">IF(controls!$B$33=1,B464*(1+AC465)+AA465,B464*(1+AC465))</f>
        <v>101</v>
      </c>
      <c r="C465" s="67">
        <f t="shared" ca="1" si="64"/>
        <v>-1.5107707374006907E-7</v>
      </c>
      <c r="D465" s="64">
        <f t="shared" ca="1" si="60"/>
        <v>101.00000005960464</v>
      </c>
      <c r="E465" s="64">
        <f ca="1">AN464+IF(controls!$B$33=1,G465,F465)</f>
        <v>101.00000005960464</v>
      </c>
      <c r="F465" s="78">
        <f ca="1">IF(controls!$B$44=0,H465-'main page'!$K$27*T464,H465-'main page'!$K$27*T464+'main page'!$K$31*AI464)</f>
        <v>101.00000005960464</v>
      </c>
      <c r="G465" s="62">
        <f ca="1">IF(controls!$B$44=0,I465-'main page'!$K$27*T464,I465-'main page'!$K$27*T464+'main page'!$K$31*'normal case'!AI464)</f>
        <v>101.00000005960464</v>
      </c>
      <c r="H465" s="62">
        <f t="shared" ca="1" si="58"/>
        <v>108</v>
      </c>
      <c r="I465" s="62">
        <f t="shared" ca="1" si="59"/>
        <v>108</v>
      </c>
      <c r="L465" s="62">
        <f ca="1">IF(ABS('main page'!$K$29*L464+(1-'main page'!$K$29)*(controls!$B$9/100)*100+'main page'!$K$25*(D465-B465)-L464)&lt;0.0000001,L464,'main page'!$K$29*L464+(1-'main page'!$K$29)*(controls!$B$9/100)*100+'main page'!$K$25*(D465-B465))</f>
        <v>1.9999998807907104</v>
      </c>
      <c r="Q465" s="409">
        <f ca="1">(1-'main page'!$K$29)*($AS$11/100)*100+'main page'!$K$25*(D465-B465)</f>
        <v>5.9604644775390625E-8</v>
      </c>
      <c r="R465" s="409">
        <f>'main page'!G469+'main page'!$K$29*M464</f>
        <v>0</v>
      </c>
      <c r="S465" s="409">
        <f t="shared" ca="1" si="65"/>
        <v>5.9604644775390625E-8</v>
      </c>
      <c r="T465" s="79">
        <f ca="1">IF(controls!$B$10=1,T464,IF(SUM(controls!$B$44:$B$46)=2,U465-'main page'!$K$29*'normal case'!L465-(1-'main page'!$K$29)*'main page'!$K$32,U465-'main page'!$K$29*'normal case'!L465-(1-'main page'!$K$29)*controls!$B$9))</f>
        <v>3.4999999701976776</v>
      </c>
      <c r="U465" s="164">
        <f ca="1">IF(controls!$B$45=1,IF(controls!$B$46=1,'main page'!$K$24+'main page'!$K$11+'main page'!$U$8,'main page'!$K$24+'main page'!$K$11+'main page'!$K$32),IF(controls!$B$44=1,IF(V465&lt;0,0,V465),IF(V465+'main page'!$K$11&lt;0,0,V465+'main page'!$K$11)))</f>
        <v>5.4999998509883881</v>
      </c>
      <c r="V465" s="63">
        <f ca="1">IF(controls!$B$10=1,'normal case'!T465+'normal case'!L465,'normal case'!W465)</f>
        <v>5.4999998509883881</v>
      </c>
      <c r="W465" s="61">
        <f t="shared" ca="1" si="61"/>
        <v>5.4999998509883881</v>
      </c>
      <c r="X465" s="166">
        <f ca="1">IF(controls!$B$44=0,Y465+'main page'!$K$29*L465+(1-'main page'!$K$29)*controls!$B$9+(('main page'!$K$25*'main page'!$U$13*'main page'!$K$29)/('main page'!$K$27*(1+('main page'!$K$25^2)*'main page'!$U$13)))*(L465-controls!$B$9),Y465+'main page'!$K$29*L465+(1-'main page'!$K$29)*controls!$B$9+(('main page'!$K$25*'main page'!$U$13*'normal case'!$AV$3)/'normal case'!$AV$4)*('normal case'!L465-controls!$B$9))</f>
        <v>5.4999998509883881</v>
      </c>
      <c r="Y465" s="81">
        <f ca="1">IF(controls!$B$44=1,'main page'!$K$24+'main page'!$K$11,IF(controls!$B$33=1,((I466-D465*AD466-B466+B465*AC466)/'main page'!$K$27)-'main page'!$K$11,((H466-D465*AD466-B466+B465*AC466)/'main page'!$K$27)-'main page'!$K$11))</f>
        <v>3.5</v>
      </c>
      <c r="AA465" s="58">
        <f>IF(controls!$B$6=1,$AS$3*(1+('main page'!$K$35/100))^AB465-$AS$3*(1+('main page'!$K$35/100))^AB464,$AS$3*(1+('main page'!$G$8/100))*(1+('main page'!$K$35/100))^AB465-$AS$3*(1+('main page'!$G$8/100))*(1+('main page'!$K$35/100))^AB464)</f>
        <v>0</v>
      </c>
      <c r="AB465" s="60">
        <v>458</v>
      </c>
      <c r="AC465" s="125">
        <v>0</v>
      </c>
      <c r="AD465" s="36">
        <v>0</v>
      </c>
      <c r="AE465" s="44">
        <f ca="1">IF(controls!$B$33=1,D465-($I$3-'main page'!$K$27*2)*(1+('main page'!$K$35/100))^A464,D465-$AS$4)</f>
        <v>1.0000000596046448</v>
      </c>
      <c r="AF465" s="44">
        <f ca="1">ABS(L465-(controls!$B$9/100)*100)</f>
        <v>1.1920928955078125E-7</v>
      </c>
      <c r="AH465" s="44">
        <f ca="1">IF(controls!$B$33=1,(B466-B465*AC466-I466+D465*AD466+'main page'!$K$27*('main page'!$K$24+'main page'!$K$11))/'main page'!$K$31,(B466-B465*AC466+D465*AD466-H466+'main page'!$K$27*('main page'!$K$24+'main page'!$K$11))/'main page'!$K$31)</f>
        <v>1</v>
      </c>
      <c r="AI465" s="44">
        <f ca="1">IF(controls!$B$45=1,LOG(AM465,1.01)+LOG(AL465,1.01)-LOG(AK465,1.01),-((T465-('main page'!$K$24+'main page'!$K$11))/(1-'normal case'!$AV$3))+'normal case'!AH465)</f>
        <v>2.0000000596046448</v>
      </c>
      <c r="AJ465" s="80">
        <f t="shared" ca="1" si="62"/>
        <v>1.0506250015463039</v>
      </c>
      <c r="AK465" s="44">
        <f t="shared" ca="1" si="63"/>
        <v>9220.0986964072163</v>
      </c>
      <c r="AL465" s="44">
        <f>AL464*(1+'main page'!$K$32/100)</f>
        <v>1</v>
      </c>
      <c r="AM465" s="44">
        <f ca="1">IF(ABS(IF(controls!$B$45=1,$AS$13,AK465*AJ465/AL465)-AM464)&lt;0.00001,AM464,IF(controls!$B$45=1,$AS$13,AK465*AJ465/AL465))</f>
        <v>9686.8662071699055</v>
      </c>
      <c r="AN465" s="44">
        <f>IF(controls!$B$46=0,0,IF(controls!$B$33=2,B466-B465*AC466-('normal case'!H466-D465*AD466-'main page'!$K$27*'normal case'!T465+'main page'!$K$31*'normal case'!AI465)-(('main page'!$K$25*'main page'!$U$13*'main page'!$K$29)/(1+('main page'!$K$25^2)*'main page'!$U$13))*('normal case'!L465-'main page'!$U$8),B466-B465*AC466-('normal case'!I466-D465*AD466-'main page'!$K$27*'normal case'!T465+'main page'!$K$31*'normal case'!AI465)-(('main page'!$K$25*'main page'!$U$13*'main page'!$K$29)/(1+('main page'!$K$25^2)*'main page'!$U$13))*('normal case'!L465-'main page'!$U$8)))</f>
        <v>0</v>
      </c>
      <c r="AU465" s="36"/>
      <c r="AV465" s="36"/>
    </row>
    <row r="466" spans="1:48">
      <c r="A466" s="43">
        <v>464</v>
      </c>
      <c r="B466" s="62">
        <f ca="1">IF(controls!$B$33=1,B465*(1+AC466)+AA466,B465*(1+AC466))</f>
        <v>101</v>
      </c>
      <c r="C466" s="67">
        <f t="shared" ca="1" si="64"/>
        <v>-1.5107707374006907E-7</v>
      </c>
      <c r="D466" s="64">
        <f t="shared" ca="1" si="60"/>
        <v>101.00000005960464</v>
      </c>
      <c r="E466" s="64">
        <f ca="1">AN465+IF(controls!$B$33=1,G466,F466)</f>
        <v>101.00000005960464</v>
      </c>
      <c r="F466" s="78">
        <f ca="1">IF(controls!$B$44=0,H466-'main page'!$K$27*T465,H466-'main page'!$K$27*T465+'main page'!$K$31*AI465)</f>
        <v>101.00000005960464</v>
      </c>
      <c r="G466" s="62">
        <f ca="1">IF(controls!$B$44=0,I466-'main page'!$K$27*T465,I466-'main page'!$K$27*T465+'main page'!$K$31*'normal case'!AI465)</f>
        <v>101.00000005960464</v>
      </c>
      <c r="H466" s="62">
        <f t="shared" ca="1" si="58"/>
        <v>108</v>
      </c>
      <c r="I466" s="62">
        <f t="shared" ca="1" si="59"/>
        <v>108</v>
      </c>
      <c r="L466" s="62">
        <f ca="1">IF(ABS('main page'!$K$29*L465+(1-'main page'!$K$29)*(controls!$B$9/100)*100+'main page'!$K$25*(D466-B466)-L465)&lt;0.0000001,L465,'main page'!$K$29*L465+(1-'main page'!$K$29)*(controls!$B$9/100)*100+'main page'!$K$25*(D466-B466))</f>
        <v>1.9999998807907104</v>
      </c>
      <c r="Q466" s="409">
        <f ca="1">(1-'main page'!$K$29)*($AS$11/100)*100+'main page'!$K$25*(D466-B466)</f>
        <v>5.9604644775390625E-8</v>
      </c>
      <c r="R466" s="409">
        <f>'main page'!G470+'main page'!$K$29*M465</f>
        <v>0</v>
      </c>
      <c r="S466" s="409">
        <f t="shared" ca="1" si="65"/>
        <v>5.9604644775390625E-8</v>
      </c>
      <c r="T466" s="79">
        <f ca="1">IF(controls!$B$10=1,T465,IF(SUM(controls!$B$44:$B$46)=2,U466-'main page'!$K$29*'normal case'!L466-(1-'main page'!$K$29)*'main page'!$K$32,U466-'main page'!$K$29*'normal case'!L466-(1-'main page'!$K$29)*controls!$B$9))</f>
        <v>3.4999999701976776</v>
      </c>
      <c r="U466" s="164">
        <f ca="1">IF(controls!$B$45=1,IF(controls!$B$46=1,'main page'!$K$24+'main page'!$K$11+'main page'!$U$8,'main page'!$K$24+'main page'!$K$11+'main page'!$K$32),IF(controls!$B$44=1,IF(V466&lt;0,0,V466),IF(V466+'main page'!$K$11&lt;0,0,V466+'main page'!$K$11)))</f>
        <v>5.4999998509883881</v>
      </c>
      <c r="V466" s="63">
        <f ca="1">IF(controls!$B$10=1,'normal case'!T466+'normal case'!L466,'normal case'!W466)</f>
        <v>5.4999998509883881</v>
      </c>
      <c r="W466" s="61">
        <f t="shared" ca="1" si="61"/>
        <v>5.4999998509883881</v>
      </c>
      <c r="X466" s="166">
        <f ca="1">IF(controls!$B$44=0,Y466+'main page'!$K$29*L466+(1-'main page'!$K$29)*controls!$B$9+(('main page'!$K$25*'main page'!$U$13*'main page'!$K$29)/('main page'!$K$27*(1+('main page'!$K$25^2)*'main page'!$U$13)))*(L466-controls!$B$9),Y466+'main page'!$K$29*L466+(1-'main page'!$K$29)*controls!$B$9+(('main page'!$K$25*'main page'!$U$13*'normal case'!$AV$3)/'normal case'!$AV$4)*('normal case'!L466-controls!$B$9))</f>
        <v>5.4999998509883881</v>
      </c>
      <c r="Y466" s="81">
        <f ca="1">IF(controls!$B$44=1,'main page'!$K$24+'main page'!$K$11,IF(controls!$B$33=1,((I467-D466*AD467-B467+B466*AC467)/'main page'!$K$27)-'main page'!$K$11,((H467-D466*AD467-B467+B466*AC467)/'main page'!$K$27)-'main page'!$K$11))</f>
        <v>3.5</v>
      </c>
      <c r="AA466" s="58">
        <f>IF(controls!$B$6=1,$AS$3*(1+('main page'!$K$35/100))^AB466-$AS$3*(1+('main page'!$K$35/100))^AB465,$AS$3*(1+('main page'!$G$8/100))*(1+('main page'!$K$35/100))^AB466-$AS$3*(1+('main page'!$G$8/100))*(1+('main page'!$K$35/100))^AB465)</f>
        <v>0</v>
      </c>
      <c r="AB466" s="60">
        <v>459</v>
      </c>
      <c r="AC466" s="125">
        <v>0</v>
      </c>
      <c r="AD466" s="36">
        <v>0</v>
      </c>
      <c r="AE466" s="44">
        <f ca="1">IF(controls!$B$33=1,D466-($I$3-'main page'!$K$27*2)*(1+('main page'!$K$35/100))^A465,D466-$AS$4)</f>
        <v>1.0000000596046448</v>
      </c>
      <c r="AF466" s="44">
        <f ca="1">ABS(L466-(controls!$B$9/100)*100)</f>
        <v>1.1920928955078125E-7</v>
      </c>
      <c r="AH466" s="44">
        <f ca="1">IF(controls!$B$33=1,(B467-B466*AC467-I467+D466*AD467+'main page'!$K$27*('main page'!$K$24+'main page'!$K$11))/'main page'!$K$31,(B467-B466*AC467+D466*AD467-H467+'main page'!$K$27*('main page'!$K$24+'main page'!$K$11))/'main page'!$K$31)</f>
        <v>1</v>
      </c>
      <c r="AI466" s="44">
        <f ca="1">IF(controls!$B$45=1,LOG(AM466,1.01)+LOG(AL466,1.01)-LOG(AK466,1.01),-((T466-('main page'!$K$24+'main page'!$K$11))/(1-'normal case'!$AV$3))+'normal case'!AH466)</f>
        <v>2.0000000596046448</v>
      </c>
      <c r="AJ466" s="80">
        <f t="shared" ca="1" si="62"/>
        <v>1.0506250015463039</v>
      </c>
      <c r="AK466" s="44">
        <f t="shared" ca="1" si="63"/>
        <v>9404.5006593441467</v>
      </c>
      <c r="AL466" s="44">
        <f>AL465*(1+'main page'!$K$32/100)</f>
        <v>1</v>
      </c>
      <c r="AM466" s="44">
        <f ca="1">IF(ABS(IF(controls!$B$45=1,$AS$13,AK466*AJ466/AL466)-AM465)&lt;0.00001,AM465,IF(controls!$B$45=1,$AS$13,AK466*AJ466/AL466))</f>
        <v>9880.6035197656602</v>
      </c>
      <c r="AN466" s="44">
        <f>IF(controls!$B$46=0,0,IF(controls!$B$33=2,B467-B466*AC467-('normal case'!H467-D466*AD467-'main page'!$K$27*'normal case'!T466+'main page'!$K$31*'normal case'!AI466)-(('main page'!$K$25*'main page'!$U$13*'main page'!$K$29)/(1+('main page'!$K$25^2)*'main page'!$U$13))*('normal case'!L466-'main page'!$U$8),B467-B466*AC467-('normal case'!I467-D466*AD467-'main page'!$K$27*'normal case'!T466+'main page'!$K$31*'normal case'!AI466)-(('main page'!$K$25*'main page'!$U$13*'main page'!$K$29)/(1+('main page'!$K$25^2)*'main page'!$U$13))*('normal case'!L466-'main page'!$U$8)))</f>
        <v>0</v>
      </c>
      <c r="AU466" s="36"/>
      <c r="AV466" s="36"/>
    </row>
    <row r="467" spans="1:48">
      <c r="A467" s="43">
        <v>465</v>
      </c>
      <c r="B467" s="62">
        <f ca="1">IF(controls!$B$33=1,B466*(1+AC467)+AA467,B466*(1+AC467))</f>
        <v>101</v>
      </c>
      <c r="C467" s="67">
        <f t="shared" ca="1" si="64"/>
        <v>-1.5107707374006907E-7</v>
      </c>
      <c r="D467" s="64">
        <f t="shared" ca="1" si="60"/>
        <v>101.00000005960464</v>
      </c>
      <c r="E467" s="64">
        <f ca="1">AN466+IF(controls!$B$33=1,G467,F467)</f>
        <v>101.00000005960464</v>
      </c>
      <c r="F467" s="78">
        <f ca="1">IF(controls!$B$44=0,H467-'main page'!$K$27*T466,H467-'main page'!$K$27*T466+'main page'!$K$31*AI466)</f>
        <v>101.00000005960464</v>
      </c>
      <c r="G467" s="62">
        <f ca="1">IF(controls!$B$44=0,I467-'main page'!$K$27*T466,I467-'main page'!$K$27*T466+'main page'!$K$31*'normal case'!AI466)</f>
        <v>101.00000005960464</v>
      </c>
      <c r="H467" s="62">
        <f t="shared" ca="1" si="58"/>
        <v>108</v>
      </c>
      <c r="I467" s="62">
        <f t="shared" ca="1" si="59"/>
        <v>108</v>
      </c>
      <c r="L467" s="62">
        <f ca="1">IF(ABS('main page'!$K$29*L466+(1-'main page'!$K$29)*(controls!$B$9/100)*100+'main page'!$K$25*(D467-B467)-L466)&lt;0.0000001,L466,'main page'!$K$29*L466+(1-'main page'!$K$29)*(controls!$B$9/100)*100+'main page'!$K$25*(D467-B467))</f>
        <v>1.9999998807907104</v>
      </c>
      <c r="Q467" s="409">
        <f ca="1">(1-'main page'!$K$29)*($AS$11/100)*100+'main page'!$K$25*(D467-B467)</f>
        <v>5.9604644775390625E-8</v>
      </c>
      <c r="R467" s="409">
        <f>'main page'!G471+'main page'!$K$29*M466</f>
        <v>0</v>
      </c>
      <c r="S467" s="409">
        <f t="shared" ca="1" si="65"/>
        <v>5.9604644775390625E-8</v>
      </c>
      <c r="T467" s="79">
        <f ca="1">IF(controls!$B$10=1,T466,IF(SUM(controls!$B$44:$B$46)=2,U467-'main page'!$K$29*'normal case'!L467-(1-'main page'!$K$29)*'main page'!$K$32,U467-'main page'!$K$29*'normal case'!L467-(1-'main page'!$K$29)*controls!$B$9))</f>
        <v>3.4999999701976776</v>
      </c>
      <c r="U467" s="164">
        <f ca="1">IF(controls!$B$45=1,IF(controls!$B$46=1,'main page'!$K$24+'main page'!$K$11+'main page'!$U$8,'main page'!$K$24+'main page'!$K$11+'main page'!$K$32),IF(controls!$B$44=1,IF(V467&lt;0,0,V467),IF(V467+'main page'!$K$11&lt;0,0,V467+'main page'!$K$11)))</f>
        <v>5.4999998509883881</v>
      </c>
      <c r="V467" s="63">
        <f ca="1">IF(controls!$B$10=1,'normal case'!T467+'normal case'!L467,'normal case'!W467)</f>
        <v>5.4999998509883881</v>
      </c>
      <c r="W467" s="61">
        <f t="shared" ca="1" si="61"/>
        <v>5.4999998509883881</v>
      </c>
      <c r="X467" s="166">
        <f ca="1">IF(controls!$B$44=0,Y467+'main page'!$K$29*L467+(1-'main page'!$K$29)*controls!$B$9+(('main page'!$K$25*'main page'!$U$13*'main page'!$K$29)/('main page'!$K$27*(1+('main page'!$K$25^2)*'main page'!$U$13)))*(L467-controls!$B$9),Y467+'main page'!$K$29*L467+(1-'main page'!$K$29)*controls!$B$9+(('main page'!$K$25*'main page'!$U$13*'normal case'!$AV$3)/'normal case'!$AV$4)*('normal case'!L467-controls!$B$9))</f>
        <v>5.4999998509883881</v>
      </c>
      <c r="Y467" s="81">
        <f ca="1">IF(controls!$B$44=1,'main page'!$K$24+'main page'!$K$11,IF(controls!$B$33=1,((I468-D467*AD468-B468+B467*AC468)/'main page'!$K$27)-'main page'!$K$11,((H468-D467*AD468-B468+B467*AC468)/'main page'!$K$27)-'main page'!$K$11))</f>
        <v>3.5</v>
      </c>
      <c r="AA467" s="58">
        <f>IF(controls!$B$6=1,$AS$3*(1+('main page'!$K$35/100))^AB467-$AS$3*(1+('main page'!$K$35/100))^AB466,$AS$3*(1+('main page'!$G$8/100))*(1+('main page'!$K$35/100))^AB467-$AS$3*(1+('main page'!$G$8/100))*(1+('main page'!$K$35/100))^AB466)</f>
        <v>0</v>
      </c>
      <c r="AB467" s="60">
        <v>460</v>
      </c>
      <c r="AC467" s="125">
        <f ca="1">IF(controls!$B$4=1,IF(controls!$H466=1,controls!$B$34*AC466+RAND()*('main page'!$K$16/100)-RAND()*('main page'!$K$16/100),0),0)</f>
        <v>0</v>
      </c>
      <c r="AD467" s="36">
        <f ca="1">IF(controls!$B$4=1,IF(controls!$I466=1,controls!$B$34*AD466+RAND()*('main page'!$K$16/100)-RAND()*('main page'!$K$16/100),0),0)</f>
        <v>0</v>
      </c>
      <c r="AE467" s="44">
        <f ca="1">IF(controls!$B$33=1,D467-($I$3-'main page'!$K$27*2)*(1+('main page'!$K$35/100))^A466,D467-$AS$4)</f>
        <v>1.0000000596046448</v>
      </c>
      <c r="AF467" s="44">
        <f ca="1">ABS(L467-(controls!$B$9/100)*100)</f>
        <v>1.1920928955078125E-7</v>
      </c>
      <c r="AH467" s="44">
        <f ca="1">IF(controls!$B$33=1,(B468-B467*AC468-I468+D467*AD468+'main page'!$K$27*('main page'!$K$24+'main page'!$K$11))/'main page'!$K$31,(B468-B467*AC468+D467*AD468-H468+'main page'!$K$27*('main page'!$K$24+'main page'!$K$11))/'main page'!$K$31)</f>
        <v>1</v>
      </c>
      <c r="AI467" s="44">
        <f ca="1">IF(controls!$B$45=1,LOG(AM467,1.01)+LOG(AL467,1.01)-LOG(AK467,1.01),-((T467-('main page'!$K$24+'main page'!$K$11))/(1-'normal case'!$AV$3))+'normal case'!AH467)</f>
        <v>2.0000000596046448</v>
      </c>
      <c r="AJ467" s="80">
        <f t="shared" ca="1" si="62"/>
        <v>1.0506250015463039</v>
      </c>
      <c r="AK467" s="44">
        <f t="shared" ca="1" si="63"/>
        <v>9592.5906613199913</v>
      </c>
      <c r="AL467" s="44">
        <f>AL466*(1+'main page'!$K$32/100)</f>
        <v>1</v>
      </c>
      <c r="AM467" s="44">
        <f ca="1">IF(ABS(IF(controls!$B$45=1,$AS$13,AK467*AJ467/AL467)-AM466)&lt;0.00001,AM466,IF(controls!$B$45=1,$AS$13,AK467*AJ467/AL467))</f>
        <v>10078.215578382376</v>
      </c>
      <c r="AN467" s="44">
        <f>IF(controls!$B$46=0,0,IF(controls!$B$33=2,B468-B467*AC468-('normal case'!H468-D467*AD468-'main page'!$K$27*'normal case'!T467+'main page'!$K$31*'normal case'!AI467)-(('main page'!$K$25*'main page'!$U$13*'main page'!$K$29)/(1+('main page'!$K$25^2)*'main page'!$U$13))*('normal case'!L467-'main page'!$U$8),B468-B467*AC468-('normal case'!I468-D467*AD468-'main page'!$K$27*'normal case'!T467+'main page'!$K$31*'normal case'!AI467)-(('main page'!$K$25*'main page'!$U$13*'main page'!$K$29)/(1+('main page'!$K$25^2)*'main page'!$U$13))*('normal case'!L467-'main page'!$U$8)))</f>
        <v>0</v>
      </c>
      <c r="AU467" s="36"/>
      <c r="AV467" s="36"/>
    </row>
    <row r="468" spans="1:48">
      <c r="A468" s="43">
        <v>466</v>
      </c>
      <c r="B468" s="62">
        <f ca="1">IF(controls!$B$33=1,B467*(1+AC468)+AA468,B467*(1+AC468))</f>
        <v>101</v>
      </c>
      <c r="C468" s="67">
        <f t="shared" ca="1" si="64"/>
        <v>-1.5107707374006907E-7</v>
      </c>
      <c r="D468" s="64">
        <f t="shared" ca="1" si="60"/>
        <v>101.00000005960464</v>
      </c>
      <c r="E468" s="64">
        <f ca="1">AN467+IF(controls!$B$33=1,G468,F468)</f>
        <v>101.00000005960464</v>
      </c>
      <c r="F468" s="78">
        <f ca="1">IF(controls!$B$44=0,H468-'main page'!$K$27*T467,H468-'main page'!$K$27*T467+'main page'!$K$31*AI467)</f>
        <v>101.00000005960464</v>
      </c>
      <c r="G468" s="62">
        <f ca="1">IF(controls!$B$44=0,I468-'main page'!$K$27*T467,I468-'main page'!$K$27*T467+'main page'!$K$31*'normal case'!AI467)</f>
        <v>101.00000005960464</v>
      </c>
      <c r="H468" s="62">
        <f t="shared" ca="1" si="58"/>
        <v>108</v>
      </c>
      <c r="I468" s="62">
        <f t="shared" ca="1" si="59"/>
        <v>108</v>
      </c>
      <c r="L468" s="62">
        <f ca="1">IF(ABS('main page'!$K$29*L467+(1-'main page'!$K$29)*(controls!$B$9/100)*100+'main page'!$K$25*(D468-B468)-L467)&lt;0.0000001,L467,'main page'!$K$29*L467+(1-'main page'!$K$29)*(controls!$B$9/100)*100+'main page'!$K$25*(D468-B468))</f>
        <v>1.9999998807907104</v>
      </c>
      <c r="Q468" s="409">
        <f ca="1">(1-'main page'!$K$29)*($AS$11/100)*100+'main page'!$K$25*(D468-B468)</f>
        <v>5.9604644775390625E-8</v>
      </c>
      <c r="R468" s="409">
        <f>'main page'!G472+'main page'!$K$29*M467</f>
        <v>0</v>
      </c>
      <c r="S468" s="409">
        <f t="shared" ca="1" si="65"/>
        <v>5.9604644775390625E-8</v>
      </c>
      <c r="T468" s="79">
        <f ca="1">IF(controls!$B$10=1,T467,IF(SUM(controls!$B$44:$B$46)=2,U468-'main page'!$K$29*'normal case'!L468-(1-'main page'!$K$29)*'main page'!$K$32,U468-'main page'!$K$29*'normal case'!L468-(1-'main page'!$K$29)*controls!$B$9))</f>
        <v>3.4999999701976776</v>
      </c>
      <c r="U468" s="164">
        <f ca="1">IF(controls!$B$45=1,IF(controls!$B$46=1,'main page'!$K$24+'main page'!$K$11+'main page'!$U$8,'main page'!$K$24+'main page'!$K$11+'main page'!$K$32),IF(controls!$B$44=1,IF(V468&lt;0,0,V468),IF(V468+'main page'!$K$11&lt;0,0,V468+'main page'!$K$11)))</f>
        <v>5.4999998509883881</v>
      </c>
      <c r="V468" s="63">
        <f ca="1">IF(controls!$B$10=1,'normal case'!T468+'normal case'!L468,'normal case'!W468)</f>
        <v>5.4999998509883881</v>
      </c>
      <c r="W468" s="61">
        <f t="shared" ca="1" si="61"/>
        <v>5.4999998509883881</v>
      </c>
      <c r="X468" s="166">
        <f ca="1">IF(controls!$B$44=0,Y468+'main page'!$K$29*L468+(1-'main page'!$K$29)*controls!$B$9+(('main page'!$K$25*'main page'!$U$13*'main page'!$K$29)/('main page'!$K$27*(1+('main page'!$K$25^2)*'main page'!$U$13)))*(L468-controls!$B$9),Y468+'main page'!$K$29*L468+(1-'main page'!$K$29)*controls!$B$9+(('main page'!$K$25*'main page'!$U$13*'normal case'!$AV$3)/'normal case'!$AV$4)*('normal case'!L468-controls!$B$9))</f>
        <v>5.4999998509883881</v>
      </c>
      <c r="Y468" s="81">
        <f ca="1">IF(controls!$B$44=1,'main page'!$K$24+'main page'!$K$11,IF(controls!$B$33=1,((I469-D468*AD469-B469+B468*AC469)/'main page'!$K$27)-'main page'!$K$11,((H469-D468*AD469-B469+B468*AC469)/'main page'!$K$27)-'main page'!$K$11))</f>
        <v>3.5</v>
      </c>
      <c r="AA468" s="58">
        <f>IF(controls!$B$6=1,$AS$3*(1+('main page'!$K$35/100))^AB468-$AS$3*(1+('main page'!$K$35/100))^AB467,$AS$3*(1+('main page'!$G$8/100))*(1+('main page'!$K$35/100))^AB468-$AS$3*(1+('main page'!$G$8/100))*(1+('main page'!$K$35/100))^AB467)</f>
        <v>0</v>
      </c>
      <c r="AB468" s="60">
        <v>461</v>
      </c>
      <c r="AC468" s="125">
        <v>0</v>
      </c>
      <c r="AD468" s="36">
        <v>0</v>
      </c>
      <c r="AE468" s="44">
        <f ca="1">IF(controls!$B$33=1,D468-($I$3-'main page'!$K$27*2)*(1+('main page'!$K$35/100))^A467,D468-$AS$4)</f>
        <v>1.0000000596046448</v>
      </c>
      <c r="AF468" s="44">
        <f ca="1">ABS(L468-(controls!$B$9/100)*100)</f>
        <v>1.1920928955078125E-7</v>
      </c>
      <c r="AH468" s="44">
        <f ca="1">IF(controls!$B$33=1,(B469-B468*AC469-I469+D468*AD469+'main page'!$K$27*('main page'!$K$24+'main page'!$K$11))/'main page'!$K$31,(B469-B468*AC469+D468*AD469-H469+'main page'!$K$27*('main page'!$K$24+'main page'!$K$11))/'main page'!$K$31)</f>
        <v>1</v>
      </c>
      <c r="AI468" s="44">
        <f ca="1">IF(controls!$B$45=1,LOG(AM468,1.01)+LOG(AL468,1.01)-LOG(AK468,1.01),-((T468-('main page'!$K$24+'main page'!$K$11))/(1-'normal case'!$AV$3))+'normal case'!AH468)</f>
        <v>2.0000000596046448</v>
      </c>
      <c r="AJ468" s="80">
        <f t="shared" ca="1" si="62"/>
        <v>1.0506250015463039</v>
      </c>
      <c r="AK468" s="44">
        <f t="shared" ca="1" si="63"/>
        <v>9784.4424631111324</v>
      </c>
      <c r="AL468" s="44">
        <f>AL467*(1+'main page'!$K$32/100)</f>
        <v>1</v>
      </c>
      <c r="AM468" s="44">
        <f ca="1">IF(ABS(IF(controls!$B$45=1,$AS$13,AK468*AJ468/AL468)-AM467)&lt;0.00001,AM467,IF(controls!$B$45=1,$AS$13,AK468*AJ468/AL468))</f>
        <v>10279.779877935855</v>
      </c>
      <c r="AN468" s="44">
        <f>IF(controls!$B$46=0,0,IF(controls!$B$33=2,B469-B468*AC469-('normal case'!H469-D468*AD469-'main page'!$K$27*'normal case'!T468+'main page'!$K$31*'normal case'!AI468)-(('main page'!$K$25*'main page'!$U$13*'main page'!$K$29)/(1+('main page'!$K$25^2)*'main page'!$U$13))*('normal case'!L468-'main page'!$U$8),B469-B468*AC469-('normal case'!I469-D468*AD469-'main page'!$K$27*'normal case'!T468+'main page'!$K$31*'normal case'!AI468)-(('main page'!$K$25*'main page'!$U$13*'main page'!$K$29)/(1+('main page'!$K$25^2)*'main page'!$U$13))*('normal case'!L468-'main page'!$U$8)))</f>
        <v>0</v>
      </c>
      <c r="AU468" s="36"/>
      <c r="AV468" s="36"/>
    </row>
    <row r="469" spans="1:48">
      <c r="A469" s="43">
        <v>467</v>
      </c>
      <c r="B469" s="62">
        <f ca="1">IF(controls!$B$33=1,B468*(1+AC469)+AA469,B468*(1+AC469))</f>
        <v>101</v>
      </c>
      <c r="C469" s="67">
        <f t="shared" ca="1" si="64"/>
        <v>-1.5107707374006907E-7</v>
      </c>
      <c r="D469" s="64">
        <f t="shared" ca="1" si="60"/>
        <v>101.00000005960464</v>
      </c>
      <c r="E469" s="64">
        <f ca="1">AN468+IF(controls!$B$33=1,G469,F469)</f>
        <v>101.00000005960464</v>
      </c>
      <c r="F469" s="78">
        <f ca="1">IF(controls!$B$44=0,H469-'main page'!$K$27*T468,H469-'main page'!$K$27*T468+'main page'!$K$31*AI468)</f>
        <v>101.00000005960464</v>
      </c>
      <c r="G469" s="62">
        <f ca="1">IF(controls!$B$44=0,I469-'main page'!$K$27*T468,I469-'main page'!$K$27*T468+'main page'!$K$31*'normal case'!AI468)</f>
        <v>101.00000005960464</v>
      </c>
      <c r="H469" s="62">
        <f t="shared" ca="1" si="58"/>
        <v>108</v>
      </c>
      <c r="I469" s="62">
        <f t="shared" ca="1" si="59"/>
        <v>108</v>
      </c>
      <c r="L469" s="62">
        <f ca="1">IF(ABS('main page'!$K$29*L468+(1-'main page'!$K$29)*(controls!$B$9/100)*100+'main page'!$K$25*(D469-B469)-L468)&lt;0.0000001,L468,'main page'!$K$29*L468+(1-'main page'!$K$29)*(controls!$B$9/100)*100+'main page'!$K$25*(D469-B469))</f>
        <v>1.9999998807907104</v>
      </c>
      <c r="Q469" s="409">
        <f ca="1">(1-'main page'!$K$29)*($AS$11/100)*100+'main page'!$K$25*(D469-B469)</f>
        <v>5.9604644775390625E-8</v>
      </c>
      <c r="R469" s="409">
        <f>'main page'!G473+'main page'!$K$29*M468</f>
        <v>0</v>
      </c>
      <c r="S469" s="409">
        <f t="shared" ca="1" si="65"/>
        <v>5.9604644775390625E-8</v>
      </c>
      <c r="T469" s="79">
        <f ca="1">IF(controls!$B$10=1,T468,IF(SUM(controls!$B$44:$B$46)=2,U469-'main page'!$K$29*'normal case'!L469-(1-'main page'!$K$29)*'main page'!$K$32,U469-'main page'!$K$29*'normal case'!L469-(1-'main page'!$K$29)*controls!$B$9))</f>
        <v>3.4999999701976776</v>
      </c>
      <c r="U469" s="164">
        <f ca="1">IF(controls!$B$45=1,IF(controls!$B$46=1,'main page'!$K$24+'main page'!$K$11+'main page'!$U$8,'main page'!$K$24+'main page'!$K$11+'main page'!$K$32),IF(controls!$B$44=1,IF(V469&lt;0,0,V469),IF(V469+'main page'!$K$11&lt;0,0,V469+'main page'!$K$11)))</f>
        <v>5.4999998509883881</v>
      </c>
      <c r="V469" s="63">
        <f ca="1">IF(controls!$B$10=1,'normal case'!T469+'normal case'!L469,'normal case'!W469)</f>
        <v>5.4999998509883881</v>
      </c>
      <c r="W469" s="61">
        <f t="shared" ca="1" si="61"/>
        <v>5.4999998509883881</v>
      </c>
      <c r="X469" s="166">
        <f ca="1">IF(controls!$B$44=0,Y469+'main page'!$K$29*L469+(1-'main page'!$K$29)*controls!$B$9+(('main page'!$K$25*'main page'!$U$13*'main page'!$K$29)/('main page'!$K$27*(1+('main page'!$K$25^2)*'main page'!$U$13)))*(L469-controls!$B$9),Y469+'main page'!$K$29*L469+(1-'main page'!$K$29)*controls!$B$9+(('main page'!$K$25*'main page'!$U$13*'normal case'!$AV$3)/'normal case'!$AV$4)*('normal case'!L469-controls!$B$9))</f>
        <v>5.4999998509883881</v>
      </c>
      <c r="Y469" s="81">
        <f ca="1">IF(controls!$B$44=1,'main page'!$K$24+'main page'!$K$11,IF(controls!$B$33=1,((I470-D469*AD470-B470+B469*AC470)/'main page'!$K$27)-'main page'!$K$11,((H470-D469*AD470-B470+B469*AC470)/'main page'!$K$27)-'main page'!$K$11))</f>
        <v>3.5</v>
      </c>
      <c r="AA469" s="58">
        <f>IF(controls!$B$6=1,$AS$3*(1+('main page'!$K$35/100))^AB469-$AS$3*(1+('main page'!$K$35/100))^AB468,$AS$3*(1+('main page'!$G$8/100))*(1+('main page'!$K$35/100))^AB469-$AS$3*(1+('main page'!$G$8/100))*(1+('main page'!$K$35/100))^AB468)</f>
        <v>0</v>
      </c>
      <c r="AB469" s="60">
        <v>462</v>
      </c>
      <c r="AC469" s="125">
        <v>0</v>
      </c>
      <c r="AD469" s="36">
        <v>0</v>
      </c>
      <c r="AE469" s="44">
        <f ca="1">IF(controls!$B$33=1,D469-($I$3-'main page'!$K$27*2)*(1+('main page'!$K$35/100))^A468,D469-$AS$4)</f>
        <v>1.0000000596046448</v>
      </c>
      <c r="AF469" s="44">
        <f ca="1">ABS(L469-(controls!$B$9/100)*100)</f>
        <v>1.1920928955078125E-7</v>
      </c>
      <c r="AH469" s="44">
        <f ca="1">IF(controls!$B$33=1,(B470-B469*AC470-I470+D469*AD470+'main page'!$K$27*('main page'!$K$24+'main page'!$K$11))/'main page'!$K$31,(B470-B469*AC470+D469*AD470-H470+'main page'!$K$27*('main page'!$K$24+'main page'!$K$11))/'main page'!$K$31)</f>
        <v>1</v>
      </c>
      <c r="AI469" s="44">
        <f ca="1">IF(controls!$B$45=1,LOG(AM469,1.01)+LOG(AL469,1.01)-LOG(AK469,1.01),-((T469-('main page'!$K$24+'main page'!$K$11))/(1-'normal case'!$AV$3))+'normal case'!AH469)</f>
        <v>2.0000000596046448</v>
      </c>
      <c r="AJ469" s="80">
        <f t="shared" ca="1" si="62"/>
        <v>1.0506250015463039</v>
      </c>
      <c r="AK469" s="44">
        <f t="shared" ca="1" si="63"/>
        <v>9980.1313007093904</v>
      </c>
      <c r="AL469" s="44">
        <f>AL468*(1+'main page'!$K$32/100)</f>
        <v>1</v>
      </c>
      <c r="AM469" s="44">
        <f ca="1">IF(ABS(IF(controls!$B$45=1,$AS$13,AK469*AJ469/AL469)-AM468)&lt;0.00001,AM468,IF(controls!$B$45=1,$AS$13,AK469*AJ469/AL469))</f>
        <v>10485.37546324012</v>
      </c>
      <c r="AN469" s="44">
        <f>IF(controls!$B$46=0,0,IF(controls!$B$33=2,B470-B469*AC470-('normal case'!H470-D469*AD470-'main page'!$K$27*'normal case'!T469+'main page'!$K$31*'normal case'!AI469)-(('main page'!$K$25*'main page'!$U$13*'main page'!$K$29)/(1+('main page'!$K$25^2)*'main page'!$U$13))*('normal case'!L469-'main page'!$U$8),B470-B469*AC470-('normal case'!I470-D469*AD470-'main page'!$K$27*'normal case'!T469+'main page'!$K$31*'normal case'!AI469)-(('main page'!$K$25*'main page'!$U$13*'main page'!$K$29)/(1+('main page'!$K$25^2)*'main page'!$U$13))*('normal case'!L469-'main page'!$U$8)))</f>
        <v>0</v>
      </c>
      <c r="AU469" s="36"/>
      <c r="AV469" s="36"/>
    </row>
    <row r="470" spans="1:48">
      <c r="A470" s="43">
        <v>468</v>
      </c>
      <c r="B470" s="62">
        <f ca="1">IF(controls!$B$33=1,B469*(1+AC470)+AA470,B469*(1+AC470))</f>
        <v>101</v>
      </c>
      <c r="C470" s="67">
        <f t="shared" ca="1" si="64"/>
        <v>-1.5107707374006907E-7</v>
      </c>
      <c r="D470" s="64">
        <f t="shared" ca="1" si="60"/>
        <v>101.00000005960464</v>
      </c>
      <c r="E470" s="64">
        <f ca="1">AN469+IF(controls!$B$33=1,G470,F470)</f>
        <v>101.00000005960464</v>
      </c>
      <c r="F470" s="78">
        <f ca="1">IF(controls!$B$44=0,H470-'main page'!$K$27*T469,H470-'main page'!$K$27*T469+'main page'!$K$31*AI469)</f>
        <v>101.00000005960464</v>
      </c>
      <c r="G470" s="62">
        <f ca="1">IF(controls!$B$44=0,I470-'main page'!$K$27*T469,I470-'main page'!$K$27*T469+'main page'!$K$31*'normal case'!AI469)</f>
        <v>101.00000005960464</v>
      </c>
      <c r="H470" s="62">
        <f t="shared" ca="1" si="58"/>
        <v>108</v>
      </c>
      <c r="I470" s="62">
        <f t="shared" ca="1" si="59"/>
        <v>108</v>
      </c>
      <c r="L470" s="62">
        <f ca="1">IF(ABS('main page'!$K$29*L469+(1-'main page'!$K$29)*(controls!$B$9/100)*100+'main page'!$K$25*(D470-B470)-L469)&lt;0.0000001,L469,'main page'!$K$29*L469+(1-'main page'!$K$29)*(controls!$B$9/100)*100+'main page'!$K$25*(D470-B470))</f>
        <v>1.9999998807907104</v>
      </c>
      <c r="Q470" s="409">
        <f ca="1">(1-'main page'!$K$29)*($AS$11/100)*100+'main page'!$K$25*(D470-B470)</f>
        <v>5.9604644775390625E-8</v>
      </c>
      <c r="R470" s="409">
        <f>'main page'!G474+'main page'!$K$29*M469</f>
        <v>0</v>
      </c>
      <c r="S470" s="409">
        <f t="shared" ca="1" si="65"/>
        <v>5.9604644775390625E-8</v>
      </c>
      <c r="T470" s="79">
        <f ca="1">IF(controls!$B$10=1,T469,IF(SUM(controls!$B$44:$B$46)=2,U470-'main page'!$K$29*'normal case'!L470-(1-'main page'!$K$29)*'main page'!$K$32,U470-'main page'!$K$29*'normal case'!L470-(1-'main page'!$K$29)*controls!$B$9))</f>
        <v>3.4999999701976776</v>
      </c>
      <c r="U470" s="164">
        <f ca="1">IF(controls!$B$45=1,IF(controls!$B$46=1,'main page'!$K$24+'main page'!$K$11+'main page'!$U$8,'main page'!$K$24+'main page'!$K$11+'main page'!$K$32),IF(controls!$B$44=1,IF(V470&lt;0,0,V470),IF(V470+'main page'!$K$11&lt;0,0,V470+'main page'!$K$11)))</f>
        <v>5.4999998509883881</v>
      </c>
      <c r="V470" s="63">
        <f ca="1">IF(controls!$B$10=1,'normal case'!T470+'normal case'!L470,'normal case'!W470)</f>
        <v>5.4999998509883881</v>
      </c>
      <c r="W470" s="61">
        <f t="shared" ca="1" si="61"/>
        <v>5.4999998509883881</v>
      </c>
      <c r="X470" s="166">
        <f ca="1">IF(controls!$B$44=0,Y470+'main page'!$K$29*L470+(1-'main page'!$K$29)*controls!$B$9+(('main page'!$K$25*'main page'!$U$13*'main page'!$K$29)/('main page'!$K$27*(1+('main page'!$K$25^2)*'main page'!$U$13)))*(L470-controls!$B$9),Y470+'main page'!$K$29*L470+(1-'main page'!$K$29)*controls!$B$9+(('main page'!$K$25*'main page'!$U$13*'normal case'!$AV$3)/'normal case'!$AV$4)*('normal case'!L470-controls!$B$9))</f>
        <v>5.4999998509883881</v>
      </c>
      <c r="Y470" s="81">
        <f ca="1">IF(controls!$B$44=1,'main page'!$K$24+'main page'!$K$11,IF(controls!$B$33=1,((I471-D470*AD471-B471+B470*AC471)/'main page'!$K$27)-'main page'!$K$11,((H471-D470*AD471-B471+B470*AC471)/'main page'!$K$27)-'main page'!$K$11))</f>
        <v>3.5</v>
      </c>
      <c r="AA470" s="58">
        <f>IF(controls!$B$6=1,$AS$3*(1+('main page'!$K$35/100))^AB470-$AS$3*(1+('main page'!$K$35/100))^AB469,$AS$3*(1+('main page'!$G$8/100))*(1+('main page'!$K$35/100))^AB470-$AS$3*(1+('main page'!$G$8/100))*(1+('main page'!$K$35/100))^AB469)</f>
        <v>0</v>
      </c>
      <c r="AB470" s="60">
        <v>463</v>
      </c>
      <c r="AC470" s="125">
        <f ca="1">IF(controls!$B$4=1,IF(controls!$H469=1,controls!$B$34*AC469+RAND()*('main page'!$K$16/100)-RAND()*('main page'!$K$16/100),0),0)</f>
        <v>0</v>
      </c>
      <c r="AD470" s="36">
        <f ca="1">IF(controls!$B$4=1,IF(controls!$I469=1,controls!$B$34*AD469+RAND()*('main page'!$K$16/100)-RAND()*('main page'!$K$16/100),0),0)</f>
        <v>0</v>
      </c>
      <c r="AE470" s="44">
        <f ca="1">IF(controls!$B$33=1,D470-($I$3-'main page'!$K$27*2)*(1+('main page'!$K$35/100))^A469,D470-$AS$4)</f>
        <v>1.0000000596046448</v>
      </c>
      <c r="AF470" s="44">
        <f ca="1">ABS(L470-(controls!$B$9/100)*100)</f>
        <v>1.1920928955078125E-7</v>
      </c>
      <c r="AH470" s="44">
        <f ca="1">IF(controls!$B$33=1,(B471-B470*AC471-I471+D470*AD471+'main page'!$K$27*('main page'!$K$24+'main page'!$K$11))/'main page'!$K$31,(B471-B470*AC471+D470*AD471-H471+'main page'!$K$27*('main page'!$K$24+'main page'!$K$11))/'main page'!$K$31)</f>
        <v>1</v>
      </c>
      <c r="AI470" s="44">
        <f ca="1">IF(controls!$B$45=1,LOG(AM470,1.01)+LOG(AL470,1.01)-LOG(AK470,1.01),-((T470-('main page'!$K$24+'main page'!$K$11))/(1-'normal case'!$AV$3))+'normal case'!AH470)</f>
        <v>2.0000000596046448</v>
      </c>
      <c r="AJ470" s="80">
        <f t="shared" ca="1" si="62"/>
        <v>1.0506250015463039</v>
      </c>
      <c r="AK470" s="44">
        <f t="shared" ca="1" si="63"/>
        <v>10179.733914826335</v>
      </c>
      <c r="AL470" s="44">
        <f>AL469*(1+'main page'!$K$32/100)</f>
        <v>1</v>
      </c>
      <c r="AM470" s="44">
        <f ca="1">IF(ABS(IF(controls!$B$45=1,$AS$13,AK470*AJ470/AL470)-AM469)&lt;0.00001,AM469,IF(controls!$B$45=1,$AS$13,AK470*AJ470/AL470))</f>
        <v>10695.08296000538</v>
      </c>
      <c r="AN470" s="44">
        <f>IF(controls!$B$46=0,0,IF(controls!$B$33=2,B471-B470*AC471-('normal case'!H471-D470*AD471-'main page'!$K$27*'normal case'!T470+'main page'!$K$31*'normal case'!AI470)-(('main page'!$K$25*'main page'!$U$13*'main page'!$K$29)/(1+('main page'!$K$25^2)*'main page'!$U$13))*('normal case'!L470-'main page'!$U$8),B471-B470*AC471-('normal case'!I471-D470*AD471-'main page'!$K$27*'normal case'!T470+'main page'!$K$31*'normal case'!AI470)-(('main page'!$K$25*'main page'!$U$13*'main page'!$K$29)/(1+('main page'!$K$25^2)*'main page'!$U$13))*('normal case'!L470-'main page'!$U$8)))</f>
        <v>0</v>
      </c>
      <c r="AU470" s="36"/>
      <c r="AV470" s="36"/>
    </row>
    <row r="471" spans="1:48">
      <c r="A471" s="43">
        <v>469</v>
      </c>
      <c r="B471" s="62">
        <f ca="1">IF(controls!$B$33=1,B470*(1+AC471)+AA471,B470*(1+AC471))</f>
        <v>101</v>
      </c>
      <c r="C471" s="67">
        <f t="shared" ca="1" si="64"/>
        <v>-1.5107707374006907E-7</v>
      </c>
      <c r="D471" s="64">
        <f t="shared" ca="1" si="60"/>
        <v>101.00000005960464</v>
      </c>
      <c r="E471" s="64">
        <f ca="1">AN470+IF(controls!$B$33=1,G471,F471)</f>
        <v>101.00000005960464</v>
      </c>
      <c r="F471" s="78">
        <f ca="1">IF(controls!$B$44=0,H471-'main page'!$K$27*T470,H471-'main page'!$K$27*T470+'main page'!$K$31*AI470)</f>
        <v>101.00000005960464</v>
      </c>
      <c r="G471" s="62">
        <f ca="1">IF(controls!$B$44=0,I471-'main page'!$K$27*T470,I471-'main page'!$K$27*T470+'main page'!$K$31*'normal case'!AI470)</f>
        <v>101.00000005960464</v>
      </c>
      <c r="H471" s="62">
        <f t="shared" ca="1" si="58"/>
        <v>108</v>
      </c>
      <c r="I471" s="62">
        <f t="shared" ca="1" si="59"/>
        <v>108</v>
      </c>
      <c r="L471" s="62">
        <f ca="1">IF(ABS('main page'!$K$29*L470+(1-'main page'!$K$29)*(controls!$B$9/100)*100+'main page'!$K$25*(D471-B471)-L470)&lt;0.0000001,L470,'main page'!$K$29*L470+(1-'main page'!$K$29)*(controls!$B$9/100)*100+'main page'!$K$25*(D471-B471))</f>
        <v>1.9999998807907104</v>
      </c>
      <c r="Q471" s="409">
        <f ca="1">(1-'main page'!$K$29)*($AS$11/100)*100+'main page'!$K$25*(D471-B471)</f>
        <v>5.9604644775390625E-8</v>
      </c>
      <c r="R471" s="409">
        <f>'main page'!G475+'main page'!$K$29*M470</f>
        <v>0</v>
      </c>
      <c r="S471" s="409">
        <f t="shared" ca="1" si="65"/>
        <v>5.9604644775390625E-8</v>
      </c>
      <c r="T471" s="79">
        <f ca="1">IF(controls!$B$10=1,T470,IF(SUM(controls!$B$44:$B$46)=2,U471-'main page'!$K$29*'normal case'!L471-(1-'main page'!$K$29)*'main page'!$K$32,U471-'main page'!$K$29*'normal case'!L471-(1-'main page'!$K$29)*controls!$B$9))</f>
        <v>3.4999999701976776</v>
      </c>
      <c r="U471" s="164">
        <f ca="1">IF(controls!$B$45=1,IF(controls!$B$46=1,'main page'!$K$24+'main page'!$K$11+'main page'!$U$8,'main page'!$K$24+'main page'!$K$11+'main page'!$K$32),IF(controls!$B$44=1,IF(V471&lt;0,0,V471),IF(V471+'main page'!$K$11&lt;0,0,V471+'main page'!$K$11)))</f>
        <v>5.4999998509883881</v>
      </c>
      <c r="V471" s="63">
        <f ca="1">IF(controls!$B$10=1,'normal case'!T471+'normal case'!L471,'normal case'!W471)</f>
        <v>5.4999998509883881</v>
      </c>
      <c r="W471" s="61">
        <f t="shared" ca="1" si="61"/>
        <v>5.4999998509883881</v>
      </c>
      <c r="X471" s="166">
        <f ca="1">IF(controls!$B$44=0,Y471+'main page'!$K$29*L471+(1-'main page'!$K$29)*controls!$B$9+(('main page'!$K$25*'main page'!$U$13*'main page'!$K$29)/('main page'!$K$27*(1+('main page'!$K$25^2)*'main page'!$U$13)))*(L471-controls!$B$9),Y471+'main page'!$K$29*L471+(1-'main page'!$K$29)*controls!$B$9+(('main page'!$K$25*'main page'!$U$13*'normal case'!$AV$3)/'normal case'!$AV$4)*('normal case'!L471-controls!$B$9))</f>
        <v>5.4999998509883881</v>
      </c>
      <c r="Y471" s="81">
        <f ca="1">IF(controls!$B$44=1,'main page'!$K$24+'main page'!$K$11,IF(controls!$B$33=1,((I472-D471*AD472-B472+B471*AC472)/'main page'!$K$27)-'main page'!$K$11,((H472-D471*AD472-B472+B471*AC472)/'main page'!$K$27)-'main page'!$K$11))</f>
        <v>3.5</v>
      </c>
      <c r="AA471" s="58">
        <f>IF(controls!$B$6=1,$AS$3*(1+('main page'!$K$35/100))^AB471-$AS$3*(1+('main page'!$K$35/100))^AB470,$AS$3*(1+('main page'!$G$8/100))*(1+('main page'!$K$35/100))^AB471-$AS$3*(1+('main page'!$G$8/100))*(1+('main page'!$K$35/100))^AB470)</f>
        <v>0</v>
      </c>
      <c r="AB471" s="60">
        <v>464</v>
      </c>
      <c r="AC471" s="125">
        <v>0</v>
      </c>
      <c r="AD471" s="36">
        <v>0</v>
      </c>
      <c r="AE471" s="44">
        <f ca="1">IF(controls!$B$33=1,D471-($I$3-'main page'!$K$27*2)*(1+('main page'!$K$35/100))^A470,D471-$AS$4)</f>
        <v>1.0000000596046448</v>
      </c>
      <c r="AF471" s="44">
        <f ca="1">ABS(L471-(controls!$B$9/100)*100)</f>
        <v>1.1920928955078125E-7</v>
      </c>
      <c r="AH471" s="44">
        <f ca="1">IF(controls!$B$33=1,(B472-B471*AC472-I472+D471*AD472+'main page'!$K$27*('main page'!$K$24+'main page'!$K$11))/'main page'!$K$31,(B472-B471*AC472+D471*AD472-H472+'main page'!$K$27*('main page'!$K$24+'main page'!$K$11))/'main page'!$K$31)</f>
        <v>1</v>
      </c>
      <c r="AI471" s="44">
        <f ca="1">IF(controls!$B$45=1,LOG(AM471,1.01)+LOG(AL471,1.01)-LOG(AK471,1.01),-((T471-('main page'!$K$24+'main page'!$K$11))/(1-'normal case'!$AV$3))+'normal case'!AH471)</f>
        <v>2.0000000596046448</v>
      </c>
      <c r="AJ471" s="80">
        <f t="shared" ca="1" si="62"/>
        <v>1.0506250015463039</v>
      </c>
      <c r="AK471" s="44">
        <f t="shared" ca="1" si="63"/>
        <v>10383.328580987672</v>
      </c>
      <c r="AL471" s="44">
        <f>AL470*(1+'main page'!$K$32/100)</f>
        <v>1</v>
      </c>
      <c r="AM471" s="44">
        <f ca="1">IF(ABS(IF(controls!$B$45=1,$AS$13,AK471*AJ471/AL471)-AM470)&lt;0.00001,AM470,IF(controls!$B$45=1,$AS$13,AK471*AJ471/AL471))</f>
        <v>10908.984606455955</v>
      </c>
      <c r="AN471" s="44">
        <f>IF(controls!$B$46=0,0,IF(controls!$B$33=2,B472-B471*AC472-('normal case'!H472-D471*AD472-'main page'!$K$27*'normal case'!T471+'main page'!$K$31*'normal case'!AI471)-(('main page'!$K$25*'main page'!$U$13*'main page'!$K$29)/(1+('main page'!$K$25^2)*'main page'!$U$13))*('normal case'!L471-'main page'!$U$8),B472-B471*AC472-('normal case'!I472-D471*AD472-'main page'!$K$27*'normal case'!T471+'main page'!$K$31*'normal case'!AI471)-(('main page'!$K$25*'main page'!$U$13*'main page'!$K$29)/(1+('main page'!$K$25^2)*'main page'!$U$13))*('normal case'!L471-'main page'!$U$8)))</f>
        <v>0</v>
      </c>
      <c r="AU471" s="36"/>
      <c r="AV471" s="36"/>
    </row>
    <row r="472" spans="1:48">
      <c r="A472" s="43">
        <v>470</v>
      </c>
      <c r="B472" s="62">
        <f ca="1">IF(controls!$B$33=1,B471*(1+AC472)+AA472,B471*(1+AC472))</f>
        <v>101</v>
      </c>
      <c r="C472" s="67">
        <f t="shared" ca="1" si="64"/>
        <v>-1.5107707374006907E-7</v>
      </c>
      <c r="D472" s="64">
        <f t="shared" ca="1" si="60"/>
        <v>101.00000005960464</v>
      </c>
      <c r="E472" s="64">
        <f ca="1">AN471+IF(controls!$B$33=1,G472,F472)</f>
        <v>101.00000005960464</v>
      </c>
      <c r="F472" s="78">
        <f ca="1">IF(controls!$B$44=0,H472-'main page'!$K$27*T471,H472-'main page'!$K$27*T471+'main page'!$K$31*AI471)</f>
        <v>101.00000005960464</v>
      </c>
      <c r="G472" s="62">
        <f ca="1">IF(controls!$B$44=0,I472-'main page'!$K$27*T471,I472-'main page'!$K$27*T471+'main page'!$K$31*'normal case'!AI471)</f>
        <v>101.00000005960464</v>
      </c>
      <c r="H472" s="62">
        <f t="shared" ref="H472:H502" ca="1" si="66">H471+D471*AD472</f>
        <v>108</v>
      </c>
      <c r="I472" s="62">
        <f t="shared" ref="I472:I502" ca="1" si="67">I471+D471*AD472+AA472</f>
        <v>108</v>
      </c>
      <c r="L472" s="62">
        <f ca="1">IF(ABS('main page'!$K$29*L471+(1-'main page'!$K$29)*(controls!$B$9/100)*100+'main page'!$K$25*(D472-B472)-L471)&lt;0.0000001,L471,'main page'!$K$29*L471+(1-'main page'!$K$29)*(controls!$B$9/100)*100+'main page'!$K$25*(D472-B472))</f>
        <v>1.9999998807907104</v>
      </c>
      <c r="Q472" s="409">
        <f ca="1">(1-'main page'!$K$29)*($AS$11/100)*100+'main page'!$K$25*(D472-B472)</f>
        <v>5.9604644775390625E-8</v>
      </c>
      <c r="R472" s="409">
        <f>'main page'!G476+'main page'!$K$29*M471</f>
        <v>0</v>
      </c>
      <c r="S472" s="409">
        <f t="shared" ca="1" si="65"/>
        <v>5.9604644775390625E-8</v>
      </c>
      <c r="T472" s="79">
        <f ca="1">IF(controls!$B$10=1,T471,IF(SUM(controls!$B$44:$B$46)=2,U472-'main page'!$K$29*'normal case'!L472-(1-'main page'!$K$29)*'main page'!$K$32,U472-'main page'!$K$29*'normal case'!L472-(1-'main page'!$K$29)*controls!$B$9))</f>
        <v>3.4999999701976776</v>
      </c>
      <c r="U472" s="164">
        <f ca="1">IF(controls!$B$45=1,IF(controls!$B$46=1,'main page'!$K$24+'main page'!$K$11+'main page'!$U$8,'main page'!$K$24+'main page'!$K$11+'main page'!$K$32),IF(controls!$B$44=1,IF(V472&lt;0,0,V472),IF(V472+'main page'!$K$11&lt;0,0,V472+'main page'!$K$11)))</f>
        <v>5.4999998509883881</v>
      </c>
      <c r="V472" s="63">
        <f ca="1">IF(controls!$B$10=1,'normal case'!T472+'normal case'!L472,'normal case'!W472)</f>
        <v>5.4999998509883881</v>
      </c>
      <c r="W472" s="61">
        <f t="shared" ca="1" si="61"/>
        <v>5.4999998509883881</v>
      </c>
      <c r="X472" s="166">
        <f ca="1">IF(controls!$B$44=0,Y472+'main page'!$K$29*L472+(1-'main page'!$K$29)*controls!$B$9+(('main page'!$K$25*'main page'!$U$13*'main page'!$K$29)/('main page'!$K$27*(1+('main page'!$K$25^2)*'main page'!$U$13)))*(L472-controls!$B$9),Y472+'main page'!$K$29*L472+(1-'main page'!$K$29)*controls!$B$9+(('main page'!$K$25*'main page'!$U$13*'normal case'!$AV$3)/'normal case'!$AV$4)*('normal case'!L472-controls!$B$9))</f>
        <v>5.4999998509883881</v>
      </c>
      <c r="Y472" s="81">
        <f ca="1">IF(controls!$B$44=1,'main page'!$K$24+'main page'!$K$11,IF(controls!$B$33=1,((I473-D472*AD473-B473+B472*AC473)/'main page'!$K$27)-'main page'!$K$11,((H473-D472*AD473-B473+B472*AC473)/'main page'!$K$27)-'main page'!$K$11))</f>
        <v>3.5</v>
      </c>
      <c r="AA472" s="58">
        <f>IF(controls!$B$6=1,$AS$3*(1+('main page'!$K$35/100))^AB472-$AS$3*(1+('main page'!$K$35/100))^AB471,$AS$3*(1+('main page'!$G$8/100))*(1+('main page'!$K$35/100))^AB472-$AS$3*(1+('main page'!$G$8/100))*(1+('main page'!$K$35/100))^AB471)</f>
        <v>0</v>
      </c>
      <c r="AB472" s="60">
        <v>465</v>
      </c>
      <c r="AC472" s="125">
        <v>0</v>
      </c>
      <c r="AD472" s="36">
        <v>0</v>
      </c>
      <c r="AE472" s="44">
        <f ca="1">IF(controls!$B$33=1,D472-($I$3-'main page'!$K$27*2)*(1+('main page'!$K$35/100))^A471,D472-$AS$4)</f>
        <v>1.0000000596046448</v>
      </c>
      <c r="AF472" s="44">
        <f ca="1">ABS(L472-(controls!$B$9/100)*100)</f>
        <v>1.1920928955078125E-7</v>
      </c>
      <c r="AH472" s="44">
        <f ca="1">IF(controls!$B$33=1,(B473-B472*AC473-I473+D472*AD473+'main page'!$K$27*('main page'!$K$24+'main page'!$K$11))/'main page'!$K$31,(B473-B472*AC473+D472*AD473-H473+'main page'!$K$27*('main page'!$K$24+'main page'!$K$11))/'main page'!$K$31)</f>
        <v>1</v>
      </c>
      <c r="AI472" s="44">
        <f ca="1">IF(controls!$B$45=1,LOG(AM472,1.01)+LOG(AL472,1.01)-LOG(AK472,1.01),-((T472-('main page'!$K$24+'main page'!$K$11))/(1-'normal case'!$AV$3))+'normal case'!AH472)</f>
        <v>2.0000000596046448</v>
      </c>
      <c r="AJ472" s="80">
        <f t="shared" ca="1" si="62"/>
        <v>1.0506250015463039</v>
      </c>
      <c r="AK472" s="44">
        <f t="shared" ca="1" si="63"/>
        <v>10590.995140229534</v>
      </c>
      <c r="AL472" s="44">
        <f>AL471*(1+'main page'!$K$32/100)</f>
        <v>1</v>
      </c>
      <c r="AM472" s="44">
        <f ca="1">IF(ABS(IF(controls!$B$45=1,$AS$13,AK472*AJ472/AL472)-AM471)&lt;0.00001,AM471,IF(controls!$B$45=1,$AS$13,AK472*AJ472/AL472))</f>
        <v>11127.164285580551</v>
      </c>
      <c r="AN472" s="44">
        <f>IF(controls!$B$46=0,0,IF(controls!$B$33=2,B473-B472*AC473-('normal case'!H473-D472*AD473-'main page'!$K$27*'normal case'!T472+'main page'!$K$31*'normal case'!AI472)-(('main page'!$K$25*'main page'!$U$13*'main page'!$K$29)/(1+('main page'!$K$25^2)*'main page'!$U$13))*('normal case'!L472-'main page'!$U$8),B473-B472*AC473-('normal case'!I473-D472*AD473-'main page'!$K$27*'normal case'!T472+'main page'!$K$31*'normal case'!AI472)-(('main page'!$K$25*'main page'!$U$13*'main page'!$K$29)/(1+('main page'!$K$25^2)*'main page'!$U$13))*('normal case'!L472-'main page'!$U$8)))</f>
        <v>0</v>
      </c>
      <c r="AU472" s="36"/>
      <c r="AV472" s="36"/>
    </row>
    <row r="473" spans="1:48">
      <c r="A473" s="43">
        <v>471</v>
      </c>
      <c r="B473" s="62">
        <f ca="1">IF(controls!$B$33=1,B472*(1+AC473)+AA473,B472*(1+AC473))</f>
        <v>101</v>
      </c>
      <c r="C473" s="67">
        <f t="shared" ca="1" si="64"/>
        <v>-1.5107707374006907E-7</v>
      </c>
      <c r="D473" s="64">
        <f t="shared" ca="1" si="60"/>
        <v>101.00000005960464</v>
      </c>
      <c r="E473" s="64">
        <f ca="1">AN472+IF(controls!$B$33=1,G473,F473)</f>
        <v>101.00000005960464</v>
      </c>
      <c r="F473" s="78">
        <f ca="1">IF(controls!$B$44=0,H473-'main page'!$K$27*T472,H473-'main page'!$K$27*T472+'main page'!$K$31*AI472)</f>
        <v>101.00000005960464</v>
      </c>
      <c r="G473" s="62">
        <f ca="1">IF(controls!$B$44=0,I473-'main page'!$K$27*T472,I473-'main page'!$K$27*T472+'main page'!$K$31*'normal case'!AI472)</f>
        <v>101.00000005960464</v>
      </c>
      <c r="H473" s="62">
        <f t="shared" ca="1" si="66"/>
        <v>108</v>
      </c>
      <c r="I473" s="62">
        <f t="shared" ca="1" si="67"/>
        <v>108</v>
      </c>
      <c r="L473" s="62">
        <f ca="1">IF(ABS('main page'!$K$29*L472+(1-'main page'!$K$29)*(controls!$B$9/100)*100+'main page'!$K$25*(D473-B473)-L472)&lt;0.0000001,L472,'main page'!$K$29*L472+(1-'main page'!$K$29)*(controls!$B$9/100)*100+'main page'!$K$25*(D473-B473))</f>
        <v>1.9999998807907104</v>
      </c>
      <c r="Q473" s="409">
        <f ca="1">(1-'main page'!$K$29)*($AS$11/100)*100+'main page'!$K$25*(D473-B473)</f>
        <v>5.9604644775390625E-8</v>
      </c>
      <c r="R473" s="409">
        <f>'main page'!G477+'main page'!$K$29*M472</f>
        <v>0</v>
      </c>
      <c r="S473" s="409">
        <f t="shared" ca="1" si="65"/>
        <v>5.9604644775390625E-8</v>
      </c>
      <c r="T473" s="79">
        <f ca="1">IF(controls!$B$10=1,T472,IF(SUM(controls!$B$44:$B$46)=2,U473-'main page'!$K$29*'normal case'!L473-(1-'main page'!$K$29)*'main page'!$K$32,U473-'main page'!$K$29*'normal case'!L473-(1-'main page'!$K$29)*controls!$B$9))</f>
        <v>3.4999999701976776</v>
      </c>
      <c r="U473" s="164">
        <f ca="1">IF(controls!$B$45=1,IF(controls!$B$46=1,'main page'!$K$24+'main page'!$K$11+'main page'!$U$8,'main page'!$K$24+'main page'!$K$11+'main page'!$K$32),IF(controls!$B$44=1,IF(V473&lt;0,0,V473),IF(V473+'main page'!$K$11&lt;0,0,V473+'main page'!$K$11)))</f>
        <v>5.4999998509883881</v>
      </c>
      <c r="V473" s="63">
        <f ca="1">IF(controls!$B$10=1,'normal case'!T473+'normal case'!L473,'normal case'!W473)</f>
        <v>5.4999998509883881</v>
      </c>
      <c r="W473" s="61">
        <f t="shared" ca="1" si="61"/>
        <v>5.4999998509883881</v>
      </c>
      <c r="X473" s="166">
        <f ca="1">IF(controls!$B$44=0,Y473+'main page'!$K$29*L473+(1-'main page'!$K$29)*controls!$B$9+(('main page'!$K$25*'main page'!$U$13*'main page'!$K$29)/('main page'!$K$27*(1+('main page'!$K$25^2)*'main page'!$U$13)))*(L473-controls!$B$9),Y473+'main page'!$K$29*L473+(1-'main page'!$K$29)*controls!$B$9+(('main page'!$K$25*'main page'!$U$13*'normal case'!$AV$3)/'normal case'!$AV$4)*('normal case'!L473-controls!$B$9))</f>
        <v>5.4999998509883881</v>
      </c>
      <c r="Y473" s="81">
        <f ca="1">IF(controls!$B$44=1,'main page'!$K$24+'main page'!$K$11,IF(controls!$B$33=1,((I474-D473*AD474-B474+B473*AC474)/'main page'!$K$27)-'main page'!$K$11,((H474-D473*AD474-B474+B473*AC474)/'main page'!$K$27)-'main page'!$K$11))</f>
        <v>3.5</v>
      </c>
      <c r="AA473" s="58">
        <f>IF(controls!$B$6=1,$AS$3*(1+('main page'!$K$35/100))^AB473-$AS$3*(1+('main page'!$K$35/100))^AB472,$AS$3*(1+('main page'!$G$8/100))*(1+('main page'!$K$35/100))^AB473-$AS$3*(1+('main page'!$G$8/100))*(1+('main page'!$K$35/100))^AB472)</f>
        <v>0</v>
      </c>
      <c r="AB473" s="60">
        <v>466</v>
      </c>
      <c r="AC473" s="125">
        <f ca="1">IF(controls!$B$4=1,IF(controls!$H472=1,controls!$B$34*AC472+RAND()*('main page'!$K$16/100)-RAND()*('main page'!$K$16/100),0),0)</f>
        <v>0</v>
      </c>
      <c r="AD473" s="36">
        <f ca="1">IF(controls!$B$4=1,IF(controls!$I472=1,controls!$B$34*AD472+RAND()*('main page'!$K$16/100)-RAND()*('main page'!$K$16/100),0),0)</f>
        <v>0</v>
      </c>
      <c r="AE473" s="44">
        <f ca="1">IF(controls!$B$33=1,D473-($I$3-'main page'!$K$27*2)*(1+('main page'!$K$35/100))^A472,D473-$AS$4)</f>
        <v>1.0000000596046448</v>
      </c>
      <c r="AF473" s="44">
        <f ca="1">ABS(L473-(controls!$B$9/100)*100)</f>
        <v>1.1920928955078125E-7</v>
      </c>
      <c r="AH473" s="44">
        <f ca="1">IF(controls!$B$33=1,(B474-B473*AC474-I474+D473*AD474+'main page'!$K$27*('main page'!$K$24+'main page'!$K$11))/'main page'!$K$31,(B474-B473*AC474+D473*AD474-H474+'main page'!$K$27*('main page'!$K$24+'main page'!$K$11))/'main page'!$K$31)</f>
        <v>1</v>
      </c>
      <c r="AI473" s="44">
        <f ca="1">IF(controls!$B$45=1,LOG(AM473,1.01)+LOG(AL473,1.01)-LOG(AK473,1.01),-((T473-('main page'!$K$24+'main page'!$K$11))/(1-'normal case'!$AV$3))+'normal case'!AH473)</f>
        <v>2.0000000596046448</v>
      </c>
      <c r="AJ473" s="80">
        <f t="shared" ca="1" si="62"/>
        <v>1.0506250015463039</v>
      </c>
      <c r="AK473" s="44">
        <f t="shared" ca="1" si="63"/>
        <v>10802.815030408674</v>
      </c>
      <c r="AL473" s="44">
        <f>AL472*(1+'main page'!$K$32/100)</f>
        <v>1</v>
      </c>
      <c r="AM473" s="44">
        <f ca="1">IF(ABS(IF(controls!$B$45=1,$AS$13,AK473*AJ473/AL473)-AM472)&lt;0.00001,AM472,IF(controls!$B$45=1,$AS$13,AK473*AJ473/AL473))</f>
        <v>11349.707558027549</v>
      </c>
      <c r="AN473" s="44">
        <f>IF(controls!$B$46=0,0,IF(controls!$B$33=2,B474-B473*AC474-('normal case'!H474-D473*AD474-'main page'!$K$27*'normal case'!T473+'main page'!$K$31*'normal case'!AI473)-(('main page'!$K$25*'main page'!$U$13*'main page'!$K$29)/(1+('main page'!$K$25^2)*'main page'!$U$13))*('normal case'!L473-'main page'!$U$8),B474-B473*AC474-('normal case'!I474-D473*AD474-'main page'!$K$27*'normal case'!T473+'main page'!$K$31*'normal case'!AI473)-(('main page'!$K$25*'main page'!$U$13*'main page'!$K$29)/(1+('main page'!$K$25^2)*'main page'!$U$13))*('normal case'!L473-'main page'!$U$8)))</f>
        <v>0</v>
      </c>
      <c r="AU473" s="36"/>
      <c r="AV473" s="36"/>
    </row>
    <row r="474" spans="1:48">
      <c r="A474" s="43">
        <v>472</v>
      </c>
      <c r="B474" s="62">
        <f ca="1">IF(controls!$B$33=1,B473*(1+AC474)+AA474,B473*(1+AC474))</f>
        <v>101</v>
      </c>
      <c r="C474" s="67">
        <f t="shared" ca="1" si="64"/>
        <v>-1.5107707374006907E-7</v>
      </c>
      <c r="D474" s="64">
        <f t="shared" ca="1" si="60"/>
        <v>101.00000005960464</v>
      </c>
      <c r="E474" s="64">
        <f ca="1">AN473+IF(controls!$B$33=1,G474,F474)</f>
        <v>101.00000005960464</v>
      </c>
      <c r="F474" s="78">
        <f ca="1">IF(controls!$B$44=0,H474-'main page'!$K$27*T473,H474-'main page'!$K$27*T473+'main page'!$K$31*AI473)</f>
        <v>101.00000005960464</v>
      </c>
      <c r="G474" s="62">
        <f ca="1">IF(controls!$B$44=0,I474-'main page'!$K$27*T473,I474-'main page'!$K$27*T473+'main page'!$K$31*'normal case'!AI473)</f>
        <v>101.00000005960464</v>
      </c>
      <c r="H474" s="62">
        <f t="shared" ca="1" si="66"/>
        <v>108</v>
      </c>
      <c r="I474" s="62">
        <f t="shared" ca="1" si="67"/>
        <v>108</v>
      </c>
      <c r="L474" s="62">
        <f ca="1">IF(ABS('main page'!$K$29*L473+(1-'main page'!$K$29)*(controls!$B$9/100)*100+'main page'!$K$25*(D474-B474)-L473)&lt;0.0000001,L473,'main page'!$K$29*L473+(1-'main page'!$K$29)*(controls!$B$9/100)*100+'main page'!$K$25*(D474-B474))</f>
        <v>1.9999998807907104</v>
      </c>
      <c r="Q474" s="409">
        <f ca="1">(1-'main page'!$K$29)*($AS$11/100)*100+'main page'!$K$25*(D474-B474)</f>
        <v>5.9604644775390625E-8</v>
      </c>
      <c r="R474" s="409">
        <f>'main page'!G478+'main page'!$K$29*M473</f>
        <v>0</v>
      </c>
      <c r="S474" s="409">
        <f t="shared" ca="1" si="65"/>
        <v>5.9604644775390625E-8</v>
      </c>
      <c r="T474" s="79">
        <f ca="1">IF(controls!$B$10=1,T473,IF(SUM(controls!$B$44:$B$46)=2,U474-'main page'!$K$29*'normal case'!L474-(1-'main page'!$K$29)*'main page'!$K$32,U474-'main page'!$K$29*'normal case'!L474-(1-'main page'!$K$29)*controls!$B$9))</f>
        <v>3.4999999701976776</v>
      </c>
      <c r="U474" s="164">
        <f ca="1">IF(controls!$B$45=1,IF(controls!$B$46=1,'main page'!$K$24+'main page'!$K$11+'main page'!$U$8,'main page'!$K$24+'main page'!$K$11+'main page'!$K$32),IF(controls!$B$44=1,IF(V474&lt;0,0,V474),IF(V474+'main page'!$K$11&lt;0,0,V474+'main page'!$K$11)))</f>
        <v>5.4999998509883881</v>
      </c>
      <c r="V474" s="63">
        <f ca="1">IF(controls!$B$10=1,'normal case'!T474+'normal case'!L474,'normal case'!W474)</f>
        <v>5.4999998509883881</v>
      </c>
      <c r="W474" s="61">
        <f t="shared" ca="1" si="61"/>
        <v>5.4999998509883881</v>
      </c>
      <c r="X474" s="166">
        <f ca="1">IF(controls!$B$44=0,Y474+'main page'!$K$29*L474+(1-'main page'!$K$29)*controls!$B$9+(('main page'!$K$25*'main page'!$U$13*'main page'!$K$29)/('main page'!$K$27*(1+('main page'!$K$25^2)*'main page'!$U$13)))*(L474-controls!$B$9),Y474+'main page'!$K$29*L474+(1-'main page'!$K$29)*controls!$B$9+(('main page'!$K$25*'main page'!$U$13*'normal case'!$AV$3)/'normal case'!$AV$4)*('normal case'!L474-controls!$B$9))</f>
        <v>5.4999998509883881</v>
      </c>
      <c r="Y474" s="81">
        <f ca="1">IF(controls!$B$44=1,'main page'!$K$24+'main page'!$K$11,IF(controls!$B$33=1,((I475-D474*AD475-B475+B474*AC475)/'main page'!$K$27)-'main page'!$K$11,((H475-D474*AD475-B475+B474*AC475)/'main page'!$K$27)-'main page'!$K$11))</f>
        <v>3.5</v>
      </c>
      <c r="AA474" s="58">
        <f>IF(controls!$B$6=1,$AS$3*(1+('main page'!$K$35/100))^AB474-$AS$3*(1+('main page'!$K$35/100))^AB473,$AS$3*(1+('main page'!$G$8/100))*(1+('main page'!$K$35/100))^AB474-$AS$3*(1+('main page'!$G$8/100))*(1+('main page'!$K$35/100))^AB473)</f>
        <v>0</v>
      </c>
      <c r="AB474" s="60">
        <v>467</v>
      </c>
      <c r="AC474" s="125">
        <v>0</v>
      </c>
      <c r="AD474" s="36">
        <v>0</v>
      </c>
      <c r="AE474" s="44">
        <f ca="1">IF(controls!$B$33=1,D474-($I$3-'main page'!$K$27*2)*(1+('main page'!$K$35/100))^A473,D474-$AS$4)</f>
        <v>1.0000000596046448</v>
      </c>
      <c r="AF474" s="44">
        <f ca="1">ABS(L474-(controls!$B$9/100)*100)</f>
        <v>1.1920928955078125E-7</v>
      </c>
      <c r="AH474" s="44">
        <f ca="1">IF(controls!$B$33=1,(B475-B474*AC475-I475+D474*AD475+'main page'!$K$27*('main page'!$K$24+'main page'!$K$11))/'main page'!$K$31,(B475-B474*AC475+D474*AD475-H475+'main page'!$K$27*('main page'!$K$24+'main page'!$K$11))/'main page'!$K$31)</f>
        <v>1</v>
      </c>
      <c r="AI474" s="44">
        <f ca="1">IF(controls!$B$45=1,LOG(AM474,1.01)+LOG(AL474,1.01)-LOG(AK474,1.01),-((T474-('main page'!$K$24+'main page'!$K$11))/(1-'normal case'!$AV$3))+'normal case'!AH474)</f>
        <v>2.0000000596046448</v>
      </c>
      <c r="AJ474" s="80">
        <f t="shared" ca="1" si="62"/>
        <v>1.0506250015463039</v>
      </c>
      <c r="AK474" s="44">
        <f t="shared" ca="1" si="63"/>
        <v>11018.871318138888</v>
      </c>
      <c r="AL474" s="44">
        <f>AL473*(1+'main page'!$K$32/100)</f>
        <v>1</v>
      </c>
      <c r="AM474" s="44">
        <f ca="1">IF(ABS(IF(controls!$B$45=1,$AS$13,AK474*AJ474/AL474)-AM473)&lt;0.00001,AM473,IF(controls!$B$45=1,$AS$13,AK474*AJ474/AL474))</f>
        <v>11576.701695658194</v>
      </c>
      <c r="AN474" s="44">
        <f>IF(controls!$B$46=0,0,IF(controls!$B$33=2,B475-B474*AC475-('normal case'!H475-D474*AD475-'main page'!$K$27*'normal case'!T474+'main page'!$K$31*'normal case'!AI474)-(('main page'!$K$25*'main page'!$U$13*'main page'!$K$29)/(1+('main page'!$K$25^2)*'main page'!$U$13))*('normal case'!L474-'main page'!$U$8),B475-B474*AC475-('normal case'!I475-D474*AD475-'main page'!$K$27*'normal case'!T474+'main page'!$K$31*'normal case'!AI474)-(('main page'!$K$25*'main page'!$U$13*'main page'!$K$29)/(1+('main page'!$K$25^2)*'main page'!$U$13))*('normal case'!L474-'main page'!$U$8)))</f>
        <v>0</v>
      </c>
      <c r="AU474" s="36"/>
      <c r="AV474" s="36"/>
    </row>
    <row r="475" spans="1:48">
      <c r="A475" s="43">
        <v>473</v>
      </c>
      <c r="B475" s="62">
        <f ca="1">IF(controls!$B$33=1,B474*(1+AC475)+AA475,B474*(1+AC475))</f>
        <v>101</v>
      </c>
      <c r="C475" s="67">
        <f t="shared" ca="1" si="64"/>
        <v>-1.5107707374006907E-7</v>
      </c>
      <c r="D475" s="64">
        <f t="shared" ca="1" si="60"/>
        <v>101.00000005960464</v>
      </c>
      <c r="E475" s="64">
        <f ca="1">AN474+IF(controls!$B$33=1,G475,F475)</f>
        <v>101.00000005960464</v>
      </c>
      <c r="F475" s="78">
        <f ca="1">IF(controls!$B$44=0,H475-'main page'!$K$27*T474,H475-'main page'!$K$27*T474+'main page'!$K$31*AI474)</f>
        <v>101.00000005960464</v>
      </c>
      <c r="G475" s="62">
        <f ca="1">IF(controls!$B$44=0,I475-'main page'!$K$27*T474,I475-'main page'!$K$27*T474+'main page'!$K$31*'normal case'!AI474)</f>
        <v>101.00000005960464</v>
      </c>
      <c r="H475" s="62">
        <f t="shared" ca="1" si="66"/>
        <v>108</v>
      </c>
      <c r="I475" s="62">
        <f t="shared" ca="1" si="67"/>
        <v>108</v>
      </c>
      <c r="L475" s="62">
        <f ca="1">IF(ABS('main page'!$K$29*L474+(1-'main page'!$K$29)*(controls!$B$9/100)*100+'main page'!$K$25*(D475-B475)-L474)&lt;0.0000001,L474,'main page'!$K$29*L474+(1-'main page'!$K$29)*(controls!$B$9/100)*100+'main page'!$K$25*(D475-B475))</f>
        <v>1.9999998807907104</v>
      </c>
      <c r="Q475" s="409">
        <f ca="1">(1-'main page'!$K$29)*($AS$11/100)*100+'main page'!$K$25*(D475-B475)</f>
        <v>5.9604644775390625E-8</v>
      </c>
      <c r="R475" s="409">
        <f>'main page'!G479+'main page'!$K$29*M474</f>
        <v>0</v>
      </c>
      <c r="S475" s="409">
        <f t="shared" ca="1" si="65"/>
        <v>5.9604644775390625E-8</v>
      </c>
      <c r="T475" s="79">
        <f ca="1">IF(controls!$B$10=1,T474,IF(SUM(controls!$B$44:$B$46)=2,U475-'main page'!$K$29*'normal case'!L475-(1-'main page'!$K$29)*'main page'!$K$32,U475-'main page'!$K$29*'normal case'!L475-(1-'main page'!$K$29)*controls!$B$9))</f>
        <v>3.4999999701976776</v>
      </c>
      <c r="U475" s="164">
        <f ca="1">IF(controls!$B$45=1,IF(controls!$B$46=1,'main page'!$K$24+'main page'!$K$11+'main page'!$U$8,'main page'!$K$24+'main page'!$K$11+'main page'!$K$32),IF(controls!$B$44=1,IF(V475&lt;0,0,V475),IF(V475+'main page'!$K$11&lt;0,0,V475+'main page'!$K$11)))</f>
        <v>5.4999998509883881</v>
      </c>
      <c r="V475" s="63">
        <f ca="1">IF(controls!$B$10=1,'normal case'!T475+'normal case'!L475,'normal case'!W475)</f>
        <v>5.4999998509883881</v>
      </c>
      <c r="W475" s="61">
        <f t="shared" ca="1" si="61"/>
        <v>5.4999998509883881</v>
      </c>
      <c r="X475" s="166">
        <f ca="1">IF(controls!$B$44=0,Y475+'main page'!$K$29*L475+(1-'main page'!$K$29)*controls!$B$9+(('main page'!$K$25*'main page'!$U$13*'main page'!$K$29)/('main page'!$K$27*(1+('main page'!$K$25^2)*'main page'!$U$13)))*(L475-controls!$B$9),Y475+'main page'!$K$29*L475+(1-'main page'!$K$29)*controls!$B$9+(('main page'!$K$25*'main page'!$U$13*'normal case'!$AV$3)/'normal case'!$AV$4)*('normal case'!L475-controls!$B$9))</f>
        <v>5.4999998509883881</v>
      </c>
      <c r="Y475" s="81">
        <f ca="1">IF(controls!$B$44=1,'main page'!$K$24+'main page'!$K$11,IF(controls!$B$33=1,((I476-D475*AD476-B476+B475*AC476)/'main page'!$K$27)-'main page'!$K$11,((H476-D475*AD476-B476+B475*AC476)/'main page'!$K$27)-'main page'!$K$11))</f>
        <v>3.5</v>
      </c>
      <c r="AA475" s="58">
        <f>IF(controls!$B$6=1,$AS$3*(1+('main page'!$K$35/100))^AB475-$AS$3*(1+('main page'!$K$35/100))^AB474,$AS$3*(1+('main page'!$G$8/100))*(1+('main page'!$K$35/100))^AB475-$AS$3*(1+('main page'!$G$8/100))*(1+('main page'!$K$35/100))^AB474)</f>
        <v>0</v>
      </c>
      <c r="AB475" s="60">
        <v>468</v>
      </c>
      <c r="AC475" s="125">
        <v>0</v>
      </c>
      <c r="AD475" s="36">
        <v>0</v>
      </c>
      <c r="AE475" s="44">
        <f ca="1">IF(controls!$B$33=1,D475-($I$3-'main page'!$K$27*2)*(1+('main page'!$K$35/100))^A474,D475-$AS$4)</f>
        <v>1.0000000596046448</v>
      </c>
      <c r="AF475" s="44">
        <f ca="1">ABS(L475-(controls!$B$9/100)*100)</f>
        <v>1.1920928955078125E-7</v>
      </c>
      <c r="AH475" s="44">
        <f ca="1">IF(controls!$B$33=1,(B476-B475*AC476-I476+D475*AD476+'main page'!$K$27*('main page'!$K$24+'main page'!$K$11))/'main page'!$K$31,(B476-B475*AC476+D475*AD476-H476+'main page'!$K$27*('main page'!$K$24+'main page'!$K$11))/'main page'!$K$31)</f>
        <v>1</v>
      </c>
      <c r="AI475" s="44">
        <f ca="1">IF(controls!$B$45=1,LOG(AM475,1.01)+LOG(AL475,1.01)-LOG(AK475,1.01),-((T475-('main page'!$K$24+'main page'!$K$11))/(1-'normal case'!$AV$3))+'normal case'!AH475)</f>
        <v>2.0000000596046448</v>
      </c>
      <c r="AJ475" s="80">
        <f t="shared" ca="1" si="62"/>
        <v>1.0506250015463039</v>
      </c>
      <c r="AK475" s="44">
        <f t="shared" ca="1" si="63"/>
        <v>11239.248731366148</v>
      </c>
      <c r="AL475" s="44">
        <f>AL474*(1+'main page'!$K$32/100)</f>
        <v>1</v>
      </c>
      <c r="AM475" s="44">
        <f ca="1">IF(ABS(IF(controls!$B$45=1,$AS$13,AK475*AJ475/AL475)-AM474)&lt;0.00001,AM474,IF(controls!$B$45=1,$AS$13,AK475*AJ475/AL475))</f>
        <v>11808.235715770854</v>
      </c>
      <c r="AN475" s="44">
        <f>IF(controls!$B$46=0,0,IF(controls!$B$33=2,B476-B475*AC476-('normal case'!H476-D475*AD476-'main page'!$K$27*'normal case'!T475+'main page'!$K$31*'normal case'!AI475)-(('main page'!$K$25*'main page'!$U$13*'main page'!$K$29)/(1+('main page'!$K$25^2)*'main page'!$U$13))*('normal case'!L475-'main page'!$U$8),B476-B475*AC476-('normal case'!I476-D475*AD476-'main page'!$K$27*'normal case'!T475+'main page'!$K$31*'normal case'!AI475)-(('main page'!$K$25*'main page'!$U$13*'main page'!$K$29)/(1+('main page'!$K$25^2)*'main page'!$U$13))*('normal case'!L475-'main page'!$U$8)))</f>
        <v>0</v>
      </c>
      <c r="AU475" s="36"/>
      <c r="AV475" s="36"/>
    </row>
    <row r="476" spans="1:48">
      <c r="A476" s="43">
        <v>474</v>
      </c>
      <c r="B476" s="62">
        <f ca="1">IF(controls!$B$33=1,B475*(1+AC476)+AA476,B475*(1+AC476))</f>
        <v>101</v>
      </c>
      <c r="C476" s="67">
        <f t="shared" ca="1" si="64"/>
        <v>-1.5107707374006907E-7</v>
      </c>
      <c r="D476" s="64">
        <f t="shared" ca="1" si="60"/>
        <v>101.00000005960464</v>
      </c>
      <c r="E476" s="64">
        <f ca="1">AN475+IF(controls!$B$33=1,G476,F476)</f>
        <v>101.00000005960464</v>
      </c>
      <c r="F476" s="78">
        <f ca="1">IF(controls!$B$44=0,H476-'main page'!$K$27*T475,H476-'main page'!$K$27*T475+'main page'!$K$31*AI475)</f>
        <v>101.00000005960464</v>
      </c>
      <c r="G476" s="62">
        <f ca="1">IF(controls!$B$44=0,I476-'main page'!$K$27*T475,I476-'main page'!$K$27*T475+'main page'!$K$31*'normal case'!AI475)</f>
        <v>101.00000005960464</v>
      </c>
      <c r="H476" s="62">
        <f t="shared" ca="1" si="66"/>
        <v>108</v>
      </c>
      <c r="I476" s="62">
        <f t="shared" ca="1" si="67"/>
        <v>108</v>
      </c>
      <c r="L476" s="62">
        <f ca="1">IF(ABS('main page'!$K$29*L475+(1-'main page'!$K$29)*(controls!$B$9/100)*100+'main page'!$K$25*(D476-B476)-L475)&lt;0.0000001,L475,'main page'!$K$29*L475+(1-'main page'!$K$29)*(controls!$B$9/100)*100+'main page'!$K$25*(D476-B476))</f>
        <v>1.9999998807907104</v>
      </c>
      <c r="Q476" s="409">
        <f ca="1">(1-'main page'!$K$29)*($AS$11/100)*100+'main page'!$K$25*(D476-B476)</f>
        <v>5.9604644775390625E-8</v>
      </c>
      <c r="R476" s="409">
        <f>'main page'!G480+'main page'!$K$29*M475</f>
        <v>0</v>
      </c>
      <c r="S476" s="409">
        <f t="shared" ca="1" si="65"/>
        <v>5.9604644775390625E-8</v>
      </c>
      <c r="T476" s="79">
        <f ca="1">IF(controls!$B$10=1,T475,IF(SUM(controls!$B$44:$B$46)=2,U476-'main page'!$K$29*'normal case'!L476-(1-'main page'!$K$29)*'main page'!$K$32,U476-'main page'!$K$29*'normal case'!L476-(1-'main page'!$K$29)*controls!$B$9))</f>
        <v>3.4999999701976776</v>
      </c>
      <c r="U476" s="164">
        <f ca="1">IF(controls!$B$45=1,IF(controls!$B$46=1,'main page'!$K$24+'main page'!$K$11+'main page'!$U$8,'main page'!$K$24+'main page'!$K$11+'main page'!$K$32),IF(controls!$B$44=1,IF(V476&lt;0,0,V476),IF(V476+'main page'!$K$11&lt;0,0,V476+'main page'!$K$11)))</f>
        <v>5.4999998509883881</v>
      </c>
      <c r="V476" s="63">
        <f ca="1">IF(controls!$B$10=1,'normal case'!T476+'normal case'!L476,'normal case'!W476)</f>
        <v>5.4999998509883881</v>
      </c>
      <c r="W476" s="61">
        <f t="shared" ca="1" si="61"/>
        <v>5.4999998509883881</v>
      </c>
      <c r="X476" s="166">
        <f ca="1">IF(controls!$B$44=0,Y476+'main page'!$K$29*L476+(1-'main page'!$K$29)*controls!$B$9+(('main page'!$K$25*'main page'!$U$13*'main page'!$K$29)/('main page'!$K$27*(1+('main page'!$K$25^2)*'main page'!$U$13)))*(L476-controls!$B$9),Y476+'main page'!$K$29*L476+(1-'main page'!$K$29)*controls!$B$9+(('main page'!$K$25*'main page'!$U$13*'normal case'!$AV$3)/'normal case'!$AV$4)*('normal case'!L476-controls!$B$9))</f>
        <v>5.4999998509883881</v>
      </c>
      <c r="Y476" s="81">
        <f ca="1">IF(controls!$B$44=1,'main page'!$K$24+'main page'!$K$11,IF(controls!$B$33=1,((I477-D476*AD477-B477+B476*AC477)/'main page'!$K$27)-'main page'!$K$11,((H477-D476*AD477-B477+B476*AC477)/'main page'!$K$27)-'main page'!$K$11))</f>
        <v>3.5</v>
      </c>
      <c r="AA476" s="58">
        <f>IF(controls!$B$6=1,$AS$3*(1+('main page'!$K$35/100))^AB476-$AS$3*(1+('main page'!$K$35/100))^AB475,$AS$3*(1+('main page'!$G$8/100))*(1+('main page'!$K$35/100))^AB476-$AS$3*(1+('main page'!$G$8/100))*(1+('main page'!$K$35/100))^AB475)</f>
        <v>0</v>
      </c>
      <c r="AB476" s="60">
        <v>469</v>
      </c>
      <c r="AC476" s="125">
        <f ca="1">IF(controls!$B$4=1,IF(controls!$H475=1,controls!$B$34*AC475+RAND()*('main page'!$K$16/100)-RAND()*('main page'!$K$16/100),0),0)</f>
        <v>0</v>
      </c>
      <c r="AD476" s="36">
        <f ca="1">IF(controls!$B$4=1,IF(controls!$I475=1,controls!$B$34*AD475+RAND()*('main page'!$K$16/100)-RAND()*('main page'!$K$16/100),0),0)</f>
        <v>0</v>
      </c>
      <c r="AE476" s="44">
        <f ca="1">IF(controls!$B$33=1,D476-($I$3-'main page'!$K$27*2)*(1+('main page'!$K$35/100))^A475,D476-$AS$4)</f>
        <v>1.0000000596046448</v>
      </c>
      <c r="AF476" s="44">
        <f ca="1">ABS(L476-(controls!$B$9/100)*100)</f>
        <v>1.1920928955078125E-7</v>
      </c>
      <c r="AH476" s="44">
        <f ca="1">IF(controls!$B$33=1,(B477-B476*AC477-I477+D476*AD477+'main page'!$K$27*('main page'!$K$24+'main page'!$K$11))/'main page'!$K$31,(B477-B476*AC477+D476*AD477-H477+'main page'!$K$27*('main page'!$K$24+'main page'!$K$11))/'main page'!$K$31)</f>
        <v>1</v>
      </c>
      <c r="AI476" s="44">
        <f ca="1">IF(controls!$B$45=1,LOG(AM476,1.01)+LOG(AL476,1.01)-LOG(AK476,1.01),-((T476-('main page'!$K$24+'main page'!$K$11))/(1-'normal case'!$AV$3))+'normal case'!AH476)</f>
        <v>2.0000000596046448</v>
      </c>
      <c r="AJ476" s="80">
        <f t="shared" ca="1" si="62"/>
        <v>1.0506250015463039</v>
      </c>
      <c r="AK476" s="44">
        <f t="shared" ca="1" si="63"/>
        <v>11464.033692595243</v>
      </c>
      <c r="AL476" s="44">
        <f>AL475*(1+'main page'!$K$32/100)</f>
        <v>1</v>
      </c>
      <c r="AM476" s="44">
        <f ca="1">IF(ABS(IF(controls!$B$45=1,$AS$13,AK476*AJ476/AL476)-AM475)&lt;0.00001,AM475,IF(controls!$B$45=1,$AS$13,AK476*AJ476/AL476))</f>
        <v>12044.400416009757</v>
      </c>
      <c r="AN476" s="44">
        <f>IF(controls!$B$46=0,0,IF(controls!$B$33=2,B477-B476*AC477-('normal case'!H477-D476*AD477-'main page'!$K$27*'normal case'!T476+'main page'!$K$31*'normal case'!AI476)-(('main page'!$K$25*'main page'!$U$13*'main page'!$K$29)/(1+('main page'!$K$25^2)*'main page'!$U$13))*('normal case'!L476-'main page'!$U$8),B477-B476*AC477-('normal case'!I477-D476*AD477-'main page'!$K$27*'normal case'!T476+'main page'!$K$31*'normal case'!AI476)-(('main page'!$K$25*'main page'!$U$13*'main page'!$K$29)/(1+('main page'!$K$25^2)*'main page'!$U$13))*('normal case'!L476-'main page'!$U$8)))</f>
        <v>0</v>
      </c>
      <c r="AU476" s="36"/>
      <c r="AV476" s="36"/>
    </row>
    <row r="477" spans="1:48">
      <c r="A477" s="43">
        <v>475</v>
      </c>
      <c r="B477" s="62">
        <f ca="1">IF(controls!$B$33=1,B476*(1+AC477)+AA477,B476*(1+AC477))</f>
        <v>101</v>
      </c>
      <c r="C477" s="67">
        <f t="shared" ca="1" si="64"/>
        <v>-1.5107707374006907E-7</v>
      </c>
      <c r="D477" s="64">
        <f t="shared" ca="1" si="60"/>
        <v>101.00000005960464</v>
      </c>
      <c r="E477" s="64">
        <f ca="1">AN476+IF(controls!$B$33=1,G477,F477)</f>
        <v>101.00000005960464</v>
      </c>
      <c r="F477" s="78">
        <f ca="1">IF(controls!$B$44=0,H477-'main page'!$K$27*T476,H477-'main page'!$K$27*T476+'main page'!$K$31*AI476)</f>
        <v>101.00000005960464</v>
      </c>
      <c r="G477" s="62">
        <f ca="1">IF(controls!$B$44=0,I477-'main page'!$K$27*T476,I477-'main page'!$K$27*T476+'main page'!$K$31*'normal case'!AI476)</f>
        <v>101.00000005960464</v>
      </c>
      <c r="H477" s="62">
        <f t="shared" ca="1" si="66"/>
        <v>108</v>
      </c>
      <c r="I477" s="62">
        <f t="shared" ca="1" si="67"/>
        <v>108</v>
      </c>
      <c r="L477" s="62">
        <f ca="1">IF(ABS('main page'!$K$29*L476+(1-'main page'!$K$29)*(controls!$B$9/100)*100+'main page'!$K$25*(D477-B477)-L476)&lt;0.0000001,L476,'main page'!$K$29*L476+(1-'main page'!$K$29)*(controls!$B$9/100)*100+'main page'!$K$25*(D477-B477))</f>
        <v>1.9999998807907104</v>
      </c>
      <c r="Q477" s="409">
        <f ca="1">(1-'main page'!$K$29)*($AS$11/100)*100+'main page'!$K$25*(D477-B477)</f>
        <v>5.9604644775390625E-8</v>
      </c>
      <c r="R477" s="409">
        <f>'main page'!G481+'main page'!$K$29*M476</f>
        <v>0</v>
      </c>
      <c r="S477" s="409">
        <f t="shared" ca="1" si="65"/>
        <v>5.9604644775390625E-8</v>
      </c>
      <c r="T477" s="79">
        <f ca="1">IF(controls!$B$10=1,T476,IF(SUM(controls!$B$44:$B$46)=2,U477-'main page'!$K$29*'normal case'!L477-(1-'main page'!$K$29)*'main page'!$K$32,U477-'main page'!$K$29*'normal case'!L477-(1-'main page'!$K$29)*controls!$B$9))</f>
        <v>3.4999999701976776</v>
      </c>
      <c r="U477" s="164">
        <f ca="1">IF(controls!$B$45=1,IF(controls!$B$46=1,'main page'!$K$24+'main page'!$K$11+'main page'!$U$8,'main page'!$K$24+'main page'!$K$11+'main page'!$K$32),IF(controls!$B$44=1,IF(V477&lt;0,0,V477),IF(V477+'main page'!$K$11&lt;0,0,V477+'main page'!$K$11)))</f>
        <v>5.4999998509883881</v>
      </c>
      <c r="V477" s="63">
        <f ca="1">IF(controls!$B$10=1,'normal case'!T477+'normal case'!L477,'normal case'!W477)</f>
        <v>5.4999998509883881</v>
      </c>
      <c r="W477" s="61">
        <f t="shared" ca="1" si="61"/>
        <v>5.4999998509883881</v>
      </c>
      <c r="X477" s="166">
        <f ca="1">IF(controls!$B$44=0,Y477+'main page'!$K$29*L477+(1-'main page'!$K$29)*controls!$B$9+(('main page'!$K$25*'main page'!$U$13*'main page'!$K$29)/('main page'!$K$27*(1+('main page'!$K$25^2)*'main page'!$U$13)))*(L477-controls!$B$9),Y477+'main page'!$K$29*L477+(1-'main page'!$K$29)*controls!$B$9+(('main page'!$K$25*'main page'!$U$13*'normal case'!$AV$3)/'normal case'!$AV$4)*('normal case'!L477-controls!$B$9))</f>
        <v>5.4999998509883881</v>
      </c>
      <c r="Y477" s="81">
        <f ca="1">IF(controls!$B$44=1,'main page'!$K$24+'main page'!$K$11,IF(controls!$B$33=1,((I478-D477*AD478-B478+B477*AC478)/'main page'!$K$27)-'main page'!$K$11,((H478-D477*AD478-B478+B477*AC478)/'main page'!$K$27)-'main page'!$K$11))</f>
        <v>3.5</v>
      </c>
      <c r="AA477" s="58">
        <f>IF(controls!$B$6=1,$AS$3*(1+('main page'!$K$35/100))^AB477-$AS$3*(1+('main page'!$K$35/100))^AB476,$AS$3*(1+('main page'!$G$8/100))*(1+('main page'!$K$35/100))^AB477-$AS$3*(1+('main page'!$G$8/100))*(1+('main page'!$K$35/100))^AB476)</f>
        <v>0</v>
      </c>
      <c r="AB477" s="60">
        <v>470</v>
      </c>
      <c r="AC477" s="125">
        <v>0</v>
      </c>
      <c r="AD477" s="36">
        <v>0</v>
      </c>
      <c r="AE477" s="44">
        <f ca="1">IF(controls!$B$33=1,D477-($I$3-'main page'!$K$27*2)*(1+('main page'!$K$35/100))^A476,D477-$AS$4)</f>
        <v>1.0000000596046448</v>
      </c>
      <c r="AF477" s="44">
        <f ca="1">ABS(L477-(controls!$B$9/100)*100)</f>
        <v>1.1920928955078125E-7</v>
      </c>
      <c r="AH477" s="44">
        <f ca="1">IF(controls!$B$33=1,(B478-B477*AC478-I478+D477*AD478+'main page'!$K$27*('main page'!$K$24+'main page'!$K$11))/'main page'!$K$31,(B478-B477*AC478+D477*AD478-H478+'main page'!$K$27*('main page'!$K$24+'main page'!$K$11))/'main page'!$K$31)</f>
        <v>1</v>
      </c>
      <c r="AI477" s="44">
        <f ca="1">IF(controls!$B$45=1,LOG(AM477,1.01)+LOG(AL477,1.01)-LOG(AK477,1.01),-((T477-('main page'!$K$24+'main page'!$K$11))/(1-'normal case'!$AV$3))+'normal case'!AH477)</f>
        <v>2.0000000596046448</v>
      </c>
      <c r="AJ477" s="80">
        <f t="shared" ca="1" si="62"/>
        <v>1.0506250015463039</v>
      </c>
      <c r="AK477" s="44">
        <f t="shared" ca="1" si="63"/>
        <v>11693.314352780955</v>
      </c>
      <c r="AL477" s="44">
        <f>AL476*(1+'main page'!$K$32/100)</f>
        <v>1</v>
      </c>
      <c r="AM477" s="44">
        <f ca="1">IF(ABS(IF(controls!$B$45=1,$AS$13,AK477*AJ477/AL477)-AM476)&lt;0.00001,AM476,IF(controls!$B$45=1,$AS$13,AK477*AJ477/AL477))</f>
        <v>12285.288409971909</v>
      </c>
      <c r="AN477" s="44">
        <f>IF(controls!$B$46=0,0,IF(controls!$B$33=2,B478-B477*AC478-('normal case'!H478-D477*AD478-'main page'!$K$27*'normal case'!T477+'main page'!$K$31*'normal case'!AI477)-(('main page'!$K$25*'main page'!$U$13*'main page'!$K$29)/(1+('main page'!$K$25^2)*'main page'!$U$13))*('normal case'!L477-'main page'!$U$8),B478-B477*AC478-('normal case'!I478-D477*AD478-'main page'!$K$27*'normal case'!T477+'main page'!$K$31*'normal case'!AI477)-(('main page'!$K$25*'main page'!$U$13*'main page'!$K$29)/(1+('main page'!$K$25^2)*'main page'!$U$13))*('normal case'!L477-'main page'!$U$8)))</f>
        <v>0</v>
      </c>
      <c r="AU477" s="36"/>
      <c r="AV477" s="36"/>
    </row>
    <row r="478" spans="1:48">
      <c r="A478" s="43">
        <v>476</v>
      </c>
      <c r="B478" s="62">
        <f ca="1">IF(controls!$B$33=1,B477*(1+AC478)+AA478,B477*(1+AC478))</f>
        <v>101</v>
      </c>
      <c r="C478" s="67">
        <f t="shared" ca="1" si="64"/>
        <v>-1.5107707374006907E-7</v>
      </c>
      <c r="D478" s="64">
        <f t="shared" ca="1" si="60"/>
        <v>101.00000005960464</v>
      </c>
      <c r="E478" s="64">
        <f ca="1">AN477+IF(controls!$B$33=1,G478,F478)</f>
        <v>101.00000005960464</v>
      </c>
      <c r="F478" s="78">
        <f ca="1">IF(controls!$B$44=0,H478-'main page'!$K$27*T477,H478-'main page'!$K$27*T477+'main page'!$K$31*AI477)</f>
        <v>101.00000005960464</v>
      </c>
      <c r="G478" s="62">
        <f ca="1">IF(controls!$B$44=0,I478-'main page'!$K$27*T477,I478-'main page'!$K$27*T477+'main page'!$K$31*'normal case'!AI477)</f>
        <v>101.00000005960464</v>
      </c>
      <c r="H478" s="62">
        <f t="shared" ca="1" si="66"/>
        <v>108</v>
      </c>
      <c r="I478" s="62">
        <f t="shared" ca="1" si="67"/>
        <v>108</v>
      </c>
      <c r="L478" s="62">
        <f ca="1">IF(ABS('main page'!$K$29*L477+(1-'main page'!$K$29)*(controls!$B$9/100)*100+'main page'!$K$25*(D478-B478)-L477)&lt;0.0000001,L477,'main page'!$K$29*L477+(1-'main page'!$K$29)*(controls!$B$9/100)*100+'main page'!$K$25*(D478-B478))</f>
        <v>1.9999998807907104</v>
      </c>
      <c r="Q478" s="409">
        <f ca="1">(1-'main page'!$K$29)*($AS$11/100)*100+'main page'!$K$25*(D478-B478)</f>
        <v>5.9604644775390625E-8</v>
      </c>
      <c r="R478" s="409">
        <f>'main page'!G482+'main page'!$K$29*M477</f>
        <v>0</v>
      </c>
      <c r="S478" s="409">
        <f t="shared" ca="1" si="65"/>
        <v>5.9604644775390625E-8</v>
      </c>
      <c r="T478" s="79">
        <f ca="1">IF(controls!$B$10=1,T477,IF(SUM(controls!$B$44:$B$46)=2,U478-'main page'!$K$29*'normal case'!L478-(1-'main page'!$K$29)*'main page'!$K$32,U478-'main page'!$K$29*'normal case'!L478-(1-'main page'!$K$29)*controls!$B$9))</f>
        <v>3.4999999701976776</v>
      </c>
      <c r="U478" s="164">
        <f ca="1">IF(controls!$B$45=1,IF(controls!$B$46=1,'main page'!$K$24+'main page'!$K$11+'main page'!$U$8,'main page'!$K$24+'main page'!$K$11+'main page'!$K$32),IF(controls!$B$44=1,IF(V478&lt;0,0,V478),IF(V478+'main page'!$K$11&lt;0,0,V478+'main page'!$K$11)))</f>
        <v>5.4999998509883881</v>
      </c>
      <c r="V478" s="63">
        <f ca="1">IF(controls!$B$10=1,'normal case'!T478+'normal case'!L478,'normal case'!W478)</f>
        <v>5.4999998509883881</v>
      </c>
      <c r="W478" s="61">
        <f t="shared" ca="1" si="61"/>
        <v>5.4999998509883881</v>
      </c>
      <c r="X478" s="166">
        <f ca="1">IF(controls!$B$44=0,Y478+'main page'!$K$29*L478+(1-'main page'!$K$29)*controls!$B$9+(('main page'!$K$25*'main page'!$U$13*'main page'!$K$29)/('main page'!$K$27*(1+('main page'!$K$25^2)*'main page'!$U$13)))*(L478-controls!$B$9),Y478+'main page'!$K$29*L478+(1-'main page'!$K$29)*controls!$B$9+(('main page'!$K$25*'main page'!$U$13*'normal case'!$AV$3)/'normal case'!$AV$4)*('normal case'!L478-controls!$B$9))</f>
        <v>5.4999998509883881</v>
      </c>
      <c r="Y478" s="81">
        <f ca="1">IF(controls!$B$44=1,'main page'!$K$24+'main page'!$K$11,IF(controls!$B$33=1,((I479-D478*AD479-B479+B478*AC479)/'main page'!$K$27)-'main page'!$K$11,((H479-D478*AD479-B479+B478*AC479)/'main page'!$K$27)-'main page'!$K$11))</f>
        <v>3.5</v>
      </c>
      <c r="AA478" s="58">
        <f>IF(controls!$B$6=1,$AS$3*(1+('main page'!$K$35/100))^AB478-$AS$3*(1+('main page'!$K$35/100))^AB477,$AS$3*(1+('main page'!$G$8/100))*(1+('main page'!$K$35/100))^AB478-$AS$3*(1+('main page'!$G$8/100))*(1+('main page'!$K$35/100))^AB477)</f>
        <v>0</v>
      </c>
      <c r="AB478" s="60">
        <v>471</v>
      </c>
      <c r="AC478" s="125">
        <v>0</v>
      </c>
      <c r="AD478" s="36">
        <v>0</v>
      </c>
      <c r="AE478" s="44">
        <f ca="1">IF(controls!$B$33=1,D478-($I$3-'main page'!$K$27*2)*(1+('main page'!$K$35/100))^A477,D478-$AS$4)</f>
        <v>1.0000000596046448</v>
      </c>
      <c r="AF478" s="44">
        <f ca="1">ABS(L478-(controls!$B$9/100)*100)</f>
        <v>1.1920928955078125E-7</v>
      </c>
      <c r="AH478" s="44">
        <f ca="1">IF(controls!$B$33=1,(B479-B478*AC479-I479+D478*AD479+'main page'!$K$27*('main page'!$K$24+'main page'!$K$11))/'main page'!$K$31,(B479-B478*AC479+D478*AD479-H479+'main page'!$K$27*('main page'!$K$24+'main page'!$K$11))/'main page'!$K$31)</f>
        <v>1</v>
      </c>
      <c r="AI478" s="44">
        <f ca="1">IF(controls!$B$45=1,LOG(AM478,1.01)+LOG(AL478,1.01)-LOG(AK478,1.01),-((T478-('main page'!$K$24+'main page'!$K$11))/(1-'normal case'!$AV$3))+'normal case'!AH478)</f>
        <v>2.0000000596046448</v>
      </c>
      <c r="AJ478" s="80">
        <f t="shared" ca="1" si="62"/>
        <v>1.0506250015463039</v>
      </c>
      <c r="AK478" s="44">
        <f t="shared" ca="1" si="63"/>
        <v>11927.180625897057</v>
      </c>
      <c r="AL478" s="44">
        <f>AL477*(1+'main page'!$K$32/100)</f>
        <v>1</v>
      </c>
      <c r="AM478" s="44">
        <f ca="1">IF(ABS(IF(controls!$B$45=1,$AS$13,AK478*AJ478/AL478)-AM477)&lt;0.00001,AM477,IF(controls!$B$45=1,$AS$13,AK478*AJ478/AL478))</f>
        <v>12530.994163526142</v>
      </c>
      <c r="AN478" s="44">
        <f>IF(controls!$B$46=0,0,IF(controls!$B$33=2,B479-B478*AC479-('normal case'!H479-D478*AD479-'main page'!$K$27*'normal case'!T478+'main page'!$K$31*'normal case'!AI478)-(('main page'!$K$25*'main page'!$U$13*'main page'!$K$29)/(1+('main page'!$K$25^2)*'main page'!$U$13))*('normal case'!L478-'main page'!$U$8),B479-B478*AC479-('normal case'!I479-D478*AD479-'main page'!$K$27*'normal case'!T478+'main page'!$K$31*'normal case'!AI478)-(('main page'!$K$25*'main page'!$U$13*'main page'!$K$29)/(1+('main page'!$K$25^2)*'main page'!$U$13))*('normal case'!L478-'main page'!$U$8)))</f>
        <v>0</v>
      </c>
      <c r="AU478" s="36"/>
      <c r="AV478" s="36"/>
    </row>
    <row r="479" spans="1:48">
      <c r="A479" s="43">
        <v>477</v>
      </c>
      <c r="B479" s="62">
        <f ca="1">IF(controls!$B$33=1,B478*(1+AC479)+AA479,B478*(1+AC479))</f>
        <v>101</v>
      </c>
      <c r="C479" s="67">
        <f t="shared" ca="1" si="64"/>
        <v>-1.5107707374006907E-7</v>
      </c>
      <c r="D479" s="64">
        <f t="shared" ca="1" si="60"/>
        <v>101.00000005960464</v>
      </c>
      <c r="E479" s="64">
        <f ca="1">AN478+IF(controls!$B$33=1,G479,F479)</f>
        <v>101.00000005960464</v>
      </c>
      <c r="F479" s="78">
        <f ca="1">IF(controls!$B$44=0,H479-'main page'!$K$27*T478,H479-'main page'!$K$27*T478+'main page'!$K$31*AI478)</f>
        <v>101.00000005960464</v>
      </c>
      <c r="G479" s="62">
        <f ca="1">IF(controls!$B$44=0,I479-'main page'!$K$27*T478,I479-'main page'!$K$27*T478+'main page'!$K$31*'normal case'!AI478)</f>
        <v>101.00000005960464</v>
      </c>
      <c r="H479" s="62">
        <f t="shared" ca="1" si="66"/>
        <v>108</v>
      </c>
      <c r="I479" s="62">
        <f t="shared" ca="1" si="67"/>
        <v>108</v>
      </c>
      <c r="L479" s="62">
        <f ca="1">IF(ABS('main page'!$K$29*L478+(1-'main page'!$K$29)*(controls!$B$9/100)*100+'main page'!$K$25*(D479-B479)-L478)&lt;0.0000001,L478,'main page'!$K$29*L478+(1-'main page'!$K$29)*(controls!$B$9/100)*100+'main page'!$K$25*(D479-B479))</f>
        <v>1.9999998807907104</v>
      </c>
      <c r="Q479" s="409">
        <f ca="1">(1-'main page'!$K$29)*($AS$11/100)*100+'main page'!$K$25*(D479-B479)</f>
        <v>5.9604644775390625E-8</v>
      </c>
      <c r="R479" s="409">
        <f>'main page'!G483+'main page'!$K$29*M478</f>
        <v>0</v>
      </c>
      <c r="S479" s="409">
        <f t="shared" ca="1" si="65"/>
        <v>5.9604644775390625E-8</v>
      </c>
      <c r="T479" s="79">
        <f ca="1">IF(controls!$B$10=1,T478,IF(SUM(controls!$B$44:$B$46)=2,U479-'main page'!$K$29*'normal case'!L479-(1-'main page'!$K$29)*'main page'!$K$32,U479-'main page'!$K$29*'normal case'!L479-(1-'main page'!$K$29)*controls!$B$9))</f>
        <v>3.4999999701976776</v>
      </c>
      <c r="U479" s="164">
        <f ca="1">IF(controls!$B$45=1,IF(controls!$B$46=1,'main page'!$K$24+'main page'!$K$11+'main page'!$U$8,'main page'!$K$24+'main page'!$K$11+'main page'!$K$32),IF(controls!$B$44=1,IF(V479&lt;0,0,V479),IF(V479+'main page'!$K$11&lt;0,0,V479+'main page'!$K$11)))</f>
        <v>5.4999998509883881</v>
      </c>
      <c r="V479" s="63">
        <f ca="1">IF(controls!$B$10=1,'normal case'!T479+'normal case'!L479,'normal case'!W479)</f>
        <v>5.4999998509883881</v>
      </c>
      <c r="W479" s="61">
        <f t="shared" ca="1" si="61"/>
        <v>5.4999998509883881</v>
      </c>
      <c r="X479" s="166">
        <f ca="1">IF(controls!$B$44=0,Y479+'main page'!$K$29*L479+(1-'main page'!$K$29)*controls!$B$9+(('main page'!$K$25*'main page'!$U$13*'main page'!$K$29)/('main page'!$K$27*(1+('main page'!$K$25^2)*'main page'!$U$13)))*(L479-controls!$B$9),Y479+'main page'!$K$29*L479+(1-'main page'!$K$29)*controls!$B$9+(('main page'!$K$25*'main page'!$U$13*'normal case'!$AV$3)/'normal case'!$AV$4)*('normal case'!L479-controls!$B$9))</f>
        <v>5.4999998509883881</v>
      </c>
      <c r="Y479" s="81">
        <f ca="1">IF(controls!$B$44=1,'main page'!$K$24+'main page'!$K$11,IF(controls!$B$33=1,((I480-D479*AD480-B480+B479*AC480)/'main page'!$K$27)-'main page'!$K$11,((H480-D479*AD480-B480+B479*AC480)/'main page'!$K$27)-'main page'!$K$11))</f>
        <v>3.5</v>
      </c>
      <c r="AA479" s="58">
        <f>IF(controls!$B$6=1,$AS$3*(1+('main page'!$K$35/100))^AB479-$AS$3*(1+('main page'!$K$35/100))^AB478,$AS$3*(1+('main page'!$G$8/100))*(1+('main page'!$K$35/100))^AB479-$AS$3*(1+('main page'!$G$8/100))*(1+('main page'!$K$35/100))^AB478)</f>
        <v>0</v>
      </c>
      <c r="AB479" s="60">
        <v>472</v>
      </c>
      <c r="AC479" s="125">
        <f ca="1">IF(controls!$B$4=1,IF(controls!$H478=1,controls!$B$34*AC478+RAND()*('main page'!$K$16/100)-RAND()*('main page'!$K$16/100),0),0)</f>
        <v>0</v>
      </c>
      <c r="AD479" s="36">
        <f ca="1">IF(controls!$B$4=1,IF(controls!$I478=1,controls!$B$34*AD478+RAND()*('main page'!$K$16/100)-RAND()*('main page'!$K$16/100),0),0)</f>
        <v>0</v>
      </c>
      <c r="AE479" s="44">
        <f ca="1">IF(controls!$B$33=1,D479-($I$3-'main page'!$K$27*2)*(1+('main page'!$K$35/100))^A478,D479-$AS$4)</f>
        <v>1.0000000596046448</v>
      </c>
      <c r="AF479" s="44">
        <f ca="1">ABS(L479-(controls!$B$9/100)*100)</f>
        <v>1.1920928955078125E-7</v>
      </c>
      <c r="AH479" s="44">
        <f ca="1">IF(controls!$B$33=1,(B480-B479*AC480-I480+D479*AD480+'main page'!$K$27*('main page'!$K$24+'main page'!$K$11))/'main page'!$K$31,(B480-B479*AC480+D479*AD480-H480+'main page'!$K$27*('main page'!$K$24+'main page'!$K$11))/'main page'!$K$31)</f>
        <v>1</v>
      </c>
      <c r="AI479" s="44">
        <f ca="1">IF(controls!$B$45=1,LOG(AM479,1.01)+LOG(AL479,1.01)-LOG(AK479,1.01),-((T479-('main page'!$K$24+'main page'!$K$11))/(1-'normal case'!$AV$3))+'normal case'!AH479)</f>
        <v>2.0000000596046448</v>
      </c>
      <c r="AJ479" s="80">
        <f t="shared" ca="1" si="62"/>
        <v>1.0506250015463039</v>
      </c>
      <c r="AK479" s="44">
        <f t="shared" ca="1" si="63"/>
        <v>12165.724224196692</v>
      </c>
      <c r="AL479" s="44">
        <f>AL478*(1+'main page'!$K$32/100)</f>
        <v>1</v>
      </c>
      <c r="AM479" s="44">
        <f ca="1">IF(ABS(IF(controls!$B$45=1,$AS$13,AK479*AJ479/AL479)-AM478)&lt;0.00001,AM478,IF(controls!$B$45=1,$AS$13,AK479*AJ479/AL479))</f>
        <v>12781.614031858557</v>
      </c>
      <c r="AN479" s="44">
        <f>IF(controls!$B$46=0,0,IF(controls!$B$33=2,B480-B479*AC480-('normal case'!H480-D479*AD480-'main page'!$K$27*'normal case'!T479+'main page'!$K$31*'normal case'!AI479)-(('main page'!$K$25*'main page'!$U$13*'main page'!$K$29)/(1+('main page'!$K$25^2)*'main page'!$U$13))*('normal case'!L479-'main page'!$U$8),B480-B479*AC480-('normal case'!I480-D479*AD480-'main page'!$K$27*'normal case'!T479+'main page'!$K$31*'normal case'!AI479)-(('main page'!$K$25*'main page'!$U$13*'main page'!$K$29)/(1+('main page'!$K$25^2)*'main page'!$U$13))*('normal case'!L479-'main page'!$U$8)))</f>
        <v>0</v>
      </c>
      <c r="AU479" s="36"/>
      <c r="AV479" s="36"/>
    </row>
    <row r="480" spans="1:48">
      <c r="A480" s="43">
        <v>478</v>
      </c>
      <c r="B480" s="62">
        <f ca="1">IF(controls!$B$33=1,B479*(1+AC480)+AA480,B479*(1+AC480))</f>
        <v>101</v>
      </c>
      <c r="C480" s="67">
        <f t="shared" ca="1" si="64"/>
        <v>-1.5107707374006907E-7</v>
      </c>
      <c r="D480" s="64">
        <f t="shared" ca="1" si="60"/>
        <v>101.00000005960464</v>
      </c>
      <c r="E480" s="64">
        <f ca="1">AN479+IF(controls!$B$33=1,G480,F480)</f>
        <v>101.00000005960464</v>
      </c>
      <c r="F480" s="78">
        <f ca="1">IF(controls!$B$44=0,H480-'main page'!$K$27*T479,H480-'main page'!$K$27*T479+'main page'!$K$31*AI479)</f>
        <v>101.00000005960464</v>
      </c>
      <c r="G480" s="62">
        <f ca="1">IF(controls!$B$44=0,I480-'main page'!$K$27*T479,I480-'main page'!$K$27*T479+'main page'!$K$31*'normal case'!AI479)</f>
        <v>101.00000005960464</v>
      </c>
      <c r="H480" s="62">
        <f t="shared" ca="1" si="66"/>
        <v>108</v>
      </c>
      <c r="I480" s="62">
        <f t="shared" ca="1" si="67"/>
        <v>108</v>
      </c>
      <c r="L480" s="62">
        <f ca="1">IF(ABS('main page'!$K$29*L479+(1-'main page'!$K$29)*(controls!$B$9/100)*100+'main page'!$K$25*(D480-B480)-L479)&lt;0.0000001,L479,'main page'!$K$29*L479+(1-'main page'!$K$29)*(controls!$B$9/100)*100+'main page'!$K$25*(D480-B480))</f>
        <v>1.9999998807907104</v>
      </c>
      <c r="Q480" s="409">
        <f ca="1">(1-'main page'!$K$29)*($AS$11/100)*100+'main page'!$K$25*(D480-B480)</f>
        <v>5.9604644775390625E-8</v>
      </c>
      <c r="R480" s="409">
        <f>'main page'!G484+'main page'!$K$29*M479</f>
        <v>0</v>
      </c>
      <c r="S480" s="409">
        <f t="shared" ca="1" si="65"/>
        <v>5.9604644775390625E-8</v>
      </c>
      <c r="T480" s="79">
        <f ca="1">IF(controls!$B$10=1,T479,IF(SUM(controls!$B$44:$B$46)=2,U480-'main page'!$K$29*'normal case'!L480-(1-'main page'!$K$29)*'main page'!$K$32,U480-'main page'!$K$29*'normal case'!L480-(1-'main page'!$K$29)*controls!$B$9))</f>
        <v>3.4999999701976776</v>
      </c>
      <c r="U480" s="164">
        <f ca="1">IF(controls!$B$45=1,IF(controls!$B$46=1,'main page'!$K$24+'main page'!$K$11+'main page'!$U$8,'main page'!$K$24+'main page'!$K$11+'main page'!$K$32),IF(controls!$B$44=1,IF(V480&lt;0,0,V480),IF(V480+'main page'!$K$11&lt;0,0,V480+'main page'!$K$11)))</f>
        <v>5.4999998509883881</v>
      </c>
      <c r="V480" s="63">
        <f ca="1">IF(controls!$B$10=1,'normal case'!T480+'normal case'!L480,'normal case'!W480)</f>
        <v>5.4999998509883881</v>
      </c>
      <c r="W480" s="61">
        <f t="shared" ca="1" si="61"/>
        <v>5.4999998509883881</v>
      </c>
      <c r="X480" s="166">
        <f ca="1">IF(controls!$B$44=0,Y480+'main page'!$K$29*L480+(1-'main page'!$K$29)*controls!$B$9+(('main page'!$K$25*'main page'!$U$13*'main page'!$K$29)/('main page'!$K$27*(1+('main page'!$K$25^2)*'main page'!$U$13)))*(L480-controls!$B$9),Y480+'main page'!$K$29*L480+(1-'main page'!$K$29)*controls!$B$9+(('main page'!$K$25*'main page'!$U$13*'normal case'!$AV$3)/'normal case'!$AV$4)*('normal case'!L480-controls!$B$9))</f>
        <v>5.4999998509883881</v>
      </c>
      <c r="Y480" s="81">
        <f ca="1">IF(controls!$B$44=1,'main page'!$K$24+'main page'!$K$11,IF(controls!$B$33=1,((I481-D480*AD481-B481+B480*AC481)/'main page'!$K$27)-'main page'!$K$11,((H481-D480*AD481-B481+B480*AC481)/'main page'!$K$27)-'main page'!$K$11))</f>
        <v>3.5</v>
      </c>
      <c r="AA480" s="58">
        <f>IF(controls!$B$6=1,$AS$3*(1+('main page'!$K$35/100))^AB480-$AS$3*(1+('main page'!$K$35/100))^AB479,$AS$3*(1+('main page'!$G$8/100))*(1+('main page'!$K$35/100))^AB480-$AS$3*(1+('main page'!$G$8/100))*(1+('main page'!$K$35/100))^AB479)</f>
        <v>0</v>
      </c>
      <c r="AB480" s="60">
        <v>473</v>
      </c>
      <c r="AC480" s="125">
        <v>0</v>
      </c>
      <c r="AD480" s="36">
        <v>0</v>
      </c>
      <c r="AE480" s="44">
        <f ca="1">IF(controls!$B$33=1,D480-($I$3-'main page'!$K$27*2)*(1+('main page'!$K$35/100))^A479,D480-$AS$4)</f>
        <v>1.0000000596046448</v>
      </c>
      <c r="AF480" s="44">
        <f ca="1">ABS(L480-(controls!$B$9/100)*100)</f>
        <v>1.1920928955078125E-7</v>
      </c>
      <c r="AH480" s="44">
        <f ca="1">IF(controls!$B$33=1,(B481-B480*AC481-I481+D480*AD481+'main page'!$K$27*('main page'!$K$24+'main page'!$K$11))/'main page'!$K$31,(B481-B480*AC481+D480*AD481-H481+'main page'!$K$27*('main page'!$K$24+'main page'!$K$11))/'main page'!$K$31)</f>
        <v>1</v>
      </c>
      <c r="AI480" s="44">
        <f ca="1">IF(controls!$B$45=1,LOG(AM480,1.01)+LOG(AL480,1.01)-LOG(AK480,1.01),-((T480-('main page'!$K$24+'main page'!$K$11))/(1-'normal case'!$AV$3))+'normal case'!AH480)</f>
        <v>2.0000000596046448</v>
      </c>
      <c r="AJ480" s="80">
        <f t="shared" ca="1" si="62"/>
        <v>1.0506250015463039</v>
      </c>
      <c r="AK480" s="44">
        <f t="shared" ca="1" si="63"/>
        <v>12409.038694177952</v>
      </c>
      <c r="AL480" s="44">
        <f>AL479*(1+'main page'!$K$32/100)</f>
        <v>1</v>
      </c>
      <c r="AM480" s="44">
        <f ca="1">IF(ABS(IF(controls!$B$45=1,$AS$13,AK480*AJ480/AL480)-AM479)&lt;0.00001,AM479,IF(controls!$B$45=1,$AS$13,AK480*AJ480/AL480))</f>
        <v>13037.246297258856</v>
      </c>
      <c r="AN480" s="44">
        <f>IF(controls!$B$46=0,0,IF(controls!$B$33=2,B481-B480*AC481-('normal case'!H481-D480*AD481-'main page'!$K$27*'normal case'!T480+'main page'!$K$31*'normal case'!AI480)-(('main page'!$K$25*'main page'!$U$13*'main page'!$K$29)/(1+('main page'!$K$25^2)*'main page'!$U$13))*('normal case'!L480-'main page'!$U$8),B481-B480*AC481-('normal case'!I481-D480*AD481-'main page'!$K$27*'normal case'!T480+'main page'!$K$31*'normal case'!AI480)-(('main page'!$K$25*'main page'!$U$13*'main page'!$K$29)/(1+('main page'!$K$25^2)*'main page'!$U$13))*('normal case'!L480-'main page'!$U$8)))</f>
        <v>0</v>
      </c>
      <c r="AU480" s="36"/>
      <c r="AV480" s="36"/>
    </row>
    <row r="481" spans="1:48">
      <c r="A481" s="43">
        <v>479</v>
      </c>
      <c r="B481" s="62">
        <f ca="1">IF(controls!$B$33=1,B480*(1+AC481)+AA481,B480*(1+AC481))</f>
        <v>101</v>
      </c>
      <c r="C481" s="67">
        <f t="shared" ca="1" si="64"/>
        <v>-1.5107707374006907E-7</v>
      </c>
      <c r="D481" s="64">
        <f t="shared" ca="1" si="60"/>
        <v>101.00000005960464</v>
      </c>
      <c r="E481" s="64">
        <f ca="1">AN480+IF(controls!$B$33=1,G481,F481)</f>
        <v>101.00000005960464</v>
      </c>
      <c r="F481" s="78">
        <f ca="1">IF(controls!$B$44=0,H481-'main page'!$K$27*T480,H481-'main page'!$K$27*T480+'main page'!$K$31*AI480)</f>
        <v>101.00000005960464</v>
      </c>
      <c r="G481" s="62">
        <f ca="1">IF(controls!$B$44=0,I481-'main page'!$K$27*T480,I481-'main page'!$K$27*T480+'main page'!$K$31*'normal case'!AI480)</f>
        <v>101.00000005960464</v>
      </c>
      <c r="H481" s="62">
        <f t="shared" ca="1" si="66"/>
        <v>108</v>
      </c>
      <c r="I481" s="62">
        <f t="shared" ca="1" si="67"/>
        <v>108</v>
      </c>
      <c r="L481" s="62">
        <f ca="1">IF(ABS('main page'!$K$29*L480+(1-'main page'!$K$29)*(controls!$B$9/100)*100+'main page'!$K$25*(D481-B481)-L480)&lt;0.0000001,L480,'main page'!$K$29*L480+(1-'main page'!$K$29)*(controls!$B$9/100)*100+'main page'!$K$25*(D481-B481))</f>
        <v>1.9999998807907104</v>
      </c>
      <c r="Q481" s="409">
        <f ca="1">(1-'main page'!$K$29)*($AS$11/100)*100+'main page'!$K$25*(D481-B481)</f>
        <v>5.9604644775390625E-8</v>
      </c>
      <c r="R481" s="409">
        <f>'main page'!G485+'main page'!$K$29*M480</f>
        <v>0</v>
      </c>
      <c r="S481" s="409">
        <f t="shared" ca="1" si="65"/>
        <v>5.9604644775390625E-8</v>
      </c>
      <c r="T481" s="79">
        <f ca="1">IF(controls!$B$10=1,T480,IF(SUM(controls!$B$44:$B$46)=2,U481-'main page'!$K$29*'normal case'!L481-(1-'main page'!$K$29)*'main page'!$K$32,U481-'main page'!$K$29*'normal case'!L481-(1-'main page'!$K$29)*controls!$B$9))</f>
        <v>3.4999999701976776</v>
      </c>
      <c r="U481" s="164">
        <f ca="1">IF(controls!$B$45=1,IF(controls!$B$46=1,'main page'!$K$24+'main page'!$K$11+'main page'!$U$8,'main page'!$K$24+'main page'!$K$11+'main page'!$K$32),IF(controls!$B$44=1,IF(V481&lt;0,0,V481),IF(V481+'main page'!$K$11&lt;0,0,V481+'main page'!$K$11)))</f>
        <v>5.4999998509883881</v>
      </c>
      <c r="V481" s="63">
        <f ca="1">IF(controls!$B$10=1,'normal case'!T481+'normal case'!L481,'normal case'!W481)</f>
        <v>5.4999998509883881</v>
      </c>
      <c r="W481" s="61">
        <f t="shared" ca="1" si="61"/>
        <v>5.4999998509883881</v>
      </c>
      <c r="X481" s="166">
        <f ca="1">IF(controls!$B$44=0,Y481+'main page'!$K$29*L481+(1-'main page'!$K$29)*controls!$B$9+(('main page'!$K$25*'main page'!$U$13*'main page'!$K$29)/('main page'!$K$27*(1+('main page'!$K$25^2)*'main page'!$U$13)))*(L481-controls!$B$9),Y481+'main page'!$K$29*L481+(1-'main page'!$K$29)*controls!$B$9+(('main page'!$K$25*'main page'!$U$13*'normal case'!$AV$3)/'normal case'!$AV$4)*('normal case'!L481-controls!$B$9))</f>
        <v>5.4999998509883881</v>
      </c>
      <c r="Y481" s="81">
        <f ca="1">IF(controls!$B$44=1,'main page'!$K$24+'main page'!$K$11,IF(controls!$B$33=1,((I482-D481*AD482-B482+B481*AC482)/'main page'!$K$27)-'main page'!$K$11,((H482-D481*AD482-B482+B481*AC482)/'main page'!$K$27)-'main page'!$K$11))</f>
        <v>3.5</v>
      </c>
      <c r="AA481" s="58">
        <f>IF(controls!$B$6=1,$AS$3*(1+('main page'!$K$35/100))^AB481-$AS$3*(1+('main page'!$K$35/100))^AB480,$AS$3*(1+('main page'!$G$8/100))*(1+('main page'!$K$35/100))^AB481-$AS$3*(1+('main page'!$G$8/100))*(1+('main page'!$K$35/100))^AB480)</f>
        <v>0</v>
      </c>
      <c r="AB481" s="60">
        <v>474</v>
      </c>
      <c r="AC481" s="125">
        <v>0</v>
      </c>
      <c r="AD481" s="36">
        <v>0</v>
      </c>
      <c r="AE481" s="44">
        <f ca="1">IF(controls!$B$33=1,D481-($I$3-'main page'!$K$27*2)*(1+('main page'!$K$35/100))^A480,D481-$AS$4)</f>
        <v>1.0000000596046448</v>
      </c>
      <c r="AF481" s="44">
        <f ca="1">ABS(L481-(controls!$B$9/100)*100)</f>
        <v>1.1920928955078125E-7</v>
      </c>
      <c r="AH481" s="44">
        <f ca="1">IF(controls!$B$33=1,(B482-B481*AC482-I482+D481*AD482+'main page'!$K$27*('main page'!$K$24+'main page'!$K$11))/'main page'!$K$31,(B482-B481*AC482+D481*AD482-H482+'main page'!$K$27*('main page'!$K$24+'main page'!$K$11))/'main page'!$K$31)</f>
        <v>1</v>
      </c>
      <c r="AI481" s="44">
        <f ca="1">IF(controls!$B$45=1,LOG(AM481,1.01)+LOG(AL481,1.01)-LOG(AK481,1.01),-((T481-('main page'!$K$24+'main page'!$K$11))/(1-'normal case'!$AV$3))+'normal case'!AH481)</f>
        <v>2.0000000596046448</v>
      </c>
      <c r="AJ481" s="80">
        <f t="shared" ca="1" si="62"/>
        <v>1.0506250015463039</v>
      </c>
      <c r="AK481" s="44">
        <f t="shared" ca="1" si="63"/>
        <v>12657.219453268784</v>
      </c>
      <c r="AL481" s="44">
        <f>AL480*(1+'main page'!$K$32/100)</f>
        <v>1</v>
      </c>
      <c r="AM481" s="44">
        <f ca="1">IF(ABS(IF(controls!$B$45=1,$AS$13,AK481*AJ481/AL481)-AM480)&lt;0.00001,AM480,IF(controls!$B$45=1,$AS$13,AK481*AJ481/AL481))</f>
        <v>13297.991207662424</v>
      </c>
      <c r="AN481" s="44">
        <f>IF(controls!$B$46=0,0,IF(controls!$B$33=2,B482-B481*AC482-('normal case'!H482-D481*AD482-'main page'!$K$27*'normal case'!T481+'main page'!$K$31*'normal case'!AI481)-(('main page'!$K$25*'main page'!$U$13*'main page'!$K$29)/(1+('main page'!$K$25^2)*'main page'!$U$13))*('normal case'!L481-'main page'!$U$8),B482-B481*AC482-('normal case'!I482-D481*AD482-'main page'!$K$27*'normal case'!T481+'main page'!$K$31*'normal case'!AI481)-(('main page'!$K$25*'main page'!$U$13*'main page'!$K$29)/(1+('main page'!$K$25^2)*'main page'!$U$13))*('normal case'!L481-'main page'!$U$8)))</f>
        <v>0</v>
      </c>
      <c r="AU481" s="36"/>
      <c r="AV481" s="36"/>
    </row>
    <row r="482" spans="1:48">
      <c r="A482" s="43">
        <v>480</v>
      </c>
      <c r="B482" s="62">
        <f ca="1">IF(controls!$B$33=1,B481*(1+AC482)+AA482,B481*(1+AC482))</f>
        <v>101</v>
      </c>
      <c r="C482" s="67">
        <f t="shared" ca="1" si="64"/>
        <v>-1.5107707374006907E-7</v>
      </c>
      <c r="D482" s="64">
        <f t="shared" ca="1" si="60"/>
        <v>101.00000005960464</v>
      </c>
      <c r="E482" s="64">
        <f ca="1">AN481+IF(controls!$B$33=1,G482,F482)</f>
        <v>101.00000005960464</v>
      </c>
      <c r="F482" s="78">
        <f ca="1">IF(controls!$B$44=0,H482-'main page'!$K$27*T481,H482-'main page'!$K$27*T481+'main page'!$K$31*AI481)</f>
        <v>101.00000005960464</v>
      </c>
      <c r="G482" s="62">
        <f ca="1">IF(controls!$B$44=0,I482-'main page'!$K$27*T481,I482-'main page'!$K$27*T481+'main page'!$K$31*'normal case'!AI481)</f>
        <v>101.00000005960464</v>
      </c>
      <c r="H482" s="62">
        <f t="shared" ca="1" si="66"/>
        <v>108</v>
      </c>
      <c r="I482" s="62">
        <f t="shared" ca="1" si="67"/>
        <v>108</v>
      </c>
      <c r="L482" s="62">
        <f ca="1">IF(ABS('main page'!$K$29*L481+(1-'main page'!$K$29)*(controls!$B$9/100)*100+'main page'!$K$25*(D482-B482)-L481)&lt;0.0000001,L481,'main page'!$K$29*L481+(1-'main page'!$K$29)*(controls!$B$9/100)*100+'main page'!$K$25*(D482-B482))</f>
        <v>1.9999998807907104</v>
      </c>
      <c r="Q482" s="409">
        <f ca="1">(1-'main page'!$K$29)*($AS$11/100)*100+'main page'!$K$25*(D482-B482)</f>
        <v>5.9604644775390625E-8</v>
      </c>
      <c r="R482" s="409">
        <f>'main page'!G486+'main page'!$K$29*M481</f>
        <v>0</v>
      </c>
      <c r="S482" s="409">
        <f t="shared" ca="1" si="65"/>
        <v>5.9604644775390625E-8</v>
      </c>
      <c r="T482" s="79">
        <f ca="1">IF(controls!$B$10=1,T481,IF(SUM(controls!$B$44:$B$46)=2,U482-'main page'!$K$29*'normal case'!L482-(1-'main page'!$K$29)*'main page'!$K$32,U482-'main page'!$K$29*'normal case'!L482-(1-'main page'!$K$29)*controls!$B$9))</f>
        <v>3.4999999701976776</v>
      </c>
      <c r="U482" s="164">
        <f ca="1">IF(controls!$B$45=1,IF(controls!$B$46=1,'main page'!$K$24+'main page'!$K$11+'main page'!$U$8,'main page'!$K$24+'main page'!$K$11+'main page'!$K$32),IF(controls!$B$44=1,IF(V482&lt;0,0,V482),IF(V482+'main page'!$K$11&lt;0,0,V482+'main page'!$K$11)))</f>
        <v>5.4999998509883881</v>
      </c>
      <c r="V482" s="63">
        <f ca="1">IF(controls!$B$10=1,'normal case'!T482+'normal case'!L482,'normal case'!W482)</f>
        <v>5.4999998509883881</v>
      </c>
      <c r="W482" s="61">
        <f t="shared" ca="1" si="61"/>
        <v>5.4999998509883881</v>
      </c>
      <c r="X482" s="166">
        <f ca="1">IF(controls!$B$44=0,Y482+'main page'!$K$29*L482+(1-'main page'!$K$29)*controls!$B$9+(('main page'!$K$25*'main page'!$U$13*'main page'!$K$29)/('main page'!$K$27*(1+('main page'!$K$25^2)*'main page'!$U$13)))*(L482-controls!$B$9),Y482+'main page'!$K$29*L482+(1-'main page'!$K$29)*controls!$B$9+(('main page'!$K$25*'main page'!$U$13*'normal case'!$AV$3)/'normal case'!$AV$4)*('normal case'!L482-controls!$B$9))</f>
        <v>5.4999998509883881</v>
      </c>
      <c r="Y482" s="81">
        <f ca="1">IF(controls!$B$44=1,'main page'!$K$24+'main page'!$K$11,IF(controls!$B$33=1,((I483-D482*AD483-B483+B482*AC483)/'main page'!$K$27)-'main page'!$K$11,((H483-D482*AD483-B483+B482*AC483)/'main page'!$K$27)-'main page'!$K$11))</f>
        <v>3.5</v>
      </c>
      <c r="AA482" s="58">
        <f>IF(controls!$B$6=1,$AS$3*(1+('main page'!$K$35/100))^AB482-$AS$3*(1+('main page'!$K$35/100))^AB481,$AS$3*(1+('main page'!$G$8/100))*(1+('main page'!$K$35/100))^AB482-$AS$3*(1+('main page'!$G$8/100))*(1+('main page'!$K$35/100))^AB481)</f>
        <v>0</v>
      </c>
      <c r="AB482" s="60">
        <v>475</v>
      </c>
      <c r="AC482" s="125">
        <f ca="1">IF(controls!$B$4=1,IF(controls!$H481=1,controls!$B$34*AC481+RAND()*('main page'!$K$16/100)-RAND()*('main page'!$K$16/100),0),0)</f>
        <v>0</v>
      </c>
      <c r="AD482" s="36">
        <f ca="1">IF(controls!$B$4=1,IF(controls!$I481=1,controls!$B$34*AD481+RAND()*('main page'!$K$16/100)-RAND()*('main page'!$K$16/100),0),0)</f>
        <v>0</v>
      </c>
      <c r="AE482" s="44">
        <f ca="1">IF(controls!$B$33=1,D482-($I$3-'main page'!$K$27*2)*(1+('main page'!$K$35/100))^A481,D482-$AS$4)</f>
        <v>1.0000000596046448</v>
      </c>
      <c r="AF482" s="44">
        <f ca="1">ABS(L482-(controls!$B$9/100)*100)</f>
        <v>1.1920928955078125E-7</v>
      </c>
      <c r="AH482" s="44">
        <f ca="1">IF(controls!$B$33=1,(B483-B482*AC483-I483+D482*AD483+'main page'!$K$27*('main page'!$K$24+'main page'!$K$11))/'main page'!$K$31,(B483-B482*AC483+D482*AD483-H483+'main page'!$K$27*('main page'!$K$24+'main page'!$K$11))/'main page'!$K$31)</f>
        <v>1</v>
      </c>
      <c r="AI482" s="44">
        <f ca="1">IF(controls!$B$45=1,LOG(AM482,1.01)+LOG(AL482,1.01)-LOG(AK482,1.01),-((T482-('main page'!$K$24+'main page'!$K$11))/(1-'normal case'!$AV$3))+'normal case'!AH482)</f>
        <v>2.0000000596046448</v>
      </c>
      <c r="AJ482" s="80">
        <f t="shared" ca="1" si="62"/>
        <v>1.0506250015463039</v>
      </c>
      <c r="AK482" s="44">
        <f t="shared" ca="1" si="63"/>
        <v>12910.363827245579</v>
      </c>
      <c r="AL482" s="44">
        <f>AL481*(1+'main page'!$K$32/100)</f>
        <v>1</v>
      </c>
      <c r="AM482" s="44">
        <f ca="1">IF(ABS(IF(controls!$B$45=1,$AS$13,AK482*AJ482/AL482)-AM481)&lt;0.00001,AM481,IF(controls!$B$45=1,$AS$13,AK482*AJ482/AL482))</f>
        <v>13563.951015963232</v>
      </c>
      <c r="AN482" s="44">
        <f>IF(controls!$B$46=0,0,IF(controls!$B$33=2,B483-B482*AC483-('normal case'!H483-D482*AD483-'main page'!$K$27*'normal case'!T482+'main page'!$K$31*'normal case'!AI482)-(('main page'!$K$25*'main page'!$U$13*'main page'!$K$29)/(1+('main page'!$K$25^2)*'main page'!$U$13))*('normal case'!L482-'main page'!$U$8),B483-B482*AC483-('normal case'!I483-D482*AD483-'main page'!$K$27*'normal case'!T482+'main page'!$K$31*'normal case'!AI482)-(('main page'!$K$25*'main page'!$U$13*'main page'!$K$29)/(1+('main page'!$K$25^2)*'main page'!$U$13))*('normal case'!L482-'main page'!$U$8)))</f>
        <v>0</v>
      </c>
      <c r="AU482" s="36"/>
      <c r="AV482" s="36"/>
    </row>
    <row r="483" spans="1:48">
      <c r="A483" s="43">
        <v>481</v>
      </c>
      <c r="B483" s="62">
        <f ca="1">IF(controls!$B$33=1,B482*(1+AC483)+AA483,B482*(1+AC483))</f>
        <v>101</v>
      </c>
      <c r="C483" s="67">
        <f t="shared" ca="1" si="64"/>
        <v>-1.5107707374006907E-7</v>
      </c>
      <c r="D483" s="64">
        <f t="shared" ca="1" si="60"/>
        <v>101.00000005960464</v>
      </c>
      <c r="E483" s="64">
        <f ca="1">AN482+IF(controls!$B$33=1,G483,F483)</f>
        <v>101.00000005960464</v>
      </c>
      <c r="F483" s="78">
        <f ca="1">IF(controls!$B$44=0,H483-'main page'!$K$27*T482,H483-'main page'!$K$27*T482+'main page'!$K$31*AI482)</f>
        <v>101.00000005960464</v>
      </c>
      <c r="G483" s="62">
        <f ca="1">IF(controls!$B$44=0,I483-'main page'!$K$27*T482,I483-'main page'!$K$27*T482+'main page'!$K$31*'normal case'!AI482)</f>
        <v>101.00000005960464</v>
      </c>
      <c r="H483" s="62">
        <f t="shared" ca="1" si="66"/>
        <v>108</v>
      </c>
      <c r="I483" s="62">
        <f t="shared" ca="1" si="67"/>
        <v>108</v>
      </c>
      <c r="L483" s="62">
        <f ca="1">IF(ABS('main page'!$K$29*L482+(1-'main page'!$K$29)*(controls!$B$9/100)*100+'main page'!$K$25*(D483-B483)-L482)&lt;0.0000001,L482,'main page'!$K$29*L482+(1-'main page'!$K$29)*(controls!$B$9/100)*100+'main page'!$K$25*(D483-B483))</f>
        <v>1.9999998807907104</v>
      </c>
      <c r="Q483" s="409">
        <f ca="1">(1-'main page'!$K$29)*($AS$11/100)*100+'main page'!$K$25*(D483-B483)</f>
        <v>5.9604644775390625E-8</v>
      </c>
      <c r="R483" s="409">
        <f>'main page'!G487+'main page'!$K$29*M482</f>
        <v>0</v>
      </c>
      <c r="S483" s="409">
        <f t="shared" ca="1" si="65"/>
        <v>5.9604644775390625E-8</v>
      </c>
      <c r="T483" s="79">
        <f ca="1">IF(controls!$B$10=1,T482,IF(SUM(controls!$B$44:$B$46)=2,U483-'main page'!$K$29*'normal case'!L483-(1-'main page'!$K$29)*'main page'!$K$32,U483-'main page'!$K$29*'normal case'!L483-(1-'main page'!$K$29)*controls!$B$9))</f>
        <v>3.4999999701976776</v>
      </c>
      <c r="U483" s="164">
        <f ca="1">IF(controls!$B$45=1,IF(controls!$B$46=1,'main page'!$K$24+'main page'!$K$11+'main page'!$U$8,'main page'!$K$24+'main page'!$K$11+'main page'!$K$32),IF(controls!$B$44=1,IF(V483&lt;0,0,V483),IF(V483+'main page'!$K$11&lt;0,0,V483+'main page'!$K$11)))</f>
        <v>5.4999998509883881</v>
      </c>
      <c r="V483" s="63">
        <f ca="1">IF(controls!$B$10=1,'normal case'!T483+'normal case'!L483,'normal case'!W483)</f>
        <v>5.4999998509883881</v>
      </c>
      <c r="W483" s="61">
        <f t="shared" ca="1" si="61"/>
        <v>5.4999998509883881</v>
      </c>
      <c r="X483" s="166">
        <f ca="1">IF(controls!$B$44=0,Y483+'main page'!$K$29*L483+(1-'main page'!$K$29)*controls!$B$9+(('main page'!$K$25*'main page'!$U$13*'main page'!$K$29)/('main page'!$K$27*(1+('main page'!$K$25^2)*'main page'!$U$13)))*(L483-controls!$B$9),Y483+'main page'!$K$29*L483+(1-'main page'!$K$29)*controls!$B$9+(('main page'!$K$25*'main page'!$U$13*'normal case'!$AV$3)/'normal case'!$AV$4)*('normal case'!L483-controls!$B$9))</f>
        <v>5.4999998509883881</v>
      </c>
      <c r="Y483" s="81">
        <f ca="1">IF(controls!$B$44=1,'main page'!$K$24+'main page'!$K$11,IF(controls!$B$33=1,((I484-D483*AD484-B484+B483*AC484)/'main page'!$K$27)-'main page'!$K$11,((H484-D483*AD484-B484+B483*AC484)/'main page'!$K$27)-'main page'!$K$11))</f>
        <v>3.5</v>
      </c>
      <c r="AA483" s="58">
        <f>IF(controls!$B$6=1,$AS$3*(1+('main page'!$K$35/100))^AB483-$AS$3*(1+('main page'!$K$35/100))^AB482,$AS$3*(1+('main page'!$G$8/100))*(1+('main page'!$K$35/100))^AB483-$AS$3*(1+('main page'!$G$8/100))*(1+('main page'!$K$35/100))^AB482)</f>
        <v>0</v>
      </c>
      <c r="AB483" s="60">
        <v>476</v>
      </c>
      <c r="AC483" s="125">
        <v>0</v>
      </c>
      <c r="AD483" s="36">
        <v>0</v>
      </c>
      <c r="AE483" s="44">
        <f ca="1">IF(controls!$B$33=1,D483-($I$3-'main page'!$K$27*2)*(1+('main page'!$K$35/100))^A482,D483-$AS$4)</f>
        <v>1.0000000596046448</v>
      </c>
      <c r="AF483" s="44">
        <f ca="1">ABS(L483-(controls!$B$9/100)*100)</f>
        <v>1.1920928955078125E-7</v>
      </c>
      <c r="AH483" s="44">
        <f ca="1">IF(controls!$B$33=1,(B484-B483*AC484-I484+D483*AD484+'main page'!$K$27*('main page'!$K$24+'main page'!$K$11))/'main page'!$K$31,(B484-B483*AC484+D483*AD484-H484+'main page'!$K$27*('main page'!$K$24+'main page'!$K$11))/'main page'!$K$31)</f>
        <v>1</v>
      </c>
      <c r="AI483" s="44">
        <f ca="1">IF(controls!$B$45=1,LOG(AM483,1.01)+LOG(AL483,1.01)-LOG(AK483,1.01),-((T483-('main page'!$K$24+'main page'!$K$11))/(1-'normal case'!$AV$3))+'normal case'!AH483)</f>
        <v>2.0000000596046448</v>
      </c>
      <c r="AJ483" s="80">
        <f t="shared" ca="1" si="62"/>
        <v>1.0506250015463039</v>
      </c>
      <c r="AK483" s="44">
        <f t="shared" ca="1" si="63"/>
        <v>13168.571088400138</v>
      </c>
      <c r="AL483" s="44">
        <f>AL482*(1+'main page'!$K$32/100)</f>
        <v>1</v>
      </c>
      <c r="AM483" s="44">
        <f ca="1">IF(ABS(IF(controls!$B$45=1,$AS$13,AK483*AJ483/AL483)-AM482)&lt;0.00001,AM482,IF(controls!$B$45=1,$AS$13,AK483*AJ483/AL483))</f>
        <v>13835.230020113007</v>
      </c>
      <c r="AN483" s="44">
        <f>IF(controls!$B$46=0,0,IF(controls!$B$33=2,B484-B483*AC484-('normal case'!H484-D483*AD484-'main page'!$K$27*'normal case'!T483+'main page'!$K$31*'normal case'!AI483)-(('main page'!$K$25*'main page'!$U$13*'main page'!$K$29)/(1+('main page'!$K$25^2)*'main page'!$U$13))*('normal case'!L483-'main page'!$U$8),B484-B483*AC484-('normal case'!I484-D483*AD484-'main page'!$K$27*'normal case'!T483+'main page'!$K$31*'normal case'!AI483)-(('main page'!$K$25*'main page'!$U$13*'main page'!$K$29)/(1+('main page'!$K$25^2)*'main page'!$U$13))*('normal case'!L483-'main page'!$U$8)))</f>
        <v>0</v>
      </c>
      <c r="AU483" s="36"/>
      <c r="AV483" s="36"/>
    </row>
    <row r="484" spans="1:48">
      <c r="A484" s="43">
        <v>482</v>
      </c>
      <c r="B484" s="62">
        <f ca="1">IF(controls!$B$33=1,B483*(1+AC484)+AA484,B483*(1+AC484))</f>
        <v>101</v>
      </c>
      <c r="C484" s="67">
        <f t="shared" ca="1" si="64"/>
        <v>-1.5107707374006907E-7</v>
      </c>
      <c r="D484" s="64">
        <f t="shared" ca="1" si="60"/>
        <v>101.00000005960464</v>
      </c>
      <c r="E484" s="64">
        <f ca="1">AN483+IF(controls!$B$33=1,G484,F484)</f>
        <v>101.00000005960464</v>
      </c>
      <c r="F484" s="78">
        <f ca="1">IF(controls!$B$44=0,H484-'main page'!$K$27*T483,H484-'main page'!$K$27*T483+'main page'!$K$31*AI483)</f>
        <v>101.00000005960464</v>
      </c>
      <c r="G484" s="62">
        <f ca="1">IF(controls!$B$44=0,I484-'main page'!$K$27*T483,I484-'main page'!$K$27*T483+'main page'!$K$31*'normal case'!AI483)</f>
        <v>101.00000005960464</v>
      </c>
      <c r="H484" s="62">
        <f t="shared" ca="1" si="66"/>
        <v>108</v>
      </c>
      <c r="I484" s="62">
        <f t="shared" ca="1" si="67"/>
        <v>108</v>
      </c>
      <c r="L484" s="62">
        <f ca="1">IF(ABS('main page'!$K$29*L483+(1-'main page'!$K$29)*(controls!$B$9/100)*100+'main page'!$K$25*(D484-B484)-L483)&lt;0.0000001,L483,'main page'!$K$29*L483+(1-'main page'!$K$29)*(controls!$B$9/100)*100+'main page'!$K$25*(D484-B484))</f>
        <v>1.9999998807907104</v>
      </c>
      <c r="Q484" s="409">
        <f ca="1">(1-'main page'!$K$29)*($AS$11/100)*100+'main page'!$K$25*(D484-B484)</f>
        <v>5.9604644775390625E-8</v>
      </c>
      <c r="R484" s="409">
        <f>'main page'!G488+'main page'!$K$29*M483</f>
        <v>0</v>
      </c>
      <c r="S484" s="409">
        <f t="shared" ca="1" si="65"/>
        <v>5.9604644775390625E-8</v>
      </c>
      <c r="T484" s="79">
        <f ca="1">IF(controls!$B$10=1,T483,IF(SUM(controls!$B$44:$B$46)=2,U484-'main page'!$K$29*'normal case'!L484-(1-'main page'!$K$29)*'main page'!$K$32,U484-'main page'!$K$29*'normal case'!L484-(1-'main page'!$K$29)*controls!$B$9))</f>
        <v>3.4999999701976776</v>
      </c>
      <c r="U484" s="164">
        <f ca="1">IF(controls!$B$45=1,IF(controls!$B$46=1,'main page'!$K$24+'main page'!$K$11+'main page'!$U$8,'main page'!$K$24+'main page'!$K$11+'main page'!$K$32),IF(controls!$B$44=1,IF(V484&lt;0,0,V484),IF(V484+'main page'!$K$11&lt;0,0,V484+'main page'!$K$11)))</f>
        <v>5.4999998509883881</v>
      </c>
      <c r="V484" s="63">
        <f ca="1">IF(controls!$B$10=1,'normal case'!T484+'normal case'!L484,'normal case'!W484)</f>
        <v>5.4999998509883881</v>
      </c>
      <c r="W484" s="61">
        <f t="shared" ca="1" si="61"/>
        <v>5.4999998509883881</v>
      </c>
      <c r="X484" s="166">
        <f ca="1">IF(controls!$B$44=0,Y484+'main page'!$K$29*L484+(1-'main page'!$K$29)*controls!$B$9+(('main page'!$K$25*'main page'!$U$13*'main page'!$K$29)/('main page'!$K$27*(1+('main page'!$K$25^2)*'main page'!$U$13)))*(L484-controls!$B$9),Y484+'main page'!$K$29*L484+(1-'main page'!$K$29)*controls!$B$9+(('main page'!$K$25*'main page'!$U$13*'normal case'!$AV$3)/'normal case'!$AV$4)*('normal case'!L484-controls!$B$9))</f>
        <v>5.4999998509883881</v>
      </c>
      <c r="Y484" s="81">
        <f ca="1">IF(controls!$B$44=1,'main page'!$K$24+'main page'!$K$11,IF(controls!$B$33=1,((I485-D484*AD485-B485+B484*AC485)/'main page'!$K$27)-'main page'!$K$11,((H485-D484*AD485-B485+B484*AC485)/'main page'!$K$27)-'main page'!$K$11))</f>
        <v>3.5</v>
      </c>
      <c r="AA484" s="58">
        <f>IF(controls!$B$6=1,$AS$3*(1+('main page'!$K$35/100))^AB484-$AS$3*(1+('main page'!$K$35/100))^AB483,$AS$3*(1+('main page'!$G$8/100))*(1+('main page'!$K$35/100))^AB484-$AS$3*(1+('main page'!$G$8/100))*(1+('main page'!$K$35/100))^AB483)</f>
        <v>0</v>
      </c>
      <c r="AB484" s="60">
        <v>477</v>
      </c>
      <c r="AC484" s="125">
        <v>0</v>
      </c>
      <c r="AD484" s="36">
        <v>0</v>
      </c>
      <c r="AE484" s="44">
        <f ca="1">IF(controls!$B$33=1,D484-($I$3-'main page'!$K$27*2)*(1+('main page'!$K$35/100))^A483,D484-$AS$4)</f>
        <v>1.0000000596046448</v>
      </c>
      <c r="AF484" s="44">
        <f ca="1">ABS(L484-(controls!$B$9/100)*100)</f>
        <v>1.1920928955078125E-7</v>
      </c>
      <c r="AH484" s="44">
        <f ca="1">IF(controls!$B$33=1,(B485-B484*AC485-I485+D484*AD485+'main page'!$K$27*('main page'!$K$24+'main page'!$K$11))/'main page'!$K$31,(B485-B484*AC485+D484*AD485-H485+'main page'!$K$27*('main page'!$K$24+'main page'!$K$11))/'main page'!$K$31)</f>
        <v>1</v>
      </c>
      <c r="AI484" s="44">
        <f ca="1">IF(controls!$B$45=1,LOG(AM484,1.01)+LOG(AL484,1.01)-LOG(AK484,1.01),-((T484-('main page'!$K$24+'main page'!$K$11))/(1-'normal case'!$AV$3))+'normal case'!AH484)</f>
        <v>2.0000000596046448</v>
      </c>
      <c r="AJ484" s="80">
        <f t="shared" ca="1" si="62"/>
        <v>1.0506250015463039</v>
      </c>
      <c r="AK484" s="44">
        <f t="shared" ca="1" si="63"/>
        <v>13431.942494469982</v>
      </c>
      <c r="AL484" s="44">
        <f>AL483*(1+'main page'!$K$32/100)</f>
        <v>1</v>
      </c>
      <c r="AM484" s="44">
        <f ca="1">IF(ABS(IF(controls!$B$45=1,$AS$13,AK484*AJ484/AL484)-AM483)&lt;0.00001,AM483,IF(controls!$B$45=1,$AS$13,AK484*AJ484/AL484))</f>
        <v>14111.93460402239</v>
      </c>
      <c r="AN484" s="44">
        <f>IF(controls!$B$46=0,0,IF(controls!$B$33=2,B485-B484*AC485-('normal case'!H485-D484*AD485-'main page'!$K$27*'normal case'!T484+'main page'!$K$31*'normal case'!AI484)-(('main page'!$K$25*'main page'!$U$13*'main page'!$K$29)/(1+('main page'!$K$25^2)*'main page'!$U$13))*('normal case'!L484-'main page'!$U$8),B485-B484*AC485-('normal case'!I485-D484*AD485-'main page'!$K$27*'normal case'!T484+'main page'!$K$31*'normal case'!AI484)-(('main page'!$K$25*'main page'!$U$13*'main page'!$K$29)/(1+('main page'!$K$25^2)*'main page'!$U$13))*('normal case'!L484-'main page'!$U$8)))</f>
        <v>0</v>
      </c>
      <c r="AU484" s="36"/>
      <c r="AV484" s="36"/>
    </row>
    <row r="485" spans="1:48">
      <c r="A485" s="43">
        <v>483</v>
      </c>
      <c r="B485" s="62">
        <f ca="1">IF(controls!$B$33=1,B484*(1+AC485)+AA485,B484*(1+AC485))</f>
        <v>101</v>
      </c>
      <c r="C485" s="67">
        <f t="shared" ca="1" si="64"/>
        <v>-1.5107707374006907E-7</v>
      </c>
      <c r="D485" s="64">
        <f t="shared" ca="1" si="60"/>
        <v>101.00000005960464</v>
      </c>
      <c r="E485" s="64">
        <f ca="1">AN484+IF(controls!$B$33=1,G485,F485)</f>
        <v>101.00000005960464</v>
      </c>
      <c r="F485" s="78">
        <f ca="1">IF(controls!$B$44=0,H485-'main page'!$K$27*T484,H485-'main page'!$K$27*T484+'main page'!$K$31*AI484)</f>
        <v>101.00000005960464</v>
      </c>
      <c r="G485" s="62">
        <f ca="1">IF(controls!$B$44=0,I485-'main page'!$K$27*T484,I485-'main page'!$K$27*T484+'main page'!$K$31*'normal case'!AI484)</f>
        <v>101.00000005960464</v>
      </c>
      <c r="H485" s="62">
        <f t="shared" ca="1" si="66"/>
        <v>108</v>
      </c>
      <c r="I485" s="62">
        <f t="shared" ca="1" si="67"/>
        <v>108</v>
      </c>
      <c r="L485" s="62">
        <f ca="1">IF(ABS('main page'!$K$29*L484+(1-'main page'!$K$29)*(controls!$B$9/100)*100+'main page'!$K$25*(D485-B485)-L484)&lt;0.0000001,L484,'main page'!$K$29*L484+(1-'main page'!$K$29)*(controls!$B$9/100)*100+'main page'!$K$25*(D485-B485))</f>
        <v>1.9999998807907104</v>
      </c>
      <c r="Q485" s="409">
        <f ca="1">(1-'main page'!$K$29)*($AS$11/100)*100+'main page'!$K$25*(D485-B485)</f>
        <v>5.9604644775390625E-8</v>
      </c>
      <c r="R485" s="409">
        <f>'main page'!G489+'main page'!$K$29*M484</f>
        <v>0</v>
      </c>
      <c r="S485" s="409">
        <f t="shared" ca="1" si="65"/>
        <v>5.9604644775390625E-8</v>
      </c>
      <c r="T485" s="79">
        <f ca="1">IF(controls!$B$10=1,T484,IF(SUM(controls!$B$44:$B$46)=2,U485-'main page'!$K$29*'normal case'!L485-(1-'main page'!$K$29)*'main page'!$K$32,U485-'main page'!$K$29*'normal case'!L485-(1-'main page'!$K$29)*controls!$B$9))</f>
        <v>3.4999999701976776</v>
      </c>
      <c r="U485" s="164">
        <f ca="1">IF(controls!$B$45=1,IF(controls!$B$46=1,'main page'!$K$24+'main page'!$K$11+'main page'!$U$8,'main page'!$K$24+'main page'!$K$11+'main page'!$K$32),IF(controls!$B$44=1,IF(V485&lt;0,0,V485),IF(V485+'main page'!$K$11&lt;0,0,V485+'main page'!$K$11)))</f>
        <v>5.4999998509883881</v>
      </c>
      <c r="V485" s="63">
        <f ca="1">IF(controls!$B$10=1,'normal case'!T485+'normal case'!L485,'normal case'!W485)</f>
        <v>5.4999998509883881</v>
      </c>
      <c r="W485" s="61">
        <f t="shared" ca="1" si="61"/>
        <v>5.4999998509883881</v>
      </c>
      <c r="X485" s="166">
        <f ca="1">IF(controls!$B$44=0,Y485+'main page'!$K$29*L485+(1-'main page'!$K$29)*controls!$B$9+(('main page'!$K$25*'main page'!$U$13*'main page'!$K$29)/('main page'!$K$27*(1+('main page'!$K$25^2)*'main page'!$U$13)))*(L485-controls!$B$9),Y485+'main page'!$K$29*L485+(1-'main page'!$K$29)*controls!$B$9+(('main page'!$K$25*'main page'!$U$13*'normal case'!$AV$3)/'normal case'!$AV$4)*('normal case'!L485-controls!$B$9))</f>
        <v>5.4999998509883881</v>
      </c>
      <c r="Y485" s="81">
        <f ca="1">IF(controls!$B$44=1,'main page'!$K$24+'main page'!$K$11,IF(controls!$B$33=1,((I486-D485*AD486-B486+B485*AC486)/'main page'!$K$27)-'main page'!$K$11,((H486-D485*AD486-B486+B485*AC486)/'main page'!$K$27)-'main page'!$K$11))</f>
        <v>3.5</v>
      </c>
      <c r="AA485" s="58">
        <f>IF(controls!$B$6=1,$AS$3*(1+('main page'!$K$35/100))^AB485-$AS$3*(1+('main page'!$K$35/100))^AB484,$AS$3*(1+('main page'!$G$8/100))*(1+('main page'!$K$35/100))^AB485-$AS$3*(1+('main page'!$G$8/100))*(1+('main page'!$K$35/100))^AB484)</f>
        <v>0</v>
      </c>
      <c r="AB485" s="60">
        <v>478</v>
      </c>
      <c r="AC485" s="125">
        <f ca="1">IF(controls!$B$4=1,IF(controls!$H484=1,controls!$B$34*AC484+RAND()*('main page'!$K$16/100)-RAND()*('main page'!$K$16/100),0),0)</f>
        <v>0</v>
      </c>
      <c r="AD485" s="36">
        <f ca="1">IF(controls!$B$4=1,IF(controls!$I484=1,controls!$B$34*AD484+RAND()*('main page'!$K$16/100)-RAND()*('main page'!$K$16/100),0),0)</f>
        <v>0</v>
      </c>
      <c r="AE485" s="44">
        <f ca="1">IF(controls!$B$33=1,D485-($I$3-'main page'!$K$27*2)*(1+('main page'!$K$35/100))^A484,D485-$AS$4)</f>
        <v>1.0000000596046448</v>
      </c>
      <c r="AF485" s="44">
        <f ca="1">ABS(L485-(controls!$B$9/100)*100)</f>
        <v>1.1920928955078125E-7</v>
      </c>
      <c r="AH485" s="44">
        <f ca="1">IF(controls!$B$33=1,(B486-B485*AC486-I486+D485*AD486+'main page'!$K$27*('main page'!$K$24+'main page'!$K$11))/'main page'!$K$31,(B486-B485*AC486+D485*AD486-H486+'main page'!$K$27*('main page'!$K$24+'main page'!$K$11))/'main page'!$K$31)</f>
        <v>1</v>
      </c>
      <c r="AI485" s="44">
        <f ca="1">IF(controls!$B$45=1,LOG(AM485,1.01)+LOG(AL485,1.01)-LOG(AK485,1.01),-((T485-('main page'!$K$24+'main page'!$K$11))/(1-'normal case'!$AV$3))+'normal case'!AH485)</f>
        <v>2.0000000596046448</v>
      </c>
      <c r="AJ485" s="80">
        <f t="shared" ca="1" si="62"/>
        <v>1.0506250015463039</v>
      </c>
      <c r="AK485" s="44">
        <f t="shared" ca="1" si="63"/>
        <v>13700.58132834726</v>
      </c>
      <c r="AL485" s="44">
        <f>AL484*(1+'main page'!$K$32/100)</f>
        <v>1</v>
      </c>
      <c r="AM485" s="44">
        <f ca="1">IF(ABS(IF(controls!$B$45=1,$AS$13,AK485*AJ485/AL485)-AM484)&lt;0.00001,AM484,IF(controls!$B$45=1,$AS$13,AK485*AJ485/AL485))</f>
        <v>14394.173279280101</v>
      </c>
      <c r="AN485" s="44">
        <f>IF(controls!$B$46=0,0,IF(controls!$B$33=2,B486-B485*AC486-('normal case'!H486-D485*AD486-'main page'!$K$27*'normal case'!T485+'main page'!$K$31*'normal case'!AI485)-(('main page'!$K$25*'main page'!$U$13*'main page'!$K$29)/(1+('main page'!$K$25^2)*'main page'!$U$13))*('normal case'!L485-'main page'!$U$8),B486-B485*AC486-('normal case'!I486-D485*AD486-'main page'!$K$27*'normal case'!T485+'main page'!$K$31*'normal case'!AI485)-(('main page'!$K$25*'main page'!$U$13*'main page'!$K$29)/(1+('main page'!$K$25^2)*'main page'!$U$13))*('normal case'!L485-'main page'!$U$8)))</f>
        <v>0</v>
      </c>
      <c r="AU485" s="36"/>
      <c r="AV485" s="36"/>
    </row>
    <row r="486" spans="1:48">
      <c r="A486" s="43">
        <v>484</v>
      </c>
      <c r="B486" s="62">
        <f ca="1">IF(controls!$B$33=1,B485*(1+AC486)+AA486,B485*(1+AC486))</f>
        <v>101</v>
      </c>
      <c r="C486" s="67">
        <f t="shared" ca="1" si="64"/>
        <v>-1.5107707374006907E-7</v>
      </c>
      <c r="D486" s="64">
        <f t="shared" ca="1" si="60"/>
        <v>101.00000005960464</v>
      </c>
      <c r="E486" s="64">
        <f ca="1">AN485+IF(controls!$B$33=1,G486,F486)</f>
        <v>101.00000005960464</v>
      </c>
      <c r="F486" s="78">
        <f ca="1">IF(controls!$B$44=0,H486-'main page'!$K$27*T485,H486-'main page'!$K$27*T485+'main page'!$K$31*AI485)</f>
        <v>101.00000005960464</v>
      </c>
      <c r="G486" s="62">
        <f ca="1">IF(controls!$B$44=0,I486-'main page'!$K$27*T485,I486-'main page'!$K$27*T485+'main page'!$K$31*'normal case'!AI485)</f>
        <v>101.00000005960464</v>
      </c>
      <c r="H486" s="62">
        <f t="shared" ca="1" si="66"/>
        <v>108</v>
      </c>
      <c r="I486" s="62">
        <f t="shared" ca="1" si="67"/>
        <v>108</v>
      </c>
      <c r="L486" s="62">
        <f ca="1">IF(ABS('main page'!$K$29*L485+(1-'main page'!$K$29)*(controls!$B$9/100)*100+'main page'!$K$25*(D486-B486)-L485)&lt;0.0000001,L485,'main page'!$K$29*L485+(1-'main page'!$K$29)*(controls!$B$9/100)*100+'main page'!$K$25*(D486-B486))</f>
        <v>1.9999998807907104</v>
      </c>
      <c r="Q486" s="409">
        <f ca="1">(1-'main page'!$K$29)*($AS$11/100)*100+'main page'!$K$25*(D486-B486)</f>
        <v>5.9604644775390625E-8</v>
      </c>
      <c r="R486" s="409">
        <f>'main page'!G490+'main page'!$K$29*M485</f>
        <v>0</v>
      </c>
      <c r="S486" s="409">
        <f t="shared" ca="1" si="65"/>
        <v>5.9604644775390625E-8</v>
      </c>
      <c r="T486" s="79">
        <f ca="1">IF(controls!$B$10=1,T485,IF(SUM(controls!$B$44:$B$46)=2,U486-'main page'!$K$29*'normal case'!L486-(1-'main page'!$K$29)*'main page'!$K$32,U486-'main page'!$K$29*'normal case'!L486-(1-'main page'!$K$29)*controls!$B$9))</f>
        <v>3.4999999701976776</v>
      </c>
      <c r="U486" s="164">
        <f ca="1">IF(controls!$B$45=1,IF(controls!$B$46=1,'main page'!$K$24+'main page'!$K$11+'main page'!$U$8,'main page'!$K$24+'main page'!$K$11+'main page'!$K$32),IF(controls!$B$44=1,IF(V486&lt;0,0,V486),IF(V486+'main page'!$K$11&lt;0,0,V486+'main page'!$K$11)))</f>
        <v>5.4999998509883881</v>
      </c>
      <c r="V486" s="63">
        <f ca="1">IF(controls!$B$10=1,'normal case'!T486+'normal case'!L486,'normal case'!W486)</f>
        <v>5.4999998509883881</v>
      </c>
      <c r="W486" s="61">
        <f t="shared" ca="1" si="61"/>
        <v>5.4999998509883881</v>
      </c>
      <c r="X486" s="166">
        <f ca="1">IF(controls!$B$44=0,Y486+'main page'!$K$29*L486+(1-'main page'!$K$29)*controls!$B$9+(('main page'!$K$25*'main page'!$U$13*'main page'!$K$29)/('main page'!$K$27*(1+('main page'!$K$25^2)*'main page'!$U$13)))*(L486-controls!$B$9),Y486+'main page'!$K$29*L486+(1-'main page'!$K$29)*controls!$B$9+(('main page'!$K$25*'main page'!$U$13*'normal case'!$AV$3)/'normal case'!$AV$4)*('normal case'!L486-controls!$B$9))</f>
        <v>5.4999998509883881</v>
      </c>
      <c r="Y486" s="81">
        <f ca="1">IF(controls!$B$44=1,'main page'!$K$24+'main page'!$K$11,IF(controls!$B$33=1,((I487-D486*AD487-B487+B486*AC487)/'main page'!$K$27)-'main page'!$K$11,((H487-D486*AD487-B487+B486*AC487)/'main page'!$K$27)-'main page'!$K$11))</f>
        <v>3.5</v>
      </c>
      <c r="AA486" s="58">
        <f>IF(controls!$B$6=1,$AS$3*(1+('main page'!$K$35/100))^AB486-$AS$3*(1+('main page'!$K$35/100))^AB485,$AS$3*(1+('main page'!$G$8/100))*(1+('main page'!$K$35/100))^AB486-$AS$3*(1+('main page'!$G$8/100))*(1+('main page'!$K$35/100))^AB485)</f>
        <v>0</v>
      </c>
      <c r="AB486" s="60">
        <v>479</v>
      </c>
      <c r="AC486" s="125">
        <v>0</v>
      </c>
      <c r="AD486" s="36">
        <v>0</v>
      </c>
      <c r="AE486" s="44">
        <f ca="1">IF(controls!$B$33=1,D486-($I$3-'main page'!$K$27*2)*(1+('main page'!$K$35/100))^A485,D486-$AS$4)</f>
        <v>1.0000000596046448</v>
      </c>
      <c r="AF486" s="44">
        <f ca="1">ABS(L486-(controls!$B$9/100)*100)</f>
        <v>1.1920928955078125E-7</v>
      </c>
      <c r="AH486" s="44">
        <f ca="1">IF(controls!$B$33=1,(B487-B486*AC487-I487+D486*AD487+'main page'!$K$27*('main page'!$K$24+'main page'!$K$11))/'main page'!$K$31,(B487-B486*AC487+D486*AD487-H487+'main page'!$K$27*('main page'!$K$24+'main page'!$K$11))/'main page'!$K$31)</f>
        <v>1</v>
      </c>
      <c r="AI486" s="44">
        <f ca="1">IF(controls!$B$45=1,LOG(AM486,1.01)+LOG(AL486,1.01)-LOG(AK486,1.01),-((T486-('main page'!$K$24+'main page'!$K$11))/(1-'normal case'!$AV$3))+'normal case'!AH486)</f>
        <v>2.0000000596046448</v>
      </c>
      <c r="AJ486" s="80">
        <f t="shared" ca="1" si="62"/>
        <v>1.0506250015463039</v>
      </c>
      <c r="AK486" s="44">
        <f t="shared" ca="1" si="63"/>
        <v>13974.59293858184</v>
      </c>
      <c r="AL486" s="44">
        <f>AL485*(1+'main page'!$K$32/100)</f>
        <v>1</v>
      </c>
      <c r="AM486" s="44">
        <f ca="1">IF(ABS(IF(controls!$B$45=1,$AS$13,AK486*AJ486/AL486)-AM485)&lt;0.00001,AM485,IF(controls!$B$45=1,$AS$13,AK486*AJ486/AL486))</f>
        <v>14682.056727706513</v>
      </c>
      <c r="AN486" s="44">
        <f>IF(controls!$B$46=0,0,IF(controls!$B$33=2,B487-B486*AC487-('normal case'!H487-D486*AD487-'main page'!$K$27*'normal case'!T486+'main page'!$K$31*'normal case'!AI486)-(('main page'!$K$25*'main page'!$U$13*'main page'!$K$29)/(1+('main page'!$K$25^2)*'main page'!$U$13))*('normal case'!L486-'main page'!$U$8),B487-B486*AC487-('normal case'!I487-D486*AD487-'main page'!$K$27*'normal case'!T486+'main page'!$K$31*'normal case'!AI486)-(('main page'!$K$25*'main page'!$U$13*'main page'!$K$29)/(1+('main page'!$K$25^2)*'main page'!$U$13))*('normal case'!L486-'main page'!$U$8)))</f>
        <v>0</v>
      </c>
      <c r="AU486" s="36"/>
      <c r="AV486" s="36"/>
    </row>
    <row r="487" spans="1:48">
      <c r="A487" s="43">
        <v>485</v>
      </c>
      <c r="B487" s="62">
        <f ca="1">IF(controls!$B$33=1,B486*(1+AC487)+AA487,B486*(1+AC487))</f>
        <v>101</v>
      </c>
      <c r="C487" s="67">
        <f t="shared" ca="1" si="64"/>
        <v>-1.5107707374006907E-7</v>
      </c>
      <c r="D487" s="64">
        <f t="shared" ca="1" si="60"/>
        <v>101.00000005960464</v>
      </c>
      <c r="E487" s="64">
        <f ca="1">AN486+IF(controls!$B$33=1,G487,F487)</f>
        <v>101.00000005960464</v>
      </c>
      <c r="F487" s="78">
        <f ca="1">IF(controls!$B$44=0,H487-'main page'!$K$27*T486,H487-'main page'!$K$27*T486+'main page'!$K$31*AI486)</f>
        <v>101.00000005960464</v>
      </c>
      <c r="G487" s="62">
        <f ca="1">IF(controls!$B$44=0,I487-'main page'!$K$27*T486,I487-'main page'!$K$27*T486+'main page'!$K$31*'normal case'!AI486)</f>
        <v>101.00000005960464</v>
      </c>
      <c r="H487" s="62">
        <f t="shared" ca="1" si="66"/>
        <v>108</v>
      </c>
      <c r="I487" s="62">
        <f t="shared" ca="1" si="67"/>
        <v>108</v>
      </c>
      <c r="L487" s="62">
        <f ca="1">IF(ABS('main page'!$K$29*L486+(1-'main page'!$K$29)*(controls!$B$9/100)*100+'main page'!$K$25*(D487-B487)-L486)&lt;0.0000001,L486,'main page'!$K$29*L486+(1-'main page'!$K$29)*(controls!$B$9/100)*100+'main page'!$K$25*(D487-B487))</f>
        <v>1.9999998807907104</v>
      </c>
      <c r="Q487" s="409">
        <f ca="1">(1-'main page'!$K$29)*($AS$11/100)*100+'main page'!$K$25*(D487-B487)</f>
        <v>5.9604644775390625E-8</v>
      </c>
      <c r="R487" s="409">
        <f>'main page'!G491+'main page'!$K$29*M486</f>
        <v>0</v>
      </c>
      <c r="S487" s="409">
        <f t="shared" ca="1" si="65"/>
        <v>5.9604644775390625E-8</v>
      </c>
      <c r="T487" s="79">
        <f ca="1">IF(controls!$B$10=1,T486,IF(SUM(controls!$B$44:$B$46)=2,U487-'main page'!$K$29*'normal case'!L487-(1-'main page'!$K$29)*'main page'!$K$32,U487-'main page'!$K$29*'normal case'!L487-(1-'main page'!$K$29)*controls!$B$9))</f>
        <v>3.4999999701976776</v>
      </c>
      <c r="U487" s="164">
        <f ca="1">IF(controls!$B$45=1,IF(controls!$B$46=1,'main page'!$K$24+'main page'!$K$11+'main page'!$U$8,'main page'!$K$24+'main page'!$K$11+'main page'!$K$32),IF(controls!$B$44=1,IF(V487&lt;0,0,V487),IF(V487+'main page'!$K$11&lt;0,0,V487+'main page'!$K$11)))</f>
        <v>5.4999998509883881</v>
      </c>
      <c r="V487" s="63">
        <f ca="1">IF(controls!$B$10=1,'normal case'!T487+'normal case'!L487,'normal case'!W487)</f>
        <v>5.4999998509883881</v>
      </c>
      <c r="W487" s="61">
        <f t="shared" ca="1" si="61"/>
        <v>5.4999998509883881</v>
      </c>
      <c r="X487" s="166">
        <f ca="1">IF(controls!$B$44=0,Y487+'main page'!$K$29*L487+(1-'main page'!$K$29)*controls!$B$9+(('main page'!$K$25*'main page'!$U$13*'main page'!$K$29)/('main page'!$K$27*(1+('main page'!$K$25^2)*'main page'!$U$13)))*(L487-controls!$B$9),Y487+'main page'!$K$29*L487+(1-'main page'!$K$29)*controls!$B$9+(('main page'!$K$25*'main page'!$U$13*'normal case'!$AV$3)/'normal case'!$AV$4)*('normal case'!L487-controls!$B$9))</f>
        <v>5.4999998509883881</v>
      </c>
      <c r="Y487" s="81">
        <f ca="1">IF(controls!$B$44=1,'main page'!$K$24+'main page'!$K$11,IF(controls!$B$33=1,((I488-D487*AD488-B488+B487*AC488)/'main page'!$K$27)-'main page'!$K$11,((H488-D487*AD488-B488+B487*AC488)/'main page'!$K$27)-'main page'!$K$11))</f>
        <v>3.5</v>
      </c>
      <c r="AA487" s="58">
        <f>IF(controls!$B$6=1,$AS$3*(1+('main page'!$K$35/100))^AB487-$AS$3*(1+('main page'!$K$35/100))^AB486,$AS$3*(1+('main page'!$G$8/100))*(1+('main page'!$K$35/100))^AB487-$AS$3*(1+('main page'!$G$8/100))*(1+('main page'!$K$35/100))^AB486)</f>
        <v>0</v>
      </c>
      <c r="AB487" s="60">
        <v>480</v>
      </c>
      <c r="AC487" s="125">
        <v>0</v>
      </c>
      <c r="AD487" s="36">
        <v>0</v>
      </c>
      <c r="AE487" s="44">
        <f ca="1">IF(controls!$B$33=1,D487-($I$3-'main page'!$K$27*2)*(1+('main page'!$K$35/100))^A486,D487-$AS$4)</f>
        <v>1.0000000596046448</v>
      </c>
      <c r="AF487" s="44">
        <f ca="1">ABS(L487-(controls!$B$9/100)*100)</f>
        <v>1.1920928955078125E-7</v>
      </c>
      <c r="AH487" s="44">
        <f ca="1">IF(controls!$B$33=1,(B488-B487*AC488-I488+D487*AD488+'main page'!$K$27*('main page'!$K$24+'main page'!$K$11))/'main page'!$K$31,(B488-B487*AC488+D487*AD488-H488+'main page'!$K$27*('main page'!$K$24+'main page'!$K$11))/'main page'!$K$31)</f>
        <v>1</v>
      </c>
      <c r="AI487" s="44">
        <f ca="1">IF(controls!$B$45=1,LOG(AM487,1.01)+LOG(AL487,1.01)-LOG(AK487,1.01),-((T487-('main page'!$K$24+'main page'!$K$11))/(1-'normal case'!$AV$3))+'normal case'!AH487)</f>
        <v>2.0000000596046448</v>
      </c>
      <c r="AJ487" s="80">
        <f t="shared" ca="1" si="62"/>
        <v>1.0506250015463039</v>
      </c>
      <c r="AK487" s="44">
        <f t="shared" ca="1" si="63"/>
        <v>14254.084780694464</v>
      </c>
      <c r="AL487" s="44">
        <f>AL486*(1+'main page'!$K$32/100)</f>
        <v>1</v>
      </c>
      <c r="AM487" s="44">
        <f ca="1">IF(ABS(IF(controls!$B$45=1,$AS$13,AK487*AJ487/AL487)-AM486)&lt;0.00001,AM486,IF(controls!$B$45=1,$AS$13,AK487*AJ487/AL487))</f>
        <v>14975.697844758268</v>
      </c>
      <c r="AN487" s="44">
        <f>IF(controls!$B$46=0,0,IF(controls!$B$33=2,B488-B487*AC488-('normal case'!H488-D487*AD488-'main page'!$K$27*'normal case'!T487+'main page'!$K$31*'normal case'!AI487)-(('main page'!$K$25*'main page'!$U$13*'main page'!$K$29)/(1+('main page'!$K$25^2)*'main page'!$U$13))*('normal case'!L487-'main page'!$U$8),B488-B487*AC488-('normal case'!I488-D487*AD488-'main page'!$K$27*'normal case'!T487+'main page'!$K$31*'normal case'!AI487)-(('main page'!$K$25*'main page'!$U$13*'main page'!$K$29)/(1+('main page'!$K$25^2)*'main page'!$U$13))*('normal case'!L487-'main page'!$U$8)))</f>
        <v>0</v>
      </c>
      <c r="AU487" s="36"/>
      <c r="AV487" s="36"/>
    </row>
    <row r="488" spans="1:48">
      <c r="A488" s="43">
        <v>486</v>
      </c>
      <c r="B488" s="62">
        <f ca="1">IF(controls!$B$33=1,B487*(1+AC488)+AA488,B487*(1+AC488))</f>
        <v>101</v>
      </c>
      <c r="C488" s="67">
        <f t="shared" ca="1" si="64"/>
        <v>-1.5107707374006907E-7</v>
      </c>
      <c r="D488" s="64">
        <f t="shared" ca="1" si="60"/>
        <v>101.00000005960464</v>
      </c>
      <c r="E488" s="64">
        <f ca="1">AN487+IF(controls!$B$33=1,G488,F488)</f>
        <v>101.00000005960464</v>
      </c>
      <c r="F488" s="78">
        <f ca="1">IF(controls!$B$44=0,H488-'main page'!$K$27*T487,H488-'main page'!$K$27*T487+'main page'!$K$31*AI487)</f>
        <v>101.00000005960464</v>
      </c>
      <c r="G488" s="62">
        <f ca="1">IF(controls!$B$44=0,I488-'main page'!$K$27*T487,I488-'main page'!$K$27*T487+'main page'!$K$31*'normal case'!AI487)</f>
        <v>101.00000005960464</v>
      </c>
      <c r="H488" s="62">
        <f t="shared" ca="1" si="66"/>
        <v>108</v>
      </c>
      <c r="I488" s="62">
        <f t="shared" ca="1" si="67"/>
        <v>108</v>
      </c>
      <c r="L488" s="62">
        <f ca="1">IF(ABS('main page'!$K$29*L487+(1-'main page'!$K$29)*(controls!$B$9/100)*100+'main page'!$K$25*(D488-B488)-L487)&lt;0.0000001,L487,'main page'!$K$29*L487+(1-'main page'!$K$29)*(controls!$B$9/100)*100+'main page'!$K$25*(D488-B488))</f>
        <v>1.9999998807907104</v>
      </c>
      <c r="Q488" s="409">
        <f ca="1">(1-'main page'!$K$29)*($AS$11/100)*100+'main page'!$K$25*(D488-B488)</f>
        <v>5.9604644775390625E-8</v>
      </c>
      <c r="R488" s="409">
        <f>'main page'!G492+'main page'!$K$29*M487</f>
        <v>0</v>
      </c>
      <c r="S488" s="409">
        <f t="shared" ca="1" si="65"/>
        <v>5.9604644775390625E-8</v>
      </c>
      <c r="T488" s="79">
        <f ca="1">IF(controls!$B$10=1,T487,IF(SUM(controls!$B$44:$B$46)=2,U488-'main page'!$K$29*'normal case'!L488-(1-'main page'!$K$29)*'main page'!$K$32,U488-'main page'!$K$29*'normal case'!L488-(1-'main page'!$K$29)*controls!$B$9))</f>
        <v>3.4999999701976776</v>
      </c>
      <c r="U488" s="164">
        <f ca="1">IF(controls!$B$45=1,IF(controls!$B$46=1,'main page'!$K$24+'main page'!$K$11+'main page'!$U$8,'main page'!$K$24+'main page'!$K$11+'main page'!$K$32),IF(controls!$B$44=1,IF(V488&lt;0,0,V488),IF(V488+'main page'!$K$11&lt;0,0,V488+'main page'!$K$11)))</f>
        <v>5.4999998509883881</v>
      </c>
      <c r="V488" s="63">
        <f ca="1">IF(controls!$B$10=1,'normal case'!T488+'normal case'!L488,'normal case'!W488)</f>
        <v>5.4999998509883881</v>
      </c>
      <c r="W488" s="61">
        <f t="shared" ca="1" si="61"/>
        <v>5.4999998509883881</v>
      </c>
      <c r="X488" s="166">
        <f ca="1">IF(controls!$B$44=0,Y488+'main page'!$K$29*L488+(1-'main page'!$K$29)*controls!$B$9+(('main page'!$K$25*'main page'!$U$13*'main page'!$K$29)/('main page'!$K$27*(1+('main page'!$K$25^2)*'main page'!$U$13)))*(L488-controls!$B$9),Y488+'main page'!$K$29*L488+(1-'main page'!$K$29)*controls!$B$9+(('main page'!$K$25*'main page'!$U$13*'normal case'!$AV$3)/'normal case'!$AV$4)*('normal case'!L488-controls!$B$9))</f>
        <v>5.4999998509883881</v>
      </c>
      <c r="Y488" s="81">
        <f ca="1">IF(controls!$B$44=1,'main page'!$K$24+'main page'!$K$11,IF(controls!$B$33=1,((I489-D488*AD489-B489+B488*AC489)/'main page'!$K$27)-'main page'!$K$11,((H489-D488*AD489-B489+B488*AC489)/'main page'!$K$27)-'main page'!$K$11))</f>
        <v>3.5</v>
      </c>
      <c r="AA488" s="58">
        <f>IF(controls!$B$6=1,$AS$3*(1+('main page'!$K$35/100))^AB488-$AS$3*(1+('main page'!$K$35/100))^AB487,$AS$3*(1+('main page'!$G$8/100))*(1+('main page'!$K$35/100))^AB488-$AS$3*(1+('main page'!$G$8/100))*(1+('main page'!$K$35/100))^AB487)</f>
        <v>0</v>
      </c>
      <c r="AB488" s="60">
        <v>481</v>
      </c>
      <c r="AC488" s="125">
        <f ca="1">IF(controls!$B$4=1,IF(controls!$H487=1,controls!$B$34*AC487+RAND()*('main page'!$K$16/100)-RAND()*('main page'!$K$16/100),0),0)</f>
        <v>0</v>
      </c>
      <c r="AD488" s="36">
        <f ca="1">IF(controls!$B$4=1,IF(controls!$I487=1,controls!$B$34*AD487+RAND()*('main page'!$K$16/100)-RAND()*('main page'!$K$16/100),0),0)</f>
        <v>0</v>
      </c>
      <c r="AE488" s="44">
        <f ca="1">IF(controls!$B$33=1,D488-($I$3-'main page'!$K$27*2)*(1+('main page'!$K$35/100))^A487,D488-$AS$4)</f>
        <v>1.0000000596046448</v>
      </c>
      <c r="AF488" s="44">
        <f ca="1">ABS(L488-(controls!$B$9/100)*100)</f>
        <v>1.1920928955078125E-7</v>
      </c>
      <c r="AH488" s="44">
        <f ca="1">IF(controls!$B$33=1,(B489-B488*AC489-I489+D488*AD489+'main page'!$K$27*('main page'!$K$24+'main page'!$K$11))/'main page'!$K$31,(B489-B488*AC489+D488*AD489-H489+'main page'!$K$27*('main page'!$K$24+'main page'!$K$11))/'main page'!$K$31)</f>
        <v>1</v>
      </c>
      <c r="AI488" s="44">
        <f ca="1">IF(controls!$B$45=1,LOG(AM488,1.01)+LOG(AL488,1.01)-LOG(AK488,1.01),-((T488-('main page'!$K$24+'main page'!$K$11))/(1-'normal case'!$AV$3))+'normal case'!AH488)</f>
        <v>2.0000000596046448</v>
      </c>
      <c r="AJ488" s="80">
        <f t="shared" ca="1" si="62"/>
        <v>1.0506250015463039</v>
      </c>
      <c r="AK488" s="44">
        <f t="shared" ca="1" si="63"/>
        <v>14539.16645931616</v>
      </c>
      <c r="AL488" s="44">
        <f>AL487*(1+'main page'!$K$32/100)</f>
        <v>1</v>
      </c>
      <c r="AM488" s="44">
        <f ca="1">IF(ABS(IF(controls!$B$45=1,$AS$13,AK488*AJ488/AL488)-AM487)&lt;0.00001,AM487,IF(controls!$B$45=1,$AS$13,AK488*AJ488/AL488))</f>
        <v>15275.211783801011</v>
      </c>
      <c r="AN488" s="44">
        <f>IF(controls!$B$46=0,0,IF(controls!$B$33=2,B489-B488*AC489-('normal case'!H489-D488*AD489-'main page'!$K$27*'normal case'!T488+'main page'!$K$31*'normal case'!AI488)-(('main page'!$K$25*'main page'!$U$13*'main page'!$K$29)/(1+('main page'!$K$25^2)*'main page'!$U$13))*('normal case'!L488-'main page'!$U$8),B489-B488*AC489-('normal case'!I489-D488*AD489-'main page'!$K$27*'normal case'!T488+'main page'!$K$31*'normal case'!AI488)-(('main page'!$K$25*'main page'!$U$13*'main page'!$K$29)/(1+('main page'!$K$25^2)*'main page'!$U$13))*('normal case'!L488-'main page'!$U$8)))</f>
        <v>0</v>
      </c>
      <c r="AU488" s="36"/>
      <c r="AV488" s="36"/>
    </row>
    <row r="489" spans="1:48">
      <c r="A489" s="43">
        <v>487</v>
      </c>
      <c r="B489" s="62">
        <f ca="1">IF(controls!$B$33=1,B488*(1+AC489)+AA489,B488*(1+AC489))</f>
        <v>101</v>
      </c>
      <c r="C489" s="67">
        <f t="shared" ca="1" si="64"/>
        <v>-1.5107707374006907E-7</v>
      </c>
      <c r="D489" s="64">
        <f t="shared" ca="1" si="60"/>
        <v>101.00000005960464</v>
      </c>
      <c r="E489" s="64">
        <f ca="1">AN488+IF(controls!$B$33=1,G489,F489)</f>
        <v>101.00000005960464</v>
      </c>
      <c r="F489" s="78">
        <f ca="1">IF(controls!$B$44=0,H489-'main page'!$K$27*T488,H489-'main page'!$K$27*T488+'main page'!$K$31*AI488)</f>
        <v>101.00000005960464</v>
      </c>
      <c r="G489" s="62">
        <f ca="1">IF(controls!$B$44=0,I489-'main page'!$K$27*T488,I489-'main page'!$K$27*T488+'main page'!$K$31*'normal case'!AI488)</f>
        <v>101.00000005960464</v>
      </c>
      <c r="H489" s="62">
        <f t="shared" ca="1" si="66"/>
        <v>108</v>
      </c>
      <c r="I489" s="62">
        <f t="shared" ca="1" si="67"/>
        <v>108</v>
      </c>
      <c r="L489" s="62">
        <f ca="1">IF(ABS('main page'!$K$29*L488+(1-'main page'!$K$29)*(controls!$B$9/100)*100+'main page'!$K$25*(D489-B489)-L488)&lt;0.0000001,L488,'main page'!$K$29*L488+(1-'main page'!$K$29)*(controls!$B$9/100)*100+'main page'!$K$25*(D489-B489))</f>
        <v>1.9999998807907104</v>
      </c>
      <c r="Q489" s="409">
        <f ca="1">(1-'main page'!$K$29)*($AS$11/100)*100+'main page'!$K$25*(D489-B489)</f>
        <v>5.9604644775390625E-8</v>
      </c>
      <c r="R489" s="409">
        <f>'main page'!G493+'main page'!$K$29*M488</f>
        <v>0</v>
      </c>
      <c r="S489" s="409">
        <f t="shared" ca="1" si="65"/>
        <v>5.9604644775390625E-8</v>
      </c>
      <c r="T489" s="79">
        <f ca="1">IF(controls!$B$10=1,T488,IF(SUM(controls!$B$44:$B$46)=2,U489-'main page'!$K$29*'normal case'!L489-(1-'main page'!$K$29)*'main page'!$K$32,U489-'main page'!$K$29*'normal case'!L489-(1-'main page'!$K$29)*controls!$B$9))</f>
        <v>3.4999999701976776</v>
      </c>
      <c r="U489" s="164">
        <f ca="1">IF(controls!$B$45=1,IF(controls!$B$46=1,'main page'!$K$24+'main page'!$K$11+'main page'!$U$8,'main page'!$K$24+'main page'!$K$11+'main page'!$K$32),IF(controls!$B$44=1,IF(V489&lt;0,0,V489),IF(V489+'main page'!$K$11&lt;0,0,V489+'main page'!$K$11)))</f>
        <v>5.4999998509883881</v>
      </c>
      <c r="V489" s="63">
        <f ca="1">IF(controls!$B$10=1,'normal case'!T489+'normal case'!L489,'normal case'!W489)</f>
        <v>5.4999998509883881</v>
      </c>
      <c r="W489" s="61">
        <f t="shared" ca="1" si="61"/>
        <v>5.4999998509883881</v>
      </c>
      <c r="X489" s="166">
        <f ca="1">IF(controls!$B$44=0,Y489+'main page'!$K$29*L489+(1-'main page'!$K$29)*controls!$B$9+(('main page'!$K$25*'main page'!$U$13*'main page'!$K$29)/('main page'!$K$27*(1+('main page'!$K$25^2)*'main page'!$U$13)))*(L489-controls!$B$9),Y489+'main page'!$K$29*L489+(1-'main page'!$K$29)*controls!$B$9+(('main page'!$K$25*'main page'!$U$13*'normal case'!$AV$3)/'normal case'!$AV$4)*('normal case'!L489-controls!$B$9))</f>
        <v>5.4999998509883881</v>
      </c>
      <c r="Y489" s="81">
        <f ca="1">IF(controls!$B$44=1,'main page'!$K$24+'main page'!$K$11,IF(controls!$B$33=1,((I490-D489*AD490-B490+B489*AC490)/'main page'!$K$27)-'main page'!$K$11,((H490-D489*AD490-B490+B489*AC490)/'main page'!$K$27)-'main page'!$K$11))</f>
        <v>3.5</v>
      </c>
      <c r="AA489" s="58">
        <f>IF(controls!$B$6=1,$AS$3*(1+('main page'!$K$35/100))^AB489-$AS$3*(1+('main page'!$K$35/100))^AB488,$AS$3*(1+('main page'!$G$8/100))*(1+('main page'!$K$35/100))^AB489-$AS$3*(1+('main page'!$G$8/100))*(1+('main page'!$K$35/100))^AB488)</f>
        <v>0</v>
      </c>
      <c r="AB489" s="60">
        <v>482</v>
      </c>
      <c r="AC489" s="125">
        <v>0</v>
      </c>
      <c r="AD489" s="36">
        <v>0</v>
      </c>
      <c r="AE489" s="44">
        <f ca="1">IF(controls!$B$33=1,D489-($I$3-'main page'!$K$27*2)*(1+('main page'!$K$35/100))^A488,D489-$AS$4)</f>
        <v>1.0000000596046448</v>
      </c>
      <c r="AF489" s="44">
        <f ca="1">ABS(L489-(controls!$B$9/100)*100)</f>
        <v>1.1920928955078125E-7</v>
      </c>
      <c r="AH489" s="44">
        <f ca="1">IF(controls!$B$33=1,(B490-B489*AC490-I490+D489*AD490+'main page'!$K$27*('main page'!$K$24+'main page'!$K$11))/'main page'!$K$31,(B490-B489*AC490+D489*AD490-H490+'main page'!$K$27*('main page'!$K$24+'main page'!$K$11))/'main page'!$K$31)</f>
        <v>1</v>
      </c>
      <c r="AI489" s="44">
        <f ca="1">IF(controls!$B$45=1,LOG(AM489,1.01)+LOG(AL489,1.01)-LOG(AK489,1.01),-((T489-('main page'!$K$24+'main page'!$K$11))/(1-'normal case'!$AV$3))+'normal case'!AH489)</f>
        <v>2.0000000596046448</v>
      </c>
      <c r="AJ489" s="80">
        <f t="shared" ca="1" si="62"/>
        <v>1.0506250015463039</v>
      </c>
      <c r="AK489" s="44">
        <f t="shared" ca="1" si="63"/>
        <v>14829.949771170448</v>
      </c>
      <c r="AL489" s="44">
        <f>AL488*(1+'main page'!$K$32/100)</f>
        <v>1</v>
      </c>
      <c r="AM489" s="44">
        <f ca="1">IF(ABS(IF(controls!$B$45=1,$AS$13,AK489*AJ489/AL489)-AM488)&lt;0.00001,AM488,IF(controls!$B$45=1,$AS$13,AK489*AJ489/AL489))</f>
        <v>15580.716001267561</v>
      </c>
      <c r="AN489" s="44">
        <f>IF(controls!$B$46=0,0,IF(controls!$B$33=2,B490-B489*AC490-('normal case'!H490-D489*AD490-'main page'!$K$27*'normal case'!T489+'main page'!$K$31*'normal case'!AI489)-(('main page'!$K$25*'main page'!$U$13*'main page'!$K$29)/(1+('main page'!$K$25^2)*'main page'!$U$13))*('normal case'!L489-'main page'!$U$8),B490-B489*AC490-('normal case'!I490-D489*AD490-'main page'!$K$27*'normal case'!T489+'main page'!$K$31*'normal case'!AI489)-(('main page'!$K$25*'main page'!$U$13*'main page'!$K$29)/(1+('main page'!$K$25^2)*'main page'!$U$13))*('normal case'!L489-'main page'!$U$8)))</f>
        <v>0</v>
      </c>
      <c r="AU489" s="36"/>
      <c r="AV489" s="36"/>
    </row>
    <row r="490" spans="1:48">
      <c r="A490" s="43">
        <v>488</v>
      </c>
      <c r="B490" s="62">
        <f ca="1">IF(controls!$B$33=1,B489*(1+AC490)+AA490,B489*(1+AC490))</f>
        <v>101</v>
      </c>
      <c r="C490" s="67">
        <f t="shared" ca="1" si="64"/>
        <v>-1.5107707374006907E-7</v>
      </c>
      <c r="D490" s="64">
        <f t="shared" ca="1" si="60"/>
        <v>101.00000005960464</v>
      </c>
      <c r="E490" s="64">
        <f ca="1">AN489+IF(controls!$B$33=1,G490,F490)</f>
        <v>101.00000005960464</v>
      </c>
      <c r="F490" s="78">
        <f ca="1">IF(controls!$B$44=0,H490-'main page'!$K$27*T489,H490-'main page'!$K$27*T489+'main page'!$K$31*AI489)</f>
        <v>101.00000005960464</v>
      </c>
      <c r="G490" s="62">
        <f ca="1">IF(controls!$B$44=0,I490-'main page'!$K$27*T489,I490-'main page'!$K$27*T489+'main page'!$K$31*'normal case'!AI489)</f>
        <v>101.00000005960464</v>
      </c>
      <c r="H490" s="62">
        <f t="shared" ca="1" si="66"/>
        <v>108</v>
      </c>
      <c r="I490" s="62">
        <f t="shared" ca="1" si="67"/>
        <v>108</v>
      </c>
      <c r="L490" s="62">
        <f ca="1">IF(ABS('main page'!$K$29*L489+(1-'main page'!$K$29)*(controls!$B$9/100)*100+'main page'!$K$25*(D490-B490)-L489)&lt;0.0000001,L489,'main page'!$K$29*L489+(1-'main page'!$K$29)*(controls!$B$9/100)*100+'main page'!$K$25*(D490-B490))</f>
        <v>1.9999998807907104</v>
      </c>
      <c r="Q490" s="409">
        <f ca="1">(1-'main page'!$K$29)*($AS$11/100)*100+'main page'!$K$25*(D490-B490)</f>
        <v>5.9604644775390625E-8</v>
      </c>
      <c r="R490" s="409">
        <f>'main page'!G494+'main page'!$K$29*M489</f>
        <v>0</v>
      </c>
      <c r="S490" s="409">
        <f t="shared" ca="1" si="65"/>
        <v>5.9604644775390625E-8</v>
      </c>
      <c r="T490" s="79">
        <f ca="1">IF(controls!$B$10=1,T489,IF(SUM(controls!$B$44:$B$46)=2,U490-'main page'!$K$29*'normal case'!L490-(1-'main page'!$K$29)*'main page'!$K$32,U490-'main page'!$K$29*'normal case'!L490-(1-'main page'!$K$29)*controls!$B$9))</f>
        <v>3.4999999701976776</v>
      </c>
      <c r="U490" s="164">
        <f ca="1">IF(controls!$B$45=1,IF(controls!$B$46=1,'main page'!$K$24+'main page'!$K$11+'main page'!$U$8,'main page'!$K$24+'main page'!$K$11+'main page'!$K$32),IF(controls!$B$44=1,IF(V490&lt;0,0,V490),IF(V490+'main page'!$K$11&lt;0,0,V490+'main page'!$K$11)))</f>
        <v>5.4999998509883881</v>
      </c>
      <c r="V490" s="63">
        <f ca="1">IF(controls!$B$10=1,'normal case'!T490+'normal case'!L490,'normal case'!W490)</f>
        <v>5.4999998509883881</v>
      </c>
      <c r="W490" s="61">
        <f t="shared" ca="1" si="61"/>
        <v>5.4999998509883881</v>
      </c>
      <c r="X490" s="166">
        <f ca="1">IF(controls!$B$44=0,Y490+'main page'!$K$29*L490+(1-'main page'!$K$29)*controls!$B$9+(('main page'!$K$25*'main page'!$U$13*'main page'!$K$29)/('main page'!$K$27*(1+('main page'!$K$25^2)*'main page'!$U$13)))*(L490-controls!$B$9),Y490+'main page'!$K$29*L490+(1-'main page'!$K$29)*controls!$B$9+(('main page'!$K$25*'main page'!$U$13*'normal case'!$AV$3)/'normal case'!$AV$4)*('normal case'!L490-controls!$B$9))</f>
        <v>5.4999998509883881</v>
      </c>
      <c r="Y490" s="81">
        <f ca="1">IF(controls!$B$44=1,'main page'!$K$24+'main page'!$K$11,IF(controls!$B$33=1,((I491-D490*AD491-B491+B490*AC491)/'main page'!$K$27)-'main page'!$K$11,((H491-D490*AD491-B491+B490*AC491)/'main page'!$K$27)-'main page'!$K$11))</f>
        <v>3.5</v>
      </c>
      <c r="AA490" s="58">
        <f>IF(controls!$B$6=1,$AS$3*(1+('main page'!$K$35/100))^AB490-$AS$3*(1+('main page'!$K$35/100))^AB489,$AS$3*(1+('main page'!$G$8/100))*(1+('main page'!$K$35/100))^AB490-$AS$3*(1+('main page'!$G$8/100))*(1+('main page'!$K$35/100))^AB489)</f>
        <v>0</v>
      </c>
      <c r="AB490" s="60">
        <v>483</v>
      </c>
      <c r="AC490" s="125">
        <v>0</v>
      </c>
      <c r="AD490" s="36">
        <v>0</v>
      </c>
      <c r="AE490" s="44">
        <f ca="1">IF(controls!$B$33=1,D490-($I$3-'main page'!$K$27*2)*(1+('main page'!$K$35/100))^A489,D490-$AS$4)</f>
        <v>1.0000000596046448</v>
      </c>
      <c r="AF490" s="44">
        <f ca="1">ABS(L490-(controls!$B$9/100)*100)</f>
        <v>1.1920928955078125E-7</v>
      </c>
      <c r="AH490" s="44">
        <f ca="1">IF(controls!$B$33=1,(B491-B490*AC491-I491+D490*AD491+'main page'!$K$27*('main page'!$K$24+'main page'!$K$11))/'main page'!$K$31,(B491-B490*AC491+D490*AD491-H491+'main page'!$K$27*('main page'!$K$24+'main page'!$K$11))/'main page'!$K$31)</f>
        <v>1</v>
      </c>
      <c r="AI490" s="44">
        <f ca="1">IF(controls!$B$45=1,LOG(AM490,1.01)+LOG(AL490,1.01)-LOG(AK490,1.01),-((T490-('main page'!$K$24+'main page'!$K$11))/(1-'normal case'!$AV$3))+'normal case'!AH490)</f>
        <v>2.0000000596046448</v>
      </c>
      <c r="AJ490" s="80">
        <f t="shared" ca="1" si="62"/>
        <v>1.0506250015463039</v>
      </c>
      <c r="AK490" s="44">
        <f t="shared" ca="1" si="63"/>
        <v>15126.54874891518</v>
      </c>
      <c r="AL490" s="44">
        <f>AL489*(1+'main page'!$K$32/100)</f>
        <v>1</v>
      </c>
      <c r="AM490" s="44">
        <f ca="1">IF(ABS(IF(controls!$B$45=1,$AS$13,AK490*AJ490/AL490)-AM489)&lt;0.00001,AM489,IF(controls!$B$45=1,$AS$13,AK490*AJ490/AL490))</f>
        <v>15892.330302719252</v>
      </c>
      <c r="AN490" s="44">
        <f>IF(controls!$B$46=0,0,IF(controls!$B$33=2,B491-B490*AC491-('normal case'!H491-D490*AD491-'main page'!$K$27*'normal case'!T490+'main page'!$K$31*'normal case'!AI490)-(('main page'!$K$25*'main page'!$U$13*'main page'!$K$29)/(1+('main page'!$K$25^2)*'main page'!$U$13))*('normal case'!L490-'main page'!$U$8),B491-B490*AC491-('normal case'!I491-D490*AD491-'main page'!$K$27*'normal case'!T490+'main page'!$K$31*'normal case'!AI490)-(('main page'!$K$25*'main page'!$U$13*'main page'!$K$29)/(1+('main page'!$K$25^2)*'main page'!$U$13))*('normal case'!L490-'main page'!$U$8)))</f>
        <v>0</v>
      </c>
      <c r="AU490" s="36"/>
      <c r="AV490" s="36"/>
    </row>
    <row r="491" spans="1:48">
      <c r="A491" s="43">
        <v>489</v>
      </c>
      <c r="B491" s="62">
        <f ca="1">IF(controls!$B$33=1,B490*(1+AC491)+AA491,B490*(1+AC491))</f>
        <v>101</v>
      </c>
      <c r="C491" s="67">
        <f t="shared" ca="1" si="64"/>
        <v>-1.5107707374006907E-7</v>
      </c>
      <c r="D491" s="64">
        <f t="shared" ca="1" si="60"/>
        <v>101.00000005960464</v>
      </c>
      <c r="E491" s="64">
        <f ca="1">AN490+IF(controls!$B$33=1,G491,F491)</f>
        <v>101.00000005960464</v>
      </c>
      <c r="F491" s="78">
        <f ca="1">IF(controls!$B$44=0,H491-'main page'!$K$27*T490,H491-'main page'!$K$27*T490+'main page'!$K$31*AI490)</f>
        <v>101.00000005960464</v>
      </c>
      <c r="G491" s="62">
        <f ca="1">IF(controls!$B$44=0,I491-'main page'!$K$27*T490,I491-'main page'!$K$27*T490+'main page'!$K$31*'normal case'!AI490)</f>
        <v>101.00000005960464</v>
      </c>
      <c r="H491" s="62">
        <f t="shared" ca="1" si="66"/>
        <v>108</v>
      </c>
      <c r="I491" s="62">
        <f t="shared" ca="1" si="67"/>
        <v>108</v>
      </c>
      <c r="L491" s="62">
        <f ca="1">IF(ABS('main page'!$K$29*L490+(1-'main page'!$K$29)*(controls!$B$9/100)*100+'main page'!$K$25*(D491-B491)-L490)&lt;0.0000001,L490,'main page'!$K$29*L490+(1-'main page'!$K$29)*(controls!$B$9/100)*100+'main page'!$K$25*(D491-B491))</f>
        <v>1.9999998807907104</v>
      </c>
      <c r="Q491" s="409">
        <f ca="1">(1-'main page'!$K$29)*($AS$11/100)*100+'main page'!$K$25*(D491-B491)</f>
        <v>5.9604644775390625E-8</v>
      </c>
      <c r="R491" s="409">
        <f>'main page'!G495+'main page'!$K$29*M490</f>
        <v>0</v>
      </c>
      <c r="S491" s="409">
        <f t="shared" ca="1" si="65"/>
        <v>5.9604644775390625E-8</v>
      </c>
      <c r="T491" s="79">
        <f ca="1">IF(controls!$B$10=1,T490,IF(SUM(controls!$B$44:$B$46)=2,U491-'main page'!$K$29*'normal case'!L491-(1-'main page'!$K$29)*'main page'!$K$32,U491-'main page'!$K$29*'normal case'!L491-(1-'main page'!$K$29)*controls!$B$9))</f>
        <v>3.4999999701976776</v>
      </c>
      <c r="U491" s="164">
        <f ca="1">IF(controls!$B$45=1,IF(controls!$B$46=1,'main page'!$K$24+'main page'!$K$11+'main page'!$U$8,'main page'!$K$24+'main page'!$K$11+'main page'!$K$32),IF(controls!$B$44=1,IF(V491&lt;0,0,V491),IF(V491+'main page'!$K$11&lt;0,0,V491+'main page'!$K$11)))</f>
        <v>5.4999998509883881</v>
      </c>
      <c r="V491" s="63">
        <f ca="1">IF(controls!$B$10=1,'normal case'!T491+'normal case'!L491,'normal case'!W491)</f>
        <v>5.4999998509883881</v>
      </c>
      <c r="W491" s="61">
        <f t="shared" ca="1" si="61"/>
        <v>5.4999998509883881</v>
      </c>
      <c r="X491" s="166">
        <f ca="1">IF(controls!$B$44=0,Y491+'main page'!$K$29*L491+(1-'main page'!$K$29)*controls!$B$9+(('main page'!$K$25*'main page'!$U$13*'main page'!$K$29)/('main page'!$K$27*(1+('main page'!$K$25^2)*'main page'!$U$13)))*(L491-controls!$B$9),Y491+'main page'!$K$29*L491+(1-'main page'!$K$29)*controls!$B$9+(('main page'!$K$25*'main page'!$U$13*'normal case'!$AV$3)/'normal case'!$AV$4)*('normal case'!L491-controls!$B$9))</f>
        <v>5.4999998509883881</v>
      </c>
      <c r="Y491" s="81">
        <f ca="1">IF(controls!$B$44=1,'main page'!$K$24+'main page'!$K$11,IF(controls!$B$33=1,((I492-D491*AD492-B492+B491*AC492)/'main page'!$K$27)-'main page'!$K$11,((H492-D491*AD492-B492+B491*AC492)/'main page'!$K$27)-'main page'!$K$11))</f>
        <v>3.5</v>
      </c>
      <c r="AA491" s="58">
        <f>IF(controls!$B$6=1,$AS$3*(1+('main page'!$K$35/100))^AB491-$AS$3*(1+('main page'!$K$35/100))^AB490,$AS$3*(1+('main page'!$G$8/100))*(1+('main page'!$K$35/100))^AB491-$AS$3*(1+('main page'!$G$8/100))*(1+('main page'!$K$35/100))^AB490)</f>
        <v>0</v>
      </c>
      <c r="AB491" s="60">
        <v>484</v>
      </c>
      <c r="AC491" s="125">
        <f ca="1">IF(controls!$B$4=1,IF(controls!$H490=1,controls!$B$34*AC490+RAND()*('main page'!$K$16/100)-RAND()*('main page'!$K$16/100),0),0)</f>
        <v>0</v>
      </c>
      <c r="AD491" s="36">
        <f ca="1">IF(controls!$B$4=1,IF(controls!$I490=1,controls!$B$34*AD490+RAND()*('main page'!$K$16/100)-RAND()*('main page'!$K$16/100),0),0)</f>
        <v>0</v>
      </c>
      <c r="AE491" s="44">
        <f ca="1">IF(controls!$B$33=1,D491-($I$3-'main page'!$K$27*2)*(1+('main page'!$K$35/100))^A490,D491-$AS$4)</f>
        <v>1.0000000596046448</v>
      </c>
      <c r="AF491" s="44">
        <f ca="1">ABS(L491-(controls!$B$9/100)*100)</f>
        <v>1.1920928955078125E-7</v>
      </c>
      <c r="AH491" s="44">
        <f ca="1">IF(controls!$B$33=1,(B492-B491*AC492-I492+D491*AD492+'main page'!$K$27*('main page'!$K$24+'main page'!$K$11))/'main page'!$K$31,(B492-B491*AC492+D491*AD492-H492+'main page'!$K$27*('main page'!$K$24+'main page'!$K$11))/'main page'!$K$31)</f>
        <v>1</v>
      </c>
      <c r="AI491" s="44">
        <f ca="1">IF(controls!$B$45=1,LOG(AM491,1.01)+LOG(AL491,1.01)-LOG(AK491,1.01),-((T491-('main page'!$K$24+'main page'!$K$11))/(1-'normal case'!$AV$3))+'normal case'!AH491)</f>
        <v>2.0000000596046448</v>
      </c>
      <c r="AJ491" s="80">
        <f t="shared" ca="1" si="62"/>
        <v>1.0506250015463039</v>
      </c>
      <c r="AK491" s="44">
        <f t="shared" ca="1" si="63"/>
        <v>15429.079705861233</v>
      </c>
      <c r="AL491" s="44">
        <f>AL490*(1+'main page'!$K$32/100)</f>
        <v>1</v>
      </c>
      <c r="AM491" s="44">
        <f ca="1">IF(ABS(IF(controls!$B$45=1,$AS$13,AK491*AJ491/AL491)-AM490)&lt;0.00001,AM490,IF(controls!$B$45=1,$AS$13,AK491*AJ491/AL491))</f>
        <v>16210.176889828504</v>
      </c>
      <c r="AN491" s="44">
        <f>IF(controls!$B$46=0,0,IF(controls!$B$33=2,B492-B491*AC492-('normal case'!H492-D491*AD492-'main page'!$K$27*'normal case'!T491+'main page'!$K$31*'normal case'!AI491)-(('main page'!$K$25*'main page'!$U$13*'main page'!$K$29)/(1+('main page'!$K$25^2)*'main page'!$U$13))*('normal case'!L491-'main page'!$U$8),B492-B491*AC492-('normal case'!I492-D491*AD492-'main page'!$K$27*'normal case'!T491+'main page'!$K$31*'normal case'!AI491)-(('main page'!$K$25*'main page'!$U$13*'main page'!$K$29)/(1+('main page'!$K$25^2)*'main page'!$U$13))*('normal case'!L491-'main page'!$U$8)))</f>
        <v>0</v>
      </c>
      <c r="AU491" s="36"/>
      <c r="AV491" s="36"/>
    </row>
    <row r="492" spans="1:48">
      <c r="A492" s="43">
        <v>490</v>
      </c>
      <c r="B492" s="62">
        <f ca="1">IF(controls!$B$33=1,B491*(1+AC492)+AA492,B491*(1+AC492))</f>
        <v>101</v>
      </c>
      <c r="C492" s="67">
        <f t="shared" ca="1" si="64"/>
        <v>-1.5107707374006907E-7</v>
      </c>
      <c r="D492" s="64">
        <f t="shared" ca="1" si="60"/>
        <v>101.00000005960464</v>
      </c>
      <c r="E492" s="64">
        <f ca="1">AN491+IF(controls!$B$33=1,G492,F492)</f>
        <v>101.00000005960464</v>
      </c>
      <c r="F492" s="78">
        <f ca="1">IF(controls!$B$44=0,H492-'main page'!$K$27*T491,H492-'main page'!$K$27*T491+'main page'!$K$31*AI491)</f>
        <v>101.00000005960464</v>
      </c>
      <c r="G492" s="62">
        <f ca="1">IF(controls!$B$44=0,I492-'main page'!$K$27*T491,I492-'main page'!$K$27*T491+'main page'!$K$31*'normal case'!AI491)</f>
        <v>101.00000005960464</v>
      </c>
      <c r="H492" s="62">
        <f t="shared" ca="1" si="66"/>
        <v>108</v>
      </c>
      <c r="I492" s="62">
        <f t="shared" ca="1" si="67"/>
        <v>108</v>
      </c>
      <c r="L492" s="62">
        <f ca="1">IF(ABS('main page'!$K$29*L491+(1-'main page'!$K$29)*(controls!$B$9/100)*100+'main page'!$K$25*(D492-B492)-L491)&lt;0.0000001,L491,'main page'!$K$29*L491+(1-'main page'!$K$29)*(controls!$B$9/100)*100+'main page'!$K$25*(D492-B492))</f>
        <v>1.9999998807907104</v>
      </c>
      <c r="Q492" s="409">
        <f ca="1">(1-'main page'!$K$29)*($AS$11/100)*100+'main page'!$K$25*(D492-B492)</f>
        <v>5.9604644775390625E-8</v>
      </c>
      <c r="R492" s="409">
        <f>'main page'!G496+'main page'!$K$29*M491</f>
        <v>0</v>
      </c>
      <c r="S492" s="409">
        <f t="shared" ca="1" si="65"/>
        <v>5.9604644775390625E-8</v>
      </c>
      <c r="T492" s="79">
        <f ca="1">IF(controls!$B$10=1,T491,IF(SUM(controls!$B$44:$B$46)=2,U492-'main page'!$K$29*'normal case'!L492-(1-'main page'!$K$29)*'main page'!$K$32,U492-'main page'!$K$29*'normal case'!L492-(1-'main page'!$K$29)*controls!$B$9))</f>
        <v>3.4999999701976776</v>
      </c>
      <c r="U492" s="164">
        <f ca="1">IF(controls!$B$45=1,IF(controls!$B$46=1,'main page'!$K$24+'main page'!$K$11+'main page'!$U$8,'main page'!$K$24+'main page'!$K$11+'main page'!$K$32),IF(controls!$B$44=1,IF(V492&lt;0,0,V492),IF(V492+'main page'!$K$11&lt;0,0,V492+'main page'!$K$11)))</f>
        <v>5.4999998509883881</v>
      </c>
      <c r="V492" s="63">
        <f ca="1">IF(controls!$B$10=1,'normal case'!T492+'normal case'!L492,'normal case'!W492)</f>
        <v>5.4999998509883881</v>
      </c>
      <c r="W492" s="61">
        <f t="shared" ca="1" si="61"/>
        <v>5.4999998509883881</v>
      </c>
      <c r="X492" s="166">
        <f ca="1">IF(controls!$B$44=0,Y492+'main page'!$K$29*L492+(1-'main page'!$K$29)*controls!$B$9+(('main page'!$K$25*'main page'!$U$13*'main page'!$K$29)/('main page'!$K$27*(1+('main page'!$K$25^2)*'main page'!$U$13)))*(L492-controls!$B$9),Y492+'main page'!$K$29*L492+(1-'main page'!$K$29)*controls!$B$9+(('main page'!$K$25*'main page'!$U$13*'normal case'!$AV$3)/'normal case'!$AV$4)*('normal case'!L492-controls!$B$9))</f>
        <v>5.4999998509883881</v>
      </c>
      <c r="Y492" s="81">
        <f ca="1">IF(controls!$B$44=1,'main page'!$K$24+'main page'!$K$11,IF(controls!$B$33=1,((I493-D492*AD493-B493+B492*AC493)/'main page'!$K$27)-'main page'!$K$11,((H493-D492*AD493-B493+B492*AC493)/'main page'!$K$27)-'main page'!$K$11))</f>
        <v>3.5</v>
      </c>
      <c r="AA492" s="58">
        <f>IF(controls!$B$6=1,$AS$3*(1+('main page'!$K$35/100))^AB492-$AS$3*(1+('main page'!$K$35/100))^AB491,$AS$3*(1+('main page'!$G$8/100))*(1+('main page'!$K$35/100))^AB492-$AS$3*(1+('main page'!$G$8/100))*(1+('main page'!$K$35/100))^AB491)</f>
        <v>0</v>
      </c>
      <c r="AB492" s="60">
        <v>485</v>
      </c>
      <c r="AC492" s="125">
        <v>0</v>
      </c>
      <c r="AD492" s="36">
        <v>0</v>
      </c>
      <c r="AE492" s="44">
        <f ca="1">IF(controls!$B$33=1,D492-($I$3-'main page'!$K$27*2)*(1+('main page'!$K$35/100))^A491,D492-$AS$4)</f>
        <v>1.0000000596046448</v>
      </c>
      <c r="AF492" s="44">
        <f ca="1">ABS(L492-(controls!$B$9/100)*100)</f>
        <v>1.1920928955078125E-7</v>
      </c>
      <c r="AH492" s="44">
        <f ca="1">IF(controls!$B$33=1,(B493-B492*AC493-I493+D492*AD493+'main page'!$K$27*('main page'!$K$24+'main page'!$K$11))/'main page'!$K$31,(B493-B492*AC493+D492*AD493-H493+'main page'!$K$27*('main page'!$K$24+'main page'!$K$11))/'main page'!$K$31)</f>
        <v>1</v>
      </c>
      <c r="AI492" s="44">
        <f ca="1">IF(controls!$B$45=1,LOG(AM492,1.01)+LOG(AL492,1.01)-LOG(AK492,1.01),-((T492-('main page'!$K$24+'main page'!$K$11))/(1-'normal case'!$AV$3))+'normal case'!AH492)</f>
        <v>2.0000000596046448</v>
      </c>
      <c r="AJ492" s="80">
        <f t="shared" ca="1" si="62"/>
        <v>1.0506250015463039</v>
      </c>
      <c r="AK492" s="44">
        <f t="shared" ca="1" si="63"/>
        <v>15737.661281585562</v>
      </c>
      <c r="AL492" s="44">
        <f>AL491*(1+'main page'!$K$32/100)</f>
        <v>1</v>
      </c>
      <c r="AM492" s="44">
        <f ca="1">IF(ABS(IF(controls!$B$45=1,$AS$13,AK492*AJ492/AL492)-AM491)&lt;0.00001,AM491,IF(controls!$B$45=1,$AS$13,AK492*AJ492/AL492))</f>
        <v>16534.38040830104</v>
      </c>
      <c r="AN492" s="44">
        <f>IF(controls!$B$46=0,0,IF(controls!$B$33=2,B493-B492*AC493-('normal case'!H493-D492*AD493-'main page'!$K$27*'normal case'!T492+'main page'!$K$31*'normal case'!AI492)-(('main page'!$K$25*'main page'!$U$13*'main page'!$K$29)/(1+('main page'!$K$25^2)*'main page'!$U$13))*('normal case'!L492-'main page'!$U$8),B493-B492*AC493-('normal case'!I493-D492*AD493-'main page'!$K$27*'normal case'!T492+'main page'!$K$31*'normal case'!AI492)-(('main page'!$K$25*'main page'!$U$13*'main page'!$K$29)/(1+('main page'!$K$25^2)*'main page'!$U$13))*('normal case'!L492-'main page'!$U$8)))</f>
        <v>0</v>
      </c>
      <c r="AU492" s="36"/>
      <c r="AV492" s="36"/>
    </row>
    <row r="493" spans="1:48">
      <c r="A493" s="43">
        <v>491</v>
      </c>
      <c r="B493" s="62">
        <f ca="1">IF(controls!$B$33=1,B492*(1+AC493)+AA493,B492*(1+AC493))</f>
        <v>101</v>
      </c>
      <c r="C493" s="67">
        <f t="shared" ca="1" si="64"/>
        <v>-1.5107707374006907E-7</v>
      </c>
      <c r="D493" s="64">
        <f t="shared" ca="1" si="60"/>
        <v>101.00000005960464</v>
      </c>
      <c r="E493" s="64">
        <f ca="1">AN492+IF(controls!$B$33=1,G493,F493)</f>
        <v>101.00000005960464</v>
      </c>
      <c r="F493" s="78">
        <f ca="1">IF(controls!$B$44=0,H493-'main page'!$K$27*T492,H493-'main page'!$K$27*T492+'main page'!$K$31*AI492)</f>
        <v>101.00000005960464</v>
      </c>
      <c r="G493" s="62">
        <f ca="1">IF(controls!$B$44=0,I493-'main page'!$K$27*T492,I493-'main page'!$K$27*T492+'main page'!$K$31*'normal case'!AI492)</f>
        <v>101.00000005960464</v>
      </c>
      <c r="H493" s="62">
        <f t="shared" ca="1" si="66"/>
        <v>108</v>
      </c>
      <c r="I493" s="62">
        <f t="shared" ca="1" si="67"/>
        <v>108</v>
      </c>
      <c r="L493" s="62">
        <f ca="1">IF(ABS('main page'!$K$29*L492+(1-'main page'!$K$29)*(controls!$B$9/100)*100+'main page'!$K$25*(D493-B493)-L492)&lt;0.0000001,L492,'main page'!$K$29*L492+(1-'main page'!$K$29)*(controls!$B$9/100)*100+'main page'!$K$25*(D493-B493))</f>
        <v>1.9999998807907104</v>
      </c>
      <c r="Q493" s="409">
        <f ca="1">(1-'main page'!$K$29)*($AS$11/100)*100+'main page'!$K$25*(D493-B493)</f>
        <v>5.9604644775390625E-8</v>
      </c>
      <c r="R493" s="409">
        <f>'main page'!G497+'main page'!$K$29*M492</f>
        <v>0</v>
      </c>
      <c r="S493" s="409">
        <f t="shared" ca="1" si="65"/>
        <v>5.9604644775390625E-8</v>
      </c>
      <c r="T493" s="79">
        <f ca="1">IF(controls!$B$10=1,T492,IF(SUM(controls!$B$44:$B$46)=2,U493-'main page'!$K$29*'normal case'!L493-(1-'main page'!$K$29)*'main page'!$K$32,U493-'main page'!$K$29*'normal case'!L493-(1-'main page'!$K$29)*controls!$B$9))</f>
        <v>3.4999999701976776</v>
      </c>
      <c r="U493" s="164">
        <f ca="1">IF(controls!$B$45=1,IF(controls!$B$46=1,'main page'!$K$24+'main page'!$K$11+'main page'!$U$8,'main page'!$K$24+'main page'!$K$11+'main page'!$K$32),IF(controls!$B$44=1,IF(V493&lt;0,0,V493),IF(V493+'main page'!$K$11&lt;0,0,V493+'main page'!$K$11)))</f>
        <v>5.4999998509883881</v>
      </c>
      <c r="V493" s="63">
        <f ca="1">IF(controls!$B$10=1,'normal case'!T493+'normal case'!L493,'normal case'!W493)</f>
        <v>5.4999998509883881</v>
      </c>
      <c r="W493" s="61">
        <f t="shared" ca="1" si="61"/>
        <v>5.4999998509883881</v>
      </c>
      <c r="X493" s="166">
        <f ca="1">IF(controls!$B$44=0,Y493+'main page'!$K$29*L493+(1-'main page'!$K$29)*controls!$B$9+(('main page'!$K$25*'main page'!$U$13*'main page'!$K$29)/('main page'!$K$27*(1+('main page'!$K$25^2)*'main page'!$U$13)))*(L493-controls!$B$9),Y493+'main page'!$K$29*L493+(1-'main page'!$K$29)*controls!$B$9+(('main page'!$K$25*'main page'!$U$13*'normal case'!$AV$3)/'normal case'!$AV$4)*('normal case'!L493-controls!$B$9))</f>
        <v>5.4999998509883881</v>
      </c>
      <c r="Y493" s="81">
        <f ca="1">IF(controls!$B$44=1,'main page'!$K$24+'main page'!$K$11,IF(controls!$B$33=1,((I494-D493*AD494-B494+B493*AC494)/'main page'!$K$27)-'main page'!$K$11,((H494-D493*AD494-B494+B493*AC494)/'main page'!$K$27)-'main page'!$K$11))</f>
        <v>3.5</v>
      </c>
      <c r="AA493" s="58">
        <f>IF(controls!$B$6=1,$AS$3*(1+('main page'!$K$35/100))^AB493-$AS$3*(1+('main page'!$K$35/100))^AB492,$AS$3*(1+('main page'!$G$8/100))*(1+('main page'!$K$35/100))^AB493-$AS$3*(1+('main page'!$G$8/100))*(1+('main page'!$K$35/100))^AB492)</f>
        <v>0</v>
      </c>
      <c r="AB493" s="60">
        <v>486</v>
      </c>
      <c r="AC493" s="125">
        <v>0</v>
      </c>
      <c r="AD493" s="36">
        <v>0</v>
      </c>
      <c r="AE493" s="44">
        <f ca="1">IF(controls!$B$33=1,D493-($I$3-'main page'!$K$27*2)*(1+('main page'!$K$35/100))^A492,D493-$AS$4)</f>
        <v>1.0000000596046448</v>
      </c>
      <c r="AF493" s="44">
        <f ca="1">ABS(L493-(controls!$B$9/100)*100)</f>
        <v>1.1920928955078125E-7</v>
      </c>
      <c r="AH493" s="44">
        <f ca="1">IF(controls!$B$33=1,(B494-B493*AC494-I494+D493*AD494+'main page'!$K$27*('main page'!$K$24+'main page'!$K$11))/'main page'!$K$31,(B494-B493*AC494+D493*AD494-H494+'main page'!$K$27*('main page'!$K$24+'main page'!$K$11))/'main page'!$K$31)</f>
        <v>1</v>
      </c>
      <c r="AI493" s="44">
        <f ca="1">IF(controls!$B$45=1,LOG(AM493,1.01)+LOG(AL493,1.01)-LOG(AK493,1.01),-((T493-('main page'!$K$24+'main page'!$K$11))/(1-'normal case'!$AV$3))+'normal case'!AH493)</f>
        <v>2.0000000596046448</v>
      </c>
      <c r="AJ493" s="80">
        <f t="shared" ca="1" si="62"/>
        <v>1.0506250015463039</v>
      </c>
      <c r="AK493" s="44">
        <f t="shared" ca="1" si="63"/>
        <v>16052.414488456519</v>
      </c>
      <c r="AL493" s="44">
        <f>AL492*(1+'main page'!$K$32/100)</f>
        <v>1</v>
      </c>
      <c r="AM493" s="44">
        <f ca="1">IF(ABS(IF(controls!$B$45=1,$AS$13,AK493*AJ493/AL493)-AM492)&lt;0.00001,AM492,IF(controls!$B$45=1,$AS$13,AK493*AJ493/AL493))</f>
        <v>16865.067996756541</v>
      </c>
      <c r="AN493" s="44">
        <f>IF(controls!$B$46=0,0,IF(controls!$B$33=2,B494-B493*AC494-('normal case'!H494-D493*AD494-'main page'!$K$27*'normal case'!T493+'main page'!$K$31*'normal case'!AI493)-(('main page'!$K$25*'main page'!$U$13*'main page'!$K$29)/(1+('main page'!$K$25^2)*'main page'!$U$13))*('normal case'!L493-'main page'!$U$8),B494-B493*AC494-('normal case'!I494-D493*AD494-'main page'!$K$27*'normal case'!T493+'main page'!$K$31*'normal case'!AI493)-(('main page'!$K$25*'main page'!$U$13*'main page'!$K$29)/(1+('main page'!$K$25^2)*'main page'!$U$13))*('normal case'!L493-'main page'!$U$8)))</f>
        <v>0</v>
      </c>
      <c r="AU493" s="36"/>
      <c r="AV493" s="36"/>
    </row>
    <row r="494" spans="1:48">
      <c r="A494" s="43">
        <v>492</v>
      </c>
      <c r="B494" s="62">
        <f ca="1">IF(controls!$B$33=1,B493*(1+AC494)+AA494,B493*(1+AC494))</f>
        <v>101</v>
      </c>
      <c r="C494" s="67">
        <f t="shared" ca="1" si="64"/>
        <v>-1.5107707374006907E-7</v>
      </c>
      <c r="D494" s="64">
        <f t="shared" ca="1" si="60"/>
        <v>101.00000005960464</v>
      </c>
      <c r="E494" s="64">
        <f ca="1">AN493+IF(controls!$B$33=1,G494,F494)</f>
        <v>101.00000005960464</v>
      </c>
      <c r="F494" s="78">
        <f ca="1">IF(controls!$B$44=0,H494-'main page'!$K$27*T493,H494-'main page'!$K$27*T493+'main page'!$K$31*AI493)</f>
        <v>101.00000005960464</v>
      </c>
      <c r="G494" s="62">
        <f ca="1">IF(controls!$B$44=0,I494-'main page'!$K$27*T493,I494-'main page'!$K$27*T493+'main page'!$K$31*'normal case'!AI493)</f>
        <v>101.00000005960464</v>
      </c>
      <c r="H494" s="62">
        <f t="shared" ca="1" si="66"/>
        <v>108</v>
      </c>
      <c r="I494" s="62">
        <f t="shared" ca="1" si="67"/>
        <v>108</v>
      </c>
      <c r="L494" s="62">
        <f ca="1">IF(ABS('main page'!$K$29*L493+(1-'main page'!$K$29)*(controls!$B$9/100)*100+'main page'!$K$25*(D494-B494)-L493)&lt;0.0000001,L493,'main page'!$K$29*L493+(1-'main page'!$K$29)*(controls!$B$9/100)*100+'main page'!$K$25*(D494-B494))</f>
        <v>1.9999998807907104</v>
      </c>
      <c r="Q494" s="409">
        <f ca="1">(1-'main page'!$K$29)*($AS$11/100)*100+'main page'!$K$25*(D494-B494)</f>
        <v>5.9604644775390625E-8</v>
      </c>
      <c r="R494" s="409">
        <f>'main page'!G498+'main page'!$K$29*M493</f>
        <v>0</v>
      </c>
      <c r="S494" s="409">
        <f t="shared" ca="1" si="65"/>
        <v>5.9604644775390625E-8</v>
      </c>
      <c r="T494" s="79">
        <f ca="1">IF(controls!$B$10=1,T493,IF(SUM(controls!$B$44:$B$46)=2,U494-'main page'!$K$29*'normal case'!L494-(1-'main page'!$K$29)*'main page'!$K$32,U494-'main page'!$K$29*'normal case'!L494-(1-'main page'!$K$29)*controls!$B$9))</f>
        <v>3.4999999701976776</v>
      </c>
      <c r="U494" s="164">
        <f ca="1">IF(controls!$B$45=1,IF(controls!$B$46=1,'main page'!$K$24+'main page'!$K$11+'main page'!$U$8,'main page'!$K$24+'main page'!$K$11+'main page'!$K$32),IF(controls!$B$44=1,IF(V494&lt;0,0,V494),IF(V494+'main page'!$K$11&lt;0,0,V494+'main page'!$K$11)))</f>
        <v>5.4999998509883881</v>
      </c>
      <c r="V494" s="63">
        <f ca="1">IF(controls!$B$10=1,'normal case'!T494+'normal case'!L494,'normal case'!W494)</f>
        <v>5.4999998509883881</v>
      </c>
      <c r="W494" s="61">
        <f t="shared" ca="1" si="61"/>
        <v>5.4999998509883881</v>
      </c>
      <c r="X494" s="166">
        <f ca="1">IF(controls!$B$44=0,Y494+'main page'!$K$29*L494+(1-'main page'!$K$29)*controls!$B$9+(('main page'!$K$25*'main page'!$U$13*'main page'!$K$29)/('main page'!$K$27*(1+('main page'!$K$25^2)*'main page'!$U$13)))*(L494-controls!$B$9),Y494+'main page'!$K$29*L494+(1-'main page'!$K$29)*controls!$B$9+(('main page'!$K$25*'main page'!$U$13*'normal case'!$AV$3)/'normal case'!$AV$4)*('normal case'!L494-controls!$B$9))</f>
        <v>5.4999998509883881</v>
      </c>
      <c r="Y494" s="81">
        <f ca="1">IF(controls!$B$44=1,'main page'!$K$24+'main page'!$K$11,IF(controls!$B$33=1,((I495-D494*AD495-B495+B494*AC495)/'main page'!$K$27)-'main page'!$K$11,((H495-D494*AD495-B495+B494*AC495)/'main page'!$K$27)-'main page'!$K$11))</f>
        <v>3.5</v>
      </c>
      <c r="AA494" s="58">
        <f>IF(controls!$B$6=1,$AS$3*(1+('main page'!$K$35/100))^AB494-$AS$3*(1+('main page'!$K$35/100))^AB493,$AS$3*(1+('main page'!$G$8/100))*(1+('main page'!$K$35/100))^AB494-$AS$3*(1+('main page'!$G$8/100))*(1+('main page'!$K$35/100))^AB493)</f>
        <v>0</v>
      </c>
      <c r="AB494" s="60">
        <v>487</v>
      </c>
      <c r="AC494" s="125">
        <f ca="1">IF(controls!$B$4=1,IF(controls!$H493=1,controls!$B$34*AC493+RAND()*('main page'!$K$16/100)-RAND()*('main page'!$K$16/100),0),0)</f>
        <v>0</v>
      </c>
      <c r="AD494" s="36">
        <f ca="1">IF(controls!$B$4=1,IF(controls!$I493=1,controls!$B$34*AD493+RAND()*('main page'!$K$16/100)-RAND()*('main page'!$K$16/100),0),0)</f>
        <v>0</v>
      </c>
      <c r="AE494" s="44">
        <f ca="1">IF(controls!$B$33=1,D494-($I$3-'main page'!$K$27*2)*(1+('main page'!$K$35/100))^A493,D494-$AS$4)</f>
        <v>1.0000000596046448</v>
      </c>
      <c r="AF494" s="44">
        <f ca="1">ABS(L494-(controls!$B$9/100)*100)</f>
        <v>1.1920928955078125E-7</v>
      </c>
      <c r="AH494" s="44">
        <f ca="1">IF(controls!$B$33=1,(B495-B494*AC495-I495+D494*AD495+'main page'!$K$27*('main page'!$K$24+'main page'!$K$11))/'main page'!$K$31,(B495-B494*AC495+D494*AD495-H495+'main page'!$K$27*('main page'!$K$24+'main page'!$K$11))/'main page'!$K$31)</f>
        <v>1</v>
      </c>
      <c r="AI494" s="44">
        <f ca="1">IF(controls!$B$45=1,LOG(AM494,1.01)+LOG(AL494,1.01)-LOG(AK494,1.01),-((T494-('main page'!$K$24+'main page'!$K$11))/(1-'normal case'!$AV$3))+'normal case'!AH494)</f>
        <v>2.0000000596046448</v>
      </c>
      <c r="AJ494" s="80">
        <f t="shared" ca="1" si="62"/>
        <v>1.0506250015463039</v>
      </c>
      <c r="AK494" s="44">
        <f t="shared" ca="1" si="63"/>
        <v>16373.462759089682</v>
      </c>
      <c r="AL494" s="44">
        <f>AL493*(1+'main page'!$K$32/100)</f>
        <v>1</v>
      </c>
      <c r="AM494" s="44">
        <f ca="1">IF(ABS(IF(controls!$B$45=1,$AS$13,AK494*AJ494/AL494)-AM493)&lt;0.00001,AM493,IF(controls!$B$45=1,$AS$13,AK494*AJ494/AL494))</f>
        <v>17202.369336586948</v>
      </c>
      <c r="AN494" s="44">
        <f>IF(controls!$B$46=0,0,IF(controls!$B$33=2,B495-B494*AC495-('normal case'!H495-D494*AD495-'main page'!$K$27*'normal case'!T494+'main page'!$K$31*'normal case'!AI494)-(('main page'!$K$25*'main page'!$U$13*'main page'!$K$29)/(1+('main page'!$K$25^2)*'main page'!$U$13))*('normal case'!L494-'main page'!$U$8),B495-B494*AC495-('normal case'!I495-D494*AD495-'main page'!$K$27*'normal case'!T494+'main page'!$K$31*'normal case'!AI494)-(('main page'!$K$25*'main page'!$U$13*'main page'!$K$29)/(1+('main page'!$K$25^2)*'main page'!$U$13))*('normal case'!L494-'main page'!$U$8)))</f>
        <v>0</v>
      </c>
      <c r="AU494" s="36"/>
      <c r="AV494" s="36"/>
    </row>
    <row r="495" spans="1:48">
      <c r="A495" s="43">
        <v>493</v>
      </c>
      <c r="B495" s="62">
        <f ca="1">IF(controls!$B$33=1,B494*(1+AC495)+AA495,B494*(1+AC495))</f>
        <v>101</v>
      </c>
      <c r="C495" s="67">
        <f t="shared" ca="1" si="64"/>
        <v>-1.5107707374006907E-7</v>
      </c>
      <c r="D495" s="64">
        <f t="shared" ca="1" si="60"/>
        <v>101.00000005960464</v>
      </c>
      <c r="E495" s="64">
        <f ca="1">AN494+IF(controls!$B$33=1,G495,F495)</f>
        <v>101.00000005960464</v>
      </c>
      <c r="F495" s="78">
        <f ca="1">IF(controls!$B$44=0,H495-'main page'!$K$27*T494,H495-'main page'!$K$27*T494+'main page'!$K$31*AI494)</f>
        <v>101.00000005960464</v>
      </c>
      <c r="G495" s="62">
        <f ca="1">IF(controls!$B$44=0,I495-'main page'!$K$27*T494,I495-'main page'!$K$27*T494+'main page'!$K$31*'normal case'!AI494)</f>
        <v>101.00000005960464</v>
      </c>
      <c r="H495" s="62">
        <f t="shared" ca="1" si="66"/>
        <v>108</v>
      </c>
      <c r="I495" s="62">
        <f t="shared" ca="1" si="67"/>
        <v>108</v>
      </c>
      <c r="L495" s="62">
        <f ca="1">IF(ABS('main page'!$K$29*L494+(1-'main page'!$K$29)*(controls!$B$9/100)*100+'main page'!$K$25*(D495-B495)-L494)&lt;0.0000001,L494,'main page'!$K$29*L494+(1-'main page'!$K$29)*(controls!$B$9/100)*100+'main page'!$K$25*(D495-B495))</f>
        <v>1.9999998807907104</v>
      </c>
      <c r="Q495" s="409">
        <f ca="1">(1-'main page'!$K$29)*($AS$11/100)*100+'main page'!$K$25*(D495-B495)</f>
        <v>5.9604644775390625E-8</v>
      </c>
      <c r="R495" s="409">
        <f>'main page'!G499+'main page'!$K$29*M494</f>
        <v>0</v>
      </c>
      <c r="S495" s="409">
        <f t="shared" ca="1" si="65"/>
        <v>5.9604644775390625E-8</v>
      </c>
      <c r="T495" s="79">
        <f ca="1">IF(controls!$B$10=1,T494,IF(SUM(controls!$B$44:$B$46)=2,U495-'main page'!$K$29*'normal case'!L495-(1-'main page'!$K$29)*'main page'!$K$32,U495-'main page'!$K$29*'normal case'!L495-(1-'main page'!$K$29)*controls!$B$9))</f>
        <v>3.4999999701976776</v>
      </c>
      <c r="U495" s="164">
        <f ca="1">IF(controls!$B$45=1,IF(controls!$B$46=1,'main page'!$K$24+'main page'!$K$11+'main page'!$U$8,'main page'!$K$24+'main page'!$K$11+'main page'!$K$32),IF(controls!$B$44=1,IF(V495&lt;0,0,V495),IF(V495+'main page'!$K$11&lt;0,0,V495+'main page'!$K$11)))</f>
        <v>5.4999998509883881</v>
      </c>
      <c r="V495" s="63">
        <f ca="1">IF(controls!$B$10=1,'normal case'!T495+'normal case'!L495,'normal case'!W495)</f>
        <v>5.4999998509883881</v>
      </c>
      <c r="W495" s="61">
        <f t="shared" ca="1" si="61"/>
        <v>5.4999998509883881</v>
      </c>
      <c r="X495" s="166">
        <f ca="1">IF(controls!$B$44=0,Y495+'main page'!$K$29*L495+(1-'main page'!$K$29)*controls!$B$9+(('main page'!$K$25*'main page'!$U$13*'main page'!$K$29)/('main page'!$K$27*(1+('main page'!$K$25^2)*'main page'!$U$13)))*(L495-controls!$B$9),Y495+'main page'!$K$29*L495+(1-'main page'!$K$29)*controls!$B$9+(('main page'!$K$25*'main page'!$U$13*'normal case'!$AV$3)/'normal case'!$AV$4)*('normal case'!L495-controls!$B$9))</f>
        <v>5.4999998509883881</v>
      </c>
      <c r="Y495" s="81">
        <f ca="1">IF(controls!$B$44=1,'main page'!$K$24+'main page'!$K$11,IF(controls!$B$33=1,((I496-D495*AD496-B496+B495*AC496)/'main page'!$K$27)-'main page'!$K$11,((H496-D495*AD496-B496+B495*AC496)/'main page'!$K$27)-'main page'!$K$11))</f>
        <v>3.5</v>
      </c>
      <c r="AA495" s="58">
        <f>IF(controls!$B$6=1,$AS$3*(1+('main page'!$K$35/100))^AB495-$AS$3*(1+('main page'!$K$35/100))^AB494,$AS$3*(1+('main page'!$G$8/100))*(1+('main page'!$K$35/100))^AB495-$AS$3*(1+('main page'!$G$8/100))*(1+('main page'!$K$35/100))^AB494)</f>
        <v>0</v>
      </c>
      <c r="AB495" s="60">
        <v>488</v>
      </c>
      <c r="AC495" s="125">
        <v>0</v>
      </c>
      <c r="AD495" s="36">
        <v>0</v>
      </c>
      <c r="AE495" s="44">
        <f ca="1">IF(controls!$B$33=1,D495-($I$3-'main page'!$K$27*2)*(1+('main page'!$K$35/100))^A494,D495-$AS$4)</f>
        <v>1.0000000596046448</v>
      </c>
      <c r="AF495" s="44">
        <f ca="1">ABS(L495-(controls!$B$9/100)*100)</f>
        <v>1.1920928955078125E-7</v>
      </c>
      <c r="AH495" s="44">
        <f ca="1">IF(controls!$B$33=1,(B496-B495*AC496-I496+D495*AD496+'main page'!$K$27*('main page'!$K$24+'main page'!$K$11))/'main page'!$K$31,(B496-B495*AC496+D495*AD496-H496+'main page'!$K$27*('main page'!$K$24+'main page'!$K$11))/'main page'!$K$31)</f>
        <v>1</v>
      </c>
      <c r="AI495" s="44">
        <f ca="1">IF(controls!$B$45=1,LOG(AM495,1.01)+LOG(AL495,1.01)-LOG(AK495,1.01),-((T495-('main page'!$K$24+'main page'!$K$11))/(1-'normal case'!$AV$3))+'normal case'!AH495)</f>
        <v>2.0000000596046448</v>
      </c>
      <c r="AJ495" s="80">
        <f t="shared" ca="1" si="62"/>
        <v>1.0506250015463039</v>
      </c>
      <c r="AK495" s="44">
        <f t="shared" ca="1" si="63"/>
        <v>16700.931994752787</v>
      </c>
      <c r="AL495" s="44">
        <f>AL494*(1+'main page'!$K$32/100)</f>
        <v>1</v>
      </c>
      <c r="AM495" s="44">
        <f ca="1">IF(ABS(IF(controls!$B$45=1,$AS$13,AK495*AJ495/AL495)-AM494)&lt;0.00001,AM494,IF(controls!$B$45=1,$AS$13,AK495*AJ495/AL495))</f>
        <v>17546.416702811865</v>
      </c>
      <c r="AN495" s="44">
        <f>IF(controls!$B$46=0,0,IF(controls!$B$33=2,B496-B495*AC496-('normal case'!H496-D495*AD496-'main page'!$K$27*'normal case'!T495+'main page'!$K$31*'normal case'!AI495)-(('main page'!$K$25*'main page'!$U$13*'main page'!$K$29)/(1+('main page'!$K$25^2)*'main page'!$U$13))*('normal case'!L495-'main page'!$U$8),B496-B495*AC496-('normal case'!I496-D495*AD496-'main page'!$K$27*'normal case'!T495+'main page'!$K$31*'normal case'!AI495)-(('main page'!$K$25*'main page'!$U$13*'main page'!$K$29)/(1+('main page'!$K$25^2)*'main page'!$U$13))*('normal case'!L495-'main page'!$U$8)))</f>
        <v>0</v>
      </c>
      <c r="AU495" s="36"/>
      <c r="AV495" s="36"/>
    </row>
    <row r="496" spans="1:48">
      <c r="A496" s="43">
        <v>494</v>
      </c>
      <c r="B496" s="62">
        <f ca="1">IF(controls!$B$33=1,B495*(1+AC496)+AA496,B495*(1+AC496))</f>
        <v>101</v>
      </c>
      <c r="C496" s="67">
        <f t="shared" ca="1" si="64"/>
        <v>-1.5107707374006907E-7</v>
      </c>
      <c r="D496" s="64">
        <f t="shared" ca="1" si="60"/>
        <v>101.00000005960464</v>
      </c>
      <c r="E496" s="64">
        <f ca="1">AN495+IF(controls!$B$33=1,G496,F496)</f>
        <v>101.00000005960464</v>
      </c>
      <c r="F496" s="78">
        <f ca="1">IF(controls!$B$44=0,H496-'main page'!$K$27*T495,H496-'main page'!$K$27*T495+'main page'!$K$31*AI495)</f>
        <v>101.00000005960464</v>
      </c>
      <c r="G496" s="62">
        <f ca="1">IF(controls!$B$44=0,I496-'main page'!$K$27*T495,I496-'main page'!$K$27*T495+'main page'!$K$31*'normal case'!AI495)</f>
        <v>101.00000005960464</v>
      </c>
      <c r="H496" s="62">
        <f t="shared" ca="1" si="66"/>
        <v>108</v>
      </c>
      <c r="I496" s="62">
        <f t="shared" ca="1" si="67"/>
        <v>108</v>
      </c>
      <c r="L496" s="62">
        <f ca="1">IF(ABS('main page'!$K$29*L495+(1-'main page'!$K$29)*(controls!$B$9/100)*100+'main page'!$K$25*(D496-B496)-L495)&lt;0.0000001,L495,'main page'!$K$29*L495+(1-'main page'!$K$29)*(controls!$B$9/100)*100+'main page'!$K$25*(D496-B496))</f>
        <v>1.9999998807907104</v>
      </c>
      <c r="Q496" s="409">
        <f ca="1">(1-'main page'!$K$29)*($AS$11/100)*100+'main page'!$K$25*(D496-B496)</f>
        <v>5.9604644775390625E-8</v>
      </c>
      <c r="R496" s="409">
        <f>'main page'!G500+'main page'!$K$29*M495</f>
        <v>0</v>
      </c>
      <c r="S496" s="409">
        <f t="shared" ca="1" si="65"/>
        <v>5.9604644775390625E-8</v>
      </c>
      <c r="T496" s="79">
        <f ca="1">IF(controls!$B$10=1,T495,IF(SUM(controls!$B$44:$B$46)=2,U496-'main page'!$K$29*'normal case'!L496-(1-'main page'!$K$29)*'main page'!$K$32,U496-'main page'!$K$29*'normal case'!L496-(1-'main page'!$K$29)*controls!$B$9))</f>
        <v>3.4999999701976776</v>
      </c>
      <c r="U496" s="164">
        <f ca="1">IF(controls!$B$45=1,IF(controls!$B$46=1,'main page'!$K$24+'main page'!$K$11+'main page'!$U$8,'main page'!$K$24+'main page'!$K$11+'main page'!$K$32),IF(controls!$B$44=1,IF(V496&lt;0,0,V496),IF(V496+'main page'!$K$11&lt;0,0,V496+'main page'!$K$11)))</f>
        <v>5.4999998509883881</v>
      </c>
      <c r="V496" s="63">
        <f ca="1">IF(controls!$B$10=1,'normal case'!T496+'normal case'!L496,'normal case'!W496)</f>
        <v>5.4999998509883881</v>
      </c>
      <c r="W496" s="61">
        <f t="shared" ca="1" si="61"/>
        <v>5.4999998509883881</v>
      </c>
      <c r="X496" s="166">
        <f ca="1">IF(controls!$B$44=0,Y496+'main page'!$K$29*L496+(1-'main page'!$K$29)*controls!$B$9+(('main page'!$K$25*'main page'!$U$13*'main page'!$K$29)/('main page'!$K$27*(1+('main page'!$K$25^2)*'main page'!$U$13)))*(L496-controls!$B$9),Y496+'main page'!$K$29*L496+(1-'main page'!$K$29)*controls!$B$9+(('main page'!$K$25*'main page'!$U$13*'normal case'!$AV$3)/'normal case'!$AV$4)*('normal case'!L496-controls!$B$9))</f>
        <v>5.4999998509883881</v>
      </c>
      <c r="Y496" s="81">
        <f ca="1">IF(controls!$B$44=1,'main page'!$K$24+'main page'!$K$11,IF(controls!$B$33=1,((I497-D496*AD497-B497+B496*AC497)/'main page'!$K$27)-'main page'!$K$11,((H497-D496*AD497-B497+B496*AC497)/'main page'!$K$27)-'main page'!$K$11))</f>
        <v>3.5</v>
      </c>
      <c r="AA496" s="58">
        <f>IF(controls!$B$6=1,$AS$3*(1+('main page'!$K$35/100))^AB496-$AS$3*(1+('main page'!$K$35/100))^AB495,$AS$3*(1+('main page'!$G$8/100))*(1+('main page'!$K$35/100))^AB496-$AS$3*(1+('main page'!$G$8/100))*(1+('main page'!$K$35/100))^AB495)</f>
        <v>0</v>
      </c>
      <c r="AB496" s="60">
        <v>489</v>
      </c>
      <c r="AC496" s="125">
        <v>0</v>
      </c>
      <c r="AD496" s="36">
        <v>0</v>
      </c>
      <c r="AE496" s="44">
        <f ca="1">IF(controls!$B$33=1,D496-($I$3-'main page'!$K$27*2)*(1+('main page'!$K$35/100))^A495,D496-$AS$4)</f>
        <v>1.0000000596046448</v>
      </c>
      <c r="AF496" s="44">
        <f ca="1">ABS(L496-(controls!$B$9/100)*100)</f>
        <v>1.1920928955078125E-7</v>
      </c>
      <c r="AH496" s="44">
        <f ca="1">IF(controls!$B$33=1,(B497-B496*AC497-I497+D496*AD497+'main page'!$K$27*('main page'!$K$24+'main page'!$K$11))/'main page'!$K$31,(B497-B496*AC497+D496*AD497-H497+'main page'!$K$27*('main page'!$K$24+'main page'!$K$11))/'main page'!$K$31)</f>
        <v>1</v>
      </c>
      <c r="AI496" s="44">
        <f ca="1">IF(controls!$B$45=1,LOG(AM496,1.01)+LOG(AL496,1.01)-LOG(AK496,1.01),-((T496-('main page'!$K$24+'main page'!$K$11))/(1-'normal case'!$AV$3))+'normal case'!AH496)</f>
        <v>2.0000000596046448</v>
      </c>
      <c r="AJ496" s="80">
        <f t="shared" ca="1" si="62"/>
        <v>1.0506250015463039</v>
      </c>
      <c r="AK496" s="44">
        <f t="shared" ca="1" si="63"/>
        <v>17034.95061473878</v>
      </c>
      <c r="AL496" s="44">
        <f>AL495*(1+'main page'!$K$32/100)</f>
        <v>1</v>
      </c>
      <c r="AM496" s="44">
        <f ca="1">IF(ABS(IF(controls!$B$45=1,$AS$13,AK496*AJ496/AL496)-AM495)&lt;0.00001,AM495,IF(controls!$B$45=1,$AS$13,AK496*AJ496/AL496))</f>
        <v>17897.345015951141</v>
      </c>
      <c r="AN496" s="44">
        <f>IF(controls!$B$46=0,0,IF(controls!$B$33=2,B497-B496*AC497-('normal case'!H497-D496*AD497-'main page'!$K$27*'normal case'!T496+'main page'!$K$31*'normal case'!AI496)-(('main page'!$K$25*'main page'!$U$13*'main page'!$K$29)/(1+('main page'!$K$25^2)*'main page'!$U$13))*('normal case'!L496-'main page'!$U$8),B497-B496*AC497-('normal case'!I497-D496*AD497-'main page'!$K$27*'normal case'!T496+'main page'!$K$31*'normal case'!AI496)-(('main page'!$K$25*'main page'!$U$13*'main page'!$K$29)/(1+('main page'!$K$25^2)*'main page'!$U$13))*('normal case'!L496-'main page'!$U$8)))</f>
        <v>0</v>
      </c>
      <c r="AU496" s="36"/>
      <c r="AV496" s="36"/>
    </row>
    <row r="497" spans="1:48">
      <c r="A497" s="43">
        <v>495</v>
      </c>
      <c r="B497" s="62">
        <f ca="1">IF(controls!$B$33=1,B496*(1+AC497)+AA497,B496*(1+AC497))</f>
        <v>101</v>
      </c>
      <c r="C497" s="67">
        <f t="shared" ca="1" si="64"/>
        <v>-1.5107707374006907E-7</v>
      </c>
      <c r="D497" s="64">
        <f t="shared" ca="1" si="60"/>
        <v>101.00000005960464</v>
      </c>
      <c r="E497" s="64">
        <f ca="1">AN496+IF(controls!$B$33=1,G497,F497)</f>
        <v>101.00000005960464</v>
      </c>
      <c r="F497" s="78">
        <f ca="1">IF(controls!$B$44=0,H497-'main page'!$K$27*T496,H497-'main page'!$K$27*T496+'main page'!$K$31*AI496)</f>
        <v>101.00000005960464</v>
      </c>
      <c r="G497" s="62">
        <f ca="1">IF(controls!$B$44=0,I497-'main page'!$K$27*T496,I497-'main page'!$K$27*T496+'main page'!$K$31*'normal case'!AI496)</f>
        <v>101.00000005960464</v>
      </c>
      <c r="H497" s="62">
        <f t="shared" ca="1" si="66"/>
        <v>108</v>
      </c>
      <c r="I497" s="62">
        <f t="shared" ca="1" si="67"/>
        <v>108</v>
      </c>
      <c r="L497" s="62">
        <f ca="1">IF(ABS('main page'!$K$29*L496+(1-'main page'!$K$29)*(controls!$B$9/100)*100+'main page'!$K$25*(D497-B497)-L496)&lt;0.0000001,L496,'main page'!$K$29*L496+(1-'main page'!$K$29)*(controls!$B$9/100)*100+'main page'!$K$25*(D497-B497))</f>
        <v>1.9999998807907104</v>
      </c>
      <c r="Q497" s="409">
        <f ca="1">(1-'main page'!$K$29)*($AS$11/100)*100+'main page'!$K$25*(D497-B497)</f>
        <v>5.9604644775390625E-8</v>
      </c>
      <c r="R497" s="409">
        <f>'main page'!G501+'main page'!$K$29*M496</f>
        <v>0</v>
      </c>
      <c r="S497" s="409">
        <f t="shared" ca="1" si="65"/>
        <v>5.9604644775390625E-8</v>
      </c>
      <c r="T497" s="79">
        <f ca="1">IF(controls!$B$10=1,T496,IF(SUM(controls!$B$44:$B$46)=2,U497-'main page'!$K$29*'normal case'!L497-(1-'main page'!$K$29)*'main page'!$K$32,U497-'main page'!$K$29*'normal case'!L497-(1-'main page'!$K$29)*controls!$B$9))</f>
        <v>3.4999999701976776</v>
      </c>
      <c r="U497" s="164">
        <f ca="1">IF(controls!$B$45=1,IF(controls!$B$46=1,'main page'!$K$24+'main page'!$K$11+'main page'!$U$8,'main page'!$K$24+'main page'!$K$11+'main page'!$K$32),IF(controls!$B$44=1,IF(V497&lt;0,0,V497),IF(V497+'main page'!$K$11&lt;0,0,V497+'main page'!$K$11)))</f>
        <v>5.4999998509883881</v>
      </c>
      <c r="V497" s="63">
        <f ca="1">IF(controls!$B$10=1,'normal case'!T497+'normal case'!L497,'normal case'!W497)</f>
        <v>5.4999998509883881</v>
      </c>
      <c r="W497" s="61">
        <f t="shared" ca="1" si="61"/>
        <v>5.4999998509883881</v>
      </c>
      <c r="X497" s="166">
        <f ca="1">IF(controls!$B$44=0,Y497+'main page'!$K$29*L497+(1-'main page'!$K$29)*controls!$B$9+(('main page'!$K$25*'main page'!$U$13*'main page'!$K$29)/('main page'!$K$27*(1+('main page'!$K$25^2)*'main page'!$U$13)))*(L497-controls!$B$9),Y497+'main page'!$K$29*L497+(1-'main page'!$K$29)*controls!$B$9+(('main page'!$K$25*'main page'!$U$13*'normal case'!$AV$3)/'normal case'!$AV$4)*('normal case'!L497-controls!$B$9))</f>
        <v>5.4999998509883881</v>
      </c>
      <c r="Y497" s="81">
        <f ca="1">IF(controls!$B$44=1,'main page'!$K$24+'main page'!$K$11,IF(controls!$B$33=1,((I498-D497*AD498-B498+B497*AC498)/'main page'!$K$27)-'main page'!$K$11,((H498-D497*AD498-B498+B497*AC498)/'main page'!$K$27)-'main page'!$K$11))</f>
        <v>3.5</v>
      </c>
      <c r="AA497" s="58">
        <f>IF(controls!$B$6=1,$AS$3*(1+('main page'!$K$35/100))^AB497-$AS$3*(1+('main page'!$K$35/100))^AB496,$AS$3*(1+('main page'!$G$8/100))*(1+('main page'!$K$35/100))^AB497-$AS$3*(1+('main page'!$G$8/100))*(1+('main page'!$K$35/100))^AB496)</f>
        <v>0</v>
      </c>
      <c r="AB497" s="60">
        <v>490</v>
      </c>
      <c r="AC497" s="125">
        <f ca="1">IF(controls!$B$4=1,IF(controls!$H496=1,controls!$B$34*AC496+RAND()*('main page'!$K$16/100)-RAND()*('main page'!$K$16/100),0),0)</f>
        <v>0</v>
      </c>
      <c r="AD497" s="36">
        <f ca="1">IF(controls!$B$4=1,IF(controls!$I496=1,controls!$B$34*AD496+RAND()*('main page'!$K$16/100)-RAND()*('main page'!$K$16/100),0),0)</f>
        <v>0</v>
      </c>
      <c r="AE497" s="44">
        <f ca="1">IF(controls!$B$33=1,D497-($I$3-'main page'!$K$27*2)*(1+('main page'!$K$35/100))^A496,D497-$AS$4)</f>
        <v>1.0000000596046448</v>
      </c>
      <c r="AF497" s="44">
        <f ca="1">ABS(L497-(controls!$B$9/100)*100)</f>
        <v>1.1920928955078125E-7</v>
      </c>
      <c r="AH497" s="44">
        <f ca="1">IF(controls!$B$33=1,(B498-B497*AC498-I498+D497*AD498+'main page'!$K$27*('main page'!$K$24+'main page'!$K$11))/'main page'!$K$31,(B498-B497*AC498+D497*AD498-H498+'main page'!$K$27*('main page'!$K$24+'main page'!$K$11))/'main page'!$K$31)</f>
        <v>1</v>
      </c>
      <c r="AI497" s="44">
        <f ca="1">IF(controls!$B$45=1,LOG(AM497,1.01)+LOG(AL497,1.01)-LOG(AK497,1.01),-((T497-('main page'!$K$24+'main page'!$K$11))/(1-'normal case'!$AV$3))+'normal case'!AH497)</f>
        <v>2.0000000596046448</v>
      </c>
      <c r="AJ497" s="80">
        <f t="shared" ca="1" si="62"/>
        <v>1.0506250015463039</v>
      </c>
      <c r="AK497" s="44">
        <f t="shared" ca="1" si="63"/>
        <v>17375.649606726314</v>
      </c>
      <c r="AL497" s="44">
        <f>AL496*(1+'main page'!$K$32/100)</f>
        <v>1</v>
      </c>
      <c r="AM497" s="44">
        <f ca="1">IF(ABS(IF(controls!$B$45=1,$AS$13,AK497*AJ497/AL497)-AM496)&lt;0.00001,AM496,IF(controls!$B$45=1,$AS$13,AK497*AJ497/AL497))</f>
        <v>18255.291894934868</v>
      </c>
      <c r="AN497" s="44">
        <f>IF(controls!$B$46=0,0,IF(controls!$B$33=2,B498-B497*AC498-('normal case'!H498-D497*AD498-'main page'!$K$27*'normal case'!T497+'main page'!$K$31*'normal case'!AI497)-(('main page'!$K$25*'main page'!$U$13*'main page'!$K$29)/(1+('main page'!$K$25^2)*'main page'!$U$13))*('normal case'!L497-'main page'!$U$8),B498-B497*AC498-('normal case'!I498-D497*AD498-'main page'!$K$27*'normal case'!T497+'main page'!$K$31*'normal case'!AI497)-(('main page'!$K$25*'main page'!$U$13*'main page'!$K$29)/(1+('main page'!$K$25^2)*'main page'!$U$13))*('normal case'!L497-'main page'!$U$8)))</f>
        <v>0</v>
      </c>
      <c r="AU497" s="36"/>
      <c r="AV497" s="36"/>
    </row>
    <row r="498" spans="1:48">
      <c r="A498" s="43">
        <v>496</v>
      </c>
      <c r="B498" s="62">
        <f ca="1">IF(controls!$B$33=1,B497*(1+AC498)+AA498,B497*(1+AC498))</f>
        <v>101</v>
      </c>
      <c r="C498" s="67">
        <f t="shared" ca="1" si="64"/>
        <v>-1.5107707374006907E-7</v>
      </c>
      <c r="D498" s="64">
        <f t="shared" ca="1" si="60"/>
        <v>101.00000005960464</v>
      </c>
      <c r="E498" s="64">
        <f ca="1">AN497+IF(controls!$B$33=1,G498,F498)</f>
        <v>101.00000005960464</v>
      </c>
      <c r="F498" s="78">
        <f ca="1">IF(controls!$B$44=0,H498-'main page'!$K$27*T497,H498-'main page'!$K$27*T497+'main page'!$K$31*AI497)</f>
        <v>101.00000005960464</v>
      </c>
      <c r="G498" s="62">
        <f ca="1">IF(controls!$B$44=0,I498-'main page'!$K$27*T497,I498-'main page'!$K$27*T497+'main page'!$K$31*'normal case'!AI497)</f>
        <v>101.00000005960464</v>
      </c>
      <c r="H498" s="62">
        <f t="shared" ca="1" si="66"/>
        <v>108</v>
      </c>
      <c r="I498" s="62">
        <f t="shared" ca="1" si="67"/>
        <v>108</v>
      </c>
      <c r="L498" s="62">
        <f ca="1">IF(ABS('main page'!$K$29*L497+(1-'main page'!$K$29)*(controls!$B$9/100)*100+'main page'!$K$25*(D498-B498)-L497)&lt;0.0000001,L497,'main page'!$K$29*L497+(1-'main page'!$K$29)*(controls!$B$9/100)*100+'main page'!$K$25*(D498-B498))</f>
        <v>1.9999998807907104</v>
      </c>
      <c r="Q498" s="409">
        <f ca="1">(1-'main page'!$K$29)*($AS$11/100)*100+'main page'!$K$25*(D498-B498)</f>
        <v>5.9604644775390625E-8</v>
      </c>
      <c r="R498" s="409">
        <f>'main page'!G502+'main page'!$K$29*M497</f>
        <v>0</v>
      </c>
      <c r="S498" s="409">
        <f t="shared" ca="1" si="65"/>
        <v>5.9604644775390625E-8</v>
      </c>
      <c r="T498" s="79">
        <f ca="1">IF(controls!$B$10=1,T497,IF(SUM(controls!$B$44:$B$46)=2,U498-'main page'!$K$29*'normal case'!L498-(1-'main page'!$K$29)*'main page'!$K$32,U498-'main page'!$K$29*'normal case'!L498-(1-'main page'!$K$29)*controls!$B$9))</f>
        <v>3.4999999701976776</v>
      </c>
      <c r="U498" s="164">
        <f ca="1">IF(controls!$B$45=1,IF(controls!$B$46=1,'main page'!$K$24+'main page'!$K$11+'main page'!$U$8,'main page'!$K$24+'main page'!$K$11+'main page'!$K$32),IF(controls!$B$44=1,IF(V498&lt;0,0,V498),IF(V498+'main page'!$K$11&lt;0,0,V498+'main page'!$K$11)))</f>
        <v>5.4999998509883881</v>
      </c>
      <c r="V498" s="63">
        <f ca="1">IF(controls!$B$10=1,'normal case'!T498+'normal case'!L498,'normal case'!W498)</f>
        <v>5.4999998509883881</v>
      </c>
      <c r="W498" s="61">
        <f t="shared" ca="1" si="61"/>
        <v>5.4999998509883881</v>
      </c>
      <c r="X498" s="166">
        <f ca="1">IF(controls!$B$44=0,Y498+'main page'!$K$29*L498+(1-'main page'!$K$29)*controls!$B$9+(('main page'!$K$25*'main page'!$U$13*'main page'!$K$29)/('main page'!$K$27*(1+('main page'!$K$25^2)*'main page'!$U$13)))*(L498-controls!$B$9),Y498+'main page'!$K$29*L498+(1-'main page'!$K$29)*controls!$B$9+(('main page'!$K$25*'main page'!$U$13*'normal case'!$AV$3)/'normal case'!$AV$4)*('normal case'!L498-controls!$B$9))</f>
        <v>5.4999998509883881</v>
      </c>
      <c r="Y498" s="81">
        <f ca="1">IF(controls!$B$44=1,'main page'!$K$24+'main page'!$K$11,IF(controls!$B$33=1,((I499-D498*AD499-B499+B498*AC499)/'main page'!$K$27)-'main page'!$K$11,((H499-D498*AD499-B499+B498*AC499)/'main page'!$K$27)-'main page'!$K$11))</f>
        <v>3.5</v>
      </c>
      <c r="AA498" s="58">
        <f>IF(controls!$B$6=1,$AS$3*(1+('main page'!$K$35/100))^AB498-$AS$3*(1+('main page'!$K$35/100))^AB497,$AS$3*(1+('main page'!$G$8/100))*(1+('main page'!$K$35/100))^AB498-$AS$3*(1+('main page'!$G$8/100))*(1+('main page'!$K$35/100))^AB497)</f>
        <v>0</v>
      </c>
      <c r="AB498" s="60">
        <v>491</v>
      </c>
      <c r="AC498" s="125">
        <v>0</v>
      </c>
      <c r="AD498" s="36">
        <v>0</v>
      </c>
      <c r="AE498" s="44">
        <f ca="1">IF(controls!$B$33=1,D498-($I$3-'main page'!$K$27*2)*(1+('main page'!$K$35/100))^A497,D498-$AS$4)</f>
        <v>1.0000000596046448</v>
      </c>
      <c r="AF498" s="44">
        <f ca="1">ABS(L498-(controls!$B$9/100)*100)</f>
        <v>1.1920928955078125E-7</v>
      </c>
      <c r="AH498" s="44">
        <f ca="1">IF(controls!$B$33=1,(B499-B498*AC499-I499+D498*AD499+'main page'!$K$27*('main page'!$K$24+'main page'!$K$11))/'main page'!$K$31,(B499-B498*AC499+D498*AD499-H499+'main page'!$K$27*('main page'!$K$24+'main page'!$K$11))/'main page'!$K$31)</f>
        <v>1</v>
      </c>
      <c r="AI498" s="44">
        <f ca="1">IF(controls!$B$45=1,LOG(AM498,1.01)+LOG(AL498,1.01)-LOG(AK498,1.01),-((T498-('main page'!$K$24+'main page'!$K$11))/(1-'normal case'!$AV$3))+'normal case'!AH498)</f>
        <v>2.0000000596046448</v>
      </c>
      <c r="AJ498" s="80">
        <f t="shared" ca="1" si="62"/>
        <v>1.0506250015463039</v>
      </c>
      <c r="AK498" s="44">
        <f t="shared" ca="1" si="63"/>
        <v>17723.162578147454</v>
      </c>
      <c r="AL498" s="44">
        <f>AL497*(1+'main page'!$K$32/100)</f>
        <v>1</v>
      </c>
      <c r="AM498" s="44">
        <f ca="1">IF(ABS(IF(controls!$B$45=1,$AS$13,AK498*AJ498/AL498)-AM497)&lt;0.00001,AM497,IF(controls!$B$45=1,$AS$13,AK498*AJ498/AL498))</f>
        <v>18620.397711071564</v>
      </c>
      <c r="AN498" s="44">
        <f>IF(controls!$B$46=0,0,IF(controls!$B$33=2,B499-B498*AC499-('normal case'!H499-D498*AD499-'main page'!$K$27*'normal case'!T498+'main page'!$K$31*'normal case'!AI498)-(('main page'!$K$25*'main page'!$U$13*'main page'!$K$29)/(1+('main page'!$K$25^2)*'main page'!$U$13))*('normal case'!L498-'main page'!$U$8),B499-B498*AC499-('normal case'!I499-D498*AD499-'main page'!$K$27*'normal case'!T498+'main page'!$K$31*'normal case'!AI498)-(('main page'!$K$25*'main page'!$U$13*'main page'!$K$29)/(1+('main page'!$K$25^2)*'main page'!$U$13))*('normal case'!L498-'main page'!$U$8)))</f>
        <v>0</v>
      </c>
      <c r="AU498" s="36"/>
      <c r="AV498" s="36"/>
    </row>
    <row r="499" spans="1:48">
      <c r="A499" s="43">
        <v>497</v>
      </c>
      <c r="B499" s="62">
        <f ca="1">IF(controls!$B$33=1,B498*(1+AC499)+AA499,B498*(1+AC499))</f>
        <v>101</v>
      </c>
      <c r="C499" s="67">
        <f t="shared" ca="1" si="64"/>
        <v>-1.5107707374006907E-7</v>
      </c>
      <c r="D499" s="64">
        <f t="shared" ca="1" si="60"/>
        <v>101.00000005960464</v>
      </c>
      <c r="E499" s="64">
        <f ca="1">AN498+IF(controls!$B$33=1,G499,F499)</f>
        <v>101.00000005960464</v>
      </c>
      <c r="F499" s="78">
        <f ca="1">IF(controls!$B$44=0,H499-'main page'!$K$27*T498,H499-'main page'!$K$27*T498+'main page'!$K$31*AI498)</f>
        <v>101.00000005960464</v>
      </c>
      <c r="G499" s="62">
        <f ca="1">IF(controls!$B$44=0,I499-'main page'!$K$27*T498,I499-'main page'!$K$27*T498+'main page'!$K$31*'normal case'!AI498)</f>
        <v>101.00000005960464</v>
      </c>
      <c r="H499" s="62">
        <f t="shared" ca="1" si="66"/>
        <v>108</v>
      </c>
      <c r="I499" s="62">
        <f t="shared" ca="1" si="67"/>
        <v>108</v>
      </c>
      <c r="L499" s="62">
        <f ca="1">IF(ABS('main page'!$K$29*L498+(1-'main page'!$K$29)*(controls!$B$9/100)*100+'main page'!$K$25*(D499-B499)-L498)&lt;0.0000001,L498,'main page'!$K$29*L498+(1-'main page'!$K$29)*(controls!$B$9/100)*100+'main page'!$K$25*(D499-B499))</f>
        <v>1.9999998807907104</v>
      </c>
      <c r="Q499" s="409">
        <f ca="1">(1-'main page'!$K$29)*($AS$11/100)*100+'main page'!$K$25*(D499-B499)</f>
        <v>5.9604644775390625E-8</v>
      </c>
      <c r="R499" s="409">
        <f>'main page'!G503+'main page'!$K$29*M498</f>
        <v>0</v>
      </c>
      <c r="S499" s="409">
        <f t="shared" ca="1" si="65"/>
        <v>5.9604644775390625E-8</v>
      </c>
      <c r="T499" s="79">
        <f ca="1">IF(controls!$B$10=1,T498,IF(SUM(controls!$B$44:$B$46)=2,U499-'main page'!$K$29*'normal case'!L499-(1-'main page'!$K$29)*'main page'!$K$32,U499-'main page'!$K$29*'normal case'!L499-(1-'main page'!$K$29)*controls!$B$9))</f>
        <v>3.4999999701976776</v>
      </c>
      <c r="U499" s="164">
        <f ca="1">IF(controls!$B$45=1,IF(controls!$B$46=1,'main page'!$K$24+'main page'!$K$11+'main page'!$U$8,'main page'!$K$24+'main page'!$K$11+'main page'!$K$32),IF(controls!$B$44=1,IF(V499&lt;0,0,V499),IF(V499+'main page'!$K$11&lt;0,0,V499+'main page'!$K$11)))</f>
        <v>5.4999998509883881</v>
      </c>
      <c r="V499" s="63">
        <f ca="1">IF(controls!$B$10=1,'normal case'!T499+'normal case'!L499,'normal case'!W499)</f>
        <v>5.4999998509883881</v>
      </c>
      <c r="W499" s="61">
        <f t="shared" ca="1" si="61"/>
        <v>5.4999998509883881</v>
      </c>
      <c r="X499" s="166">
        <f ca="1">IF(controls!$B$44=0,Y499+'main page'!$K$29*L499+(1-'main page'!$K$29)*controls!$B$9+(('main page'!$K$25*'main page'!$U$13*'main page'!$K$29)/('main page'!$K$27*(1+('main page'!$K$25^2)*'main page'!$U$13)))*(L499-controls!$B$9),Y499+'main page'!$K$29*L499+(1-'main page'!$K$29)*controls!$B$9+(('main page'!$K$25*'main page'!$U$13*'normal case'!$AV$3)/'normal case'!$AV$4)*('normal case'!L499-controls!$B$9))</f>
        <v>5.4999998509883881</v>
      </c>
      <c r="Y499" s="81">
        <f ca="1">IF(controls!$B$44=1,'main page'!$K$24+'main page'!$K$11,IF(controls!$B$33=1,((I500-D499*AD500-B500+B499*AC500)/'main page'!$K$27)-'main page'!$K$11,((H500-D499*AD500-B500+B499*AC500)/'main page'!$K$27)-'main page'!$K$11))</f>
        <v>3.5</v>
      </c>
      <c r="AA499" s="58">
        <f>IF(controls!$B$6=1,$AS$3*(1+('main page'!$K$35/100))^AB499-$AS$3*(1+('main page'!$K$35/100))^AB498,$AS$3*(1+('main page'!$G$8/100))*(1+('main page'!$K$35/100))^AB499-$AS$3*(1+('main page'!$G$8/100))*(1+('main page'!$K$35/100))^AB498)</f>
        <v>0</v>
      </c>
      <c r="AB499" s="60">
        <v>492</v>
      </c>
      <c r="AC499" s="125">
        <v>0</v>
      </c>
      <c r="AD499" s="36">
        <v>0</v>
      </c>
      <c r="AE499" s="44">
        <f ca="1">IF(controls!$B$33=1,D499-($I$3-'main page'!$K$27*2)*(1+('main page'!$K$35/100))^A498,D499-$AS$4)</f>
        <v>1.0000000596046448</v>
      </c>
      <c r="AF499" s="44">
        <f ca="1">ABS(L499-(controls!$B$9/100)*100)</f>
        <v>1.1920928955078125E-7</v>
      </c>
      <c r="AH499" s="44">
        <f ca="1">IF(controls!$B$33=1,(B500-B499*AC500-I500+D499*AD500+'main page'!$K$27*('main page'!$K$24+'main page'!$K$11))/'main page'!$K$31,(B500-B499*AC500+D499*AD500-H500+'main page'!$K$27*('main page'!$K$24+'main page'!$K$11))/'main page'!$K$31)</f>
        <v>1</v>
      </c>
      <c r="AI499" s="44">
        <f ca="1">IF(controls!$B$45=1,LOG(AM499,1.01)+LOG(AL499,1.01)-LOG(AK499,1.01),-((T499-('main page'!$K$24+'main page'!$K$11))/(1-'normal case'!$AV$3))+'normal case'!AH499)</f>
        <v>2.0000000596046448</v>
      </c>
      <c r="AJ499" s="80">
        <f t="shared" ca="1" si="62"/>
        <v>1.0506250015463039</v>
      </c>
      <c r="AK499" s="44">
        <f t="shared" ca="1" si="63"/>
        <v>18077.625808582747</v>
      </c>
      <c r="AL499" s="44">
        <f>AL498*(1+'main page'!$K$32/100)</f>
        <v>1</v>
      </c>
      <c r="AM499" s="44">
        <f ca="1">IF(ABS(IF(controls!$B$45=1,$AS$13,AK499*AJ499/AL499)-AM498)&lt;0.00001,AM498,IF(controls!$B$45=1,$AS$13,AK499*AJ499/AL499))</f>
        <v>18992.805643095751</v>
      </c>
      <c r="AN499" s="44">
        <f>IF(controls!$B$46=0,0,IF(controls!$B$33=2,B500-B499*AC500-('normal case'!H500-D499*AD500-'main page'!$K$27*'normal case'!T499+'main page'!$K$31*'normal case'!AI499)-(('main page'!$K$25*'main page'!$U$13*'main page'!$K$29)/(1+('main page'!$K$25^2)*'main page'!$U$13))*('normal case'!L499-'main page'!$U$8),B500-B499*AC500-('normal case'!I500-D499*AD500-'main page'!$K$27*'normal case'!T499+'main page'!$K$31*'normal case'!AI499)-(('main page'!$K$25*'main page'!$U$13*'main page'!$K$29)/(1+('main page'!$K$25^2)*'main page'!$U$13))*('normal case'!L499-'main page'!$U$8)))</f>
        <v>0</v>
      </c>
      <c r="AU499" s="36"/>
      <c r="AV499" s="36"/>
    </row>
    <row r="500" spans="1:48">
      <c r="A500" s="43">
        <v>498</v>
      </c>
      <c r="B500" s="62">
        <f ca="1">IF(controls!$B$33=1,B499*(1+AC500)+AA500,B499*(1+AC500))</f>
        <v>101</v>
      </c>
      <c r="C500" s="67">
        <f t="shared" ca="1" si="64"/>
        <v>-1.5107707374006907E-7</v>
      </c>
      <c r="D500" s="64">
        <f t="shared" ca="1" si="60"/>
        <v>101.00000005960464</v>
      </c>
      <c r="E500" s="64">
        <f ca="1">AN499+IF(controls!$B$33=1,G500,F500)</f>
        <v>101.00000005960464</v>
      </c>
      <c r="F500" s="78">
        <f ca="1">IF(controls!$B$44=0,H500-'main page'!$K$27*T499,H500-'main page'!$K$27*T499+'main page'!$K$31*AI499)</f>
        <v>101.00000005960464</v>
      </c>
      <c r="G500" s="62">
        <f ca="1">IF(controls!$B$44=0,I500-'main page'!$K$27*T499,I500-'main page'!$K$27*T499+'main page'!$K$31*'normal case'!AI499)</f>
        <v>101.00000005960464</v>
      </c>
      <c r="H500" s="62">
        <f t="shared" ca="1" si="66"/>
        <v>108</v>
      </c>
      <c r="I500" s="62">
        <f t="shared" ca="1" si="67"/>
        <v>108</v>
      </c>
      <c r="L500" s="62">
        <f ca="1">IF(ABS('main page'!$K$29*L499+(1-'main page'!$K$29)*(controls!$B$9/100)*100+'main page'!$K$25*(D500-B500)-L499)&lt;0.0000001,L499,'main page'!$K$29*L499+(1-'main page'!$K$29)*(controls!$B$9/100)*100+'main page'!$K$25*(D500-B500))</f>
        <v>1.9999998807907104</v>
      </c>
      <c r="Q500" s="409">
        <f ca="1">(1-'main page'!$K$29)*($AS$11/100)*100+'main page'!$K$25*(D500-B500)</f>
        <v>5.9604644775390625E-8</v>
      </c>
      <c r="R500" s="409">
        <f>'main page'!G504+'main page'!$K$29*M499</f>
        <v>0</v>
      </c>
      <c r="S500" s="409">
        <f t="shared" ca="1" si="65"/>
        <v>5.9604644775390625E-8</v>
      </c>
      <c r="T500" s="79">
        <f ca="1">IF(controls!$B$10=1,T499,IF(SUM(controls!$B$44:$B$46)=2,U500-'main page'!$K$29*'normal case'!L500-(1-'main page'!$K$29)*'main page'!$K$32,U500-'main page'!$K$29*'normal case'!L500-(1-'main page'!$K$29)*controls!$B$9))</f>
        <v>3.4999999701976776</v>
      </c>
      <c r="U500" s="164">
        <f ca="1">IF(controls!$B$45=1,IF(controls!$B$46=1,'main page'!$K$24+'main page'!$K$11+'main page'!$U$8,'main page'!$K$24+'main page'!$K$11+'main page'!$K$32),IF(controls!$B$44=1,IF(V500&lt;0,0,V500),IF(V500+'main page'!$K$11&lt;0,0,V500+'main page'!$K$11)))</f>
        <v>5.4999998509883881</v>
      </c>
      <c r="V500" s="63">
        <f ca="1">IF(controls!$B$10=1,'normal case'!T500+'normal case'!L500,'normal case'!W500)</f>
        <v>5.4999998509883881</v>
      </c>
      <c r="W500" s="61">
        <f t="shared" ca="1" si="61"/>
        <v>5.4999998509883881</v>
      </c>
      <c r="X500" s="166">
        <f ca="1">IF(controls!$B$44=0,Y500+'main page'!$K$29*L500+(1-'main page'!$K$29)*controls!$B$9+(('main page'!$K$25*'main page'!$U$13*'main page'!$K$29)/('main page'!$K$27*(1+('main page'!$K$25^2)*'main page'!$U$13)))*(L500-controls!$B$9),Y500+'main page'!$K$29*L500+(1-'main page'!$K$29)*controls!$B$9+(('main page'!$K$25*'main page'!$U$13*'normal case'!$AV$3)/'normal case'!$AV$4)*('normal case'!L500-controls!$B$9))</f>
        <v>5.4999998509883881</v>
      </c>
      <c r="Y500" s="81">
        <f ca="1">IF(controls!$B$44=1,'main page'!$K$24+'main page'!$K$11,IF(controls!$B$33=1,((I501-D500*AD501-B501+B500*AC501)/'main page'!$K$27)-'main page'!$K$11,((H501-D500*AD501-B501+B500*AC501)/'main page'!$K$27)-'main page'!$K$11))</f>
        <v>3.5</v>
      </c>
      <c r="AA500" s="58">
        <f>IF(controls!$B$6=1,$AS$3*(1+('main page'!$K$35/100))^AB500-$AS$3*(1+('main page'!$K$35/100))^AB499,$AS$3*(1+('main page'!$G$8/100))*(1+('main page'!$K$35/100))^AB500-$AS$3*(1+('main page'!$G$8/100))*(1+('main page'!$K$35/100))^AB499)</f>
        <v>0</v>
      </c>
      <c r="AB500" s="60">
        <v>493</v>
      </c>
      <c r="AC500" s="125">
        <f ca="1">IF(controls!$B$4=1,IF(controls!$H499=1,controls!$B$34*AC499+RAND()*('main page'!$K$16/100)-RAND()*('main page'!$K$16/100),0),0)</f>
        <v>0</v>
      </c>
      <c r="AD500" s="36">
        <f ca="1">IF(controls!$B$4=1,IF(controls!$I499=1,controls!$B$34*AD499+RAND()*('main page'!$K$16/100)-RAND()*('main page'!$K$16/100),0),0)</f>
        <v>0</v>
      </c>
      <c r="AE500" s="44">
        <f ca="1">IF(controls!$B$33=1,D500-($I$3-'main page'!$K$27*2)*(1+('main page'!$K$35/100))^A499,D500-$AS$4)</f>
        <v>1.0000000596046448</v>
      </c>
      <c r="AF500" s="44">
        <f ca="1">ABS(L500-(controls!$B$9/100)*100)</f>
        <v>1.1920928955078125E-7</v>
      </c>
      <c r="AH500" s="44">
        <f ca="1">IF(controls!$B$33=1,(B501-B500*AC501-I501+D500*AD501+'main page'!$K$27*('main page'!$K$24+'main page'!$K$11))/'main page'!$K$31,(B501-B500*AC501+D500*AD501-H501+'main page'!$K$27*('main page'!$K$24+'main page'!$K$11))/'main page'!$K$31)</f>
        <v>1</v>
      </c>
      <c r="AI500" s="44">
        <f ca="1">IF(controls!$B$45=1,LOG(AM500,1.01)+LOG(AL500,1.01)-LOG(AK500,1.01),-((T500-('main page'!$K$24+'main page'!$K$11))/(1-'normal case'!$AV$3))+'normal case'!AH500)</f>
        <v>2.0000000596046448</v>
      </c>
      <c r="AJ500" s="80">
        <f t="shared" ca="1" si="62"/>
        <v>1.0506250015463039</v>
      </c>
      <c r="AK500" s="44">
        <f t="shared" ca="1" si="63"/>
        <v>18439.178303204193</v>
      </c>
      <c r="AL500" s="44">
        <f>AL499*(1+'main page'!$K$32/100)</f>
        <v>1</v>
      </c>
      <c r="AM500" s="44">
        <f ca="1">IF(ABS(IF(controls!$B$45=1,$AS$13,AK500*AJ500/AL500)-AM499)&lt;0.00001,AM499,IF(controls!$B$45=1,$AS$13,AK500*AJ500/AL500))</f>
        <v>19372.66173331648</v>
      </c>
      <c r="AN500" s="44">
        <f>IF(controls!$B$46=0,0,IF(controls!$B$33=2,B501-B500*AC501-('normal case'!H501-D500*AD501-'main page'!$K$27*'normal case'!T500+'main page'!$K$31*'normal case'!AI500)-(('main page'!$K$25*'main page'!$U$13*'main page'!$K$29)/(1+('main page'!$K$25^2)*'main page'!$U$13))*('normal case'!L500-'main page'!$U$8),B501-B500*AC501-('normal case'!I501-D500*AD501-'main page'!$K$27*'normal case'!T500+'main page'!$K$31*'normal case'!AI500)-(('main page'!$K$25*'main page'!$U$13*'main page'!$K$29)/(1+('main page'!$K$25^2)*'main page'!$U$13))*('normal case'!L500-'main page'!$U$8)))</f>
        <v>0</v>
      </c>
      <c r="AU500" s="36"/>
      <c r="AV500" s="36"/>
    </row>
    <row r="501" spans="1:48">
      <c r="A501" s="43">
        <v>499</v>
      </c>
      <c r="B501" s="62">
        <f ca="1">IF(controls!$B$33=1,B500*(1+AC501)+AA501,B500*(1+AC501))</f>
        <v>101</v>
      </c>
      <c r="C501" s="67">
        <f t="shared" ca="1" si="64"/>
        <v>-1.5107707374006907E-7</v>
      </c>
      <c r="D501" s="64">
        <f t="shared" ca="1" si="60"/>
        <v>101.00000005960464</v>
      </c>
      <c r="E501" s="64">
        <f ca="1">AN500+IF(controls!$B$33=1,G501,F501)</f>
        <v>101.00000005960464</v>
      </c>
      <c r="F501" s="78">
        <f ca="1">IF(controls!$B$44=0,H501-'main page'!$K$27*T500,H501-'main page'!$K$27*T500+'main page'!$K$31*AI500)</f>
        <v>101.00000005960464</v>
      </c>
      <c r="G501" s="62">
        <f ca="1">IF(controls!$B$44=0,I501-'main page'!$K$27*T500,I501-'main page'!$K$27*T500+'main page'!$K$31*'normal case'!AI500)</f>
        <v>101.00000005960464</v>
      </c>
      <c r="H501" s="62">
        <f t="shared" ca="1" si="66"/>
        <v>108</v>
      </c>
      <c r="I501" s="62">
        <f t="shared" ca="1" si="67"/>
        <v>108</v>
      </c>
      <c r="L501" s="62">
        <f ca="1">IF(ABS('main page'!$K$29*L500+(1-'main page'!$K$29)*(controls!$B$9/100)*100+'main page'!$K$25*(D501-B501)-L500)&lt;0.0000001,L500,'main page'!$K$29*L500+(1-'main page'!$K$29)*(controls!$B$9/100)*100+'main page'!$K$25*(D501-B501))</f>
        <v>1.9999998807907104</v>
      </c>
      <c r="Q501" s="409">
        <f ca="1">(1-'main page'!$K$29)*($AS$11/100)*100+'main page'!$K$25*(D501-B501)</f>
        <v>5.9604644775390625E-8</v>
      </c>
      <c r="R501" s="409">
        <f>'main page'!G505+'main page'!$K$29*M500</f>
        <v>0</v>
      </c>
      <c r="S501" s="409">
        <f t="shared" ca="1" si="65"/>
        <v>5.9604644775390625E-8</v>
      </c>
      <c r="T501" s="79">
        <f ca="1">IF(controls!$B$10=1,T500,IF(SUM(controls!$B$44:$B$46)=2,U501-'main page'!$K$29*'normal case'!L501-(1-'main page'!$K$29)*'main page'!$K$32,U501-'main page'!$K$29*'normal case'!L501-(1-'main page'!$K$29)*controls!$B$9))</f>
        <v>3.4999999701976776</v>
      </c>
      <c r="U501" s="164">
        <f ca="1">IF(controls!$B$45=1,IF(controls!$B$46=1,'main page'!$K$24+'main page'!$K$11+'main page'!$U$8,'main page'!$K$24+'main page'!$K$11+'main page'!$K$32),IF(controls!$B$44=1,IF(V501&lt;0,0,V501),IF(V501+'main page'!$K$11&lt;0,0,V501+'main page'!$K$11)))</f>
        <v>5.4999998509883881</v>
      </c>
      <c r="V501" s="63">
        <f ca="1">IF(controls!$B$10=1,'normal case'!T501+'normal case'!L501,'normal case'!W501)</f>
        <v>5.4999998509883881</v>
      </c>
      <c r="W501" s="61">
        <f t="shared" ca="1" si="61"/>
        <v>5.4999998509883881</v>
      </c>
      <c r="X501" s="166">
        <f ca="1">IF(controls!$B$44=0,Y501+'main page'!$K$29*L501+(1-'main page'!$K$29)*controls!$B$9+(('main page'!$K$25*'main page'!$U$13*'main page'!$K$29)/('main page'!$K$27*(1+('main page'!$K$25^2)*'main page'!$U$13)))*(L501-controls!$B$9),Y501+'main page'!$K$29*L501+(1-'main page'!$K$29)*controls!$B$9+(('main page'!$K$25*'main page'!$U$13*'normal case'!$AV$3)/'normal case'!$AV$4)*('normal case'!L501-controls!$B$9))</f>
        <v>5.4999998509883881</v>
      </c>
      <c r="Y501" s="81">
        <f ca="1">IF(controls!$B$44=1,'main page'!$K$24+'main page'!$K$11,IF(controls!$B$33=1,((I502-D501*AD502-B502+B501*AC502)/'main page'!$K$27)-'main page'!$K$11,((H502-D501*AD502-B502+B501*AC502)/'main page'!$K$27)-'main page'!$K$11))</f>
        <v>3.5</v>
      </c>
      <c r="AA501" s="58">
        <f>IF(controls!$B$6=1,$AS$3*(1+('main page'!$K$35/100))^AB501-$AS$3*(1+('main page'!$K$35/100))^AB500,$AS$3*(1+('main page'!$G$8/100))*(1+('main page'!$K$35/100))^AB501-$AS$3*(1+('main page'!$G$8/100))*(1+('main page'!$K$35/100))^AB500)</f>
        <v>0</v>
      </c>
      <c r="AB501" s="60">
        <v>494</v>
      </c>
      <c r="AC501" s="125">
        <v>0</v>
      </c>
      <c r="AD501" s="36">
        <v>0</v>
      </c>
      <c r="AE501" s="44">
        <f ca="1">IF(controls!$B$33=1,D501-($I$3-'main page'!$K$27*2)*(1+('main page'!$K$35/100))^A500,D501-$AS$4)</f>
        <v>1.0000000596046448</v>
      </c>
      <c r="AF501" s="44">
        <f ca="1">ABS(L501-(controls!$B$9/100)*100)</f>
        <v>1.1920928955078125E-7</v>
      </c>
      <c r="AH501" s="44">
        <f ca="1">IF(controls!$B$33=1,(B502-B501*AC502-I502+D501*AD502+'main page'!$K$27*('main page'!$K$24+'main page'!$K$11))/'main page'!$K$31,(B502-B501*AC502+D501*AD502-H502+'main page'!$K$27*('main page'!$K$24+'main page'!$K$11))/'main page'!$K$31)</f>
        <v>1</v>
      </c>
      <c r="AI501" s="44">
        <f ca="1">IF(controls!$B$45=1,LOG(AM501,1.01)+LOG(AL501,1.01)-LOG(AK501,1.01),-((T501-('main page'!$K$24+'main page'!$K$11))/(1-'normal case'!$AV$3))+'normal case'!AH501)</f>
        <v>2.0000000596046448</v>
      </c>
      <c r="AJ501" s="80">
        <f t="shared" ca="1" si="62"/>
        <v>1.0506250015463039</v>
      </c>
      <c r="AK501" s="44">
        <f t="shared" ca="1" si="63"/>
        <v>18807.961847287064</v>
      </c>
      <c r="AL501" s="44">
        <f>AL500*(1+'main page'!$K$32/100)</f>
        <v>1</v>
      </c>
      <c r="AM501" s="44">
        <f ca="1">IF(ABS(IF(controls!$B$45=1,$AS$13,AK501*AJ501/AL501)-AM500)&lt;0.00001,AM500,IF(controls!$B$45=1,$AS$13,AK501*AJ501/AL501))</f>
        <v>19760.114944888795</v>
      </c>
      <c r="AN501" s="44">
        <f>IF(controls!$B$46=0,0,IF(controls!$B$33=2,B502-B501*AC502-('normal case'!H502-D501*AD502-'main page'!$K$27*'normal case'!T501+'main page'!$K$31*'normal case'!AI501)-(('main page'!$K$25*'main page'!$U$13*'main page'!$K$29)/(1+('main page'!$K$25^2)*'main page'!$U$13))*('normal case'!L501-'main page'!$U$8),B502-B501*AC502-('normal case'!I502-D501*AD502-'main page'!$K$27*'normal case'!T501+'main page'!$K$31*'normal case'!AI501)-(('main page'!$K$25*'main page'!$U$13*'main page'!$K$29)/(1+('main page'!$K$25^2)*'main page'!$U$13))*('normal case'!L501-'main page'!$U$8)))</f>
        <v>0</v>
      </c>
      <c r="AU501" s="36"/>
      <c r="AV501" s="36"/>
    </row>
    <row r="502" spans="1:48">
      <c r="A502" s="43">
        <v>500</v>
      </c>
      <c r="B502" s="62">
        <f ca="1">IF(controls!$B$33=1,B501*(1+AC502)+AA502,B501*(1+AC502))</f>
        <v>101</v>
      </c>
      <c r="C502" s="67">
        <f t="shared" ca="1" si="64"/>
        <v>-1.5107707374006907E-7</v>
      </c>
      <c r="D502" s="64">
        <f t="shared" ca="1" si="60"/>
        <v>101.00000005960464</v>
      </c>
      <c r="E502" s="64">
        <f ca="1">AN501+IF(controls!$B$33=1,G502,F502)</f>
        <v>101.00000005960464</v>
      </c>
      <c r="F502" s="78">
        <f ca="1">IF(controls!$B$44=0,H502-'main page'!$K$27*T501,H502-'main page'!$K$27*T501+'main page'!$K$31*AI501)</f>
        <v>101.00000005960464</v>
      </c>
      <c r="G502" s="62">
        <f ca="1">IF(controls!$B$44=0,I502-'main page'!$K$27*T501,I502-'main page'!$K$27*T501+'main page'!$K$31*'normal case'!AI501)</f>
        <v>101.00000005960464</v>
      </c>
      <c r="H502" s="62">
        <f t="shared" ca="1" si="66"/>
        <v>108</v>
      </c>
      <c r="I502" s="62">
        <f t="shared" ca="1" si="67"/>
        <v>108</v>
      </c>
      <c r="L502" s="62">
        <f ca="1">IF(ABS('main page'!$K$29*L501+(1-'main page'!$K$29)*(controls!$B$9/100)*100+'main page'!$K$25*(D502-B502)-L501)&lt;0.0000001,L501,'main page'!$K$29*L501+(1-'main page'!$K$29)*(controls!$B$9/100)*100+'main page'!$K$25*(D502-B502))</f>
        <v>1.9999998807907104</v>
      </c>
      <c r="T502" s="79">
        <f ca="1">IF(controls!$B$10=1,T501,IF(SUM(controls!$B$44:$B$46)=2,U502-'main page'!$K$29*'normal case'!L502-(1-'main page'!$K$29)*'main page'!$K$32,U502-'main page'!$K$29*'normal case'!L502-(1-'main page'!$K$29)*controls!$B$9))</f>
        <v>-2.9802322387695313E-8</v>
      </c>
      <c r="U502" s="164">
        <f ca="1">IF(controls!$B$45=1,IF(controls!$B$46=1,'main page'!$K$24+'main page'!$K$11+'main page'!$U$8,'main page'!$K$24+'main page'!$K$11+'main page'!$K$32),IF(controls!$B$44=1,IF(V502&lt;0,0,V502),IF(V502+'main page'!$K$11&lt;0,0,V502+'main page'!$K$11)))</f>
        <v>1.9999998509883881</v>
      </c>
      <c r="V502" s="63">
        <f ca="1">IF(controls!$B$10=1,'normal case'!T502+'normal case'!L502,'normal case'!W502)</f>
        <v>1.9999998509883881</v>
      </c>
      <c r="W502" s="61">
        <f t="shared" ca="1" si="61"/>
        <v>1.9999998509883881</v>
      </c>
      <c r="X502" s="166">
        <f ca="1">IF(controls!$B$44=0,Y502+'main page'!$K$29*L502+(1-'main page'!$K$29)*controls!$B$9+(('main page'!$K$25*'main page'!$U$13*'main page'!$K$29)/('main page'!$K$27*(1+('main page'!$K$25^2)*'main page'!$U$13)))*(L502-controls!$B$9),Y502+'main page'!$K$29*L502+(1-'main page'!$K$29)*controls!$B$9+(('main page'!$K$25*'main page'!$U$13*'normal case'!$AV$3)/'normal case'!$AV$4)*('normal case'!L502-controls!$B$9))</f>
        <v>1.9999998509883881</v>
      </c>
      <c r="Y502" s="81">
        <f ca="1">IF(controls!$B$44=1,'main page'!$K$24+'main page'!$K$11,IF(controls!$B$33=1,((I503-D502*AD503-B503+B502*AC503)/'main page'!$K$27)-'main page'!$K$11,((H503-D502*AD503-B503+B502*AC503)/'main page'!$K$27)-'main page'!$K$11))</f>
        <v>0</v>
      </c>
      <c r="AA502" s="58">
        <f>IF(controls!$B$6=1,$AS$3*(1+('main page'!$K$35/100))^AB502-$AS$3*(1+('main page'!$K$35/100))^AB501,$AS$3*(1+('main page'!$G$8/100))*(1+('main page'!$K$35/100))^AB502-$AS$3*(1+('main page'!$G$8/100))*(1+('main page'!$K$35/100))^AB501)</f>
        <v>0</v>
      </c>
      <c r="AB502" s="60">
        <v>495</v>
      </c>
      <c r="AC502" s="125">
        <v>0</v>
      </c>
      <c r="AD502" s="36">
        <v>0</v>
      </c>
      <c r="AE502" s="44">
        <f ca="1">IF(controls!$B$33=1,D502-($I$3-'main page'!$K$27*2)*(1+('main page'!$K$35/100))^A501,D502-$AS$4)</f>
        <v>1.0000000596046448</v>
      </c>
      <c r="AF502" s="44">
        <f ca="1">ABS(L502-(controls!$B$9/100)*100)</f>
        <v>1.1920928955078125E-7</v>
      </c>
      <c r="AH502" s="44">
        <f ca="1">IF(controls!$B$33=1,(B503-B502*AC503-I503+D502*AD503+'main page'!$K$27*('main page'!$K$24+'main page'!$K$11))/'main page'!$K$31,(B503-B502*AC503+D502*AD503-H503+'main page'!$K$27*('main page'!$K$24+'main page'!$K$11))/'main page'!$K$31)</f>
        <v>8</v>
      </c>
      <c r="AI502" s="44">
        <f ca="1">IF(controls!$B$45=1,LOG(AM502,1.01)+LOG(AL502,1.01)-LOG(AK502,1.01),-((T502-('main page'!$K$24+'main page'!$K$11))/(1-'normal case'!$AV$3))+'normal case'!AH502)</f>
        <v>16.000000059604645</v>
      </c>
      <c r="AJ502" s="80">
        <f t="shared" ca="1" si="62"/>
        <v>1.4845056228454492</v>
      </c>
      <c r="AK502" s="44">
        <f t="shared" ca="1" si="63"/>
        <v>19184.121061811969</v>
      </c>
      <c r="AL502" s="44">
        <f>AL501*(1+'main page'!$K$32/100)</f>
        <v>1</v>
      </c>
      <c r="AM502" s="44">
        <f ca="1">IF(ABS(IF(controls!$B$45=1,$AS$13,AK502*AJ502/AL502)-AM501)&lt;0.00001,AM501,IF(controls!$B$45=1,$AS$13,AK502*AJ502/AL502))</f>
        <v>28478.935585607676</v>
      </c>
      <c r="AN502" s="44">
        <f>IF(controls!$B$46=0,0,IF(controls!$B$33=2,B503-B502*AC503-('normal case'!H503-D502*AD503-'main page'!$K$27*'normal case'!T502+'main page'!$K$31*'normal case'!AI502)-(('main page'!$K$25*'main page'!$U$13*'main page'!$K$29)/(1+('main page'!$K$25^2)*'main page'!$U$13))*('normal case'!L502-'main page'!$U$8),B503-B502*AC503-('normal case'!I503-D502*AD503-'main page'!$K$27*'normal case'!T502+'main page'!$K$31*'normal case'!AI502)-(('main page'!$K$25*'main page'!$U$13*'main page'!$K$29)/(1+('main page'!$K$25^2)*'main page'!$U$13))*('normal case'!L502-'main page'!$U$8)))</f>
        <v>0</v>
      </c>
      <c r="AU502" s="36"/>
      <c r="AV502" s="36"/>
    </row>
  </sheetData>
  <sheetProtection selectLockedCells="1"/>
  <mergeCells count="11">
    <mergeCell ref="Q2:S2"/>
    <mergeCell ref="N2:P2"/>
    <mergeCell ref="AH1:AM1"/>
    <mergeCell ref="B1:B2"/>
    <mergeCell ref="C1:I1"/>
    <mergeCell ref="U1:X1"/>
    <mergeCell ref="AE1:AF1"/>
    <mergeCell ref="AC1:AD1"/>
    <mergeCell ref="K1:K2"/>
    <mergeCell ref="J1:J2"/>
    <mergeCell ref="AA1:AB2"/>
  </mergeCells>
  <phoneticPr fontId="3" type="noConversion"/>
  <pageMargins left="0.75" right="0.75" top="1" bottom="1" header="0" footer="0"/>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0"/>
  <dimension ref="A2:U645"/>
  <sheetViews>
    <sheetView zoomScale="110" workbookViewId="0">
      <selection activeCell="C37" sqref="C37"/>
    </sheetView>
  </sheetViews>
  <sheetFormatPr defaultColWidth="10.90625" defaultRowHeight="12.5"/>
  <cols>
    <col min="1" max="1" width="36.81640625" bestFit="1" customWidth="1"/>
    <col min="2" max="2" width="13.453125" bestFit="1" customWidth="1"/>
  </cols>
  <sheetData>
    <row r="2" spans="1:21" ht="13">
      <c r="A2" s="74" t="s">
        <v>58</v>
      </c>
      <c r="B2" s="71" t="str">
        <f>'inflation, income and interest'!$G$32</f>
        <v>simulator</v>
      </c>
    </row>
    <row r="3" spans="1:21" ht="13">
      <c r="A3" s="74" t="s">
        <v>59</v>
      </c>
      <c r="B3" s="75" t="b">
        <f>'inflation, income and interest'!$G$33</f>
        <v>0</v>
      </c>
      <c r="H3" s="43" t="s">
        <v>180</v>
      </c>
      <c r="I3" s="43" t="s">
        <v>181</v>
      </c>
    </row>
    <row r="4" spans="1:21" ht="13">
      <c r="A4" s="63" t="s">
        <v>182</v>
      </c>
      <c r="B4" s="75">
        <v>2</v>
      </c>
      <c r="G4">
        <f ca="1">RAND()</f>
        <v>0.17916156278437734</v>
      </c>
      <c r="H4">
        <f ca="1">IF(G4&lt;0.66,1,2)</f>
        <v>1</v>
      </c>
      <c r="I4">
        <f ca="1">IF(G4&lt;0.33,2,1)</f>
        <v>2</v>
      </c>
    </row>
    <row r="5" spans="1:21" ht="13">
      <c r="A5" s="74"/>
      <c r="B5" s="175">
        <v>2</v>
      </c>
      <c r="G5">
        <f t="shared" ref="G5:G68" ca="1" si="0">RAND()</f>
        <v>0.44999596270823217</v>
      </c>
      <c r="H5">
        <f t="shared" ref="H5:H68" ca="1" si="1">IF(G5&lt;0.66,1,2)</f>
        <v>1</v>
      </c>
      <c r="I5">
        <f t="shared" ref="I5:I68" ca="1" si="2">IF(G5&lt;0.33,2,1)</f>
        <v>1</v>
      </c>
    </row>
    <row r="6" spans="1:21" ht="13">
      <c r="A6" s="74" t="s">
        <v>64</v>
      </c>
      <c r="B6" s="71">
        <v>2</v>
      </c>
      <c r="F6">
        <f>IF(controls!$B$8=FALSE,hystere!$AH$4:$AH$23,IF(controls!$B$33=1,hystere!$AH$4:$AH$23,IF(controls!$B$3=FALSE,hystere!$AH$4:$AH$23,hystere!$N$4:$N$23)))</f>
        <v>0</v>
      </c>
      <c r="G6">
        <f t="shared" ca="1" si="0"/>
        <v>0.53848254790094863</v>
      </c>
      <c r="H6">
        <f t="shared" ca="1" si="1"/>
        <v>1</v>
      </c>
      <c r="I6">
        <f t="shared" ca="1" si="2"/>
        <v>1</v>
      </c>
    </row>
    <row r="7" spans="1:21" ht="13">
      <c r="A7" s="74" t="s">
        <v>63</v>
      </c>
      <c r="B7" s="71">
        <v>2</v>
      </c>
      <c r="G7">
        <f t="shared" ca="1" si="0"/>
        <v>0.71903252816464713</v>
      </c>
      <c r="H7">
        <f t="shared" ca="1" si="1"/>
        <v>2</v>
      </c>
      <c r="I7">
        <f t="shared" ca="1" si="2"/>
        <v>1</v>
      </c>
    </row>
    <row r="8" spans="1:21">
      <c r="A8" s="74" t="s">
        <v>65</v>
      </c>
      <c r="B8" s="112"/>
      <c r="G8">
        <f t="shared" ca="1" si="0"/>
        <v>0.35209317086777792</v>
      </c>
      <c r="H8">
        <f t="shared" ca="1" si="1"/>
        <v>1</v>
      </c>
      <c r="I8">
        <f t="shared" ca="1" si="2"/>
        <v>1</v>
      </c>
    </row>
    <row r="9" spans="1:21" ht="13">
      <c r="A9" s="74" t="s">
        <v>66</v>
      </c>
      <c r="B9" s="123">
        <f>IF(controls!$B$44+controls!$B$45+controls!$B$46=2,'main page'!$K$32,IF(controls!$B$44+controls!$B$45+controls!$B$46=3,'main page'!$U$8,IF(B8=FALSE,'main page'!U8,'main page'!$U$10)))</f>
        <v>2</v>
      </c>
      <c r="G9">
        <f t="shared" ca="1" si="0"/>
        <v>0.19836559198132808</v>
      </c>
      <c r="H9">
        <f t="shared" ca="1" si="1"/>
        <v>1</v>
      </c>
      <c r="I9">
        <f t="shared" ca="1" si="2"/>
        <v>2</v>
      </c>
    </row>
    <row r="10" spans="1:21" ht="13">
      <c r="A10" s="74" t="s">
        <v>67</v>
      </c>
      <c r="B10" s="71">
        <v>2</v>
      </c>
      <c r="G10">
        <f t="shared" ca="1" si="0"/>
        <v>0.88780756171698105</v>
      </c>
      <c r="H10">
        <f t="shared" ca="1" si="1"/>
        <v>2</v>
      </c>
      <c r="I10">
        <f t="shared" ca="1" si="2"/>
        <v>1</v>
      </c>
    </row>
    <row r="11" spans="1:21" ht="14">
      <c r="A11" s="602" t="s">
        <v>68</v>
      </c>
      <c r="B11" s="76" t="s">
        <v>9</v>
      </c>
      <c r="G11">
        <f t="shared" ca="1" si="0"/>
        <v>0.59377213471096735</v>
      </c>
      <c r="H11">
        <f t="shared" ca="1" si="1"/>
        <v>1</v>
      </c>
      <c r="I11">
        <f t="shared" ca="1" si="2"/>
        <v>1</v>
      </c>
    </row>
    <row r="12" spans="1:21" ht="14">
      <c r="A12" s="602"/>
      <c r="B12" s="76" t="s">
        <v>8</v>
      </c>
      <c r="G12">
        <f t="shared" ca="1" si="0"/>
        <v>0.83516865038216004</v>
      </c>
      <c r="H12">
        <f t="shared" ca="1" si="1"/>
        <v>2</v>
      </c>
      <c r="I12">
        <f t="shared" ca="1" si="2"/>
        <v>1</v>
      </c>
    </row>
    <row r="13" spans="1:21">
      <c r="A13" s="603" t="s">
        <v>71</v>
      </c>
      <c r="B13" s="55" t="s">
        <v>57</v>
      </c>
      <c r="G13">
        <f t="shared" ca="1" si="0"/>
        <v>0.51146995441371057</v>
      </c>
      <c r="H13">
        <f t="shared" ca="1" si="1"/>
        <v>1</v>
      </c>
      <c r="I13">
        <f t="shared" ca="1" si="2"/>
        <v>1</v>
      </c>
    </row>
    <row r="14" spans="1:21">
      <c r="A14" s="604"/>
      <c r="B14" s="55" t="s">
        <v>56</v>
      </c>
      <c r="G14">
        <f t="shared" ca="1" si="0"/>
        <v>4.6433225306927395E-2</v>
      </c>
      <c r="H14">
        <f t="shared" ca="1" si="1"/>
        <v>1</v>
      </c>
      <c r="I14">
        <f t="shared" ca="1" si="2"/>
        <v>2</v>
      </c>
    </row>
    <row r="15" spans="1:21">
      <c r="A15" s="605" t="s">
        <v>69</v>
      </c>
      <c r="B15" s="74">
        <v>6</v>
      </c>
      <c r="G15">
        <f t="shared" ca="1" si="0"/>
        <v>0.23936692436382567</v>
      </c>
      <c r="H15">
        <f t="shared" ca="1" si="1"/>
        <v>1</v>
      </c>
      <c r="I15">
        <f t="shared" ca="1" si="2"/>
        <v>2</v>
      </c>
    </row>
    <row r="16" spans="1:21">
      <c r="A16" s="605"/>
      <c r="B16" s="74">
        <v>7</v>
      </c>
      <c r="G16">
        <f t="shared" ca="1" si="0"/>
        <v>0.79549058481774282</v>
      </c>
      <c r="H16">
        <f t="shared" ca="1" si="1"/>
        <v>2</v>
      </c>
      <c r="I16">
        <f t="shared" ca="1" si="2"/>
        <v>1</v>
      </c>
    </row>
    <row r="17" spans="1:9">
      <c r="A17" s="605"/>
      <c r="B17" s="74">
        <v>8</v>
      </c>
      <c r="G17">
        <f t="shared" ca="1" si="0"/>
        <v>0.55103915713361129</v>
      </c>
      <c r="H17">
        <f t="shared" ca="1" si="1"/>
        <v>1</v>
      </c>
      <c r="I17">
        <f t="shared" ca="1" si="2"/>
        <v>1</v>
      </c>
    </row>
    <row r="18" spans="1:9">
      <c r="A18" s="605"/>
      <c r="B18" s="74">
        <v>9</v>
      </c>
      <c r="G18">
        <f t="shared" ca="1" si="0"/>
        <v>0.10771295919935653</v>
      </c>
      <c r="H18">
        <f t="shared" ca="1" si="1"/>
        <v>1</v>
      </c>
      <c r="I18">
        <f t="shared" ca="1" si="2"/>
        <v>2</v>
      </c>
    </row>
    <row r="19" spans="1:9">
      <c r="A19" s="605"/>
      <c r="B19" s="74">
        <v>10</v>
      </c>
      <c r="G19">
        <f t="shared" ca="1" si="0"/>
        <v>0.18764345056578247</v>
      </c>
      <c r="H19">
        <f t="shared" ca="1" si="1"/>
        <v>1</v>
      </c>
      <c r="I19">
        <f t="shared" ca="1" si="2"/>
        <v>2</v>
      </c>
    </row>
    <row r="20" spans="1:9">
      <c r="A20" s="605"/>
      <c r="B20" s="74">
        <v>11</v>
      </c>
      <c r="G20">
        <f t="shared" ca="1" si="0"/>
        <v>0.68471650241881876</v>
      </c>
      <c r="H20">
        <f t="shared" ca="1" si="1"/>
        <v>2</v>
      </c>
      <c r="I20">
        <f t="shared" ca="1" si="2"/>
        <v>1</v>
      </c>
    </row>
    <row r="21" spans="1:9">
      <c r="A21" s="605"/>
      <c r="B21" s="74">
        <v>12</v>
      </c>
      <c r="G21">
        <f t="shared" ca="1" si="0"/>
        <v>0.14551494098765561</v>
      </c>
      <c r="H21">
        <f t="shared" ca="1" si="1"/>
        <v>1</v>
      </c>
      <c r="I21">
        <f t="shared" ca="1" si="2"/>
        <v>2</v>
      </c>
    </row>
    <row r="22" spans="1:9">
      <c r="A22" s="605"/>
      <c r="B22" s="74">
        <v>13</v>
      </c>
      <c r="G22">
        <f t="shared" ca="1" si="0"/>
        <v>0.3622707900848543</v>
      </c>
      <c r="H22">
        <f t="shared" ca="1" si="1"/>
        <v>1</v>
      </c>
      <c r="I22">
        <f t="shared" ca="1" si="2"/>
        <v>1</v>
      </c>
    </row>
    <row r="23" spans="1:9">
      <c r="A23" s="605"/>
      <c r="B23" s="74">
        <v>14</v>
      </c>
      <c r="G23">
        <f t="shared" ca="1" si="0"/>
        <v>0.66474024392646802</v>
      </c>
      <c r="H23">
        <f t="shared" ca="1" si="1"/>
        <v>2</v>
      </c>
      <c r="I23">
        <f t="shared" ca="1" si="2"/>
        <v>1</v>
      </c>
    </row>
    <row r="24" spans="1:9">
      <c r="A24" s="605"/>
      <c r="B24" s="74">
        <v>15</v>
      </c>
      <c r="G24">
        <f t="shared" ca="1" si="0"/>
        <v>0.34240750893911931</v>
      </c>
      <c r="H24">
        <f t="shared" ca="1" si="1"/>
        <v>1</v>
      </c>
      <c r="I24">
        <f t="shared" ca="1" si="2"/>
        <v>1</v>
      </c>
    </row>
    <row r="25" spans="1:9">
      <c r="A25" s="605"/>
      <c r="B25" s="74">
        <v>16</v>
      </c>
      <c r="G25">
        <f t="shared" ca="1" si="0"/>
        <v>0.97614295318817235</v>
      </c>
      <c r="H25">
        <f t="shared" ca="1" si="1"/>
        <v>2</v>
      </c>
      <c r="I25">
        <f t="shared" ca="1" si="2"/>
        <v>1</v>
      </c>
    </row>
    <row r="26" spans="1:9">
      <c r="A26" s="605"/>
      <c r="B26" s="74">
        <v>17</v>
      </c>
      <c r="G26">
        <f t="shared" ca="1" si="0"/>
        <v>7.733983014568957E-3</v>
      </c>
      <c r="H26">
        <f t="shared" ca="1" si="1"/>
        <v>1</v>
      </c>
      <c r="I26">
        <f t="shared" ca="1" si="2"/>
        <v>2</v>
      </c>
    </row>
    <row r="27" spans="1:9">
      <c r="A27" s="605"/>
      <c r="B27" s="74">
        <v>18</v>
      </c>
      <c r="G27">
        <f t="shared" ca="1" si="0"/>
        <v>0.23738719404102004</v>
      </c>
      <c r="H27">
        <f t="shared" ca="1" si="1"/>
        <v>1</v>
      </c>
      <c r="I27">
        <f t="shared" ca="1" si="2"/>
        <v>2</v>
      </c>
    </row>
    <row r="28" spans="1:9">
      <c r="A28" s="605"/>
      <c r="B28" s="74">
        <v>19</v>
      </c>
      <c r="G28">
        <f t="shared" ca="1" si="0"/>
        <v>0.62983988250543144</v>
      </c>
      <c r="H28">
        <f t="shared" ca="1" si="1"/>
        <v>1</v>
      </c>
      <c r="I28">
        <f t="shared" ca="1" si="2"/>
        <v>1</v>
      </c>
    </row>
    <row r="29" spans="1:9">
      <c r="A29" s="605"/>
      <c r="B29" s="74">
        <v>20</v>
      </c>
      <c r="G29">
        <f t="shared" ca="1" si="0"/>
        <v>0.93865384419247833</v>
      </c>
      <c r="H29">
        <f t="shared" ca="1" si="1"/>
        <v>2</v>
      </c>
      <c r="I29">
        <f t="shared" ca="1" si="2"/>
        <v>1</v>
      </c>
    </row>
    <row r="30" spans="1:9" ht="25">
      <c r="A30" s="85" t="s">
        <v>70</v>
      </c>
      <c r="B30" s="74">
        <f>'main page'!U24-4</f>
        <v>1</v>
      </c>
      <c r="G30">
        <f t="shared" ca="1" si="0"/>
        <v>0.10365507826860898</v>
      </c>
      <c r="H30">
        <f t="shared" ca="1" si="1"/>
        <v>1</v>
      </c>
      <c r="I30">
        <f t="shared" ca="1" si="2"/>
        <v>2</v>
      </c>
    </row>
    <row r="31" spans="1:9">
      <c r="A31" s="74" t="s">
        <v>72</v>
      </c>
      <c r="B31" s="74">
        <f>IF(C31="temporary",1,2)</f>
        <v>1</v>
      </c>
      <c r="C31" t="str">
        <f>'main page'!U26</f>
        <v>temporary</v>
      </c>
      <c r="G31">
        <f t="shared" ca="1" si="0"/>
        <v>0.60852496687428015</v>
      </c>
      <c r="H31">
        <f t="shared" ca="1" si="1"/>
        <v>1</v>
      </c>
      <c r="I31">
        <f t="shared" ca="1" si="2"/>
        <v>1</v>
      </c>
    </row>
    <row r="32" spans="1:9">
      <c r="A32" s="74" t="s">
        <v>86</v>
      </c>
      <c r="B32" s="86">
        <v>10</v>
      </c>
      <c r="G32">
        <f t="shared" ca="1" si="0"/>
        <v>0.65270112880773434</v>
      </c>
      <c r="H32">
        <f t="shared" ca="1" si="1"/>
        <v>1</v>
      </c>
      <c r="I32">
        <f t="shared" ca="1" si="2"/>
        <v>1</v>
      </c>
    </row>
    <row r="33" spans="1:9" ht="13">
      <c r="A33" s="74" t="s">
        <v>87</v>
      </c>
      <c r="B33" s="75">
        <v>2</v>
      </c>
      <c r="G33">
        <f t="shared" ca="1" si="0"/>
        <v>0.45872365732384512</v>
      </c>
      <c r="H33">
        <f t="shared" ca="1" si="1"/>
        <v>1</v>
      </c>
      <c r="I33">
        <f t="shared" ca="1" si="2"/>
        <v>1</v>
      </c>
    </row>
    <row r="34" spans="1:9">
      <c r="A34" s="74" t="s">
        <v>89</v>
      </c>
      <c r="B34" s="63">
        <v>0.7</v>
      </c>
      <c r="G34">
        <f t="shared" ca="1" si="0"/>
        <v>0.89015792902622159</v>
      </c>
      <c r="H34">
        <f t="shared" ca="1" si="1"/>
        <v>2</v>
      </c>
      <c r="I34">
        <f t="shared" ca="1" si="2"/>
        <v>1</v>
      </c>
    </row>
    <row r="35" spans="1:9">
      <c r="A35" s="606" t="s">
        <v>39</v>
      </c>
      <c r="B35">
        <f>IF(COUNT('choose m.p.'!I3)=1,1,0)</f>
        <v>1</v>
      </c>
      <c r="C35" s="94">
        <f>IF(COUNT('choose m.p.'!I3:I10)=8,8,IF(COUNT('choose m.p.'!I3:I9)=7,7,IF(COUNT('choose m.p.'!I3:I8)=6,6,IF(COUNT('choose m.p.'!I3:I7)=5,5,IF(COUNT('choose m.p.'!I3:I6)=4,4,IF(COUNT('choose m.p.'!I3:I5)=3,3,IF(COUNT('choose m.p.'!I3:I4)=2,2,1)))))))</f>
        <v>8</v>
      </c>
      <c r="G35">
        <f t="shared" ca="1" si="0"/>
        <v>0.67022115325733367</v>
      </c>
      <c r="H35">
        <f t="shared" ca="1" si="1"/>
        <v>2</v>
      </c>
      <c r="I35">
        <f t="shared" ca="1" si="2"/>
        <v>1</v>
      </c>
    </row>
    <row r="36" spans="1:9">
      <c r="A36" s="607"/>
      <c r="B36" s="94">
        <f>IF(COUNT('choose m.p.'!I3:I10)=8,8,IF(COUNT('choose m.p.'!I3:I9)=7,7,IF(COUNT('choose m.p.'!I3:I8)=6,6,IF(COUNT('choose m.p.'!I3:I7)=5,5,IF(COUNT('choose m.p.'!I3:I6)=4,4,IF(COUNT('choose m.p.'!I3:I5)=3,3,IF(COUNT('choose m.p.'!I3:I4)=2,2,B35)))))))</f>
        <v>8</v>
      </c>
      <c r="C36" s="95">
        <f>IF(COUNT('choose m.p.'!I3:I17)=15,15,IF(COUNT('choose m.p.'!I3:I16)=14,14,IF(COUNT('choose m.p.'!I3:I15)=13,13,IF(COUNT('choose m.p.'!I3:I14)=12,12,IF(COUNT('choose m.p.'!I3:I13)=11,11,IF(COUNT('choose m.p.'!I3:I12)=10,10,IF(COUNT('choose m.p.'!I3:I11)=9,9,C35)))))))</f>
        <v>8</v>
      </c>
      <c r="G36">
        <f t="shared" ca="1" si="0"/>
        <v>0.57082318460143477</v>
      </c>
      <c r="H36">
        <f t="shared" ca="1" si="1"/>
        <v>1</v>
      </c>
      <c r="I36">
        <f t="shared" ca="1" si="2"/>
        <v>1</v>
      </c>
    </row>
    <row r="37" spans="1:9">
      <c r="A37" s="607"/>
      <c r="B37" s="95">
        <f>IF(COUNT('choose m.p.'!I3:I17)=15,15,IF(COUNT('choose m.p.'!I3:I16)=14,14,IF(COUNT('choose m.p.'!I3:I15)=13,13,IF(COUNT('choose m.p.'!I3:I14)=12,12,IF(COUNT('choose m.p.'!I3:I13)=11,11,IF(COUNT('choose m.p.'!I3:I12)=10,10,IF(COUNT('choose m.p.'!I3:I11)=9,9,B36)))))))</f>
        <v>8</v>
      </c>
      <c r="C37" s="95">
        <f>IF(COUNT('choose m.p.'!I3:I22)=20,20,IF(COUNT('choose m.p.'!I3:I21)=19,19,IF(COUNT('choose m.p.'!I3:I20)=18,18,IF(COUNT('choose m.p.'!I3:I19)=17,17,IF(COUNT('choose m.p.'!I3:I18)=16,16,IF(COUNT('choose m.p.'!I3:I17)=15,15,C36))))))</f>
        <v>8</v>
      </c>
      <c r="G37">
        <f t="shared" ca="1" si="0"/>
        <v>0.69233810255197792</v>
      </c>
      <c r="H37">
        <f t="shared" ca="1" si="1"/>
        <v>2</v>
      </c>
      <c r="I37">
        <f t="shared" ca="1" si="2"/>
        <v>1</v>
      </c>
    </row>
    <row r="38" spans="1:9">
      <c r="A38" s="608"/>
      <c r="B38" s="95">
        <f>IF(COUNT('choose m.p.'!I3:I22)=20,20,IF(COUNT('choose m.p.'!I3:I21)=19,19,IF(COUNT('choose m.p.'!I3:I20)=18,18,IF(COUNT('choose m.p.'!I3:I19)=17,17,IF(COUNT('choose m.p.'!I3:I18)=16,16,IF(COUNT('choose m.p.'!I3:I17)=15,15,B37))))))</f>
        <v>8</v>
      </c>
      <c r="G38">
        <f t="shared" ca="1" si="0"/>
        <v>0.41684231127748661</v>
      </c>
      <c r="H38">
        <f t="shared" ca="1" si="1"/>
        <v>1</v>
      </c>
      <c r="I38">
        <f t="shared" ca="1" si="2"/>
        <v>1</v>
      </c>
    </row>
    <row r="39" spans="1:9">
      <c r="A39" s="74" t="s">
        <v>98</v>
      </c>
      <c r="B39" s="74" t="s">
        <v>243</v>
      </c>
      <c r="C39">
        <f>IF(B39="Demand shocks",0,IF(B39="Supply shocks",1,IF(B39="Stabilizing real interest rate",2,3)))</f>
        <v>3</v>
      </c>
      <c r="G39">
        <f t="shared" ca="1" si="0"/>
        <v>0.27592098857926872</v>
      </c>
      <c r="H39">
        <f t="shared" ca="1" si="1"/>
        <v>1</v>
      </c>
      <c r="I39">
        <f t="shared" ca="1" si="2"/>
        <v>2</v>
      </c>
    </row>
    <row r="40" spans="1:9">
      <c r="A40" s="169" t="s">
        <v>175</v>
      </c>
      <c r="B40" s="74">
        <v>3</v>
      </c>
      <c r="C40" s="43" t="s">
        <v>176</v>
      </c>
      <c r="G40">
        <f t="shared" ca="1" si="0"/>
        <v>0.76033381523021182</v>
      </c>
      <c r="H40">
        <f t="shared" ca="1" si="1"/>
        <v>2</v>
      </c>
      <c r="I40">
        <f t="shared" ca="1" si="2"/>
        <v>1</v>
      </c>
    </row>
    <row r="41" spans="1:9">
      <c r="A41" s="84" t="s">
        <v>111</v>
      </c>
      <c r="B41" s="120">
        <f>COUNT('compare results'!Q3:Q22)</f>
        <v>0</v>
      </c>
      <c r="G41">
        <f t="shared" ca="1" si="0"/>
        <v>0.34492046334760706</v>
      </c>
      <c r="H41">
        <f t="shared" ca="1" si="1"/>
        <v>1</v>
      </c>
      <c r="I41">
        <f t="shared" ca="1" si="2"/>
        <v>1</v>
      </c>
    </row>
    <row r="42" spans="1:9">
      <c r="A42" s="73"/>
      <c r="B42" s="120">
        <f>COUNT('compare results'!AF3:AF22)</f>
        <v>0</v>
      </c>
      <c r="G42">
        <f t="shared" ca="1" si="0"/>
        <v>0.88526701041204581</v>
      </c>
      <c r="H42">
        <f t="shared" ca="1" si="1"/>
        <v>2</v>
      </c>
      <c r="I42">
        <f t="shared" ca="1" si="2"/>
        <v>1</v>
      </c>
    </row>
    <row r="43" spans="1:9">
      <c r="A43" s="121"/>
      <c r="B43" s="120">
        <f>COUNT('compare results'!AU3:AU22)</f>
        <v>0</v>
      </c>
      <c r="G43">
        <f t="shared" ca="1" si="0"/>
        <v>3.6929597890431265E-2</v>
      </c>
      <c r="H43">
        <f t="shared" ca="1" si="1"/>
        <v>1</v>
      </c>
      <c r="I43">
        <f t="shared" ca="1" si="2"/>
        <v>2</v>
      </c>
    </row>
    <row r="44" spans="1:9">
      <c r="A44" s="73" t="s">
        <v>124</v>
      </c>
      <c r="B44">
        <v>0</v>
      </c>
      <c r="G44">
        <f t="shared" ca="1" si="0"/>
        <v>0.70175344881414958</v>
      </c>
      <c r="H44">
        <f t="shared" ca="1" si="1"/>
        <v>2</v>
      </c>
      <c r="I44">
        <f t="shared" ca="1" si="2"/>
        <v>1</v>
      </c>
    </row>
    <row r="45" spans="1:9">
      <c r="A45" s="73" t="s">
        <v>137</v>
      </c>
      <c r="B45">
        <v>0</v>
      </c>
      <c r="G45">
        <f t="shared" ca="1" si="0"/>
        <v>0.21543446685150092</v>
      </c>
      <c r="H45">
        <f t="shared" ca="1" si="1"/>
        <v>1</v>
      </c>
      <c r="I45">
        <f t="shared" ca="1" si="2"/>
        <v>2</v>
      </c>
    </row>
    <row r="46" spans="1:9">
      <c r="A46" s="73" t="s">
        <v>139</v>
      </c>
      <c r="B46">
        <v>0</v>
      </c>
      <c r="C46" t="s">
        <v>140</v>
      </c>
      <c r="G46">
        <f t="shared" ca="1" si="0"/>
        <v>0.1946038222577845</v>
      </c>
      <c r="H46">
        <f t="shared" ca="1" si="1"/>
        <v>1</v>
      </c>
      <c r="I46">
        <f t="shared" ca="1" si="2"/>
        <v>2</v>
      </c>
    </row>
    <row r="47" spans="1:9" ht="25">
      <c r="A47" s="85" t="s">
        <v>177</v>
      </c>
      <c r="B47" s="74" t="s">
        <v>244</v>
      </c>
      <c r="G47">
        <f t="shared" ca="1" si="0"/>
        <v>0.20639998788385328</v>
      </c>
      <c r="H47">
        <f t="shared" ca="1" si="1"/>
        <v>1</v>
      </c>
      <c r="I47">
        <f t="shared" ca="1" si="2"/>
        <v>2</v>
      </c>
    </row>
    <row r="48" spans="1:9" ht="25">
      <c r="A48" s="170" t="s">
        <v>178</v>
      </c>
      <c r="B48" s="74" t="s">
        <v>244</v>
      </c>
      <c r="G48">
        <f t="shared" ca="1" si="0"/>
        <v>0.28499976316865072</v>
      </c>
      <c r="H48">
        <f t="shared" ca="1" si="1"/>
        <v>1</v>
      </c>
      <c r="I48">
        <f t="shared" ca="1" si="2"/>
        <v>2</v>
      </c>
    </row>
    <row r="49" spans="1:9">
      <c r="A49" s="74" t="s">
        <v>179</v>
      </c>
      <c r="B49" s="74">
        <v>10</v>
      </c>
      <c r="G49">
        <f t="shared" ca="1" si="0"/>
        <v>0.1594050021321558</v>
      </c>
      <c r="H49">
        <f t="shared" ca="1" si="1"/>
        <v>1</v>
      </c>
      <c r="I49">
        <f t="shared" ca="1" si="2"/>
        <v>2</v>
      </c>
    </row>
    <row r="50" spans="1:9">
      <c r="A50" s="177" t="s">
        <v>210</v>
      </c>
      <c r="B50" s="203">
        <v>1</v>
      </c>
      <c r="G50">
        <f t="shared" ca="1" si="0"/>
        <v>0.54517149850962809</v>
      </c>
      <c r="H50">
        <f t="shared" ca="1" si="1"/>
        <v>1</v>
      </c>
      <c r="I50">
        <f t="shared" ca="1" si="2"/>
        <v>1</v>
      </c>
    </row>
    <row r="51" spans="1:9">
      <c r="A51" s="177" t="s">
        <v>211</v>
      </c>
      <c r="B51" s="203">
        <v>20</v>
      </c>
      <c r="C51" s="203">
        <f>B51-B50</f>
        <v>19</v>
      </c>
      <c r="G51">
        <f t="shared" ca="1" si="0"/>
        <v>3.0217576612645791E-2</v>
      </c>
      <c r="H51">
        <f t="shared" ca="1" si="1"/>
        <v>1</v>
      </c>
      <c r="I51">
        <f t="shared" ca="1" si="2"/>
        <v>2</v>
      </c>
    </row>
    <row r="52" spans="1:9">
      <c r="A52" s="177" t="s">
        <v>212</v>
      </c>
      <c r="B52" s="203">
        <v>1</v>
      </c>
      <c r="G52">
        <f t="shared" ca="1" si="0"/>
        <v>0.13565371444392982</v>
      </c>
      <c r="H52">
        <f t="shared" ca="1" si="1"/>
        <v>1</v>
      </c>
      <c r="I52">
        <f t="shared" ca="1" si="2"/>
        <v>2</v>
      </c>
    </row>
    <row r="53" spans="1:9">
      <c r="A53" s="177" t="s">
        <v>213</v>
      </c>
      <c r="B53" s="203">
        <v>20</v>
      </c>
      <c r="C53" s="203">
        <f>B53-B52</f>
        <v>19</v>
      </c>
      <c r="G53">
        <f t="shared" ca="1" si="0"/>
        <v>0.29946414748205918</v>
      </c>
      <c r="H53">
        <f t="shared" ca="1" si="1"/>
        <v>1</v>
      </c>
      <c r="I53">
        <f t="shared" ca="1" si="2"/>
        <v>2</v>
      </c>
    </row>
    <row r="54" spans="1:9">
      <c r="A54" s="177" t="s">
        <v>209</v>
      </c>
      <c r="B54" s="203">
        <v>1</v>
      </c>
      <c r="G54">
        <f t="shared" ca="1" si="0"/>
        <v>0.61288696149298938</v>
      </c>
      <c r="H54">
        <f t="shared" ca="1" si="1"/>
        <v>1</v>
      </c>
      <c r="I54">
        <f t="shared" ca="1" si="2"/>
        <v>1</v>
      </c>
    </row>
    <row r="55" spans="1:9">
      <c r="A55" s="177" t="s">
        <v>214</v>
      </c>
      <c r="B55" s="203">
        <v>20</v>
      </c>
      <c r="C55" s="203">
        <f>B55-B54</f>
        <v>19</v>
      </c>
      <c r="G55">
        <f t="shared" ca="1" si="0"/>
        <v>0.83467476715765965</v>
      </c>
      <c r="H55">
        <f t="shared" ca="1" si="1"/>
        <v>2</v>
      </c>
      <c r="I55">
        <f t="shared" ca="1" si="2"/>
        <v>1</v>
      </c>
    </row>
    <row r="56" spans="1:9">
      <c r="G56">
        <f t="shared" ca="1" si="0"/>
        <v>0.76333540440673164</v>
      </c>
      <c r="H56">
        <f t="shared" ca="1" si="1"/>
        <v>2</v>
      </c>
      <c r="I56">
        <f t="shared" ca="1" si="2"/>
        <v>1</v>
      </c>
    </row>
    <row r="57" spans="1:9">
      <c r="A57" s="308" t="s">
        <v>225</v>
      </c>
      <c r="B57" t="b">
        <v>0</v>
      </c>
      <c r="G57">
        <f t="shared" ca="1" si="0"/>
        <v>0.379212965345609</v>
      </c>
      <c r="H57">
        <f t="shared" ca="1" si="1"/>
        <v>1</v>
      </c>
      <c r="I57">
        <f t="shared" ca="1" si="2"/>
        <v>1</v>
      </c>
    </row>
    <row r="58" spans="1:9">
      <c r="G58">
        <f t="shared" ca="1" si="0"/>
        <v>0.95441736110391351</v>
      </c>
      <c r="H58">
        <f t="shared" ca="1" si="1"/>
        <v>2</v>
      </c>
      <c r="I58">
        <f t="shared" ca="1" si="2"/>
        <v>1</v>
      </c>
    </row>
    <row r="59" spans="1:9">
      <c r="A59" s="177" t="s">
        <v>226</v>
      </c>
      <c r="B59" s="354">
        <v>1</v>
      </c>
      <c r="G59">
        <f t="shared" ca="1" si="0"/>
        <v>0.35803522856533254</v>
      </c>
      <c r="H59">
        <f t="shared" ca="1" si="1"/>
        <v>1</v>
      </c>
      <c r="I59">
        <f t="shared" ca="1" si="2"/>
        <v>1</v>
      </c>
    </row>
    <row r="60" spans="1:9">
      <c r="A60" s="177" t="s">
        <v>227</v>
      </c>
      <c r="B60" s="354">
        <v>20</v>
      </c>
      <c r="C60" s="354">
        <f>B60-B59</f>
        <v>19</v>
      </c>
      <c r="G60">
        <f t="shared" ca="1" si="0"/>
        <v>0.25972638116761337</v>
      </c>
      <c r="H60">
        <f t="shared" ca="1" si="1"/>
        <v>1</v>
      </c>
      <c r="I60">
        <f t="shared" ca="1" si="2"/>
        <v>2</v>
      </c>
    </row>
    <row r="61" spans="1:9">
      <c r="A61" s="177" t="s">
        <v>228</v>
      </c>
      <c r="B61" s="354">
        <v>1</v>
      </c>
      <c r="G61">
        <f t="shared" ca="1" si="0"/>
        <v>0.33774937385755599</v>
      </c>
      <c r="H61">
        <f t="shared" ca="1" si="1"/>
        <v>1</v>
      </c>
      <c r="I61">
        <f t="shared" ca="1" si="2"/>
        <v>1</v>
      </c>
    </row>
    <row r="62" spans="1:9">
      <c r="A62" s="177" t="s">
        <v>229</v>
      </c>
      <c r="B62" s="354">
        <v>20</v>
      </c>
      <c r="C62" s="354">
        <f>B62-B61</f>
        <v>19</v>
      </c>
      <c r="G62">
        <f t="shared" ca="1" si="0"/>
        <v>8.9142197872306594E-2</v>
      </c>
      <c r="H62">
        <f t="shared" ca="1" si="1"/>
        <v>1</v>
      </c>
      <c r="I62">
        <f t="shared" ca="1" si="2"/>
        <v>2</v>
      </c>
    </row>
    <row r="63" spans="1:9">
      <c r="A63" s="177" t="s">
        <v>230</v>
      </c>
      <c r="B63" s="354">
        <v>1</v>
      </c>
      <c r="G63">
        <f t="shared" ca="1" si="0"/>
        <v>0.9247611985825579</v>
      </c>
      <c r="H63">
        <f t="shared" ca="1" si="1"/>
        <v>2</v>
      </c>
      <c r="I63">
        <f t="shared" ca="1" si="2"/>
        <v>1</v>
      </c>
    </row>
    <row r="64" spans="1:9">
      <c r="A64" s="177" t="s">
        <v>231</v>
      </c>
      <c r="B64" s="354">
        <v>20</v>
      </c>
      <c r="C64" s="354">
        <f>B64-B63</f>
        <v>19</v>
      </c>
      <c r="G64">
        <f t="shared" ca="1" si="0"/>
        <v>0.75046210799995106</v>
      </c>
      <c r="H64">
        <f t="shared" ca="1" si="1"/>
        <v>2</v>
      </c>
      <c r="I64">
        <f t="shared" ca="1" si="2"/>
        <v>1</v>
      </c>
    </row>
    <row r="65" spans="1:9">
      <c r="G65">
        <f t="shared" ca="1" si="0"/>
        <v>0.17023969304561826</v>
      </c>
      <c r="H65">
        <f t="shared" ca="1" si="1"/>
        <v>1</v>
      </c>
      <c r="I65">
        <f t="shared" ca="1" si="2"/>
        <v>2</v>
      </c>
    </row>
    <row r="66" spans="1:9">
      <c r="A66" s="169" t="s">
        <v>237</v>
      </c>
      <c r="B66" s="371" t="s">
        <v>9</v>
      </c>
      <c r="G66">
        <f t="shared" ca="1" si="0"/>
        <v>0.92238485111131374</v>
      </c>
      <c r="H66">
        <f t="shared" ca="1" si="1"/>
        <v>2</v>
      </c>
      <c r="I66">
        <f t="shared" ca="1" si="2"/>
        <v>1</v>
      </c>
    </row>
    <row r="67" spans="1:9">
      <c r="A67" s="121"/>
      <c r="B67" s="371" t="s">
        <v>8</v>
      </c>
      <c r="G67">
        <f t="shared" ca="1" si="0"/>
        <v>0.2625713791726676</v>
      </c>
      <c r="H67">
        <f t="shared" ca="1" si="1"/>
        <v>1</v>
      </c>
      <c r="I67">
        <f t="shared" ca="1" si="2"/>
        <v>2</v>
      </c>
    </row>
    <row r="68" spans="1:9">
      <c r="A68" s="84" t="s">
        <v>238</v>
      </c>
      <c r="B68" s="371" t="s">
        <v>9</v>
      </c>
      <c r="G68">
        <f t="shared" ca="1" si="0"/>
        <v>0.59531582848705156</v>
      </c>
      <c r="H68">
        <f t="shared" ca="1" si="1"/>
        <v>1</v>
      </c>
      <c r="I68">
        <f t="shared" ca="1" si="2"/>
        <v>1</v>
      </c>
    </row>
    <row r="69" spans="1:9">
      <c r="A69" s="121"/>
      <c r="B69" s="371" t="s">
        <v>8</v>
      </c>
      <c r="G69">
        <f t="shared" ref="G69:G132" ca="1" si="3">RAND()</f>
        <v>5.4952023156640495E-2</v>
      </c>
      <c r="H69">
        <f t="shared" ref="H69:H132" ca="1" si="4">IF(G69&lt;0.66,1,2)</f>
        <v>1</v>
      </c>
      <c r="I69">
        <f t="shared" ref="I69:I132" ca="1" si="5">IF(G69&lt;0.33,2,1)</f>
        <v>2</v>
      </c>
    </row>
    <row r="70" spans="1:9">
      <c r="A70" s="169" t="s">
        <v>239</v>
      </c>
      <c r="B70" s="354">
        <v>5</v>
      </c>
      <c r="G70">
        <f t="shared" ca="1" si="3"/>
        <v>1.8090049303655875E-2</v>
      </c>
      <c r="H70">
        <f t="shared" ca="1" si="4"/>
        <v>1</v>
      </c>
      <c r="I70">
        <f t="shared" ca="1" si="5"/>
        <v>2</v>
      </c>
    </row>
    <row r="71" spans="1:9">
      <c r="A71" s="73"/>
      <c r="B71" s="354">
        <v>6</v>
      </c>
      <c r="G71">
        <f t="shared" ca="1" si="3"/>
        <v>0.16899844963742838</v>
      </c>
      <c r="H71">
        <f t="shared" ca="1" si="4"/>
        <v>1</v>
      </c>
      <c r="I71">
        <f t="shared" ca="1" si="5"/>
        <v>2</v>
      </c>
    </row>
    <row r="72" spans="1:9">
      <c r="A72" s="73"/>
      <c r="B72" s="354">
        <v>7</v>
      </c>
      <c r="G72">
        <f t="shared" ca="1" si="3"/>
        <v>0.65337424848759318</v>
      </c>
      <c r="H72">
        <f t="shared" ca="1" si="4"/>
        <v>1</v>
      </c>
      <c r="I72">
        <f t="shared" ca="1" si="5"/>
        <v>1</v>
      </c>
    </row>
    <row r="73" spans="1:9">
      <c r="A73" s="73"/>
      <c r="B73" s="354">
        <v>8</v>
      </c>
      <c r="G73">
        <f t="shared" ca="1" si="3"/>
        <v>0.51391010833069328</v>
      </c>
      <c r="H73">
        <f t="shared" ca="1" si="4"/>
        <v>1</v>
      </c>
      <c r="I73">
        <f t="shared" ca="1" si="5"/>
        <v>1</v>
      </c>
    </row>
    <row r="74" spans="1:9">
      <c r="A74" s="73"/>
      <c r="B74" s="354">
        <v>9</v>
      </c>
      <c r="G74">
        <f t="shared" ca="1" si="3"/>
        <v>0.58247806781868816</v>
      </c>
      <c r="H74">
        <f t="shared" ca="1" si="4"/>
        <v>1</v>
      </c>
      <c r="I74">
        <f t="shared" ca="1" si="5"/>
        <v>1</v>
      </c>
    </row>
    <row r="75" spans="1:9">
      <c r="A75" s="73"/>
      <c r="B75" s="354">
        <v>10</v>
      </c>
      <c r="G75">
        <f t="shared" ca="1" si="3"/>
        <v>0.26451830890699524</v>
      </c>
      <c r="H75">
        <f t="shared" ca="1" si="4"/>
        <v>1</v>
      </c>
      <c r="I75">
        <f t="shared" ca="1" si="5"/>
        <v>2</v>
      </c>
    </row>
    <row r="76" spans="1:9">
      <c r="A76" s="73"/>
      <c r="B76" s="354">
        <v>11</v>
      </c>
      <c r="G76">
        <f t="shared" ca="1" si="3"/>
        <v>0.71274170818849347</v>
      </c>
      <c r="H76">
        <f t="shared" ca="1" si="4"/>
        <v>2</v>
      </c>
      <c r="I76">
        <f t="shared" ca="1" si="5"/>
        <v>1</v>
      </c>
    </row>
    <row r="77" spans="1:9">
      <c r="A77" s="121"/>
      <c r="B77" s="354">
        <v>12</v>
      </c>
      <c r="G77">
        <f t="shared" ca="1" si="3"/>
        <v>0.61713990478588665</v>
      </c>
      <c r="H77">
        <f t="shared" ca="1" si="4"/>
        <v>1</v>
      </c>
      <c r="I77">
        <f t="shared" ca="1" si="5"/>
        <v>1</v>
      </c>
    </row>
    <row r="78" spans="1:9">
      <c r="A78" s="169" t="s">
        <v>240</v>
      </c>
      <c r="B78" s="371" t="s">
        <v>57</v>
      </c>
      <c r="G78">
        <f t="shared" ca="1" si="3"/>
        <v>0.34165617074619103</v>
      </c>
      <c r="H78">
        <f t="shared" ca="1" si="4"/>
        <v>1</v>
      </c>
      <c r="I78">
        <f t="shared" ca="1" si="5"/>
        <v>1</v>
      </c>
    </row>
    <row r="79" spans="1:9">
      <c r="A79" s="121"/>
      <c r="B79" s="371" t="s">
        <v>56</v>
      </c>
      <c r="G79">
        <f t="shared" ca="1" si="3"/>
        <v>0.8900735876472452</v>
      </c>
      <c r="H79">
        <f t="shared" ca="1" si="4"/>
        <v>2</v>
      </c>
      <c r="I79">
        <f t="shared" ca="1" si="5"/>
        <v>1</v>
      </c>
    </row>
    <row r="80" spans="1:9">
      <c r="G80">
        <f t="shared" ca="1" si="3"/>
        <v>0.5788701819190647</v>
      </c>
      <c r="H80">
        <f t="shared" ca="1" si="4"/>
        <v>1</v>
      </c>
      <c r="I80">
        <f t="shared" ca="1" si="5"/>
        <v>1</v>
      </c>
    </row>
    <row r="81" spans="1:9">
      <c r="G81">
        <f t="shared" ca="1" si="3"/>
        <v>0.72556777343065193</v>
      </c>
      <c r="H81">
        <f t="shared" ca="1" si="4"/>
        <v>2</v>
      </c>
      <c r="I81">
        <f t="shared" ca="1" si="5"/>
        <v>1</v>
      </c>
    </row>
    <row r="82" spans="1:9">
      <c r="G82">
        <f t="shared" ca="1" si="3"/>
        <v>0.98513424845603947</v>
      </c>
      <c r="H82">
        <f t="shared" ca="1" si="4"/>
        <v>2</v>
      </c>
      <c r="I82">
        <f t="shared" ca="1" si="5"/>
        <v>1</v>
      </c>
    </row>
    <row r="83" spans="1:9">
      <c r="A83" s="371" t="s">
        <v>246</v>
      </c>
      <c r="B83" s="354">
        <v>1</v>
      </c>
      <c r="G83">
        <f t="shared" ca="1" si="3"/>
        <v>0.25691949140987524</v>
      </c>
      <c r="H83">
        <f t="shared" ca="1" si="4"/>
        <v>1</v>
      </c>
      <c r="I83">
        <f t="shared" ca="1" si="5"/>
        <v>2</v>
      </c>
    </row>
    <row r="84" spans="1:9">
      <c r="G84">
        <f t="shared" ca="1" si="3"/>
        <v>0.94182518406130755</v>
      </c>
      <c r="H84">
        <f t="shared" ca="1" si="4"/>
        <v>2</v>
      </c>
      <c r="I84">
        <f t="shared" ca="1" si="5"/>
        <v>1</v>
      </c>
    </row>
    <row r="85" spans="1:9">
      <c r="G85">
        <f t="shared" ca="1" si="3"/>
        <v>0.91898929140140428</v>
      </c>
      <c r="H85">
        <f t="shared" ca="1" si="4"/>
        <v>2</v>
      </c>
      <c r="I85">
        <f t="shared" ca="1" si="5"/>
        <v>1</v>
      </c>
    </row>
    <row r="86" spans="1:9">
      <c r="G86">
        <f t="shared" ca="1" si="3"/>
        <v>0.91643242526054658</v>
      </c>
      <c r="H86">
        <f t="shared" ca="1" si="4"/>
        <v>2</v>
      </c>
      <c r="I86">
        <f t="shared" ca="1" si="5"/>
        <v>1</v>
      </c>
    </row>
    <row r="87" spans="1:9">
      <c r="G87">
        <f t="shared" ca="1" si="3"/>
        <v>0.92205201666565484</v>
      </c>
      <c r="H87">
        <f t="shared" ca="1" si="4"/>
        <v>2</v>
      </c>
      <c r="I87">
        <f t="shared" ca="1" si="5"/>
        <v>1</v>
      </c>
    </row>
    <row r="88" spans="1:9">
      <c r="G88">
        <f t="shared" ca="1" si="3"/>
        <v>0.23337382292804787</v>
      </c>
      <c r="H88">
        <f t="shared" ca="1" si="4"/>
        <v>1</v>
      </c>
      <c r="I88">
        <f t="shared" ca="1" si="5"/>
        <v>2</v>
      </c>
    </row>
    <row r="89" spans="1:9">
      <c r="G89">
        <f t="shared" ca="1" si="3"/>
        <v>0.734280855230101</v>
      </c>
      <c r="H89">
        <f t="shared" ca="1" si="4"/>
        <v>2</v>
      </c>
      <c r="I89">
        <f t="shared" ca="1" si="5"/>
        <v>1</v>
      </c>
    </row>
    <row r="90" spans="1:9">
      <c r="G90">
        <f t="shared" ca="1" si="3"/>
        <v>0.42984597488110343</v>
      </c>
      <c r="H90">
        <f t="shared" ca="1" si="4"/>
        <v>1</v>
      </c>
      <c r="I90">
        <f t="shared" ca="1" si="5"/>
        <v>1</v>
      </c>
    </row>
    <row r="91" spans="1:9">
      <c r="G91">
        <f t="shared" ca="1" si="3"/>
        <v>0.84935889380486551</v>
      </c>
      <c r="H91">
        <f t="shared" ca="1" si="4"/>
        <v>2</v>
      </c>
      <c r="I91">
        <f t="shared" ca="1" si="5"/>
        <v>1</v>
      </c>
    </row>
    <row r="92" spans="1:9">
      <c r="G92">
        <f t="shared" ca="1" si="3"/>
        <v>0.27244717729896428</v>
      </c>
      <c r="H92">
        <f t="shared" ca="1" si="4"/>
        <v>1</v>
      </c>
      <c r="I92">
        <f t="shared" ca="1" si="5"/>
        <v>2</v>
      </c>
    </row>
    <row r="93" spans="1:9">
      <c r="G93">
        <f t="shared" ca="1" si="3"/>
        <v>0.43564810143432231</v>
      </c>
      <c r="H93">
        <f t="shared" ca="1" si="4"/>
        <v>1</v>
      </c>
      <c r="I93">
        <f t="shared" ca="1" si="5"/>
        <v>1</v>
      </c>
    </row>
    <row r="94" spans="1:9">
      <c r="G94">
        <f t="shared" ca="1" si="3"/>
        <v>0.94998751440710216</v>
      </c>
      <c r="H94">
        <f t="shared" ca="1" si="4"/>
        <v>2</v>
      </c>
      <c r="I94">
        <f t="shared" ca="1" si="5"/>
        <v>1</v>
      </c>
    </row>
    <row r="95" spans="1:9">
      <c r="G95">
        <f t="shared" ca="1" si="3"/>
        <v>0.71902122363460919</v>
      </c>
      <c r="H95">
        <f t="shared" ca="1" si="4"/>
        <v>2</v>
      </c>
      <c r="I95">
        <f t="shared" ca="1" si="5"/>
        <v>1</v>
      </c>
    </row>
    <row r="96" spans="1:9">
      <c r="G96">
        <f t="shared" ca="1" si="3"/>
        <v>0.13334325125200064</v>
      </c>
      <c r="H96">
        <f t="shared" ca="1" si="4"/>
        <v>1</v>
      </c>
      <c r="I96">
        <f t="shared" ca="1" si="5"/>
        <v>2</v>
      </c>
    </row>
    <row r="97" spans="7:9">
      <c r="G97">
        <f t="shared" ca="1" si="3"/>
        <v>0.67493779589901737</v>
      </c>
      <c r="H97">
        <f t="shared" ca="1" si="4"/>
        <v>2</v>
      </c>
      <c r="I97">
        <f t="shared" ca="1" si="5"/>
        <v>1</v>
      </c>
    </row>
    <row r="98" spans="7:9">
      <c r="G98">
        <f t="shared" ca="1" si="3"/>
        <v>0.98411029283664886</v>
      </c>
      <c r="H98">
        <f t="shared" ca="1" si="4"/>
        <v>2</v>
      </c>
      <c r="I98">
        <f t="shared" ca="1" si="5"/>
        <v>1</v>
      </c>
    </row>
    <row r="99" spans="7:9">
      <c r="G99">
        <f t="shared" ca="1" si="3"/>
        <v>0.55758748962691063</v>
      </c>
      <c r="H99">
        <f t="shared" ca="1" si="4"/>
        <v>1</v>
      </c>
      <c r="I99">
        <f t="shared" ca="1" si="5"/>
        <v>1</v>
      </c>
    </row>
    <row r="100" spans="7:9">
      <c r="G100">
        <f t="shared" ca="1" si="3"/>
        <v>0.74789375170832817</v>
      </c>
      <c r="H100">
        <f t="shared" ca="1" si="4"/>
        <v>2</v>
      </c>
      <c r="I100">
        <f t="shared" ca="1" si="5"/>
        <v>1</v>
      </c>
    </row>
    <row r="101" spans="7:9">
      <c r="G101">
        <f t="shared" ca="1" si="3"/>
        <v>0.53499089065410999</v>
      </c>
      <c r="H101">
        <f t="shared" ca="1" si="4"/>
        <v>1</v>
      </c>
      <c r="I101">
        <f t="shared" ca="1" si="5"/>
        <v>1</v>
      </c>
    </row>
    <row r="102" spans="7:9">
      <c r="G102">
        <f t="shared" ca="1" si="3"/>
        <v>0.87335961121523031</v>
      </c>
      <c r="H102">
        <f t="shared" ca="1" si="4"/>
        <v>2</v>
      </c>
      <c r="I102">
        <f t="shared" ca="1" si="5"/>
        <v>1</v>
      </c>
    </row>
    <row r="103" spans="7:9">
      <c r="G103">
        <f t="shared" ca="1" si="3"/>
        <v>0.28245576098915326</v>
      </c>
      <c r="H103">
        <f t="shared" ca="1" si="4"/>
        <v>1</v>
      </c>
      <c r="I103">
        <f t="shared" ca="1" si="5"/>
        <v>2</v>
      </c>
    </row>
    <row r="104" spans="7:9">
      <c r="G104">
        <f t="shared" ca="1" si="3"/>
        <v>0.28480259462426105</v>
      </c>
      <c r="H104">
        <f t="shared" ca="1" si="4"/>
        <v>1</v>
      </c>
      <c r="I104">
        <f t="shared" ca="1" si="5"/>
        <v>2</v>
      </c>
    </row>
    <row r="105" spans="7:9">
      <c r="G105">
        <f t="shared" ca="1" si="3"/>
        <v>0.66768683177621746</v>
      </c>
      <c r="H105">
        <f t="shared" ca="1" si="4"/>
        <v>2</v>
      </c>
      <c r="I105">
        <f t="shared" ca="1" si="5"/>
        <v>1</v>
      </c>
    </row>
    <row r="106" spans="7:9">
      <c r="G106">
        <f t="shared" ca="1" si="3"/>
        <v>0.13312930840448445</v>
      </c>
      <c r="H106">
        <f t="shared" ca="1" si="4"/>
        <v>1</v>
      </c>
      <c r="I106">
        <f t="shared" ca="1" si="5"/>
        <v>2</v>
      </c>
    </row>
    <row r="107" spans="7:9">
      <c r="G107">
        <f t="shared" ca="1" si="3"/>
        <v>0.21201776089375435</v>
      </c>
      <c r="H107">
        <f t="shared" ca="1" si="4"/>
        <v>1</v>
      </c>
      <c r="I107">
        <f t="shared" ca="1" si="5"/>
        <v>2</v>
      </c>
    </row>
    <row r="108" spans="7:9">
      <c r="G108">
        <f t="shared" ca="1" si="3"/>
        <v>0.67074931472041921</v>
      </c>
      <c r="H108">
        <f t="shared" ca="1" si="4"/>
        <v>2</v>
      </c>
      <c r="I108">
        <f t="shared" ca="1" si="5"/>
        <v>1</v>
      </c>
    </row>
    <row r="109" spans="7:9">
      <c r="G109">
        <f t="shared" ca="1" si="3"/>
        <v>0.43839599585739275</v>
      </c>
      <c r="H109">
        <f t="shared" ca="1" si="4"/>
        <v>1</v>
      </c>
      <c r="I109">
        <f t="shared" ca="1" si="5"/>
        <v>1</v>
      </c>
    </row>
    <row r="110" spans="7:9">
      <c r="G110">
        <f t="shared" ca="1" si="3"/>
        <v>0.90886467261972981</v>
      </c>
      <c r="H110">
        <f t="shared" ca="1" si="4"/>
        <v>2</v>
      </c>
      <c r="I110">
        <f t="shared" ca="1" si="5"/>
        <v>1</v>
      </c>
    </row>
    <row r="111" spans="7:9">
      <c r="G111">
        <f t="shared" ca="1" si="3"/>
        <v>0.99503347562021194</v>
      </c>
      <c r="H111">
        <f t="shared" ca="1" si="4"/>
        <v>2</v>
      </c>
      <c r="I111">
        <f t="shared" ca="1" si="5"/>
        <v>1</v>
      </c>
    </row>
    <row r="112" spans="7:9">
      <c r="G112">
        <f t="shared" ca="1" si="3"/>
        <v>0.2378550851595389</v>
      </c>
      <c r="H112">
        <f t="shared" ca="1" si="4"/>
        <v>1</v>
      </c>
      <c r="I112">
        <f t="shared" ca="1" si="5"/>
        <v>2</v>
      </c>
    </row>
    <row r="113" spans="7:9">
      <c r="G113">
        <f t="shared" ca="1" si="3"/>
        <v>0.8302742140771403</v>
      </c>
      <c r="H113">
        <f t="shared" ca="1" si="4"/>
        <v>2</v>
      </c>
      <c r="I113">
        <f t="shared" ca="1" si="5"/>
        <v>1</v>
      </c>
    </row>
    <row r="114" spans="7:9">
      <c r="G114">
        <f t="shared" ca="1" si="3"/>
        <v>0.68720918068461068</v>
      </c>
      <c r="H114">
        <f t="shared" ca="1" si="4"/>
        <v>2</v>
      </c>
      <c r="I114">
        <f t="shared" ca="1" si="5"/>
        <v>1</v>
      </c>
    </row>
    <row r="115" spans="7:9">
      <c r="G115">
        <f t="shared" ca="1" si="3"/>
        <v>0.51168901179526227</v>
      </c>
      <c r="H115">
        <f t="shared" ca="1" si="4"/>
        <v>1</v>
      </c>
      <c r="I115">
        <f t="shared" ca="1" si="5"/>
        <v>1</v>
      </c>
    </row>
    <row r="116" spans="7:9">
      <c r="G116">
        <f t="shared" ca="1" si="3"/>
        <v>0.60223251551576062</v>
      </c>
      <c r="H116">
        <f t="shared" ca="1" si="4"/>
        <v>1</v>
      </c>
      <c r="I116">
        <f t="shared" ca="1" si="5"/>
        <v>1</v>
      </c>
    </row>
    <row r="117" spans="7:9">
      <c r="G117">
        <f t="shared" ca="1" si="3"/>
        <v>0.85131819376939621</v>
      </c>
      <c r="H117">
        <f t="shared" ca="1" si="4"/>
        <v>2</v>
      </c>
      <c r="I117">
        <f t="shared" ca="1" si="5"/>
        <v>1</v>
      </c>
    </row>
    <row r="118" spans="7:9">
      <c r="G118">
        <f t="shared" ca="1" si="3"/>
        <v>0.85022433126224561</v>
      </c>
      <c r="H118">
        <f t="shared" ca="1" si="4"/>
        <v>2</v>
      </c>
      <c r="I118">
        <f t="shared" ca="1" si="5"/>
        <v>1</v>
      </c>
    </row>
    <row r="119" spans="7:9">
      <c r="G119">
        <f t="shared" ca="1" si="3"/>
        <v>0.54572376086181618</v>
      </c>
      <c r="H119">
        <f t="shared" ca="1" si="4"/>
        <v>1</v>
      </c>
      <c r="I119">
        <f t="shared" ca="1" si="5"/>
        <v>1</v>
      </c>
    </row>
    <row r="120" spans="7:9">
      <c r="G120">
        <f t="shared" ca="1" si="3"/>
        <v>0.93355489680741788</v>
      </c>
      <c r="H120">
        <f t="shared" ca="1" si="4"/>
        <v>2</v>
      </c>
      <c r="I120">
        <f t="shared" ca="1" si="5"/>
        <v>1</v>
      </c>
    </row>
    <row r="121" spans="7:9">
      <c r="G121">
        <f t="shared" ca="1" si="3"/>
        <v>0.34712535809644862</v>
      </c>
      <c r="H121">
        <f t="shared" ca="1" si="4"/>
        <v>1</v>
      </c>
      <c r="I121">
        <f t="shared" ca="1" si="5"/>
        <v>1</v>
      </c>
    </row>
    <row r="122" spans="7:9">
      <c r="G122">
        <f t="shared" ca="1" si="3"/>
        <v>0.35243898046960864</v>
      </c>
      <c r="H122">
        <f t="shared" ca="1" si="4"/>
        <v>1</v>
      </c>
      <c r="I122">
        <f t="shared" ca="1" si="5"/>
        <v>1</v>
      </c>
    </row>
    <row r="123" spans="7:9">
      <c r="G123">
        <f t="shared" ca="1" si="3"/>
        <v>0.3272911110003387</v>
      </c>
      <c r="H123">
        <f t="shared" ca="1" si="4"/>
        <v>1</v>
      </c>
      <c r="I123">
        <f t="shared" ca="1" si="5"/>
        <v>2</v>
      </c>
    </row>
    <row r="124" spans="7:9">
      <c r="G124">
        <f t="shared" ca="1" si="3"/>
        <v>6.1607113887184539E-2</v>
      </c>
      <c r="H124">
        <f t="shared" ca="1" si="4"/>
        <v>1</v>
      </c>
      <c r="I124">
        <f t="shared" ca="1" si="5"/>
        <v>2</v>
      </c>
    </row>
    <row r="125" spans="7:9">
      <c r="G125">
        <f t="shared" ca="1" si="3"/>
        <v>0.71348800490564135</v>
      </c>
      <c r="H125">
        <f t="shared" ca="1" si="4"/>
        <v>2</v>
      </c>
      <c r="I125">
        <f t="shared" ca="1" si="5"/>
        <v>1</v>
      </c>
    </row>
    <row r="126" spans="7:9">
      <c r="G126">
        <f t="shared" ca="1" si="3"/>
        <v>0.86253291345294192</v>
      </c>
      <c r="H126">
        <f t="shared" ca="1" si="4"/>
        <v>2</v>
      </c>
      <c r="I126">
        <f t="shared" ca="1" si="5"/>
        <v>1</v>
      </c>
    </row>
    <row r="127" spans="7:9">
      <c r="G127">
        <f t="shared" ca="1" si="3"/>
        <v>0.48995759862930843</v>
      </c>
      <c r="H127">
        <f t="shared" ca="1" si="4"/>
        <v>1</v>
      </c>
      <c r="I127">
        <f t="shared" ca="1" si="5"/>
        <v>1</v>
      </c>
    </row>
    <row r="128" spans="7:9">
      <c r="G128">
        <f t="shared" ca="1" si="3"/>
        <v>0.91823306441633357</v>
      </c>
      <c r="H128">
        <f t="shared" ca="1" si="4"/>
        <v>2</v>
      </c>
      <c r="I128">
        <f t="shared" ca="1" si="5"/>
        <v>1</v>
      </c>
    </row>
    <row r="129" spans="7:9">
      <c r="G129">
        <f t="shared" ca="1" si="3"/>
        <v>0.14188439530467123</v>
      </c>
      <c r="H129">
        <f t="shared" ca="1" si="4"/>
        <v>1</v>
      </c>
      <c r="I129">
        <f t="shared" ca="1" si="5"/>
        <v>2</v>
      </c>
    </row>
    <row r="130" spans="7:9">
      <c r="G130">
        <f t="shared" ca="1" si="3"/>
        <v>0.85970608502145485</v>
      </c>
      <c r="H130">
        <f t="shared" ca="1" si="4"/>
        <v>2</v>
      </c>
      <c r="I130">
        <f t="shared" ca="1" si="5"/>
        <v>1</v>
      </c>
    </row>
    <row r="131" spans="7:9">
      <c r="G131">
        <f t="shared" ca="1" si="3"/>
        <v>0.28893988993823272</v>
      </c>
      <c r="H131">
        <f t="shared" ca="1" si="4"/>
        <v>1</v>
      </c>
      <c r="I131">
        <f t="shared" ca="1" si="5"/>
        <v>2</v>
      </c>
    </row>
    <row r="132" spans="7:9">
      <c r="G132">
        <f t="shared" ca="1" si="3"/>
        <v>0.37803512789065286</v>
      </c>
      <c r="H132">
        <f t="shared" ca="1" si="4"/>
        <v>1</v>
      </c>
      <c r="I132">
        <f t="shared" ca="1" si="5"/>
        <v>1</v>
      </c>
    </row>
    <row r="133" spans="7:9">
      <c r="G133">
        <f t="shared" ref="G133:G196" ca="1" si="6">RAND()</f>
        <v>0.36442587312377939</v>
      </c>
      <c r="H133">
        <f t="shared" ref="H133:H196" ca="1" si="7">IF(G133&lt;0.66,1,2)</f>
        <v>1</v>
      </c>
      <c r="I133">
        <f t="shared" ref="I133:I196" ca="1" si="8">IF(G133&lt;0.33,2,1)</f>
        <v>1</v>
      </c>
    </row>
    <row r="134" spans="7:9">
      <c r="G134">
        <f t="shared" ca="1" si="6"/>
        <v>0.31380661378507124</v>
      </c>
      <c r="H134">
        <f t="shared" ca="1" si="7"/>
        <v>1</v>
      </c>
      <c r="I134">
        <f t="shared" ca="1" si="8"/>
        <v>2</v>
      </c>
    </row>
    <row r="135" spans="7:9">
      <c r="G135">
        <f t="shared" ca="1" si="6"/>
        <v>5.7844717677880797E-2</v>
      </c>
      <c r="H135">
        <f t="shared" ca="1" si="7"/>
        <v>1</v>
      </c>
      <c r="I135">
        <f t="shared" ca="1" si="8"/>
        <v>2</v>
      </c>
    </row>
    <row r="136" spans="7:9">
      <c r="G136">
        <f t="shared" ca="1" si="6"/>
        <v>1.5936857830615159E-3</v>
      </c>
      <c r="H136">
        <f t="shared" ca="1" si="7"/>
        <v>1</v>
      </c>
      <c r="I136">
        <f t="shared" ca="1" si="8"/>
        <v>2</v>
      </c>
    </row>
    <row r="137" spans="7:9">
      <c r="G137">
        <f t="shared" ca="1" si="6"/>
        <v>0.75610088000649045</v>
      </c>
      <c r="H137">
        <f t="shared" ca="1" si="7"/>
        <v>2</v>
      </c>
      <c r="I137">
        <f t="shared" ca="1" si="8"/>
        <v>1</v>
      </c>
    </row>
    <row r="138" spans="7:9">
      <c r="G138">
        <f t="shared" ca="1" si="6"/>
        <v>0.24163032099719106</v>
      </c>
      <c r="H138">
        <f t="shared" ca="1" si="7"/>
        <v>1</v>
      </c>
      <c r="I138">
        <f t="shared" ca="1" si="8"/>
        <v>2</v>
      </c>
    </row>
    <row r="139" spans="7:9">
      <c r="G139">
        <f t="shared" ca="1" si="6"/>
        <v>0.37645223893973678</v>
      </c>
      <c r="H139">
        <f t="shared" ca="1" si="7"/>
        <v>1</v>
      </c>
      <c r="I139">
        <f t="shared" ca="1" si="8"/>
        <v>1</v>
      </c>
    </row>
    <row r="140" spans="7:9">
      <c r="G140">
        <f t="shared" ca="1" si="6"/>
        <v>0.36445652592016875</v>
      </c>
      <c r="H140">
        <f t="shared" ca="1" si="7"/>
        <v>1</v>
      </c>
      <c r="I140">
        <f t="shared" ca="1" si="8"/>
        <v>1</v>
      </c>
    </row>
    <row r="141" spans="7:9">
      <c r="G141">
        <f t="shared" ca="1" si="6"/>
        <v>0.63924165244169762</v>
      </c>
      <c r="H141">
        <f t="shared" ca="1" si="7"/>
        <v>1</v>
      </c>
      <c r="I141">
        <f t="shared" ca="1" si="8"/>
        <v>1</v>
      </c>
    </row>
    <row r="142" spans="7:9">
      <c r="G142">
        <f t="shared" ca="1" si="6"/>
        <v>0.49182941390411372</v>
      </c>
      <c r="H142">
        <f t="shared" ca="1" si="7"/>
        <v>1</v>
      </c>
      <c r="I142">
        <f t="shared" ca="1" si="8"/>
        <v>1</v>
      </c>
    </row>
    <row r="143" spans="7:9">
      <c r="G143">
        <f t="shared" ca="1" si="6"/>
        <v>0.59135089636690641</v>
      </c>
      <c r="H143">
        <f t="shared" ca="1" si="7"/>
        <v>1</v>
      </c>
      <c r="I143">
        <f t="shared" ca="1" si="8"/>
        <v>1</v>
      </c>
    </row>
    <row r="144" spans="7:9">
      <c r="G144">
        <f t="shared" ca="1" si="6"/>
        <v>0.68099669796628204</v>
      </c>
      <c r="H144">
        <f t="shared" ca="1" si="7"/>
        <v>2</v>
      </c>
      <c r="I144">
        <f t="shared" ca="1" si="8"/>
        <v>1</v>
      </c>
    </row>
    <row r="145" spans="7:9">
      <c r="G145">
        <f t="shared" ca="1" si="6"/>
        <v>0.42657683233410615</v>
      </c>
      <c r="H145">
        <f t="shared" ca="1" si="7"/>
        <v>1</v>
      </c>
      <c r="I145">
        <f t="shared" ca="1" si="8"/>
        <v>1</v>
      </c>
    </row>
    <row r="146" spans="7:9">
      <c r="G146">
        <f t="shared" ca="1" si="6"/>
        <v>0.72432519322663591</v>
      </c>
      <c r="H146">
        <f t="shared" ca="1" si="7"/>
        <v>2</v>
      </c>
      <c r="I146">
        <f t="shared" ca="1" si="8"/>
        <v>1</v>
      </c>
    </row>
    <row r="147" spans="7:9">
      <c r="G147">
        <f t="shared" ca="1" si="6"/>
        <v>0.98869155728820557</v>
      </c>
      <c r="H147">
        <f t="shared" ca="1" si="7"/>
        <v>2</v>
      </c>
      <c r="I147">
        <f t="shared" ca="1" si="8"/>
        <v>1</v>
      </c>
    </row>
    <row r="148" spans="7:9">
      <c r="G148">
        <f t="shared" ca="1" si="6"/>
        <v>0.6610546750037164</v>
      </c>
      <c r="H148">
        <f t="shared" ca="1" si="7"/>
        <v>2</v>
      </c>
      <c r="I148">
        <f t="shared" ca="1" si="8"/>
        <v>1</v>
      </c>
    </row>
    <row r="149" spans="7:9">
      <c r="G149">
        <f t="shared" ca="1" si="6"/>
        <v>1.0505950065086589E-2</v>
      </c>
      <c r="H149">
        <f t="shared" ca="1" si="7"/>
        <v>1</v>
      </c>
      <c r="I149">
        <f t="shared" ca="1" si="8"/>
        <v>2</v>
      </c>
    </row>
    <row r="150" spans="7:9">
      <c r="G150">
        <f t="shared" ca="1" si="6"/>
        <v>0.20296684934890852</v>
      </c>
      <c r="H150">
        <f t="shared" ca="1" si="7"/>
        <v>1</v>
      </c>
      <c r="I150">
        <f t="shared" ca="1" si="8"/>
        <v>2</v>
      </c>
    </row>
    <row r="151" spans="7:9">
      <c r="G151">
        <f t="shared" ca="1" si="6"/>
        <v>0.40466307146684188</v>
      </c>
      <c r="H151">
        <f t="shared" ca="1" si="7"/>
        <v>1</v>
      </c>
      <c r="I151">
        <f t="shared" ca="1" si="8"/>
        <v>1</v>
      </c>
    </row>
    <row r="152" spans="7:9">
      <c r="G152">
        <f t="shared" ca="1" si="6"/>
        <v>0.24217298243269136</v>
      </c>
      <c r="H152">
        <f t="shared" ca="1" si="7"/>
        <v>1</v>
      </c>
      <c r="I152">
        <f t="shared" ca="1" si="8"/>
        <v>2</v>
      </c>
    </row>
    <row r="153" spans="7:9">
      <c r="G153">
        <f t="shared" ca="1" si="6"/>
        <v>0.94136908781821127</v>
      </c>
      <c r="H153">
        <f t="shared" ca="1" si="7"/>
        <v>2</v>
      </c>
      <c r="I153">
        <f t="shared" ca="1" si="8"/>
        <v>1</v>
      </c>
    </row>
    <row r="154" spans="7:9">
      <c r="G154">
        <f t="shared" ca="1" si="6"/>
        <v>0.86773490908698336</v>
      </c>
      <c r="H154">
        <f t="shared" ca="1" si="7"/>
        <v>2</v>
      </c>
      <c r="I154">
        <f t="shared" ca="1" si="8"/>
        <v>1</v>
      </c>
    </row>
    <row r="155" spans="7:9">
      <c r="G155">
        <f t="shared" ca="1" si="6"/>
        <v>0.40093173892852862</v>
      </c>
      <c r="H155">
        <f t="shared" ca="1" si="7"/>
        <v>1</v>
      </c>
      <c r="I155">
        <f t="shared" ca="1" si="8"/>
        <v>1</v>
      </c>
    </row>
    <row r="156" spans="7:9">
      <c r="G156">
        <f t="shared" ca="1" si="6"/>
        <v>0.74481026456382948</v>
      </c>
      <c r="H156">
        <f t="shared" ca="1" si="7"/>
        <v>2</v>
      </c>
      <c r="I156">
        <f t="shared" ca="1" si="8"/>
        <v>1</v>
      </c>
    </row>
    <row r="157" spans="7:9">
      <c r="G157">
        <f t="shared" ca="1" si="6"/>
        <v>0.59957406747240671</v>
      </c>
      <c r="H157">
        <f t="shared" ca="1" si="7"/>
        <v>1</v>
      </c>
      <c r="I157">
        <f t="shared" ca="1" si="8"/>
        <v>1</v>
      </c>
    </row>
    <row r="158" spans="7:9">
      <c r="G158">
        <f t="shared" ca="1" si="6"/>
        <v>0.477753076299538</v>
      </c>
      <c r="H158">
        <f t="shared" ca="1" si="7"/>
        <v>1</v>
      </c>
      <c r="I158">
        <f t="shared" ca="1" si="8"/>
        <v>1</v>
      </c>
    </row>
    <row r="159" spans="7:9">
      <c r="G159">
        <f t="shared" ca="1" si="6"/>
        <v>0.85261383476656416</v>
      </c>
      <c r="H159">
        <f t="shared" ca="1" si="7"/>
        <v>2</v>
      </c>
      <c r="I159">
        <f t="shared" ca="1" si="8"/>
        <v>1</v>
      </c>
    </row>
    <row r="160" spans="7:9">
      <c r="G160">
        <f t="shared" ca="1" si="6"/>
        <v>0.37429410520391859</v>
      </c>
      <c r="H160">
        <f t="shared" ca="1" si="7"/>
        <v>1</v>
      </c>
      <c r="I160">
        <f t="shared" ca="1" si="8"/>
        <v>1</v>
      </c>
    </row>
    <row r="161" spans="7:9">
      <c r="G161">
        <f t="shared" ca="1" si="6"/>
        <v>0.36395483540729423</v>
      </c>
      <c r="H161">
        <f t="shared" ca="1" si="7"/>
        <v>1</v>
      </c>
      <c r="I161">
        <f t="shared" ca="1" si="8"/>
        <v>1</v>
      </c>
    </row>
    <row r="162" spans="7:9">
      <c r="G162">
        <f t="shared" ca="1" si="6"/>
        <v>0.35038147238030803</v>
      </c>
      <c r="H162">
        <f t="shared" ca="1" si="7"/>
        <v>1</v>
      </c>
      <c r="I162">
        <f t="shared" ca="1" si="8"/>
        <v>1</v>
      </c>
    </row>
    <row r="163" spans="7:9">
      <c r="G163">
        <f t="shared" ca="1" si="6"/>
        <v>0.5386868323009073</v>
      </c>
      <c r="H163">
        <f t="shared" ca="1" si="7"/>
        <v>1</v>
      </c>
      <c r="I163">
        <f t="shared" ca="1" si="8"/>
        <v>1</v>
      </c>
    </row>
    <row r="164" spans="7:9">
      <c r="G164">
        <f t="shared" ca="1" si="6"/>
        <v>0.18568485693754067</v>
      </c>
      <c r="H164">
        <f t="shared" ca="1" si="7"/>
        <v>1</v>
      </c>
      <c r="I164">
        <f t="shared" ca="1" si="8"/>
        <v>2</v>
      </c>
    </row>
    <row r="165" spans="7:9">
      <c r="G165">
        <f t="shared" ca="1" si="6"/>
        <v>0.64934580505805173</v>
      </c>
      <c r="H165">
        <f t="shared" ca="1" si="7"/>
        <v>1</v>
      </c>
      <c r="I165">
        <f t="shared" ca="1" si="8"/>
        <v>1</v>
      </c>
    </row>
    <row r="166" spans="7:9">
      <c r="G166">
        <f t="shared" ca="1" si="6"/>
        <v>0.35501613965069068</v>
      </c>
      <c r="H166">
        <f t="shared" ca="1" si="7"/>
        <v>1</v>
      </c>
      <c r="I166">
        <f t="shared" ca="1" si="8"/>
        <v>1</v>
      </c>
    </row>
    <row r="167" spans="7:9">
      <c r="G167">
        <f t="shared" ca="1" si="6"/>
        <v>0.255758036480216</v>
      </c>
      <c r="H167">
        <f t="shared" ca="1" si="7"/>
        <v>1</v>
      </c>
      <c r="I167">
        <f t="shared" ca="1" si="8"/>
        <v>2</v>
      </c>
    </row>
    <row r="168" spans="7:9">
      <c r="G168">
        <f t="shared" ca="1" si="6"/>
        <v>0.38906352866239768</v>
      </c>
      <c r="H168">
        <f t="shared" ca="1" si="7"/>
        <v>1</v>
      </c>
      <c r="I168">
        <f t="shared" ca="1" si="8"/>
        <v>1</v>
      </c>
    </row>
    <row r="169" spans="7:9">
      <c r="G169">
        <f t="shared" ca="1" si="6"/>
        <v>0.74492860471480926</v>
      </c>
      <c r="H169">
        <f t="shared" ca="1" si="7"/>
        <v>2</v>
      </c>
      <c r="I169">
        <f t="shared" ca="1" si="8"/>
        <v>1</v>
      </c>
    </row>
    <row r="170" spans="7:9">
      <c r="G170">
        <f t="shared" ca="1" si="6"/>
        <v>0.27912434037361689</v>
      </c>
      <c r="H170">
        <f t="shared" ca="1" si="7"/>
        <v>1</v>
      </c>
      <c r="I170">
        <f t="shared" ca="1" si="8"/>
        <v>2</v>
      </c>
    </row>
    <row r="171" spans="7:9">
      <c r="G171">
        <f t="shared" ca="1" si="6"/>
        <v>0.47640931762640193</v>
      </c>
      <c r="H171">
        <f t="shared" ca="1" si="7"/>
        <v>1</v>
      </c>
      <c r="I171">
        <f t="shared" ca="1" si="8"/>
        <v>1</v>
      </c>
    </row>
    <row r="172" spans="7:9">
      <c r="G172">
        <f t="shared" ca="1" si="6"/>
        <v>0.20825547235014552</v>
      </c>
      <c r="H172">
        <f t="shared" ca="1" si="7"/>
        <v>1</v>
      </c>
      <c r="I172">
        <f t="shared" ca="1" si="8"/>
        <v>2</v>
      </c>
    </row>
    <row r="173" spans="7:9">
      <c r="G173">
        <f t="shared" ca="1" si="6"/>
        <v>0.57322234999282873</v>
      </c>
      <c r="H173">
        <f t="shared" ca="1" si="7"/>
        <v>1</v>
      </c>
      <c r="I173">
        <f t="shared" ca="1" si="8"/>
        <v>1</v>
      </c>
    </row>
    <row r="174" spans="7:9">
      <c r="G174">
        <f t="shared" ca="1" si="6"/>
        <v>0.19271597972815935</v>
      </c>
      <c r="H174">
        <f t="shared" ca="1" si="7"/>
        <v>1</v>
      </c>
      <c r="I174">
        <f t="shared" ca="1" si="8"/>
        <v>2</v>
      </c>
    </row>
    <row r="175" spans="7:9">
      <c r="G175">
        <f t="shared" ca="1" si="6"/>
        <v>0.92416567521947868</v>
      </c>
      <c r="H175">
        <f t="shared" ca="1" si="7"/>
        <v>2</v>
      </c>
      <c r="I175">
        <f t="shared" ca="1" si="8"/>
        <v>1</v>
      </c>
    </row>
    <row r="176" spans="7:9">
      <c r="G176">
        <f t="shared" ca="1" si="6"/>
        <v>0.74698346932200754</v>
      </c>
      <c r="H176">
        <f t="shared" ca="1" si="7"/>
        <v>2</v>
      </c>
      <c r="I176">
        <f t="shared" ca="1" si="8"/>
        <v>1</v>
      </c>
    </row>
    <row r="177" spans="7:9">
      <c r="G177">
        <f t="shared" ca="1" si="6"/>
        <v>0.14949247690361167</v>
      </c>
      <c r="H177">
        <f t="shared" ca="1" si="7"/>
        <v>1</v>
      </c>
      <c r="I177">
        <f t="shared" ca="1" si="8"/>
        <v>2</v>
      </c>
    </row>
    <row r="178" spans="7:9">
      <c r="G178">
        <f t="shared" ca="1" si="6"/>
        <v>0.61270700130530364</v>
      </c>
      <c r="H178">
        <f t="shared" ca="1" si="7"/>
        <v>1</v>
      </c>
      <c r="I178">
        <f t="shared" ca="1" si="8"/>
        <v>1</v>
      </c>
    </row>
    <row r="179" spans="7:9">
      <c r="G179">
        <f t="shared" ca="1" si="6"/>
        <v>0.31180202405005852</v>
      </c>
      <c r="H179">
        <f t="shared" ca="1" si="7"/>
        <v>1</v>
      </c>
      <c r="I179">
        <f t="shared" ca="1" si="8"/>
        <v>2</v>
      </c>
    </row>
    <row r="180" spans="7:9">
      <c r="G180">
        <f t="shared" ca="1" si="6"/>
        <v>5.6025038580967967E-2</v>
      </c>
      <c r="H180">
        <f t="shared" ca="1" si="7"/>
        <v>1</v>
      </c>
      <c r="I180">
        <f t="shared" ca="1" si="8"/>
        <v>2</v>
      </c>
    </row>
    <row r="181" spans="7:9">
      <c r="G181">
        <f t="shared" ca="1" si="6"/>
        <v>0.87033591419557077</v>
      </c>
      <c r="H181">
        <f t="shared" ca="1" si="7"/>
        <v>2</v>
      </c>
      <c r="I181">
        <f t="shared" ca="1" si="8"/>
        <v>1</v>
      </c>
    </row>
    <row r="182" spans="7:9">
      <c r="G182">
        <f t="shared" ca="1" si="6"/>
        <v>0.92954659090676484</v>
      </c>
      <c r="H182">
        <f t="shared" ca="1" si="7"/>
        <v>2</v>
      </c>
      <c r="I182">
        <f t="shared" ca="1" si="8"/>
        <v>1</v>
      </c>
    </row>
    <row r="183" spans="7:9">
      <c r="G183">
        <f t="shared" ca="1" si="6"/>
        <v>0.1764664630371614</v>
      </c>
      <c r="H183">
        <f t="shared" ca="1" si="7"/>
        <v>1</v>
      </c>
      <c r="I183">
        <f t="shared" ca="1" si="8"/>
        <v>2</v>
      </c>
    </row>
    <row r="184" spans="7:9">
      <c r="G184">
        <f t="shared" ca="1" si="6"/>
        <v>0.92203878165099251</v>
      </c>
      <c r="H184">
        <f t="shared" ca="1" si="7"/>
        <v>2</v>
      </c>
      <c r="I184">
        <f t="shared" ca="1" si="8"/>
        <v>1</v>
      </c>
    </row>
    <row r="185" spans="7:9">
      <c r="G185">
        <f t="shared" ca="1" si="6"/>
        <v>0.91576242015499953</v>
      </c>
      <c r="H185">
        <f t="shared" ca="1" si="7"/>
        <v>2</v>
      </c>
      <c r="I185">
        <f t="shared" ca="1" si="8"/>
        <v>1</v>
      </c>
    </row>
    <row r="186" spans="7:9">
      <c r="G186">
        <f t="shared" ca="1" si="6"/>
        <v>0.66984543060584789</v>
      </c>
      <c r="H186">
        <f t="shared" ca="1" si="7"/>
        <v>2</v>
      </c>
      <c r="I186">
        <f t="shared" ca="1" si="8"/>
        <v>1</v>
      </c>
    </row>
    <row r="187" spans="7:9">
      <c r="G187">
        <f t="shared" ca="1" si="6"/>
        <v>0.63763853945927962</v>
      </c>
      <c r="H187">
        <f t="shared" ca="1" si="7"/>
        <v>1</v>
      </c>
      <c r="I187">
        <f t="shared" ca="1" si="8"/>
        <v>1</v>
      </c>
    </row>
    <row r="188" spans="7:9">
      <c r="G188">
        <f t="shared" ca="1" si="6"/>
        <v>0.99649514638006276</v>
      </c>
      <c r="H188">
        <f t="shared" ca="1" si="7"/>
        <v>2</v>
      </c>
      <c r="I188">
        <f t="shared" ca="1" si="8"/>
        <v>1</v>
      </c>
    </row>
    <row r="189" spans="7:9">
      <c r="G189">
        <f t="shared" ca="1" si="6"/>
        <v>9.4978260808697756E-2</v>
      </c>
      <c r="H189">
        <f t="shared" ca="1" si="7"/>
        <v>1</v>
      </c>
      <c r="I189">
        <f t="shared" ca="1" si="8"/>
        <v>2</v>
      </c>
    </row>
    <row r="190" spans="7:9">
      <c r="G190">
        <f t="shared" ca="1" si="6"/>
        <v>8.6509496292148325E-2</v>
      </c>
      <c r="H190">
        <f t="shared" ca="1" si="7"/>
        <v>1</v>
      </c>
      <c r="I190">
        <f t="shared" ca="1" si="8"/>
        <v>2</v>
      </c>
    </row>
    <row r="191" spans="7:9">
      <c r="G191">
        <f t="shared" ca="1" si="6"/>
        <v>0.84543650431927442</v>
      </c>
      <c r="H191">
        <f t="shared" ca="1" si="7"/>
        <v>2</v>
      </c>
      <c r="I191">
        <f t="shared" ca="1" si="8"/>
        <v>1</v>
      </c>
    </row>
    <row r="192" spans="7:9">
      <c r="G192">
        <f t="shared" ca="1" si="6"/>
        <v>0.52847912415826648</v>
      </c>
      <c r="H192">
        <f t="shared" ca="1" si="7"/>
        <v>1</v>
      </c>
      <c r="I192">
        <f t="shared" ca="1" si="8"/>
        <v>1</v>
      </c>
    </row>
    <row r="193" spans="7:9">
      <c r="G193">
        <f t="shared" ca="1" si="6"/>
        <v>0.17089930003792686</v>
      </c>
      <c r="H193">
        <f t="shared" ca="1" si="7"/>
        <v>1</v>
      </c>
      <c r="I193">
        <f t="shared" ca="1" si="8"/>
        <v>2</v>
      </c>
    </row>
    <row r="194" spans="7:9">
      <c r="G194">
        <f t="shared" ca="1" si="6"/>
        <v>0.71663593585447316</v>
      </c>
      <c r="H194">
        <f t="shared" ca="1" si="7"/>
        <v>2</v>
      </c>
      <c r="I194">
        <f t="shared" ca="1" si="8"/>
        <v>1</v>
      </c>
    </row>
    <row r="195" spans="7:9">
      <c r="G195">
        <f t="shared" ca="1" si="6"/>
        <v>0.82173994655353011</v>
      </c>
      <c r="H195">
        <f t="shared" ca="1" si="7"/>
        <v>2</v>
      </c>
      <c r="I195">
        <f t="shared" ca="1" si="8"/>
        <v>1</v>
      </c>
    </row>
    <row r="196" spans="7:9">
      <c r="G196">
        <f t="shared" ca="1" si="6"/>
        <v>0.56732455447512953</v>
      </c>
      <c r="H196">
        <f t="shared" ca="1" si="7"/>
        <v>1</v>
      </c>
      <c r="I196">
        <f t="shared" ca="1" si="8"/>
        <v>1</v>
      </c>
    </row>
    <row r="197" spans="7:9">
      <c r="G197">
        <f t="shared" ref="G197:G260" ca="1" si="9">RAND()</f>
        <v>0.88161169160402963</v>
      </c>
      <c r="H197">
        <f t="shared" ref="H197:H260" ca="1" si="10">IF(G197&lt;0.66,1,2)</f>
        <v>2</v>
      </c>
      <c r="I197">
        <f t="shared" ref="I197:I260" ca="1" si="11">IF(G197&lt;0.33,2,1)</f>
        <v>1</v>
      </c>
    </row>
    <row r="198" spans="7:9">
      <c r="G198">
        <f t="shared" ca="1" si="9"/>
        <v>0.81604824756031247</v>
      </c>
      <c r="H198">
        <f t="shared" ca="1" si="10"/>
        <v>2</v>
      </c>
      <c r="I198">
        <f t="shared" ca="1" si="11"/>
        <v>1</v>
      </c>
    </row>
    <row r="199" spans="7:9">
      <c r="G199">
        <f t="shared" ca="1" si="9"/>
        <v>0.76645555635134355</v>
      </c>
      <c r="H199">
        <f t="shared" ca="1" si="10"/>
        <v>2</v>
      </c>
      <c r="I199">
        <f t="shared" ca="1" si="11"/>
        <v>1</v>
      </c>
    </row>
    <row r="200" spans="7:9">
      <c r="G200">
        <f t="shared" ca="1" si="9"/>
        <v>0.77880663742787337</v>
      </c>
      <c r="H200">
        <f t="shared" ca="1" si="10"/>
        <v>2</v>
      </c>
      <c r="I200">
        <f t="shared" ca="1" si="11"/>
        <v>1</v>
      </c>
    </row>
    <row r="201" spans="7:9">
      <c r="G201">
        <f t="shared" ca="1" si="9"/>
        <v>0.64716085036052118</v>
      </c>
      <c r="H201">
        <f t="shared" ca="1" si="10"/>
        <v>1</v>
      </c>
      <c r="I201">
        <f t="shared" ca="1" si="11"/>
        <v>1</v>
      </c>
    </row>
    <row r="202" spans="7:9">
      <c r="G202">
        <f t="shared" ca="1" si="9"/>
        <v>0.16462706118129489</v>
      </c>
      <c r="H202">
        <f t="shared" ca="1" si="10"/>
        <v>1</v>
      </c>
      <c r="I202">
        <f t="shared" ca="1" si="11"/>
        <v>2</v>
      </c>
    </row>
    <row r="203" spans="7:9">
      <c r="G203">
        <f t="shared" ca="1" si="9"/>
        <v>0.94355333939488018</v>
      </c>
      <c r="H203">
        <f t="shared" ca="1" si="10"/>
        <v>2</v>
      </c>
      <c r="I203">
        <f t="shared" ca="1" si="11"/>
        <v>1</v>
      </c>
    </row>
    <row r="204" spans="7:9">
      <c r="G204">
        <f t="shared" ca="1" si="9"/>
        <v>0.99896927822669479</v>
      </c>
      <c r="H204">
        <f t="shared" ca="1" si="10"/>
        <v>2</v>
      </c>
      <c r="I204">
        <f t="shared" ca="1" si="11"/>
        <v>1</v>
      </c>
    </row>
    <row r="205" spans="7:9">
      <c r="G205">
        <f t="shared" ca="1" si="9"/>
        <v>0.8420951948847748</v>
      </c>
      <c r="H205">
        <f t="shared" ca="1" si="10"/>
        <v>2</v>
      </c>
      <c r="I205">
        <f t="shared" ca="1" si="11"/>
        <v>1</v>
      </c>
    </row>
    <row r="206" spans="7:9">
      <c r="G206">
        <f t="shared" ca="1" si="9"/>
        <v>0.15082636791336357</v>
      </c>
      <c r="H206">
        <f t="shared" ca="1" si="10"/>
        <v>1</v>
      </c>
      <c r="I206">
        <f t="shared" ca="1" si="11"/>
        <v>2</v>
      </c>
    </row>
    <row r="207" spans="7:9">
      <c r="G207">
        <f t="shared" ca="1" si="9"/>
        <v>0.95182081227174387</v>
      </c>
      <c r="H207">
        <f t="shared" ca="1" si="10"/>
        <v>2</v>
      </c>
      <c r="I207">
        <f t="shared" ca="1" si="11"/>
        <v>1</v>
      </c>
    </row>
    <row r="208" spans="7:9">
      <c r="G208">
        <f t="shared" ca="1" si="9"/>
        <v>0.57058329233427285</v>
      </c>
      <c r="H208">
        <f t="shared" ca="1" si="10"/>
        <v>1</v>
      </c>
      <c r="I208">
        <f t="shared" ca="1" si="11"/>
        <v>1</v>
      </c>
    </row>
    <row r="209" spans="7:9">
      <c r="G209">
        <f t="shared" ca="1" si="9"/>
        <v>0.18122554025464099</v>
      </c>
      <c r="H209">
        <f t="shared" ca="1" si="10"/>
        <v>1</v>
      </c>
      <c r="I209">
        <f t="shared" ca="1" si="11"/>
        <v>2</v>
      </c>
    </row>
    <row r="210" spans="7:9">
      <c r="G210">
        <f t="shared" ca="1" si="9"/>
        <v>0.11129005135153103</v>
      </c>
      <c r="H210">
        <f t="shared" ca="1" si="10"/>
        <v>1</v>
      </c>
      <c r="I210">
        <f t="shared" ca="1" si="11"/>
        <v>2</v>
      </c>
    </row>
    <row r="211" spans="7:9">
      <c r="G211">
        <f t="shared" ca="1" si="9"/>
        <v>0.33306639578119823</v>
      </c>
      <c r="H211">
        <f t="shared" ca="1" si="10"/>
        <v>1</v>
      </c>
      <c r="I211">
        <f t="shared" ca="1" si="11"/>
        <v>1</v>
      </c>
    </row>
    <row r="212" spans="7:9">
      <c r="G212">
        <f t="shared" ca="1" si="9"/>
        <v>0.72147591417679213</v>
      </c>
      <c r="H212">
        <f t="shared" ca="1" si="10"/>
        <v>2</v>
      </c>
      <c r="I212">
        <f t="shared" ca="1" si="11"/>
        <v>1</v>
      </c>
    </row>
    <row r="213" spans="7:9">
      <c r="G213">
        <f t="shared" ca="1" si="9"/>
        <v>0.33718266024038357</v>
      </c>
      <c r="H213">
        <f t="shared" ca="1" si="10"/>
        <v>1</v>
      </c>
      <c r="I213">
        <f t="shared" ca="1" si="11"/>
        <v>1</v>
      </c>
    </row>
    <row r="214" spans="7:9">
      <c r="G214">
        <f t="shared" ca="1" si="9"/>
        <v>0.36630755886159994</v>
      </c>
      <c r="H214">
        <f t="shared" ca="1" si="10"/>
        <v>1</v>
      </c>
      <c r="I214">
        <f t="shared" ca="1" si="11"/>
        <v>1</v>
      </c>
    </row>
    <row r="215" spans="7:9">
      <c r="G215">
        <f t="shared" ca="1" si="9"/>
        <v>0.34205321993260951</v>
      </c>
      <c r="H215">
        <f t="shared" ca="1" si="10"/>
        <v>1</v>
      </c>
      <c r="I215">
        <f t="shared" ca="1" si="11"/>
        <v>1</v>
      </c>
    </row>
    <row r="216" spans="7:9">
      <c r="G216">
        <f t="shared" ca="1" si="9"/>
        <v>0.11908493893928696</v>
      </c>
      <c r="H216">
        <f t="shared" ca="1" si="10"/>
        <v>1</v>
      </c>
      <c r="I216">
        <f t="shared" ca="1" si="11"/>
        <v>2</v>
      </c>
    </row>
    <row r="217" spans="7:9">
      <c r="G217">
        <f t="shared" ca="1" si="9"/>
        <v>1.2782218002314605E-2</v>
      </c>
      <c r="H217">
        <f t="shared" ca="1" si="10"/>
        <v>1</v>
      </c>
      <c r="I217">
        <f t="shared" ca="1" si="11"/>
        <v>2</v>
      </c>
    </row>
    <row r="218" spans="7:9">
      <c r="G218">
        <f t="shared" ca="1" si="9"/>
        <v>0.51469279002368196</v>
      </c>
      <c r="H218">
        <f t="shared" ca="1" si="10"/>
        <v>1</v>
      </c>
      <c r="I218">
        <f t="shared" ca="1" si="11"/>
        <v>1</v>
      </c>
    </row>
    <row r="219" spans="7:9">
      <c r="G219">
        <f t="shared" ca="1" si="9"/>
        <v>0.78504350420820534</v>
      </c>
      <c r="H219">
        <f t="shared" ca="1" si="10"/>
        <v>2</v>
      </c>
      <c r="I219">
        <f t="shared" ca="1" si="11"/>
        <v>1</v>
      </c>
    </row>
    <row r="220" spans="7:9">
      <c r="G220">
        <f t="shared" ca="1" si="9"/>
        <v>0.24536408563649503</v>
      </c>
      <c r="H220">
        <f t="shared" ca="1" si="10"/>
        <v>1</v>
      </c>
      <c r="I220">
        <f t="shared" ca="1" si="11"/>
        <v>2</v>
      </c>
    </row>
    <row r="221" spans="7:9">
      <c r="G221">
        <f t="shared" ca="1" si="9"/>
        <v>0.67040376652208422</v>
      </c>
      <c r="H221">
        <f t="shared" ca="1" si="10"/>
        <v>2</v>
      </c>
      <c r="I221">
        <f t="shared" ca="1" si="11"/>
        <v>1</v>
      </c>
    </row>
    <row r="222" spans="7:9">
      <c r="G222">
        <f t="shared" ca="1" si="9"/>
        <v>7.5929209060582092E-2</v>
      </c>
      <c r="H222">
        <f t="shared" ca="1" si="10"/>
        <v>1</v>
      </c>
      <c r="I222">
        <f t="shared" ca="1" si="11"/>
        <v>2</v>
      </c>
    </row>
    <row r="223" spans="7:9">
      <c r="G223">
        <f t="shared" ca="1" si="9"/>
        <v>7.3901041682258972E-2</v>
      </c>
      <c r="H223">
        <f t="shared" ca="1" si="10"/>
        <v>1</v>
      </c>
      <c r="I223">
        <f t="shared" ca="1" si="11"/>
        <v>2</v>
      </c>
    </row>
    <row r="224" spans="7:9">
      <c r="G224">
        <f t="shared" ca="1" si="9"/>
        <v>0.72558844402596046</v>
      </c>
      <c r="H224">
        <f t="shared" ca="1" si="10"/>
        <v>2</v>
      </c>
      <c r="I224">
        <f t="shared" ca="1" si="11"/>
        <v>1</v>
      </c>
    </row>
    <row r="225" spans="7:9">
      <c r="G225">
        <f t="shared" ca="1" si="9"/>
        <v>0.95155449111823409</v>
      </c>
      <c r="H225">
        <f t="shared" ca="1" si="10"/>
        <v>2</v>
      </c>
      <c r="I225">
        <f t="shared" ca="1" si="11"/>
        <v>1</v>
      </c>
    </row>
    <row r="226" spans="7:9">
      <c r="G226">
        <f t="shared" ca="1" si="9"/>
        <v>0.24939634745157124</v>
      </c>
      <c r="H226">
        <f t="shared" ca="1" si="10"/>
        <v>1</v>
      </c>
      <c r="I226">
        <f t="shared" ca="1" si="11"/>
        <v>2</v>
      </c>
    </row>
    <row r="227" spans="7:9">
      <c r="G227">
        <f t="shared" ca="1" si="9"/>
        <v>0.26509866163667317</v>
      </c>
      <c r="H227">
        <f t="shared" ca="1" si="10"/>
        <v>1</v>
      </c>
      <c r="I227">
        <f t="shared" ca="1" si="11"/>
        <v>2</v>
      </c>
    </row>
    <row r="228" spans="7:9">
      <c r="G228">
        <f t="shared" ca="1" si="9"/>
        <v>0.65363836416336918</v>
      </c>
      <c r="H228">
        <f t="shared" ca="1" si="10"/>
        <v>1</v>
      </c>
      <c r="I228">
        <f t="shared" ca="1" si="11"/>
        <v>1</v>
      </c>
    </row>
    <row r="229" spans="7:9">
      <c r="G229">
        <f t="shared" ca="1" si="9"/>
        <v>0.48421418292191665</v>
      </c>
      <c r="H229">
        <f t="shared" ca="1" si="10"/>
        <v>1</v>
      </c>
      <c r="I229">
        <f t="shared" ca="1" si="11"/>
        <v>1</v>
      </c>
    </row>
    <row r="230" spans="7:9">
      <c r="G230">
        <f t="shared" ca="1" si="9"/>
        <v>0.78451905671410294</v>
      </c>
      <c r="H230">
        <f t="shared" ca="1" si="10"/>
        <v>2</v>
      </c>
      <c r="I230">
        <f t="shared" ca="1" si="11"/>
        <v>1</v>
      </c>
    </row>
    <row r="231" spans="7:9">
      <c r="G231">
        <f t="shared" ca="1" si="9"/>
        <v>0.84456353922489902</v>
      </c>
      <c r="H231">
        <f t="shared" ca="1" si="10"/>
        <v>2</v>
      </c>
      <c r="I231">
        <f t="shared" ca="1" si="11"/>
        <v>1</v>
      </c>
    </row>
    <row r="232" spans="7:9">
      <c r="G232">
        <f t="shared" ca="1" si="9"/>
        <v>0.9616570422825107</v>
      </c>
      <c r="H232">
        <f t="shared" ca="1" si="10"/>
        <v>2</v>
      </c>
      <c r="I232">
        <f t="shared" ca="1" si="11"/>
        <v>1</v>
      </c>
    </row>
    <row r="233" spans="7:9">
      <c r="G233">
        <f t="shared" ca="1" si="9"/>
        <v>0.11494158699218049</v>
      </c>
      <c r="H233">
        <f t="shared" ca="1" si="10"/>
        <v>1</v>
      </c>
      <c r="I233">
        <f t="shared" ca="1" si="11"/>
        <v>2</v>
      </c>
    </row>
    <row r="234" spans="7:9">
      <c r="G234">
        <f t="shared" ca="1" si="9"/>
        <v>0.83164724312908911</v>
      </c>
      <c r="H234">
        <f t="shared" ca="1" si="10"/>
        <v>2</v>
      </c>
      <c r="I234">
        <f t="shared" ca="1" si="11"/>
        <v>1</v>
      </c>
    </row>
    <row r="235" spans="7:9">
      <c r="G235">
        <f t="shared" ca="1" si="9"/>
        <v>0.74769799567303186</v>
      </c>
      <c r="H235">
        <f t="shared" ca="1" si="10"/>
        <v>2</v>
      </c>
      <c r="I235">
        <f t="shared" ca="1" si="11"/>
        <v>1</v>
      </c>
    </row>
    <row r="236" spans="7:9">
      <c r="G236">
        <f t="shared" ca="1" si="9"/>
        <v>0.14273373621127106</v>
      </c>
      <c r="H236">
        <f t="shared" ca="1" si="10"/>
        <v>1</v>
      </c>
      <c r="I236">
        <f t="shared" ca="1" si="11"/>
        <v>2</v>
      </c>
    </row>
    <row r="237" spans="7:9">
      <c r="G237">
        <f t="shared" ca="1" si="9"/>
        <v>0.42117700685094028</v>
      </c>
      <c r="H237">
        <f t="shared" ca="1" si="10"/>
        <v>1</v>
      </c>
      <c r="I237">
        <f t="shared" ca="1" si="11"/>
        <v>1</v>
      </c>
    </row>
    <row r="238" spans="7:9">
      <c r="G238">
        <f t="shared" ca="1" si="9"/>
        <v>0.27798487244995518</v>
      </c>
      <c r="H238">
        <f t="shared" ca="1" si="10"/>
        <v>1</v>
      </c>
      <c r="I238">
        <f t="shared" ca="1" si="11"/>
        <v>2</v>
      </c>
    </row>
    <row r="239" spans="7:9">
      <c r="G239">
        <f t="shared" ca="1" si="9"/>
        <v>0.47307305062468485</v>
      </c>
      <c r="H239">
        <f t="shared" ca="1" si="10"/>
        <v>1</v>
      </c>
      <c r="I239">
        <f t="shared" ca="1" si="11"/>
        <v>1</v>
      </c>
    </row>
    <row r="240" spans="7:9">
      <c r="G240">
        <f t="shared" ca="1" si="9"/>
        <v>0.32320439582189009</v>
      </c>
      <c r="H240">
        <f t="shared" ca="1" si="10"/>
        <v>1</v>
      </c>
      <c r="I240">
        <f t="shared" ca="1" si="11"/>
        <v>2</v>
      </c>
    </row>
    <row r="241" spans="7:9">
      <c r="G241">
        <f t="shared" ca="1" si="9"/>
        <v>0.33594629043716584</v>
      </c>
      <c r="H241">
        <f t="shared" ca="1" si="10"/>
        <v>1</v>
      </c>
      <c r="I241">
        <f t="shared" ca="1" si="11"/>
        <v>1</v>
      </c>
    </row>
    <row r="242" spans="7:9">
      <c r="G242">
        <f t="shared" ca="1" si="9"/>
        <v>0.7947106797821939</v>
      </c>
      <c r="H242">
        <f t="shared" ca="1" si="10"/>
        <v>2</v>
      </c>
      <c r="I242">
        <f t="shared" ca="1" si="11"/>
        <v>1</v>
      </c>
    </row>
    <row r="243" spans="7:9">
      <c r="G243">
        <f t="shared" ca="1" si="9"/>
        <v>0.92309808290524131</v>
      </c>
      <c r="H243">
        <f t="shared" ca="1" si="10"/>
        <v>2</v>
      </c>
      <c r="I243">
        <f t="shared" ca="1" si="11"/>
        <v>1</v>
      </c>
    </row>
    <row r="244" spans="7:9">
      <c r="G244">
        <f t="shared" ca="1" si="9"/>
        <v>0.14261100526770443</v>
      </c>
      <c r="H244">
        <f t="shared" ca="1" si="10"/>
        <v>1</v>
      </c>
      <c r="I244">
        <f t="shared" ca="1" si="11"/>
        <v>2</v>
      </c>
    </row>
    <row r="245" spans="7:9">
      <c r="G245">
        <f t="shared" ca="1" si="9"/>
        <v>1.1963287072242479E-2</v>
      </c>
      <c r="H245">
        <f t="shared" ca="1" si="10"/>
        <v>1</v>
      </c>
      <c r="I245">
        <f t="shared" ca="1" si="11"/>
        <v>2</v>
      </c>
    </row>
    <row r="246" spans="7:9">
      <c r="G246">
        <f t="shared" ca="1" si="9"/>
        <v>0.91780383374732655</v>
      </c>
      <c r="H246">
        <f t="shared" ca="1" si="10"/>
        <v>2</v>
      </c>
      <c r="I246">
        <f t="shared" ca="1" si="11"/>
        <v>1</v>
      </c>
    </row>
    <row r="247" spans="7:9">
      <c r="G247">
        <f t="shared" ca="1" si="9"/>
        <v>9.5114472641014247E-2</v>
      </c>
      <c r="H247">
        <f t="shared" ca="1" si="10"/>
        <v>1</v>
      </c>
      <c r="I247">
        <f t="shared" ca="1" si="11"/>
        <v>2</v>
      </c>
    </row>
    <row r="248" spans="7:9">
      <c r="G248">
        <f t="shared" ca="1" si="9"/>
        <v>0.11903547547855875</v>
      </c>
      <c r="H248">
        <f t="shared" ca="1" si="10"/>
        <v>1</v>
      </c>
      <c r="I248">
        <f t="shared" ca="1" si="11"/>
        <v>2</v>
      </c>
    </row>
    <row r="249" spans="7:9">
      <c r="G249">
        <f t="shared" ca="1" si="9"/>
        <v>5.4148254639561411E-2</v>
      </c>
      <c r="H249">
        <f t="shared" ca="1" si="10"/>
        <v>1</v>
      </c>
      <c r="I249">
        <f t="shared" ca="1" si="11"/>
        <v>2</v>
      </c>
    </row>
    <row r="250" spans="7:9">
      <c r="G250">
        <f t="shared" ca="1" si="9"/>
        <v>0.31109355138161499</v>
      </c>
      <c r="H250">
        <f t="shared" ca="1" si="10"/>
        <v>1</v>
      </c>
      <c r="I250">
        <f t="shared" ca="1" si="11"/>
        <v>2</v>
      </c>
    </row>
    <row r="251" spans="7:9">
      <c r="G251">
        <f t="shared" ca="1" si="9"/>
        <v>9.5008326710782853E-2</v>
      </c>
      <c r="H251">
        <f t="shared" ca="1" si="10"/>
        <v>1</v>
      </c>
      <c r="I251">
        <f t="shared" ca="1" si="11"/>
        <v>2</v>
      </c>
    </row>
    <row r="252" spans="7:9">
      <c r="G252">
        <f t="shared" ca="1" si="9"/>
        <v>0.4383888806763393</v>
      </c>
      <c r="H252">
        <f t="shared" ca="1" si="10"/>
        <v>1</v>
      </c>
      <c r="I252">
        <f t="shared" ca="1" si="11"/>
        <v>1</v>
      </c>
    </row>
    <row r="253" spans="7:9">
      <c r="G253">
        <f t="shared" ca="1" si="9"/>
        <v>0.59224692796461442</v>
      </c>
      <c r="H253">
        <f t="shared" ca="1" si="10"/>
        <v>1</v>
      </c>
      <c r="I253">
        <f t="shared" ca="1" si="11"/>
        <v>1</v>
      </c>
    </row>
    <row r="254" spans="7:9">
      <c r="G254">
        <f t="shared" ca="1" si="9"/>
        <v>0.34388335336337594</v>
      </c>
      <c r="H254">
        <f t="shared" ca="1" si="10"/>
        <v>1</v>
      </c>
      <c r="I254">
        <f t="shared" ca="1" si="11"/>
        <v>1</v>
      </c>
    </row>
    <row r="255" spans="7:9">
      <c r="G255">
        <f t="shared" ca="1" si="9"/>
        <v>0.1341455059133384</v>
      </c>
      <c r="H255">
        <f t="shared" ca="1" si="10"/>
        <v>1</v>
      </c>
      <c r="I255">
        <f t="shared" ca="1" si="11"/>
        <v>2</v>
      </c>
    </row>
    <row r="256" spans="7:9">
      <c r="G256">
        <f t="shared" ca="1" si="9"/>
        <v>3.3384706534805075E-2</v>
      </c>
      <c r="H256">
        <f t="shared" ca="1" si="10"/>
        <v>1</v>
      </c>
      <c r="I256">
        <f t="shared" ca="1" si="11"/>
        <v>2</v>
      </c>
    </row>
    <row r="257" spans="7:9">
      <c r="G257">
        <f t="shared" ca="1" si="9"/>
        <v>0.22867258829193993</v>
      </c>
      <c r="H257">
        <f t="shared" ca="1" si="10"/>
        <v>1</v>
      </c>
      <c r="I257">
        <f t="shared" ca="1" si="11"/>
        <v>2</v>
      </c>
    </row>
    <row r="258" spans="7:9">
      <c r="G258">
        <f t="shared" ca="1" si="9"/>
        <v>0.9784489144190599</v>
      </c>
      <c r="H258">
        <f t="shared" ca="1" si="10"/>
        <v>2</v>
      </c>
      <c r="I258">
        <f t="shared" ca="1" si="11"/>
        <v>1</v>
      </c>
    </row>
    <row r="259" spans="7:9">
      <c r="G259">
        <f t="shared" ca="1" si="9"/>
        <v>0.9801916791538472</v>
      </c>
      <c r="H259">
        <f t="shared" ca="1" si="10"/>
        <v>2</v>
      </c>
      <c r="I259">
        <f t="shared" ca="1" si="11"/>
        <v>1</v>
      </c>
    </row>
    <row r="260" spans="7:9">
      <c r="G260">
        <f t="shared" ca="1" si="9"/>
        <v>0.85806554432515159</v>
      </c>
      <c r="H260">
        <f t="shared" ca="1" si="10"/>
        <v>2</v>
      </c>
      <c r="I260">
        <f t="shared" ca="1" si="11"/>
        <v>1</v>
      </c>
    </row>
    <row r="261" spans="7:9">
      <c r="G261">
        <f t="shared" ref="G261:G324" ca="1" si="12">RAND()</f>
        <v>0.82449470037119887</v>
      </c>
      <c r="H261">
        <f t="shared" ref="H261:H324" ca="1" si="13">IF(G261&lt;0.66,1,2)</f>
        <v>2</v>
      </c>
      <c r="I261">
        <f t="shared" ref="I261:I324" ca="1" si="14">IF(G261&lt;0.33,2,1)</f>
        <v>1</v>
      </c>
    </row>
    <row r="262" spans="7:9">
      <c r="G262">
        <f t="shared" ca="1" si="12"/>
        <v>0.66972039251925086</v>
      </c>
      <c r="H262">
        <f t="shared" ca="1" si="13"/>
        <v>2</v>
      </c>
      <c r="I262">
        <f t="shared" ca="1" si="14"/>
        <v>1</v>
      </c>
    </row>
    <row r="263" spans="7:9">
      <c r="G263">
        <f t="shared" ca="1" si="12"/>
        <v>0.2739044543088619</v>
      </c>
      <c r="H263">
        <f t="shared" ca="1" si="13"/>
        <v>1</v>
      </c>
      <c r="I263">
        <f t="shared" ca="1" si="14"/>
        <v>2</v>
      </c>
    </row>
    <row r="264" spans="7:9">
      <c r="G264">
        <f t="shared" ca="1" si="12"/>
        <v>0.94143042458380077</v>
      </c>
      <c r="H264">
        <f t="shared" ca="1" si="13"/>
        <v>2</v>
      </c>
      <c r="I264">
        <f t="shared" ca="1" si="14"/>
        <v>1</v>
      </c>
    </row>
    <row r="265" spans="7:9">
      <c r="G265">
        <f t="shared" ca="1" si="12"/>
        <v>0.15945964283035807</v>
      </c>
      <c r="H265">
        <f t="shared" ca="1" si="13"/>
        <v>1</v>
      </c>
      <c r="I265">
        <f t="shared" ca="1" si="14"/>
        <v>2</v>
      </c>
    </row>
    <row r="266" spans="7:9">
      <c r="G266">
        <f t="shared" ca="1" si="12"/>
        <v>0.52350038198145488</v>
      </c>
      <c r="H266">
        <f t="shared" ca="1" si="13"/>
        <v>1</v>
      </c>
      <c r="I266">
        <f t="shared" ca="1" si="14"/>
        <v>1</v>
      </c>
    </row>
    <row r="267" spans="7:9">
      <c r="G267">
        <f t="shared" ca="1" si="12"/>
        <v>0.49200779939250761</v>
      </c>
      <c r="H267">
        <f t="shared" ca="1" si="13"/>
        <v>1</v>
      </c>
      <c r="I267">
        <f t="shared" ca="1" si="14"/>
        <v>1</v>
      </c>
    </row>
    <row r="268" spans="7:9">
      <c r="G268">
        <f t="shared" ca="1" si="12"/>
        <v>0.42083299842898603</v>
      </c>
      <c r="H268">
        <f t="shared" ca="1" si="13"/>
        <v>1</v>
      </c>
      <c r="I268">
        <f t="shared" ca="1" si="14"/>
        <v>1</v>
      </c>
    </row>
    <row r="269" spans="7:9">
      <c r="G269">
        <f t="shared" ca="1" si="12"/>
        <v>0.27140815277939978</v>
      </c>
      <c r="H269">
        <f t="shared" ca="1" si="13"/>
        <v>1</v>
      </c>
      <c r="I269">
        <f t="shared" ca="1" si="14"/>
        <v>2</v>
      </c>
    </row>
    <row r="270" spans="7:9">
      <c r="G270">
        <f t="shared" ca="1" si="12"/>
        <v>0.38222263683693869</v>
      </c>
      <c r="H270">
        <f t="shared" ca="1" si="13"/>
        <v>1</v>
      </c>
      <c r="I270">
        <f t="shared" ca="1" si="14"/>
        <v>1</v>
      </c>
    </row>
    <row r="271" spans="7:9">
      <c r="G271">
        <f t="shared" ca="1" si="12"/>
        <v>0.13845820845748169</v>
      </c>
      <c r="H271">
        <f t="shared" ca="1" si="13"/>
        <v>1</v>
      </c>
      <c r="I271">
        <f t="shared" ca="1" si="14"/>
        <v>2</v>
      </c>
    </row>
    <row r="272" spans="7:9">
      <c r="G272">
        <f t="shared" ca="1" si="12"/>
        <v>0.22550265024047822</v>
      </c>
      <c r="H272">
        <f t="shared" ca="1" si="13"/>
        <v>1</v>
      </c>
      <c r="I272">
        <f t="shared" ca="1" si="14"/>
        <v>2</v>
      </c>
    </row>
    <row r="273" spans="7:9">
      <c r="G273">
        <f t="shared" ca="1" si="12"/>
        <v>0.61011894210230666</v>
      </c>
      <c r="H273">
        <f t="shared" ca="1" si="13"/>
        <v>1</v>
      </c>
      <c r="I273">
        <f t="shared" ca="1" si="14"/>
        <v>1</v>
      </c>
    </row>
    <row r="274" spans="7:9">
      <c r="G274">
        <f t="shared" ca="1" si="12"/>
        <v>0.12054794644173628</v>
      </c>
      <c r="H274">
        <f t="shared" ca="1" si="13"/>
        <v>1</v>
      </c>
      <c r="I274">
        <f t="shared" ca="1" si="14"/>
        <v>2</v>
      </c>
    </row>
    <row r="275" spans="7:9">
      <c r="G275">
        <f t="shared" ca="1" si="12"/>
        <v>0.79666222456751179</v>
      </c>
      <c r="H275">
        <f t="shared" ca="1" si="13"/>
        <v>2</v>
      </c>
      <c r="I275">
        <f t="shared" ca="1" si="14"/>
        <v>1</v>
      </c>
    </row>
    <row r="276" spans="7:9">
      <c r="G276">
        <f t="shared" ca="1" si="12"/>
        <v>0.4967774673464338</v>
      </c>
      <c r="H276">
        <f t="shared" ca="1" si="13"/>
        <v>1</v>
      </c>
      <c r="I276">
        <f t="shared" ca="1" si="14"/>
        <v>1</v>
      </c>
    </row>
    <row r="277" spans="7:9">
      <c r="G277">
        <f t="shared" ca="1" si="12"/>
        <v>0.66585307927382476</v>
      </c>
      <c r="H277">
        <f t="shared" ca="1" si="13"/>
        <v>2</v>
      </c>
      <c r="I277">
        <f t="shared" ca="1" si="14"/>
        <v>1</v>
      </c>
    </row>
    <row r="278" spans="7:9">
      <c r="G278">
        <f t="shared" ca="1" si="12"/>
        <v>0.58232248411411991</v>
      </c>
      <c r="H278">
        <f t="shared" ca="1" si="13"/>
        <v>1</v>
      </c>
      <c r="I278">
        <f t="shared" ca="1" si="14"/>
        <v>1</v>
      </c>
    </row>
    <row r="279" spans="7:9">
      <c r="G279">
        <f t="shared" ca="1" si="12"/>
        <v>0.13328105945148838</v>
      </c>
      <c r="H279">
        <f t="shared" ca="1" si="13"/>
        <v>1</v>
      </c>
      <c r="I279">
        <f t="shared" ca="1" si="14"/>
        <v>2</v>
      </c>
    </row>
    <row r="280" spans="7:9">
      <c r="G280">
        <f t="shared" ca="1" si="12"/>
        <v>0.55878967296722482</v>
      </c>
      <c r="H280">
        <f t="shared" ca="1" si="13"/>
        <v>1</v>
      </c>
      <c r="I280">
        <f t="shared" ca="1" si="14"/>
        <v>1</v>
      </c>
    </row>
    <row r="281" spans="7:9">
      <c r="G281">
        <f t="shared" ca="1" si="12"/>
        <v>0.44488752373032336</v>
      </c>
      <c r="H281">
        <f t="shared" ca="1" si="13"/>
        <v>1</v>
      </c>
      <c r="I281">
        <f t="shared" ca="1" si="14"/>
        <v>1</v>
      </c>
    </row>
    <row r="282" spans="7:9">
      <c r="G282">
        <f t="shared" ca="1" si="12"/>
        <v>0.40138196496221701</v>
      </c>
      <c r="H282">
        <f t="shared" ca="1" si="13"/>
        <v>1</v>
      </c>
      <c r="I282">
        <f t="shared" ca="1" si="14"/>
        <v>1</v>
      </c>
    </row>
    <row r="283" spans="7:9">
      <c r="G283">
        <f t="shared" ca="1" si="12"/>
        <v>0.76804746695705661</v>
      </c>
      <c r="H283">
        <f t="shared" ca="1" si="13"/>
        <v>2</v>
      </c>
      <c r="I283">
        <f t="shared" ca="1" si="14"/>
        <v>1</v>
      </c>
    </row>
    <row r="284" spans="7:9">
      <c r="G284">
        <f t="shared" ca="1" si="12"/>
        <v>0.19615115652469162</v>
      </c>
      <c r="H284">
        <f t="shared" ca="1" si="13"/>
        <v>1</v>
      </c>
      <c r="I284">
        <f t="shared" ca="1" si="14"/>
        <v>2</v>
      </c>
    </row>
    <row r="285" spans="7:9">
      <c r="G285">
        <f t="shared" ca="1" si="12"/>
        <v>0.48181024770937753</v>
      </c>
      <c r="H285">
        <f t="shared" ca="1" si="13"/>
        <v>1</v>
      </c>
      <c r="I285">
        <f t="shared" ca="1" si="14"/>
        <v>1</v>
      </c>
    </row>
    <row r="286" spans="7:9">
      <c r="G286">
        <f t="shared" ca="1" si="12"/>
        <v>0.7512690198443146</v>
      </c>
      <c r="H286">
        <f t="shared" ca="1" si="13"/>
        <v>2</v>
      </c>
      <c r="I286">
        <f t="shared" ca="1" si="14"/>
        <v>1</v>
      </c>
    </row>
    <row r="287" spans="7:9">
      <c r="G287">
        <f t="shared" ca="1" si="12"/>
        <v>0.75442152849090893</v>
      </c>
      <c r="H287">
        <f t="shared" ca="1" si="13"/>
        <v>2</v>
      </c>
      <c r="I287">
        <f t="shared" ca="1" si="14"/>
        <v>1</v>
      </c>
    </row>
    <row r="288" spans="7:9">
      <c r="G288">
        <f t="shared" ca="1" si="12"/>
        <v>0.37492564910516413</v>
      </c>
      <c r="H288">
        <f t="shared" ca="1" si="13"/>
        <v>1</v>
      </c>
      <c r="I288">
        <f t="shared" ca="1" si="14"/>
        <v>1</v>
      </c>
    </row>
    <row r="289" spans="7:9">
      <c r="G289">
        <f t="shared" ca="1" si="12"/>
        <v>5.0890550037302806E-2</v>
      </c>
      <c r="H289">
        <f t="shared" ca="1" si="13"/>
        <v>1</v>
      </c>
      <c r="I289">
        <f t="shared" ca="1" si="14"/>
        <v>2</v>
      </c>
    </row>
    <row r="290" spans="7:9">
      <c r="G290">
        <f t="shared" ca="1" si="12"/>
        <v>0.24230191785668886</v>
      </c>
      <c r="H290">
        <f t="shared" ca="1" si="13"/>
        <v>1</v>
      </c>
      <c r="I290">
        <f t="shared" ca="1" si="14"/>
        <v>2</v>
      </c>
    </row>
    <row r="291" spans="7:9">
      <c r="G291">
        <f t="shared" ca="1" si="12"/>
        <v>0.90414236610653076</v>
      </c>
      <c r="H291">
        <f t="shared" ca="1" si="13"/>
        <v>2</v>
      </c>
      <c r="I291">
        <f t="shared" ca="1" si="14"/>
        <v>1</v>
      </c>
    </row>
    <row r="292" spans="7:9">
      <c r="G292">
        <f t="shared" ca="1" si="12"/>
        <v>0.57241135103473462</v>
      </c>
      <c r="H292">
        <f t="shared" ca="1" si="13"/>
        <v>1</v>
      </c>
      <c r="I292">
        <f t="shared" ca="1" si="14"/>
        <v>1</v>
      </c>
    </row>
    <row r="293" spans="7:9">
      <c r="G293">
        <f t="shared" ca="1" si="12"/>
        <v>0.96472594265476996</v>
      </c>
      <c r="H293">
        <f t="shared" ca="1" si="13"/>
        <v>2</v>
      </c>
      <c r="I293">
        <f t="shared" ca="1" si="14"/>
        <v>1</v>
      </c>
    </row>
    <row r="294" spans="7:9">
      <c r="G294">
        <f t="shared" ca="1" si="12"/>
        <v>0.84011104687944171</v>
      </c>
      <c r="H294">
        <f t="shared" ca="1" si="13"/>
        <v>2</v>
      </c>
      <c r="I294">
        <f t="shared" ca="1" si="14"/>
        <v>1</v>
      </c>
    </row>
    <row r="295" spans="7:9">
      <c r="G295">
        <f t="shared" ca="1" si="12"/>
        <v>0.87224741925834348</v>
      </c>
      <c r="H295">
        <f t="shared" ca="1" si="13"/>
        <v>2</v>
      </c>
      <c r="I295">
        <f t="shared" ca="1" si="14"/>
        <v>1</v>
      </c>
    </row>
    <row r="296" spans="7:9">
      <c r="G296">
        <f t="shared" ca="1" si="12"/>
        <v>0.8963182114585333</v>
      </c>
      <c r="H296">
        <f t="shared" ca="1" si="13"/>
        <v>2</v>
      </c>
      <c r="I296">
        <f t="shared" ca="1" si="14"/>
        <v>1</v>
      </c>
    </row>
    <row r="297" spans="7:9">
      <c r="G297">
        <f t="shared" ca="1" si="12"/>
        <v>0.39402360544564929</v>
      </c>
      <c r="H297">
        <f t="shared" ca="1" si="13"/>
        <v>1</v>
      </c>
      <c r="I297">
        <f t="shared" ca="1" si="14"/>
        <v>1</v>
      </c>
    </row>
    <row r="298" spans="7:9">
      <c r="G298">
        <f t="shared" ca="1" si="12"/>
        <v>0.18430401072161107</v>
      </c>
      <c r="H298">
        <f t="shared" ca="1" si="13"/>
        <v>1</v>
      </c>
      <c r="I298">
        <f t="shared" ca="1" si="14"/>
        <v>2</v>
      </c>
    </row>
    <row r="299" spans="7:9">
      <c r="G299">
        <f t="shared" ca="1" si="12"/>
        <v>0.7296562092385146</v>
      </c>
      <c r="H299">
        <f t="shared" ca="1" si="13"/>
        <v>2</v>
      </c>
      <c r="I299">
        <f t="shared" ca="1" si="14"/>
        <v>1</v>
      </c>
    </row>
    <row r="300" spans="7:9">
      <c r="G300">
        <f t="shared" ca="1" si="12"/>
        <v>0.18709716268179899</v>
      </c>
      <c r="H300">
        <f t="shared" ca="1" si="13"/>
        <v>1</v>
      </c>
      <c r="I300">
        <f t="shared" ca="1" si="14"/>
        <v>2</v>
      </c>
    </row>
    <row r="301" spans="7:9">
      <c r="G301">
        <f t="shared" ca="1" si="12"/>
        <v>0.95972121435391</v>
      </c>
      <c r="H301">
        <f t="shared" ca="1" si="13"/>
        <v>2</v>
      </c>
      <c r="I301">
        <f t="shared" ca="1" si="14"/>
        <v>1</v>
      </c>
    </row>
    <row r="302" spans="7:9">
      <c r="G302">
        <f t="shared" ca="1" si="12"/>
        <v>0.6409772183850363</v>
      </c>
      <c r="H302">
        <f t="shared" ca="1" si="13"/>
        <v>1</v>
      </c>
      <c r="I302">
        <f t="shared" ca="1" si="14"/>
        <v>1</v>
      </c>
    </row>
    <row r="303" spans="7:9">
      <c r="G303">
        <f t="shared" ca="1" si="12"/>
        <v>0.57814389063104799</v>
      </c>
      <c r="H303">
        <f t="shared" ca="1" si="13"/>
        <v>1</v>
      </c>
      <c r="I303">
        <f t="shared" ca="1" si="14"/>
        <v>1</v>
      </c>
    </row>
    <row r="304" spans="7:9">
      <c r="G304">
        <f t="shared" ca="1" si="12"/>
        <v>0.72360500336907185</v>
      </c>
      <c r="H304">
        <f t="shared" ca="1" si="13"/>
        <v>2</v>
      </c>
      <c r="I304">
        <f t="shared" ca="1" si="14"/>
        <v>1</v>
      </c>
    </row>
    <row r="305" spans="7:9">
      <c r="G305">
        <f t="shared" ca="1" si="12"/>
        <v>0.30730281250687586</v>
      </c>
      <c r="H305">
        <f t="shared" ca="1" si="13"/>
        <v>1</v>
      </c>
      <c r="I305">
        <f t="shared" ca="1" si="14"/>
        <v>2</v>
      </c>
    </row>
    <row r="306" spans="7:9">
      <c r="G306">
        <f t="shared" ca="1" si="12"/>
        <v>0.92333883201291311</v>
      </c>
      <c r="H306">
        <f t="shared" ca="1" si="13"/>
        <v>2</v>
      </c>
      <c r="I306">
        <f t="shared" ca="1" si="14"/>
        <v>1</v>
      </c>
    </row>
    <row r="307" spans="7:9">
      <c r="G307">
        <f t="shared" ca="1" si="12"/>
        <v>0.80661902819367781</v>
      </c>
      <c r="H307">
        <f t="shared" ca="1" si="13"/>
        <v>2</v>
      </c>
      <c r="I307">
        <f t="shared" ca="1" si="14"/>
        <v>1</v>
      </c>
    </row>
    <row r="308" spans="7:9">
      <c r="G308">
        <f t="shared" ca="1" si="12"/>
        <v>0.58688482538826037</v>
      </c>
      <c r="H308">
        <f t="shared" ca="1" si="13"/>
        <v>1</v>
      </c>
      <c r="I308">
        <f t="shared" ca="1" si="14"/>
        <v>1</v>
      </c>
    </row>
    <row r="309" spans="7:9">
      <c r="G309">
        <f t="shared" ca="1" si="12"/>
        <v>0.47641990438856807</v>
      </c>
      <c r="H309">
        <f t="shared" ca="1" si="13"/>
        <v>1</v>
      </c>
      <c r="I309">
        <f t="shared" ca="1" si="14"/>
        <v>1</v>
      </c>
    </row>
    <row r="310" spans="7:9">
      <c r="G310">
        <f t="shared" ca="1" si="12"/>
        <v>1.7439800197589506E-2</v>
      </c>
      <c r="H310">
        <f t="shared" ca="1" si="13"/>
        <v>1</v>
      </c>
      <c r="I310">
        <f t="shared" ca="1" si="14"/>
        <v>2</v>
      </c>
    </row>
    <row r="311" spans="7:9">
      <c r="G311">
        <f t="shared" ca="1" si="12"/>
        <v>0.17139950614196864</v>
      </c>
      <c r="H311">
        <f t="shared" ca="1" si="13"/>
        <v>1</v>
      </c>
      <c r="I311">
        <f t="shared" ca="1" si="14"/>
        <v>2</v>
      </c>
    </row>
    <row r="312" spans="7:9">
      <c r="G312">
        <f t="shared" ca="1" si="12"/>
        <v>0.82476188869112244</v>
      </c>
      <c r="H312">
        <f t="shared" ca="1" si="13"/>
        <v>2</v>
      </c>
      <c r="I312">
        <f t="shared" ca="1" si="14"/>
        <v>1</v>
      </c>
    </row>
    <row r="313" spans="7:9">
      <c r="G313">
        <f t="shared" ca="1" si="12"/>
        <v>6.1017179491160367E-2</v>
      </c>
      <c r="H313">
        <f t="shared" ca="1" si="13"/>
        <v>1</v>
      </c>
      <c r="I313">
        <f t="shared" ca="1" si="14"/>
        <v>2</v>
      </c>
    </row>
    <row r="314" spans="7:9">
      <c r="G314">
        <f t="shared" ca="1" si="12"/>
        <v>0.83682011734046136</v>
      </c>
      <c r="H314">
        <f t="shared" ca="1" si="13"/>
        <v>2</v>
      </c>
      <c r="I314">
        <f t="shared" ca="1" si="14"/>
        <v>1</v>
      </c>
    </row>
    <row r="315" spans="7:9">
      <c r="G315">
        <f t="shared" ca="1" si="12"/>
        <v>3.7951386654772157E-2</v>
      </c>
      <c r="H315">
        <f t="shared" ca="1" si="13"/>
        <v>1</v>
      </c>
      <c r="I315">
        <f t="shared" ca="1" si="14"/>
        <v>2</v>
      </c>
    </row>
    <row r="316" spans="7:9">
      <c r="G316">
        <f t="shared" ca="1" si="12"/>
        <v>0.23571360319497137</v>
      </c>
      <c r="H316">
        <f t="shared" ca="1" si="13"/>
        <v>1</v>
      </c>
      <c r="I316">
        <f t="shared" ca="1" si="14"/>
        <v>2</v>
      </c>
    </row>
    <row r="317" spans="7:9">
      <c r="G317">
        <f t="shared" ca="1" si="12"/>
        <v>0.15501600064893195</v>
      </c>
      <c r="H317">
        <f t="shared" ca="1" si="13"/>
        <v>1</v>
      </c>
      <c r="I317">
        <f t="shared" ca="1" si="14"/>
        <v>2</v>
      </c>
    </row>
    <row r="318" spans="7:9">
      <c r="G318">
        <f t="shared" ca="1" si="12"/>
        <v>0.87594924678825192</v>
      </c>
      <c r="H318">
        <f t="shared" ca="1" si="13"/>
        <v>2</v>
      </c>
      <c r="I318">
        <f t="shared" ca="1" si="14"/>
        <v>1</v>
      </c>
    </row>
    <row r="319" spans="7:9">
      <c r="G319">
        <f t="shared" ca="1" si="12"/>
        <v>0.26502877747861586</v>
      </c>
      <c r="H319">
        <f t="shared" ca="1" si="13"/>
        <v>1</v>
      </c>
      <c r="I319">
        <f t="shared" ca="1" si="14"/>
        <v>2</v>
      </c>
    </row>
    <row r="320" spans="7:9">
      <c r="G320">
        <f t="shared" ca="1" si="12"/>
        <v>0.40101093788215136</v>
      </c>
      <c r="H320">
        <f t="shared" ca="1" si="13"/>
        <v>1</v>
      </c>
      <c r="I320">
        <f t="shared" ca="1" si="14"/>
        <v>1</v>
      </c>
    </row>
    <row r="321" spans="7:9">
      <c r="G321">
        <f t="shared" ca="1" si="12"/>
        <v>0.88186790700725015</v>
      </c>
      <c r="H321">
        <f t="shared" ca="1" si="13"/>
        <v>2</v>
      </c>
      <c r="I321">
        <f t="shared" ca="1" si="14"/>
        <v>1</v>
      </c>
    </row>
    <row r="322" spans="7:9">
      <c r="G322">
        <f t="shared" ca="1" si="12"/>
        <v>0.12379649888511268</v>
      </c>
      <c r="H322">
        <f t="shared" ca="1" si="13"/>
        <v>1</v>
      </c>
      <c r="I322">
        <f t="shared" ca="1" si="14"/>
        <v>2</v>
      </c>
    </row>
    <row r="323" spans="7:9">
      <c r="G323">
        <f t="shared" ca="1" si="12"/>
        <v>0.95843516589017175</v>
      </c>
      <c r="H323">
        <f t="shared" ca="1" si="13"/>
        <v>2</v>
      </c>
      <c r="I323">
        <f t="shared" ca="1" si="14"/>
        <v>1</v>
      </c>
    </row>
    <row r="324" spans="7:9">
      <c r="G324">
        <f t="shared" ca="1" si="12"/>
        <v>0.84037838895533412</v>
      </c>
      <c r="H324">
        <f t="shared" ca="1" si="13"/>
        <v>2</v>
      </c>
      <c r="I324">
        <f t="shared" ca="1" si="14"/>
        <v>1</v>
      </c>
    </row>
    <row r="325" spans="7:9">
      <c r="G325">
        <f t="shared" ref="G325:G388" ca="1" si="15">RAND()</f>
        <v>0.18923029074653197</v>
      </c>
      <c r="H325">
        <f t="shared" ref="H325:H388" ca="1" si="16">IF(G325&lt;0.66,1,2)</f>
        <v>1</v>
      </c>
      <c r="I325">
        <f t="shared" ref="I325:I388" ca="1" si="17">IF(G325&lt;0.33,2,1)</f>
        <v>2</v>
      </c>
    </row>
    <row r="326" spans="7:9">
      <c r="G326">
        <f t="shared" ca="1" si="15"/>
        <v>0.17537114446155722</v>
      </c>
      <c r="H326">
        <f t="shared" ca="1" si="16"/>
        <v>1</v>
      </c>
      <c r="I326">
        <f t="shared" ca="1" si="17"/>
        <v>2</v>
      </c>
    </row>
    <row r="327" spans="7:9">
      <c r="G327">
        <f t="shared" ca="1" si="15"/>
        <v>0.96167680512559539</v>
      </c>
      <c r="H327">
        <f t="shared" ca="1" si="16"/>
        <v>2</v>
      </c>
      <c r="I327">
        <f t="shared" ca="1" si="17"/>
        <v>1</v>
      </c>
    </row>
    <row r="328" spans="7:9">
      <c r="G328">
        <f t="shared" ca="1" si="15"/>
        <v>0.9081946659941259</v>
      </c>
      <c r="H328">
        <f t="shared" ca="1" si="16"/>
        <v>2</v>
      </c>
      <c r="I328">
        <f t="shared" ca="1" si="17"/>
        <v>1</v>
      </c>
    </row>
    <row r="329" spans="7:9">
      <c r="G329">
        <f t="shared" ca="1" si="15"/>
        <v>0.84556888361165972</v>
      </c>
      <c r="H329">
        <f t="shared" ca="1" si="16"/>
        <v>2</v>
      </c>
      <c r="I329">
        <f t="shared" ca="1" si="17"/>
        <v>1</v>
      </c>
    </row>
    <row r="330" spans="7:9">
      <c r="G330">
        <f t="shared" ca="1" si="15"/>
        <v>0.74346771687365754</v>
      </c>
      <c r="H330">
        <f t="shared" ca="1" si="16"/>
        <v>2</v>
      </c>
      <c r="I330">
        <f t="shared" ca="1" si="17"/>
        <v>1</v>
      </c>
    </row>
    <row r="331" spans="7:9">
      <c r="G331">
        <f t="shared" ca="1" si="15"/>
        <v>0.37725679707826132</v>
      </c>
      <c r="H331">
        <f t="shared" ca="1" si="16"/>
        <v>1</v>
      </c>
      <c r="I331">
        <f t="shared" ca="1" si="17"/>
        <v>1</v>
      </c>
    </row>
    <row r="332" spans="7:9">
      <c r="G332">
        <f t="shared" ca="1" si="15"/>
        <v>0.21244891092848106</v>
      </c>
      <c r="H332">
        <f t="shared" ca="1" si="16"/>
        <v>1</v>
      </c>
      <c r="I332">
        <f t="shared" ca="1" si="17"/>
        <v>2</v>
      </c>
    </row>
    <row r="333" spans="7:9">
      <c r="G333">
        <f t="shared" ca="1" si="15"/>
        <v>0.81856152531241522</v>
      </c>
      <c r="H333">
        <f t="shared" ca="1" si="16"/>
        <v>2</v>
      </c>
      <c r="I333">
        <f t="shared" ca="1" si="17"/>
        <v>1</v>
      </c>
    </row>
    <row r="334" spans="7:9">
      <c r="G334">
        <f t="shared" ca="1" si="15"/>
        <v>0.36405967310487952</v>
      </c>
      <c r="H334">
        <f t="shared" ca="1" si="16"/>
        <v>1</v>
      </c>
      <c r="I334">
        <f t="shared" ca="1" si="17"/>
        <v>1</v>
      </c>
    </row>
    <row r="335" spans="7:9">
      <c r="G335">
        <f t="shared" ca="1" si="15"/>
        <v>0.40722995055152356</v>
      </c>
      <c r="H335">
        <f t="shared" ca="1" si="16"/>
        <v>1</v>
      </c>
      <c r="I335">
        <f t="shared" ca="1" si="17"/>
        <v>1</v>
      </c>
    </row>
    <row r="336" spans="7:9">
      <c r="G336">
        <f t="shared" ca="1" si="15"/>
        <v>2.1240045293400511E-2</v>
      </c>
      <c r="H336">
        <f t="shared" ca="1" si="16"/>
        <v>1</v>
      </c>
      <c r="I336">
        <f t="shared" ca="1" si="17"/>
        <v>2</v>
      </c>
    </row>
    <row r="337" spans="7:9">
      <c r="G337">
        <f t="shared" ca="1" si="15"/>
        <v>0.97617990086388151</v>
      </c>
      <c r="H337">
        <f t="shared" ca="1" si="16"/>
        <v>2</v>
      </c>
      <c r="I337">
        <f t="shared" ca="1" si="17"/>
        <v>1</v>
      </c>
    </row>
    <row r="338" spans="7:9">
      <c r="G338">
        <f t="shared" ca="1" si="15"/>
        <v>0.65073248426293173</v>
      </c>
      <c r="H338">
        <f t="shared" ca="1" si="16"/>
        <v>1</v>
      </c>
      <c r="I338">
        <f t="shared" ca="1" si="17"/>
        <v>1</v>
      </c>
    </row>
    <row r="339" spans="7:9">
      <c r="G339">
        <f t="shared" ca="1" si="15"/>
        <v>0.79952003478766087</v>
      </c>
      <c r="H339">
        <f t="shared" ca="1" si="16"/>
        <v>2</v>
      </c>
      <c r="I339">
        <f t="shared" ca="1" si="17"/>
        <v>1</v>
      </c>
    </row>
    <row r="340" spans="7:9">
      <c r="G340">
        <f t="shared" ca="1" si="15"/>
        <v>0.45545261271684689</v>
      </c>
      <c r="H340">
        <f t="shared" ca="1" si="16"/>
        <v>1</v>
      </c>
      <c r="I340">
        <f t="shared" ca="1" si="17"/>
        <v>1</v>
      </c>
    </row>
    <row r="341" spans="7:9">
      <c r="G341">
        <f t="shared" ca="1" si="15"/>
        <v>0.51948400234317826</v>
      </c>
      <c r="H341">
        <f t="shared" ca="1" si="16"/>
        <v>1</v>
      </c>
      <c r="I341">
        <f t="shared" ca="1" si="17"/>
        <v>1</v>
      </c>
    </row>
    <row r="342" spans="7:9">
      <c r="G342">
        <f t="shared" ca="1" si="15"/>
        <v>0.47515738706952881</v>
      </c>
      <c r="H342">
        <f t="shared" ca="1" si="16"/>
        <v>1</v>
      </c>
      <c r="I342">
        <f t="shared" ca="1" si="17"/>
        <v>1</v>
      </c>
    </row>
    <row r="343" spans="7:9">
      <c r="G343">
        <f t="shared" ca="1" si="15"/>
        <v>5.333374729564444E-2</v>
      </c>
      <c r="H343">
        <f t="shared" ca="1" si="16"/>
        <v>1</v>
      </c>
      <c r="I343">
        <f t="shared" ca="1" si="17"/>
        <v>2</v>
      </c>
    </row>
    <row r="344" spans="7:9">
      <c r="G344">
        <f t="shared" ca="1" si="15"/>
        <v>0.42049430578198954</v>
      </c>
      <c r="H344">
        <f t="shared" ca="1" si="16"/>
        <v>1</v>
      </c>
      <c r="I344">
        <f t="shared" ca="1" si="17"/>
        <v>1</v>
      </c>
    </row>
    <row r="345" spans="7:9">
      <c r="G345">
        <f t="shared" ca="1" si="15"/>
        <v>0.46273135236611218</v>
      </c>
      <c r="H345">
        <f t="shared" ca="1" si="16"/>
        <v>1</v>
      </c>
      <c r="I345">
        <f t="shared" ca="1" si="17"/>
        <v>1</v>
      </c>
    </row>
    <row r="346" spans="7:9">
      <c r="G346">
        <f t="shared" ca="1" si="15"/>
        <v>0.57143656255702158</v>
      </c>
      <c r="H346">
        <f t="shared" ca="1" si="16"/>
        <v>1</v>
      </c>
      <c r="I346">
        <f t="shared" ca="1" si="17"/>
        <v>1</v>
      </c>
    </row>
    <row r="347" spans="7:9">
      <c r="G347">
        <f t="shared" ca="1" si="15"/>
        <v>0.21946622623764112</v>
      </c>
      <c r="H347">
        <f t="shared" ca="1" si="16"/>
        <v>1</v>
      </c>
      <c r="I347">
        <f t="shared" ca="1" si="17"/>
        <v>2</v>
      </c>
    </row>
    <row r="348" spans="7:9">
      <c r="G348">
        <f t="shared" ca="1" si="15"/>
        <v>0.21309419044488631</v>
      </c>
      <c r="H348">
        <f t="shared" ca="1" si="16"/>
        <v>1</v>
      </c>
      <c r="I348">
        <f t="shared" ca="1" si="17"/>
        <v>2</v>
      </c>
    </row>
    <row r="349" spans="7:9">
      <c r="G349">
        <f t="shared" ca="1" si="15"/>
        <v>0.43439077319680497</v>
      </c>
      <c r="H349">
        <f t="shared" ca="1" si="16"/>
        <v>1</v>
      </c>
      <c r="I349">
        <f t="shared" ca="1" si="17"/>
        <v>1</v>
      </c>
    </row>
    <row r="350" spans="7:9">
      <c r="G350">
        <f t="shared" ca="1" si="15"/>
        <v>0.57530025007570706</v>
      </c>
      <c r="H350">
        <f t="shared" ca="1" si="16"/>
        <v>1</v>
      </c>
      <c r="I350">
        <f t="shared" ca="1" si="17"/>
        <v>1</v>
      </c>
    </row>
    <row r="351" spans="7:9">
      <c r="G351">
        <f t="shared" ca="1" si="15"/>
        <v>0.5263221812017862</v>
      </c>
      <c r="H351">
        <f t="shared" ca="1" si="16"/>
        <v>1</v>
      </c>
      <c r="I351">
        <f t="shared" ca="1" si="17"/>
        <v>1</v>
      </c>
    </row>
    <row r="352" spans="7:9">
      <c r="G352">
        <f t="shared" ca="1" si="15"/>
        <v>0.28273973465496227</v>
      </c>
      <c r="H352">
        <f t="shared" ca="1" si="16"/>
        <v>1</v>
      </c>
      <c r="I352">
        <f t="shared" ca="1" si="17"/>
        <v>2</v>
      </c>
    </row>
    <row r="353" spans="7:9">
      <c r="G353">
        <f t="shared" ca="1" si="15"/>
        <v>0.16130530112653152</v>
      </c>
      <c r="H353">
        <f t="shared" ca="1" si="16"/>
        <v>1</v>
      </c>
      <c r="I353">
        <f t="shared" ca="1" si="17"/>
        <v>2</v>
      </c>
    </row>
    <row r="354" spans="7:9">
      <c r="G354">
        <f t="shared" ca="1" si="15"/>
        <v>0.23298088653355431</v>
      </c>
      <c r="H354">
        <f t="shared" ca="1" si="16"/>
        <v>1</v>
      </c>
      <c r="I354">
        <f t="shared" ca="1" si="17"/>
        <v>2</v>
      </c>
    </row>
    <row r="355" spans="7:9">
      <c r="G355">
        <f t="shared" ca="1" si="15"/>
        <v>0.60640364500157418</v>
      </c>
      <c r="H355">
        <f t="shared" ca="1" si="16"/>
        <v>1</v>
      </c>
      <c r="I355">
        <f t="shared" ca="1" si="17"/>
        <v>1</v>
      </c>
    </row>
    <row r="356" spans="7:9">
      <c r="G356">
        <f t="shared" ca="1" si="15"/>
        <v>0.83079315337995396</v>
      </c>
      <c r="H356">
        <f t="shared" ca="1" si="16"/>
        <v>2</v>
      </c>
      <c r="I356">
        <f t="shared" ca="1" si="17"/>
        <v>1</v>
      </c>
    </row>
    <row r="357" spans="7:9">
      <c r="G357">
        <f t="shared" ca="1" si="15"/>
        <v>0.23303011497838488</v>
      </c>
      <c r="H357">
        <f t="shared" ca="1" si="16"/>
        <v>1</v>
      </c>
      <c r="I357">
        <f t="shared" ca="1" si="17"/>
        <v>2</v>
      </c>
    </row>
    <row r="358" spans="7:9">
      <c r="G358">
        <f t="shared" ca="1" si="15"/>
        <v>0.21625200805044231</v>
      </c>
      <c r="H358">
        <f t="shared" ca="1" si="16"/>
        <v>1</v>
      </c>
      <c r="I358">
        <f t="shared" ca="1" si="17"/>
        <v>2</v>
      </c>
    </row>
    <row r="359" spans="7:9">
      <c r="G359">
        <f t="shared" ca="1" si="15"/>
        <v>0.53460377998455921</v>
      </c>
      <c r="H359">
        <f t="shared" ca="1" si="16"/>
        <v>1</v>
      </c>
      <c r="I359">
        <f t="shared" ca="1" si="17"/>
        <v>1</v>
      </c>
    </row>
    <row r="360" spans="7:9">
      <c r="G360">
        <f t="shared" ca="1" si="15"/>
        <v>1.281594249764928E-3</v>
      </c>
      <c r="H360">
        <f t="shared" ca="1" si="16"/>
        <v>1</v>
      </c>
      <c r="I360">
        <f t="shared" ca="1" si="17"/>
        <v>2</v>
      </c>
    </row>
    <row r="361" spans="7:9">
      <c r="G361">
        <f t="shared" ca="1" si="15"/>
        <v>0.56250551923087466</v>
      </c>
      <c r="H361">
        <f t="shared" ca="1" si="16"/>
        <v>1</v>
      </c>
      <c r="I361">
        <f t="shared" ca="1" si="17"/>
        <v>1</v>
      </c>
    </row>
    <row r="362" spans="7:9">
      <c r="G362">
        <f t="shared" ca="1" si="15"/>
        <v>0.84997750759545654</v>
      </c>
      <c r="H362">
        <f t="shared" ca="1" si="16"/>
        <v>2</v>
      </c>
      <c r="I362">
        <f t="shared" ca="1" si="17"/>
        <v>1</v>
      </c>
    </row>
    <row r="363" spans="7:9">
      <c r="G363">
        <f t="shared" ca="1" si="15"/>
        <v>0.59630242816004597</v>
      </c>
      <c r="H363">
        <f t="shared" ca="1" si="16"/>
        <v>1</v>
      </c>
      <c r="I363">
        <f t="shared" ca="1" si="17"/>
        <v>1</v>
      </c>
    </row>
    <row r="364" spans="7:9">
      <c r="G364">
        <f t="shared" ca="1" si="15"/>
        <v>0.19136840108294673</v>
      </c>
      <c r="H364">
        <f t="shared" ca="1" si="16"/>
        <v>1</v>
      </c>
      <c r="I364">
        <f t="shared" ca="1" si="17"/>
        <v>2</v>
      </c>
    </row>
    <row r="365" spans="7:9">
      <c r="G365">
        <f t="shared" ca="1" si="15"/>
        <v>0.66143530818148311</v>
      </c>
      <c r="H365">
        <f t="shared" ca="1" si="16"/>
        <v>2</v>
      </c>
      <c r="I365">
        <f t="shared" ca="1" si="17"/>
        <v>1</v>
      </c>
    </row>
    <row r="366" spans="7:9">
      <c r="G366">
        <f t="shared" ca="1" si="15"/>
        <v>0.4911098561214563</v>
      </c>
      <c r="H366">
        <f t="shared" ca="1" si="16"/>
        <v>1</v>
      </c>
      <c r="I366">
        <f t="shared" ca="1" si="17"/>
        <v>1</v>
      </c>
    </row>
    <row r="367" spans="7:9">
      <c r="G367">
        <f t="shared" ca="1" si="15"/>
        <v>0.28430124101339538</v>
      </c>
      <c r="H367">
        <f t="shared" ca="1" si="16"/>
        <v>1</v>
      </c>
      <c r="I367">
        <f t="shared" ca="1" si="17"/>
        <v>2</v>
      </c>
    </row>
    <row r="368" spans="7:9">
      <c r="G368">
        <f t="shared" ca="1" si="15"/>
        <v>0.45715651380567612</v>
      </c>
      <c r="H368">
        <f t="shared" ca="1" si="16"/>
        <v>1</v>
      </c>
      <c r="I368">
        <f t="shared" ca="1" si="17"/>
        <v>1</v>
      </c>
    </row>
    <row r="369" spans="7:9">
      <c r="G369">
        <f t="shared" ca="1" si="15"/>
        <v>0.47159723049160285</v>
      </c>
      <c r="H369">
        <f t="shared" ca="1" si="16"/>
        <v>1</v>
      </c>
      <c r="I369">
        <f t="shared" ca="1" si="17"/>
        <v>1</v>
      </c>
    </row>
    <row r="370" spans="7:9">
      <c r="G370">
        <f t="shared" ca="1" si="15"/>
        <v>0.45858477813395948</v>
      </c>
      <c r="H370">
        <f t="shared" ca="1" si="16"/>
        <v>1</v>
      </c>
      <c r="I370">
        <f t="shared" ca="1" si="17"/>
        <v>1</v>
      </c>
    </row>
    <row r="371" spans="7:9">
      <c r="G371">
        <f t="shared" ca="1" si="15"/>
        <v>0.82022127151085156</v>
      </c>
      <c r="H371">
        <f t="shared" ca="1" si="16"/>
        <v>2</v>
      </c>
      <c r="I371">
        <f t="shared" ca="1" si="17"/>
        <v>1</v>
      </c>
    </row>
    <row r="372" spans="7:9">
      <c r="G372">
        <f t="shared" ca="1" si="15"/>
        <v>0.98481261796830977</v>
      </c>
      <c r="H372">
        <f t="shared" ca="1" si="16"/>
        <v>2</v>
      </c>
      <c r="I372">
        <f t="shared" ca="1" si="17"/>
        <v>1</v>
      </c>
    </row>
    <row r="373" spans="7:9">
      <c r="G373">
        <f t="shared" ca="1" si="15"/>
        <v>0.42410821358083861</v>
      </c>
      <c r="H373">
        <f t="shared" ca="1" si="16"/>
        <v>1</v>
      </c>
      <c r="I373">
        <f t="shared" ca="1" si="17"/>
        <v>1</v>
      </c>
    </row>
    <row r="374" spans="7:9">
      <c r="G374">
        <f t="shared" ca="1" si="15"/>
        <v>0.9363859222010128</v>
      </c>
      <c r="H374">
        <f t="shared" ca="1" si="16"/>
        <v>2</v>
      </c>
      <c r="I374">
        <f t="shared" ca="1" si="17"/>
        <v>1</v>
      </c>
    </row>
    <row r="375" spans="7:9">
      <c r="G375">
        <f t="shared" ca="1" si="15"/>
        <v>0.67755121822500597</v>
      </c>
      <c r="H375">
        <f t="shared" ca="1" si="16"/>
        <v>2</v>
      </c>
      <c r="I375">
        <f t="shared" ca="1" si="17"/>
        <v>1</v>
      </c>
    </row>
    <row r="376" spans="7:9">
      <c r="G376">
        <f t="shared" ca="1" si="15"/>
        <v>0.54735366839328459</v>
      </c>
      <c r="H376">
        <f t="shared" ca="1" si="16"/>
        <v>1</v>
      </c>
      <c r="I376">
        <f t="shared" ca="1" si="17"/>
        <v>1</v>
      </c>
    </row>
    <row r="377" spans="7:9">
      <c r="G377">
        <f t="shared" ca="1" si="15"/>
        <v>0.1959515198028916</v>
      </c>
      <c r="H377">
        <f t="shared" ca="1" si="16"/>
        <v>1</v>
      </c>
      <c r="I377">
        <f t="shared" ca="1" si="17"/>
        <v>2</v>
      </c>
    </row>
    <row r="378" spans="7:9">
      <c r="G378">
        <f t="shared" ca="1" si="15"/>
        <v>0.65617631361550299</v>
      </c>
      <c r="H378">
        <f t="shared" ca="1" si="16"/>
        <v>1</v>
      </c>
      <c r="I378">
        <f t="shared" ca="1" si="17"/>
        <v>1</v>
      </c>
    </row>
    <row r="379" spans="7:9">
      <c r="G379">
        <f t="shared" ca="1" si="15"/>
        <v>0.37712234738292272</v>
      </c>
      <c r="H379">
        <f t="shared" ca="1" si="16"/>
        <v>1</v>
      </c>
      <c r="I379">
        <f t="shared" ca="1" si="17"/>
        <v>1</v>
      </c>
    </row>
    <row r="380" spans="7:9">
      <c r="G380">
        <f t="shared" ca="1" si="15"/>
        <v>0.72838109138333662</v>
      </c>
      <c r="H380">
        <f t="shared" ca="1" si="16"/>
        <v>2</v>
      </c>
      <c r="I380">
        <f t="shared" ca="1" si="17"/>
        <v>1</v>
      </c>
    </row>
    <row r="381" spans="7:9">
      <c r="G381">
        <f t="shared" ca="1" si="15"/>
        <v>0.84216862534092951</v>
      </c>
      <c r="H381">
        <f t="shared" ca="1" si="16"/>
        <v>2</v>
      </c>
      <c r="I381">
        <f t="shared" ca="1" si="17"/>
        <v>1</v>
      </c>
    </row>
    <row r="382" spans="7:9">
      <c r="G382">
        <f t="shared" ca="1" si="15"/>
        <v>0.87023031137849483</v>
      </c>
      <c r="H382">
        <f t="shared" ca="1" si="16"/>
        <v>2</v>
      </c>
      <c r="I382">
        <f t="shared" ca="1" si="17"/>
        <v>1</v>
      </c>
    </row>
    <row r="383" spans="7:9">
      <c r="G383">
        <f t="shared" ca="1" si="15"/>
        <v>0.65960784373534864</v>
      </c>
      <c r="H383">
        <f t="shared" ca="1" si="16"/>
        <v>1</v>
      </c>
      <c r="I383">
        <f t="shared" ca="1" si="17"/>
        <v>1</v>
      </c>
    </row>
    <row r="384" spans="7:9">
      <c r="G384">
        <f t="shared" ca="1" si="15"/>
        <v>0.38066114523172967</v>
      </c>
      <c r="H384">
        <f t="shared" ca="1" si="16"/>
        <v>1</v>
      </c>
      <c r="I384">
        <f t="shared" ca="1" si="17"/>
        <v>1</v>
      </c>
    </row>
    <row r="385" spans="7:9">
      <c r="G385">
        <f t="shared" ca="1" si="15"/>
        <v>0.85777018841989772</v>
      </c>
      <c r="H385">
        <f t="shared" ca="1" si="16"/>
        <v>2</v>
      </c>
      <c r="I385">
        <f t="shared" ca="1" si="17"/>
        <v>1</v>
      </c>
    </row>
    <row r="386" spans="7:9">
      <c r="G386">
        <f t="shared" ca="1" si="15"/>
        <v>0.22500347231625806</v>
      </c>
      <c r="H386">
        <f t="shared" ca="1" si="16"/>
        <v>1</v>
      </c>
      <c r="I386">
        <f t="shared" ca="1" si="17"/>
        <v>2</v>
      </c>
    </row>
    <row r="387" spans="7:9">
      <c r="G387">
        <f t="shared" ca="1" si="15"/>
        <v>0.7502772450080013</v>
      </c>
      <c r="H387">
        <f t="shared" ca="1" si="16"/>
        <v>2</v>
      </c>
      <c r="I387">
        <f t="shared" ca="1" si="17"/>
        <v>1</v>
      </c>
    </row>
    <row r="388" spans="7:9">
      <c r="G388">
        <f t="shared" ca="1" si="15"/>
        <v>0.73717636913483831</v>
      </c>
      <c r="H388">
        <f t="shared" ca="1" si="16"/>
        <v>2</v>
      </c>
      <c r="I388">
        <f t="shared" ca="1" si="17"/>
        <v>1</v>
      </c>
    </row>
    <row r="389" spans="7:9">
      <c r="G389">
        <f t="shared" ref="G389:G452" ca="1" si="18">RAND()</f>
        <v>0.60202508379219521</v>
      </c>
      <c r="H389">
        <f t="shared" ref="H389:H452" ca="1" si="19">IF(G389&lt;0.66,1,2)</f>
        <v>1</v>
      </c>
      <c r="I389">
        <f t="shared" ref="I389:I452" ca="1" si="20">IF(G389&lt;0.33,2,1)</f>
        <v>1</v>
      </c>
    </row>
    <row r="390" spans="7:9">
      <c r="G390">
        <f t="shared" ca="1" si="18"/>
        <v>0.45559255154597667</v>
      </c>
      <c r="H390">
        <f t="shared" ca="1" si="19"/>
        <v>1</v>
      </c>
      <c r="I390">
        <f t="shared" ca="1" si="20"/>
        <v>1</v>
      </c>
    </row>
    <row r="391" spans="7:9">
      <c r="G391">
        <f t="shared" ca="1" si="18"/>
        <v>0.33666734291968226</v>
      </c>
      <c r="H391">
        <f t="shared" ca="1" si="19"/>
        <v>1</v>
      </c>
      <c r="I391">
        <f t="shared" ca="1" si="20"/>
        <v>1</v>
      </c>
    </row>
    <row r="392" spans="7:9">
      <c r="G392">
        <f t="shared" ca="1" si="18"/>
        <v>0.65067528619073134</v>
      </c>
      <c r="H392">
        <f t="shared" ca="1" si="19"/>
        <v>1</v>
      </c>
      <c r="I392">
        <f t="shared" ca="1" si="20"/>
        <v>1</v>
      </c>
    </row>
    <row r="393" spans="7:9">
      <c r="G393">
        <f t="shared" ca="1" si="18"/>
        <v>0.80001074307915165</v>
      </c>
      <c r="H393">
        <f t="shared" ca="1" si="19"/>
        <v>2</v>
      </c>
      <c r="I393">
        <f t="shared" ca="1" si="20"/>
        <v>1</v>
      </c>
    </row>
    <row r="394" spans="7:9">
      <c r="G394">
        <f t="shared" ca="1" si="18"/>
        <v>0.51708833192612891</v>
      </c>
      <c r="H394">
        <f t="shared" ca="1" si="19"/>
        <v>1</v>
      </c>
      <c r="I394">
        <f t="shared" ca="1" si="20"/>
        <v>1</v>
      </c>
    </row>
    <row r="395" spans="7:9">
      <c r="G395">
        <f t="shared" ca="1" si="18"/>
        <v>0.55208731171239456</v>
      </c>
      <c r="H395">
        <f t="shared" ca="1" si="19"/>
        <v>1</v>
      </c>
      <c r="I395">
        <f t="shared" ca="1" si="20"/>
        <v>1</v>
      </c>
    </row>
    <row r="396" spans="7:9">
      <c r="G396">
        <f t="shared" ca="1" si="18"/>
        <v>0.91707843780964016</v>
      </c>
      <c r="H396">
        <f t="shared" ca="1" si="19"/>
        <v>2</v>
      </c>
      <c r="I396">
        <f t="shared" ca="1" si="20"/>
        <v>1</v>
      </c>
    </row>
    <row r="397" spans="7:9">
      <c r="G397">
        <f t="shared" ca="1" si="18"/>
        <v>0.26622251922514151</v>
      </c>
      <c r="H397">
        <f t="shared" ca="1" si="19"/>
        <v>1</v>
      </c>
      <c r="I397">
        <f t="shared" ca="1" si="20"/>
        <v>2</v>
      </c>
    </row>
    <row r="398" spans="7:9">
      <c r="G398">
        <f t="shared" ca="1" si="18"/>
        <v>0.19191950878232356</v>
      </c>
      <c r="H398">
        <f t="shared" ca="1" si="19"/>
        <v>1</v>
      </c>
      <c r="I398">
        <f t="shared" ca="1" si="20"/>
        <v>2</v>
      </c>
    </row>
    <row r="399" spans="7:9">
      <c r="G399">
        <f t="shared" ca="1" si="18"/>
        <v>0.1295563772570959</v>
      </c>
      <c r="H399">
        <f t="shared" ca="1" si="19"/>
        <v>1</v>
      </c>
      <c r="I399">
        <f t="shared" ca="1" si="20"/>
        <v>2</v>
      </c>
    </row>
    <row r="400" spans="7:9">
      <c r="G400">
        <f t="shared" ca="1" si="18"/>
        <v>0.71369539422701289</v>
      </c>
      <c r="H400">
        <f t="shared" ca="1" si="19"/>
        <v>2</v>
      </c>
      <c r="I400">
        <f t="shared" ca="1" si="20"/>
        <v>1</v>
      </c>
    </row>
    <row r="401" spans="7:9">
      <c r="G401">
        <f t="shared" ca="1" si="18"/>
        <v>0.35654392823222147</v>
      </c>
      <c r="H401">
        <f t="shared" ca="1" si="19"/>
        <v>1</v>
      </c>
      <c r="I401">
        <f t="shared" ca="1" si="20"/>
        <v>1</v>
      </c>
    </row>
    <row r="402" spans="7:9">
      <c r="G402">
        <f t="shared" ca="1" si="18"/>
        <v>8.2235508359897569E-2</v>
      </c>
      <c r="H402">
        <f t="shared" ca="1" si="19"/>
        <v>1</v>
      </c>
      <c r="I402">
        <f t="shared" ca="1" si="20"/>
        <v>2</v>
      </c>
    </row>
    <row r="403" spans="7:9">
      <c r="G403">
        <f t="shared" ca="1" si="18"/>
        <v>0.65236807282002862</v>
      </c>
      <c r="H403">
        <f t="shared" ca="1" si="19"/>
        <v>1</v>
      </c>
      <c r="I403">
        <f t="shared" ca="1" si="20"/>
        <v>1</v>
      </c>
    </row>
    <row r="404" spans="7:9">
      <c r="G404">
        <f t="shared" ca="1" si="18"/>
        <v>0.10549281967259883</v>
      </c>
      <c r="H404">
        <f t="shared" ca="1" si="19"/>
        <v>1</v>
      </c>
      <c r="I404">
        <f t="shared" ca="1" si="20"/>
        <v>2</v>
      </c>
    </row>
    <row r="405" spans="7:9">
      <c r="G405">
        <f t="shared" ca="1" si="18"/>
        <v>0.15304719261362443</v>
      </c>
      <c r="H405">
        <f t="shared" ca="1" si="19"/>
        <v>1</v>
      </c>
      <c r="I405">
        <f t="shared" ca="1" si="20"/>
        <v>2</v>
      </c>
    </row>
    <row r="406" spans="7:9">
      <c r="G406">
        <f t="shared" ca="1" si="18"/>
        <v>5.3357194918375983E-2</v>
      </c>
      <c r="H406">
        <f t="shared" ca="1" si="19"/>
        <v>1</v>
      </c>
      <c r="I406">
        <f t="shared" ca="1" si="20"/>
        <v>2</v>
      </c>
    </row>
    <row r="407" spans="7:9">
      <c r="G407">
        <f t="shared" ca="1" si="18"/>
        <v>0.1893176266223483</v>
      </c>
      <c r="H407">
        <f t="shared" ca="1" si="19"/>
        <v>1</v>
      </c>
      <c r="I407">
        <f t="shared" ca="1" si="20"/>
        <v>2</v>
      </c>
    </row>
    <row r="408" spans="7:9">
      <c r="G408">
        <f t="shared" ca="1" si="18"/>
        <v>0.71551401747129606</v>
      </c>
      <c r="H408">
        <f t="shared" ca="1" si="19"/>
        <v>2</v>
      </c>
      <c r="I408">
        <f t="shared" ca="1" si="20"/>
        <v>1</v>
      </c>
    </row>
    <row r="409" spans="7:9">
      <c r="G409">
        <f t="shared" ca="1" si="18"/>
        <v>7.1507838920271793E-2</v>
      </c>
      <c r="H409">
        <f t="shared" ca="1" si="19"/>
        <v>1</v>
      </c>
      <c r="I409">
        <f t="shared" ca="1" si="20"/>
        <v>2</v>
      </c>
    </row>
    <row r="410" spans="7:9">
      <c r="G410">
        <f t="shared" ca="1" si="18"/>
        <v>0.84506134647742059</v>
      </c>
      <c r="H410">
        <f t="shared" ca="1" si="19"/>
        <v>2</v>
      </c>
      <c r="I410">
        <f t="shared" ca="1" si="20"/>
        <v>1</v>
      </c>
    </row>
    <row r="411" spans="7:9">
      <c r="G411">
        <f t="shared" ca="1" si="18"/>
        <v>0.52533262922474566</v>
      </c>
      <c r="H411">
        <f t="shared" ca="1" si="19"/>
        <v>1</v>
      </c>
      <c r="I411">
        <f t="shared" ca="1" si="20"/>
        <v>1</v>
      </c>
    </row>
    <row r="412" spans="7:9">
      <c r="G412">
        <f t="shared" ca="1" si="18"/>
        <v>0.62905729958535805</v>
      </c>
      <c r="H412">
        <f t="shared" ca="1" si="19"/>
        <v>1</v>
      </c>
      <c r="I412">
        <f t="shared" ca="1" si="20"/>
        <v>1</v>
      </c>
    </row>
    <row r="413" spans="7:9">
      <c r="G413">
        <f t="shared" ca="1" si="18"/>
        <v>0.80861005655158613</v>
      </c>
      <c r="H413">
        <f t="shared" ca="1" si="19"/>
        <v>2</v>
      </c>
      <c r="I413">
        <f t="shared" ca="1" si="20"/>
        <v>1</v>
      </c>
    </row>
    <row r="414" spans="7:9">
      <c r="G414">
        <f t="shared" ca="1" si="18"/>
        <v>1.3422822591450223E-2</v>
      </c>
      <c r="H414">
        <f t="shared" ca="1" si="19"/>
        <v>1</v>
      </c>
      <c r="I414">
        <f t="shared" ca="1" si="20"/>
        <v>2</v>
      </c>
    </row>
    <row r="415" spans="7:9">
      <c r="G415">
        <f t="shared" ca="1" si="18"/>
        <v>0.22222369182759616</v>
      </c>
      <c r="H415">
        <f t="shared" ca="1" si="19"/>
        <v>1</v>
      </c>
      <c r="I415">
        <f t="shared" ca="1" si="20"/>
        <v>2</v>
      </c>
    </row>
    <row r="416" spans="7:9">
      <c r="G416">
        <f t="shared" ca="1" si="18"/>
        <v>0.17885366915797829</v>
      </c>
      <c r="H416">
        <f t="shared" ca="1" si="19"/>
        <v>1</v>
      </c>
      <c r="I416">
        <f t="shared" ca="1" si="20"/>
        <v>2</v>
      </c>
    </row>
    <row r="417" spans="7:9">
      <c r="G417">
        <f t="shared" ca="1" si="18"/>
        <v>0.21900723159210345</v>
      </c>
      <c r="H417">
        <f t="shared" ca="1" si="19"/>
        <v>1</v>
      </c>
      <c r="I417">
        <f t="shared" ca="1" si="20"/>
        <v>2</v>
      </c>
    </row>
    <row r="418" spans="7:9">
      <c r="G418">
        <f t="shared" ca="1" si="18"/>
        <v>0.49995861158810029</v>
      </c>
      <c r="H418">
        <f t="shared" ca="1" si="19"/>
        <v>1</v>
      </c>
      <c r="I418">
        <f t="shared" ca="1" si="20"/>
        <v>1</v>
      </c>
    </row>
    <row r="419" spans="7:9">
      <c r="G419">
        <f t="shared" ca="1" si="18"/>
        <v>0.5030809106481956</v>
      </c>
      <c r="H419">
        <f t="shared" ca="1" si="19"/>
        <v>1</v>
      </c>
      <c r="I419">
        <f t="shared" ca="1" si="20"/>
        <v>1</v>
      </c>
    </row>
    <row r="420" spans="7:9">
      <c r="G420">
        <f t="shared" ca="1" si="18"/>
        <v>0.35186455104060621</v>
      </c>
      <c r="H420">
        <f t="shared" ca="1" si="19"/>
        <v>1</v>
      </c>
      <c r="I420">
        <f t="shared" ca="1" si="20"/>
        <v>1</v>
      </c>
    </row>
    <row r="421" spans="7:9">
      <c r="G421">
        <f t="shared" ca="1" si="18"/>
        <v>0.80766974341909514</v>
      </c>
      <c r="H421">
        <f t="shared" ca="1" si="19"/>
        <v>2</v>
      </c>
      <c r="I421">
        <f t="shared" ca="1" si="20"/>
        <v>1</v>
      </c>
    </row>
    <row r="422" spans="7:9">
      <c r="G422">
        <f t="shared" ca="1" si="18"/>
        <v>0.57450027407413629</v>
      </c>
      <c r="H422">
        <f t="shared" ca="1" si="19"/>
        <v>1</v>
      </c>
      <c r="I422">
        <f t="shared" ca="1" si="20"/>
        <v>1</v>
      </c>
    </row>
    <row r="423" spans="7:9">
      <c r="G423">
        <f t="shared" ca="1" si="18"/>
        <v>0.70501249535835964</v>
      </c>
      <c r="H423">
        <f t="shared" ca="1" si="19"/>
        <v>2</v>
      </c>
      <c r="I423">
        <f t="shared" ca="1" si="20"/>
        <v>1</v>
      </c>
    </row>
    <row r="424" spans="7:9">
      <c r="G424">
        <f t="shared" ca="1" si="18"/>
        <v>0.58585556801661542</v>
      </c>
      <c r="H424">
        <f t="shared" ca="1" si="19"/>
        <v>1</v>
      </c>
      <c r="I424">
        <f t="shared" ca="1" si="20"/>
        <v>1</v>
      </c>
    </row>
    <row r="425" spans="7:9">
      <c r="G425">
        <f t="shared" ca="1" si="18"/>
        <v>0.48153860853018937</v>
      </c>
      <c r="H425">
        <f t="shared" ca="1" si="19"/>
        <v>1</v>
      </c>
      <c r="I425">
        <f t="shared" ca="1" si="20"/>
        <v>1</v>
      </c>
    </row>
    <row r="426" spans="7:9">
      <c r="G426">
        <f t="shared" ca="1" si="18"/>
        <v>7.2860834629270288E-2</v>
      </c>
      <c r="H426">
        <f t="shared" ca="1" si="19"/>
        <v>1</v>
      </c>
      <c r="I426">
        <f t="shared" ca="1" si="20"/>
        <v>2</v>
      </c>
    </row>
    <row r="427" spans="7:9">
      <c r="G427">
        <f t="shared" ca="1" si="18"/>
        <v>0.96431605045759117</v>
      </c>
      <c r="H427">
        <f t="shared" ca="1" si="19"/>
        <v>2</v>
      </c>
      <c r="I427">
        <f t="shared" ca="1" si="20"/>
        <v>1</v>
      </c>
    </row>
    <row r="428" spans="7:9">
      <c r="G428">
        <f t="shared" ca="1" si="18"/>
        <v>0.79635108410787292</v>
      </c>
      <c r="H428">
        <f t="shared" ca="1" si="19"/>
        <v>2</v>
      </c>
      <c r="I428">
        <f t="shared" ca="1" si="20"/>
        <v>1</v>
      </c>
    </row>
    <row r="429" spans="7:9">
      <c r="G429">
        <f t="shared" ca="1" si="18"/>
        <v>0.87796769483012049</v>
      </c>
      <c r="H429">
        <f t="shared" ca="1" si="19"/>
        <v>2</v>
      </c>
      <c r="I429">
        <f t="shared" ca="1" si="20"/>
        <v>1</v>
      </c>
    </row>
    <row r="430" spans="7:9">
      <c r="G430">
        <f t="shared" ca="1" si="18"/>
        <v>0.89242263440438996</v>
      </c>
      <c r="H430">
        <f t="shared" ca="1" si="19"/>
        <v>2</v>
      </c>
      <c r="I430">
        <f t="shared" ca="1" si="20"/>
        <v>1</v>
      </c>
    </row>
    <row r="431" spans="7:9">
      <c r="G431">
        <f t="shared" ca="1" si="18"/>
        <v>0.19205590008364515</v>
      </c>
      <c r="H431">
        <f t="shared" ca="1" si="19"/>
        <v>1</v>
      </c>
      <c r="I431">
        <f t="shared" ca="1" si="20"/>
        <v>2</v>
      </c>
    </row>
    <row r="432" spans="7:9">
      <c r="G432">
        <f t="shared" ca="1" si="18"/>
        <v>0.32645840709618301</v>
      </c>
      <c r="H432">
        <f t="shared" ca="1" si="19"/>
        <v>1</v>
      </c>
      <c r="I432">
        <f t="shared" ca="1" si="20"/>
        <v>2</v>
      </c>
    </row>
    <row r="433" spans="7:9">
      <c r="G433">
        <f t="shared" ca="1" si="18"/>
        <v>0.33098166059352396</v>
      </c>
      <c r="H433">
        <f t="shared" ca="1" si="19"/>
        <v>1</v>
      </c>
      <c r="I433">
        <f t="shared" ca="1" si="20"/>
        <v>1</v>
      </c>
    </row>
    <row r="434" spans="7:9">
      <c r="G434">
        <f t="shared" ca="1" si="18"/>
        <v>0.8884054241845285</v>
      </c>
      <c r="H434">
        <f t="shared" ca="1" si="19"/>
        <v>2</v>
      </c>
      <c r="I434">
        <f t="shared" ca="1" si="20"/>
        <v>1</v>
      </c>
    </row>
    <row r="435" spans="7:9">
      <c r="G435">
        <f t="shared" ca="1" si="18"/>
        <v>0.68575803246697142</v>
      </c>
      <c r="H435">
        <f t="shared" ca="1" si="19"/>
        <v>2</v>
      </c>
      <c r="I435">
        <f t="shared" ca="1" si="20"/>
        <v>1</v>
      </c>
    </row>
    <row r="436" spans="7:9">
      <c r="G436">
        <f t="shared" ca="1" si="18"/>
        <v>0.52897584544560172</v>
      </c>
      <c r="H436">
        <f t="shared" ca="1" si="19"/>
        <v>1</v>
      </c>
      <c r="I436">
        <f t="shared" ca="1" si="20"/>
        <v>1</v>
      </c>
    </row>
    <row r="437" spans="7:9">
      <c r="G437">
        <f t="shared" ca="1" si="18"/>
        <v>0.60982254555338278</v>
      </c>
      <c r="H437">
        <f t="shared" ca="1" si="19"/>
        <v>1</v>
      </c>
      <c r="I437">
        <f t="shared" ca="1" si="20"/>
        <v>1</v>
      </c>
    </row>
    <row r="438" spans="7:9">
      <c r="G438">
        <f t="shared" ca="1" si="18"/>
        <v>4.027630343308175E-2</v>
      </c>
      <c r="H438">
        <f t="shared" ca="1" si="19"/>
        <v>1</v>
      </c>
      <c r="I438">
        <f t="shared" ca="1" si="20"/>
        <v>2</v>
      </c>
    </row>
    <row r="439" spans="7:9">
      <c r="G439">
        <f t="shared" ca="1" si="18"/>
        <v>0.86985723362855827</v>
      </c>
      <c r="H439">
        <f t="shared" ca="1" si="19"/>
        <v>2</v>
      </c>
      <c r="I439">
        <f t="shared" ca="1" si="20"/>
        <v>1</v>
      </c>
    </row>
    <row r="440" spans="7:9">
      <c r="G440">
        <f t="shared" ca="1" si="18"/>
        <v>0.75395718215573193</v>
      </c>
      <c r="H440">
        <f t="shared" ca="1" si="19"/>
        <v>2</v>
      </c>
      <c r="I440">
        <f t="shared" ca="1" si="20"/>
        <v>1</v>
      </c>
    </row>
    <row r="441" spans="7:9">
      <c r="G441">
        <f t="shared" ca="1" si="18"/>
        <v>0.90848953882475592</v>
      </c>
      <c r="H441">
        <f t="shared" ca="1" si="19"/>
        <v>2</v>
      </c>
      <c r="I441">
        <f t="shared" ca="1" si="20"/>
        <v>1</v>
      </c>
    </row>
    <row r="442" spans="7:9">
      <c r="G442">
        <f t="shared" ca="1" si="18"/>
        <v>0.89145856847188509</v>
      </c>
      <c r="H442">
        <f t="shared" ca="1" si="19"/>
        <v>2</v>
      </c>
      <c r="I442">
        <f t="shared" ca="1" si="20"/>
        <v>1</v>
      </c>
    </row>
    <row r="443" spans="7:9">
      <c r="G443">
        <f t="shared" ca="1" si="18"/>
        <v>0.20217936075178267</v>
      </c>
      <c r="H443">
        <f t="shared" ca="1" si="19"/>
        <v>1</v>
      </c>
      <c r="I443">
        <f t="shared" ca="1" si="20"/>
        <v>2</v>
      </c>
    </row>
    <row r="444" spans="7:9">
      <c r="G444">
        <f t="shared" ca="1" si="18"/>
        <v>0.25459839516650518</v>
      </c>
      <c r="H444">
        <f t="shared" ca="1" si="19"/>
        <v>1</v>
      </c>
      <c r="I444">
        <f t="shared" ca="1" si="20"/>
        <v>2</v>
      </c>
    </row>
    <row r="445" spans="7:9">
      <c r="G445">
        <f t="shared" ca="1" si="18"/>
        <v>0.31510139678115978</v>
      </c>
      <c r="H445">
        <f t="shared" ca="1" si="19"/>
        <v>1</v>
      </c>
      <c r="I445">
        <f t="shared" ca="1" si="20"/>
        <v>2</v>
      </c>
    </row>
    <row r="446" spans="7:9">
      <c r="G446">
        <f t="shared" ca="1" si="18"/>
        <v>0.64106905832209238</v>
      </c>
      <c r="H446">
        <f t="shared" ca="1" si="19"/>
        <v>1</v>
      </c>
      <c r="I446">
        <f t="shared" ca="1" si="20"/>
        <v>1</v>
      </c>
    </row>
    <row r="447" spans="7:9">
      <c r="G447">
        <f t="shared" ca="1" si="18"/>
        <v>0.71663937707409564</v>
      </c>
      <c r="H447">
        <f t="shared" ca="1" si="19"/>
        <v>2</v>
      </c>
      <c r="I447">
        <f t="shared" ca="1" si="20"/>
        <v>1</v>
      </c>
    </row>
    <row r="448" spans="7:9">
      <c r="G448">
        <f t="shared" ca="1" si="18"/>
        <v>0.6554915532189064</v>
      </c>
      <c r="H448">
        <f t="shared" ca="1" si="19"/>
        <v>1</v>
      </c>
      <c r="I448">
        <f t="shared" ca="1" si="20"/>
        <v>1</v>
      </c>
    </row>
    <row r="449" spans="7:9">
      <c r="G449">
        <f t="shared" ca="1" si="18"/>
        <v>0.60482869060364186</v>
      </c>
      <c r="H449">
        <f t="shared" ca="1" si="19"/>
        <v>1</v>
      </c>
      <c r="I449">
        <f t="shared" ca="1" si="20"/>
        <v>1</v>
      </c>
    </row>
    <row r="450" spans="7:9">
      <c r="G450">
        <f t="shared" ca="1" si="18"/>
        <v>0.38503202733591846</v>
      </c>
      <c r="H450">
        <f t="shared" ca="1" si="19"/>
        <v>1</v>
      </c>
      <c r="I450">
        <f t="shared" ca="1" si="20"/>
        <v>1</v>
      </c>
    </row>
    <row r="451" spans="7:9">
      <c r="G451">
        <f t="shared" ca="1" si="18"/>
        <v>1.8516261269851952E-2</v>
      </c>
      <c r="H451">
        <f t="shared" ca="1" si="19"/>
        <v>1</v>
      </c>
      <c r="I451">
        <f t="shared" ca="1" si="20"/>
        <v>2</v>
      </c>
    </row>
    <row r="452" spans="7:9">
      <c r="G452">
        <f t="shared" ca="1" si="18"/>
        <v>0.88576706746467182</v>
      </c>
      <c r="H452">
        <f t="shared" ca="1" si="19"/>
        <v>2</v>
      </c>
      <c r="I452">
        <f t="shared" ca="1" si="20"/>
        <v>1</v>
      </c>
    </row>
    <row r="453" spans="7:9">
      <c r="G453">
        <f t="shared" ref="G453:G516" ca="1" si="21">RAND()</f>
        <v>0.2903440949922601</v>
      </c>
      <c r="H453">
        <f t="shared" ref="H453:H516" ca="1" si="22">IF(G453&lt;0.66,1,2)</f>
        <v>1</v>
      </c>
      <c r="I453">
        <f t="shared" ref="I453:I516" ca="1" si="23">IF(G453&lt;0.33,2,1)</f>
        <v>2</v>
      </c>
    </row>
    <row r="454" spans="7:9">
      <c r="G454">
        <f t="shared" ca="1" si="21"/>
        <v>0.66192624251377741</v>
      </c>
      <c r="H454">
        <f t="shared" ca="1" si="22"/>
        <v>2</v>
      </c>
      <c r="I454">
        <f t="shared" ca="1" si="23"/>
        <v>1</v>
      </c>
    </row>
    <row r="455" spans="7:9">
      <c r="G455">
        <f t="shared" ca="1" si="21"/>
        <v>0.37726411735399645</v>
      </c>
      <c r="H455">
        <f t="shared" ca="1" si="22"/>
        <v>1</v>
      </c>
      <c r="I455">
        <f t="shared" ca="1" si="23"/>
        <v>1</v>
      </c>
    </row>
    <row r="456" spans="7:9">
      <c r="G456">
        <f t="shared" ca="1" si="21"/>
        <v>0.87436495111308088</v>
      </c>
      <c r="H456">
        <f t="shared" ca="1" si="22"/>
        <v>2</v>
      </c>
      <c r="I456">
        <f t="shared" ca="1" si="23"/>
        <v>1</v>
      </c>
    </row>
    <row r="457" spans="7:9">
      <c r="G457">
        <f t="shared" ca="1" si="21"/>
        <v>0.51033237825782662</v>
      </c>
      <c r="H457">
        <f t="shared" ca="1" si="22"/>
        <v>1</v>
      </c>
      <c r="I457">
        <f t="shared" ca="1" si="23"/>
        <v>1</v>
      </c>
    </row>
    <row r="458" spans="7:9">
      <c r="G458">
        <f t="shared" ca="1" si="21"/>
        <v>0.46161504141370246</v>
      </c>
      <c r="H458">
        <f t="shared" ca="1" si="22"/>
        <v>1</v>
      </c>
      <c r="I458">
        <f t="shared" ca="1" si="23"/>
        <v>1</v>
      </c>
    </row>
    <row r="459" spans="7:9">
      <c r="G459">
        <f t="shared" ca="1" si="21"/>
        <v>0.84283495666247787</v>
      </c>
      <c r="H459">
        <f t="shared" ca="1" si="22"/>
        <v>2</v>
      </c>
      <c r="I459">
        <f t="shared" ca="1" si="23"/>
        <v>1</v>
      </c>
    </row>
    <row r="460" spans="7:9">
      <c r="G460">
        <f t="shared" ca="1" si="21"/>
        <v>0.63074842255423891</v>
      </c>
      <c r="H460">
        <f t="shared" ca="1" si="22"/>
        <v>1</v>
      </c>
      <c r="I460">
        <f t="shared" ca="1" si="23"/>
        <v>1</v>
      </c>
    </row>
    <row r="461" spans="7:9">
      <c r="G461">
        <f t="shared" ca="1" si="21"/>
        <v>0.82344803540927158</v>
      </c>
      <c r="H461">
        <f t="shared" ca="1" si="22"/>
        <v>2</v>
      </c>
      <c r="I461">
        <f t="shared" ca="1" si="23"/>
        <v>1</v>
      </c>
    </row>
    <row r="462" spans="7:9">
      <c r="G462">
        <f t="shared" ca="1" si="21"/>
        <v>0.55008974720230319</v>
      </c>
      <c r="H462">
        <f t="shared" ca="1" si="22"/>
        <v>1</v>
      </c>
      <c r="I462">
        <f t="shared" ca="1" si="23"/>
        <v>1</v>
      </c>
    </row>
    <row r="463" spans="7:9">
      <c r="G463">
        <f t="shared" ca="1" si="21"/>
        <v>0.16409356404687014</v>
      </c>
      <c r="H463">
        <f t="shared" ca="1" si="22"/>
        <v>1</v>
      </c>
      <c r="I463">
        <f t="shared" ca="1" si="23"/>
        <v>2</v>
      </c>
    </row>
    <row r="464" spans="7:9">
      <c r="G464">
        <f t="shared" ca="1" si="21"/>
        <v>0.32557206469132871</v>
      </c>
      <c r="H464">
        <f t="shared" ca="1" si="22"/>
        <v>1</v>
      </c>
      <c r="I464">
        <f t="shared" ca="1" si="23"/>
        <v>2</v>
      </c>
    </row>
    <row r="465" spans="7:9">
      <c r="G465">
        <f t="shared" ca="1" si="21"/>
        <v>0.72756068857632905</v>
      </c>
      <c r="H465">
        <f t="shared" ca="1" si="22"/>
        <v>2</v>
      </c>
      <c r="I465">
        <f t="shared" ca="1" si="23"/>
        <v>1</v>
      </c>
    </row>
    <row r="466" spans="7:9">
      <c r="G466">
        <f t="shared" ca="1" si="21"/>
        <v>9.1022120957737207E-2</v>
      </c>
      <c r="H466">
        <f t="shared" ca="1" si="22"/>
        <v>1</v>
      </c>
      <c r="I466">
        <f t="shared" ca="1" si="23"/>
        <v>2</v>
      </c>
    </row>
    <row r="467" spans="7:9">
      <c r="G467">
        <f t="shared" ca="1" si="21"/>
        <v>0.31720984850370781</v>
      </c>
      <c r="H467">
        <f t="shared" ca="1" si="22"/>
        <v>1</v>
      </c>
      <c r="I467">
        <f t="shared" ca="1" si="23"/>
        <v>2</v>
      </c>
    </row>
    <row r="468" spans="7:9">
      <c r="G468">
        <f t="shared" ca="1" si="21"/>
        <v>0.85395636187466917</v>
      </c>
      <c r="H468">
        <f t="shared" ca="1" si="22"/>
        <v>2</v>
      </c>
      <c r="I468">
        <f t="shared" ca="1" si="23"/>
        <v>1</v>
      </c>
    </row>
    <row r="469" spans="7:9">
      <c r="G469">
        <f t="shared" ca="1" si="21"/>
        <v>0.74507804124557231</v>
      </c>
      <c r="H469">
        <f t="shared" ca="1" si="22"/>
        <v>2</v>
      </c>
      <c r="I469">
        <f t="shared" ca="1" si="23"/>
        <v>1</v>
      </c>
    </row>
    <row r="470" spans="7:9">
      <c r="G470">
        <f t="shared" ca="1" si="21"/>
        <v>0.64419398965777519</v>
      </c>
      <c r="H470">
        <f t="shared" ca="1" si="22"/>
        <v>1</v>
      </c>
      <c r="I470">
        <f t="shared" ca="1" si="23"/>
        <v>1</v>
      </c>
    </row>
    <row r="471" spans="7:9">
      <c r="G471">
        <f t="shared" ca="1" si="21"/>
        <v>4.3847450209499872E-3</v>
      </c>
      <c r="H471">
        <f t="shared" ca="1" si="22"/>
        <v>1</v>
      </c>
      <c r="I471">
        <f t="shared" ca="1" si="23"/>
        <v>2</v>
      </c>
    </row>
    <row r="472" spans="7:9">
      <c r="G472">
        <f t="shared" ca="1" si="21"/>
        <v>0.16501875527574272</v>
      </c>
      <c r="H472">
        <f t="shared" ca="1" si="22"/>
        <v>1</v>
      </c>
      <c r="I472">
        <f t="shared" ca="1" si="23"/>
        <v>2</v>
      </c>
    </row>
    <row r="473" spans="7:9">
      <c r="G473">
        <f t="shared" ca="1" si="21"/>
        <v>0.63150707273667739</v>
      </c>
      <c r="H473">
        <f t="shared" ca="1" si="22"/>
        <v>1</v>
      </c>
      <c r="I473">
        <f t="shared" ca="1" si="23"/>
        <v>1</v>
      </c>
    </row>
    <row r="474" spans="7:9">
      <c r="G474">
        <f t="shared" ca="1" si="21"/>
        <v>0.10423309575513851</v>
      </c>
      <c r="H474">
        <f t="shared" ca="1" si="22"/>
        <v>1</v>
      </c>
      <c r="I474">
        <f t="shared" ca="1" si="23"/>
        <v>2</v>
      </c>
    </row>
    <row r="475" spans="7:9">
      <c r="G475">
        <f t="shared" ca="1" si="21"/>
        <v>0.77323572517411421</v>
      </c>
      <c r="H475">
        <f t="shared" ca="1" si="22"/>
        <v>2</v>
      </c>
      <c r="I475">
        <f t="shared" ca="1" si="23"/>
        <v>1</v>
      </c>
    </row>
    <row r="476" spans="7:9">
      <c r="G476">
        <f t="shared" ca="1" si="21"/>
        <v>0.7605411934248606</v>
      </c>
      <c r="H476">
        <f t="shared" ca="1" si="22"/>
        <v>2</v>
      </c>
      <c r="I476">
        <f t="shared" ca="1" si="23"/>
        <v>1</v>
      </c>
    </row>
    <row r="477" spans="7:9">
      <c r="G477">
        <f t="shared" ca="1" si="21"/>
        <v>0.15769033678842947</v>
      </c>
      <c r="H477">
        <f t="shared" ca="1" si="22"/>
        <v>1</v>
      </c>
      <c r="I477">
        <f t="shared" ca="1" si="23"/>
        <v>2</v>
      </c>
    </row>
    <row r="478" spans="7:9">
      <c r="G478">
        <f t="shared" ca="1" si="21"/>
        <v>0.90793298370787345</v>
      </c>
      <c r="H478">
        <f t="shared" ca="1" si="22"/>
        <v>2</v>
      </c>
      <c r="I478">
        <f t="shared" ca="1" si="23"/>
        <v>1</v>
      </c>
    </row>
    <row r="479" spans="7:9">
      <c r="G479">
        <f t="shared" ca="1" si="21"/>
        <v>0.91481070792983143</v>
      </c>
      <c r="H479">
        <f t="shared" ca="1" si="22"/>
        <v>2</v>
      </c>
      <c r="I479">
        <f t="shared" ca="1" si="23"/>
        <v>1</v>
      </c>
    </row>
    <row r="480" spans="7:9">
      <c r="G480">
        <f t="shared" ca="1" si="21"/>
        <v>0.61593175351355778</v>
      </c>
      <c r="H480">
        <f t="shared" ca="1" si="22"/>
        <v>1</v>
      </c>
      <c r="I480">
        <f t="shared" ca="1" si="23"/>
        <v>1</v>
      </c>
    </row>
    <row r="481" spans="7:9">
      <c r="G481">
        <f t="shared" ca="1" si="21"/>
        <v>0.70122263930593287</v>
      </c>
      <c r="H481">
        <f t="shared" ca="1" si="22"/>
        <v>2</v>
      </c>
      <c r="I481">
        <f t="shared" ca="1" si="23"/>
        <v>1</v>
      </c>
    </row>
    <row r="482" spans="7:9">
      <c r="G482">
        <f t="shared" ca="1" si="21"/>
        <v>0.84699958855618218</v>
      </c>
      <c r="H482">
        <f t="shared" ca="1" si="22"/>
        <v>2</v>
      </c>
      <c r="I482">
        <f t="shared" ca="1" si="23"/>
        <v>1</v>
      </c>
    </row>
    <row r="483" spans="7:9">
      <c r="G483">
        <f t="shared" ca="1" si="21"/>
        <v>4.5745769770500933E-2</v>
      </c>
      <c r="H483">
        <f t="shared" ca="1" si="22"/>
        <v>1</v>
      </c>
      <c r="I483">
        <f t="shared" ca="1" si="23"/>
        <v>2</v>
      </c>
    </row>
    <row r="484" spans="7:9">
      <c r="G484">
        <f t="shared" ca="1" si="21"/>
        <v>0.58350623939270019</v>
      </c>
      <c r="H484">
        <f t="shared" ca="1" si="22"/>
        <v>1</v>
      </c>
      <c r="I484">
        <f t="shared" ca="1" si="23"/>
        <v>1</v>
      </c>
    </row>
    <row r="485" spans="7:9">
      <c r="G485">
        <f t="shared" ca="1" si="21"/>
        <v>0.70317679102433239</v>
      </c>
      <c r="H485">
        <f t="shared" ca="1" si="22"/>
        <v>2</v>
      </c>
      <c r="I485">
        <f t="shared" ca="1" si="23"/>
        <v>1</v>
      </c>
    </row>
    <row r="486" spans="7:9">
      <c r="G486">
        <f t="shared" ca="1" si="21"/>
        <v>0.77267787439261093</v>
      </c>
      <c r="H486">
        <f t="shared" ca="1" si="22"/>
        <v>2</v>
      </c>
      <c r="I486">
        <f t="shared" ca="1" si="23"/>
        <v>1</v>
      </c>
    </row>
    <row r="487" spans="7:9">
      <c r="G487">
        <f t="shared" ca="1" si="21"/>
        <v>0.49008237885300665</v>
      </c>
      <c r="H487">
        <f t="shared" ca="1" si="22"/>
        <v>1</v>
      </c>
      <c r="I487">
        <f t="shared" ca="1" si="23"/>
        <v>1</v>
      </c>
    </row>
    <row r="488" spans="7:9">
      <c r="G488">
        <f t="shared" ca="1" si="21"/>
        <v>0.77928092910322289</v>
      </c>
      <c r="H488">
        <f t="shared" ca="1" si="22"/>
        <v>2</v>
      </c>
      <c r="I488">
        <f t="shared" ca="1" si="23"/>
        <v>1</v>
      </c>
    </row>
    <row r="489" spans="7:9">
      <c r="G489">
        <f t="shared" ca="1" si="21"/>
        <v>0.6773074710091932</v>
      </c>
      <c r="H489">
        <f t="shared" ca="1" si="22"/>
        <v>2</v>
      </c>
      <c r="I489">
        <f t="shared" ca="1" si="23"/>
        <v>1</v>
      </c>
    </row>
    <row r="490" spans="7:9">
      <c r="G490">
        <f t="shared" ca="1" si="21"/>
        <v>0.39525086018224098</v>
      </c>
      <c r="H490">
        <f t="shared" ca="1" si="22"/>
        <v>1</v>
      </c>
      <c r="I490">
        <f t="shared" ca="1" si="23"/>
        <v>1</v>
      </c>
    </row>
    <row r="491" spans="7:9">
      <c r="G491">
        <f t="shared" ca="1" si="21"/>
        <v>0.57003340372948252</v>
      </c>
      <c r="H491">
        <f t="shared" ca="1" si="22"/>
        <v>1</v>
      </c>
      <c r="I491">
        <f t="shared" ca="1" si="23"/>
        <v>1</v>
      </c>
    </row>
    <row r="492" spans="7:9">
      <c r="G492">
        <f t="shared" ca="1" si="21"/>
        <v>0.74036846204971274</v>
      </c>
      <c r="H492">
        <f t="shared" ca="1" si="22"/>
        <v>2</v>
      </c>
      <c r="I492">
        <f t="shared" ca="1" si="23"/>
        <v>1</v>
      </c>
    </row>
    <row r="493" spans="7:9">
      <c r="G493">
        <f t="shared" ca="1" si="21"/>
        <v>2.771290105881008E-2</v>
      </c>
      <c r="H493">
        <f t="shared" ca="1" si="22"/>
        <v>1</v>
      </c>
      <c r="I493">
        <f t="shared" ca="1" si="23"/>
        <v>2</v>
      </c>
    </row>
    <row r="494" spans="7:9">
      <c r="G494">
        <f t="shared" ca="1" si="21"/>
        <v>0.78906450629352265</v>
      </c>
      <c r="H494">
        <f t="shared" ca="1" si="22"/>
        <v>2</v>
      </c>
      <c r="I494">
        <f t="shared" ca="1" si="23"/>
        <v>1</v>
      </c>
    </row>
    <row r="495" spans="7:9">
      <c r="G495">
        <f t="shared" ca="1" si="21"/>
        <v>0.9663181257936706</v>
      </c>
      <c r="H495">
        <f t="shared" ca="1" si="22"/>
        <v>2</v>
      </c>
      <c r="I495">
        <f t="shared" ca="1" si="23"/>
        <v>1</v>
      </c>
    </row>
    <row r="496" spans="7:9">
      <c r="G496">
        <f t="shared" ca="1" si="21"/>
        <v>0.19705125164491355</v>
      </c>
      <c r="H496">
        <f t="shared" ca="1" si="22"/>
        <v>1</v>
      </c>
      <c r="I496">
        <f t="shared" ca="1" si="23"/>
        <v>2</v>
      </c>
    </row>
    <row r="497" spans="7:9">
      <c r="G497">
        <f t="shared" ca="1" si="21"/>
        <v>0.61486320453906096</v>
      </c>
      <c r="H497">
        <f t="shared" ca="1" si="22"/>
        <v>1</v>
      </c>
      <c r="I497">
        <f t="shared" ca="1" si="23"/>
        <v>1</v>
      </c>
    </row>
    <row r="498" spans="7:9">
      <c r="G498">
        <f t="shared" ca="1" si="21"/>
        <v>0.26048775180412265</v>
      </c>
      <c r="H498">
        <f t="shared" ca="1" si="22"/>
        <v>1</v>
      </c>
      <c r="I498">
        <f t="shared" ca="1" si="23"/>
        <v>2</v>
      </c>
    </row>
    <row r="499" spans="7:9">
      <c r="G499">
        <f t="shared" ca="1" si="21"/>
        <v>0.90079138298908967</v>
      </c>
      <c r="H499">
        <f t="shared" ca="1" si="22"/>
        <v>2</v>
      </c>
      <c r="I499">
        <f t="shared" ca="1" si="23"/>
        <v>1</v>
      </c>
    </row>
    <row r="500" spans="7:9">
      <c r="G500">
        <f t="shared" ca="1" si="21"/>
        <v>0.29837122348983591</v>
      </c>
      <c r="H500">
        <f t="shared" ca="1" si="22"/>
        <v>1</v>
      </c>
      <c r="I500">
        <f t="shared" ca="1" si="23"/>
        <v>2</v>
      </c>
    </row>
    <row r="501" spans="7:9">
      <c r="G501">
        <f t="shared" ca="1" si="21"/>
        <v>5.5262111959941684E-2</v>
      </c>
      <c r="H501">
        <f t="shared" ca="1" si="22"/>
        <v>1</v>
      </c>
      <c r="I501">
        <f t="shared" ca="1" si="23"/>
        <v>2</v>
      </c>
    </row>
    <row r="502" spans="7:9">
      <c r="G502">
        <f t="shared" ca="1" si="21"/>
        <v>0.76573141454386651</v>
      </c>
      <c r="H502">
        <f t="shared" ca="1" si="22"/>
        <v>2</v>
      </c>
      <c r="I502">
        <f t="shared" ca="1" si="23"/>
        <v>1</v>
      </c>
    </row>
    <row r="503" spans="7:9">
      <c r="G503">
        <f t="shared" ca="1" si="21"/>
        <v>0.36347558927810752</v>
      </c>
      <c r="H503">
        <f t="shared" ca="1" si="22"/>
        <v>1</v>
      </c>
      <c r="I503">
        <f t="shared" ca="1" si="23"/>
        <v>1</v>
      </c>
    </row>
    <row r="504" spans="7:9">
      <c r="G504">
        <f t="shared" ca="1" si="21"/>
        <v>0.99364218299580642</v>
      </c>
      <c r="H504">
        <f t="shared" ca="1" si="22"/>
        <v>2</v>
      </c>
      <c r="I504">
        <f t="shared" ca="1" si="23"/>
        <v>1</v>
      </c>
    </row>
    <row r="505" spans="7:9">
      <c r="G505">
        <f t="shared" ca="1" si="21"/>
        <v>0.51914249736603757</v>
      </c>
      <c r="H505">
        <f t="shared" ca="1" si="22"/>
        <v>1</v>
      </c>
      <c r="I505">
        <f t="shared" ca="1" si="23"/>
        <v>1</v>
      </c>
    </row>
    <row r="506" spans="7:9">
      <c r="G506">
        <f t="shared" ca="1" si="21"/>
        <v>0.90961229588597026</v>
      </c>
      <c r="H506">
        <f t="shared" ca="1" si="22"/>
        <v>2</v>
      </c>
      <c r="I506">
        <f t="shared" ca="1" si="23"/>
        <v>1</v>
      </c>
    </row>
    <row r="507" spans="7:9">
      <c r="G507">
        <f t="shared" ca="1" si="21"/>
        <v>0.68373332061235859</v>
      </c>
      <c r="H507">
        <f t="shared" ca="1" si="22"/>
        <v>2</v>
      </c>
      <c r="I507">
        <f t="shared" ca="1" si="23"/>
        <v>1</v>
      </c>
    </row>
    <row r="508" spans="7:9">
      <c r="G508">
        <f t="shared" ca="1" si="21"/>
        <v>0.3184771784741216</v>
      </c>
      <c r="H508">
        <f t="shared" ca="1" si="22"/>
        <v>1</v>
      </c>
      <c r="I508">
        <f t="shared" ca="1" si="23"/>
        <v>2</v>
      </c>
    </row>
    <row r="509" spans="7:9">
      <c r="G509">
        <f t="shared" ca="1" si="21"/>
        <v>0.26908812106782176</v>
      </c>
      <c r="H509">
        <f t="shared" ca="1" si="22"/>
        <v>1</v>
      </c>
      <c r="I509">
        <f t="shared" ca="1" si="23"/>
        <v>2</v>
      </c>
    </row>
    <row r="510" spans="7:9">
      <c r="G510">
        <f t="shared" ca="1" si="21"/>
        <v>0.60919659782030011</v>
      </c>
      <c r="H510">
        <f t="shared" ca="1" si="22"/>
        <v>1</v>
      </c>
      <c r="I510">
        <f t="shared" ca="1" si="23"/>
        <v>1</v>
      </c>
    </row>
    <row r="511" spans="7:9">
      <c r="G511">
        <f t="shared" ca="1" si="21"/>
        <v>0.86972139744079513</v>
      </c>
      <c r="H511">
        <f t="shared" ca="1" si="22"/>
        <v>2</v>
      </c>
      <c r="I511">
        <f t="shared" ca="1" si="23"/>
        <v>1</v>
      </c>
    </row>
    <row r="512" spans="7:9">
      <c r="G512">
        <f t="shared" ca="1" si="21"/>
        <v>0.28677351675993723</v>
      </c>
      <c r="H512">
        <f t="shared" ca="1" si="22"/>
        <v>1</v>
      </c>
      <c r="I512">
        <f t="shared" ca="1" si="23"/>
        <v>2</v>
      </c>
    </row>
    <row r="513" spans="7:9">
      <c r="G513">
        <f t="shared" ca="1" si="21"/>
        <v>0.72216257657233363</v>
      </c>
      <c r="H513">
        <f t="shared" ca="1" si="22"/>
        <v>2</v>
      </c>
      <c r="I513">
        <f t="shared" ca="1" si="23"/>
        <v>1</v>
      </c>
    </row>
    <row r="514" spans="7:9">
      <c r="G514">
        <f t="shared" ca="1" si="21"/>
        <v>0.2569451883795737</v>
      </c>
      <c r="H514">
        <f t="shared" ca="1" si="22"/>
        <v>1</v>
      </c>
      <c r="I514">
        <f t="shared" ca="1" si="23"/>
        <v>2</v>
      </c>
    </row>
    <row r="515" spans="7:9">
      <c r="G515">
        <f t="shared" ca="1" si="21"/>
        <v>0.73364083948942849</v>
      </c>
      <c r="H515">
        <f t="shared" ca="1" si="22"/>
        <v>2</v>
      </c>
      <c r="I515">
        <f t="shared" ca="1" si="23"/>
        <v>1</v>
      </c>
    </row>
    <row r="516" spans="7:9">
      <c r="G516">
        <f t="shared" ca="1" si="21"/>
        <v>0.56928292170853911</v>
      </c>
      <c r="H516">
        <f t="shared" ca="1" si="22"/>
        <v>1</v>
      </c>
      <c r="I516">
        <f t="shared" ca="1" si="23"/>
        <v>1</v>
      </c>
    </row>
    <row r="517" spans="7:9">
      <c r="G517">
        <f t="shared" ref="G517:G580" ca="1" si="24">RAND()</f>
        <v>0.79937036627162905</v>
      </c>
      <c r="H517">
        <f t="shared" ref="H517:H580" ca="1" si="25">IF(G517&lt;0.66,1,2)</f>
        <v>2</v>
      </c>
      <c r="I517">
        <f t="shared" ref="I517:I580" ca="1" si="26">IF(G517&lt;0.33,2,1)</f>
        <v>1</v>
      </c>
    </row>
    <row r="518" spans="7:9">
      <c r="G518">
        <f t="shared" ca="1" si="24"/>
        <v>0.40543689851716769</v>
      </c>
      <c r="H518">
        <f t="shared" ca="1" si="25"/>
        <v>1</v>
      </c>
      <c r="I518">
        <f t="shared" ca="1" si="26"/>
        <v>1</v>
      </c>
    </row>
    <row r="519" spans="7:9">
      <c r="G519">
        <f t="shared" ca="1" si="24"/>
        <v>8.4744377092161427E-2</v>
      </c>
      <c r="H519">
        <f t="shared" ca="1" si="25"/>
        <v>1</v>
      </c>
      <c r="I519">
        <f t="shared" ca="1" si="26"/>
        <v>2</v>
      </c>
    </row>
    <row r="520" spans="7:9">
      <c r="G520">
        <f t="shared" ca="1" si="24"/>
        <v>0.51097061416297218</v>
      </c>
      <c r="H520">
        <f t="shared" ca="1" si="25"/>
        <v>1</v>
      </c>
      <c r="I520">
        <f t="shared" ca="1" si="26"/>
        <v>1</v>
      </c>
    </row>
    <row r="521" spans="7:9">
      <c r="G521">
        <f t="shared" ca="1" si="24"/>
        <v>7.7071755548501097E-2</v>
      </c>
      <c r="H521">
        <f t="shared" ca="1" si="25"/>
        <v>1</v>
      </c>
      <c r="I521">
        <f t="shared" ca="1" si="26"/>
        <v>2</v>
      </c>
    </row>
    <row r="522" spans="7:9">
      <c r="G522">
        <f t="shared" ca="1" si="24"/>
        <v>5.4495790548295675E-3</v>
      </c>
      <c r="H522">
        <f t="shared" ca="1" si="25"/>
        <v>1</v>
      </c>
      <c r="I522">
        <f t="shared" ca="1" si="26"/>
        <v>2</v>
      </c>
    </row>
    <row r="523" spans="7:9">
      <c r="G523">
        <f t="shared" ca="1" si="24"/>
        <v>0.86942499026867781</v>
      </c>
      <c r="H523">
        <f t="shared" ca="1" si="25"/>
        <v>2</v>
      </c>
      <c r="I523">
        <f t="shared" ca="1" si="26"/>
        <v>1</v>
      </c>
    </row>
    <row r="524" spans="7:9">
      <c r="G524">
        <f t="shared" ca="1" si="24"/>
        <v>0.58238614870925898</v>
      </c>
      <c r="H524">
        <f t="shared" ca="1" si="25"/>
        <v>1</v>
      </c>
      <c r="I524">
        <f t="shared" ca="1" si="26"/>
        <v>1</v>
      </c>
    </row>
    <row r="525" spans="7:9">
      <c r="G525">
        <f t="shared" ca="1" si="24"/>
        <v>0.50359911225146126</v>
      </c>
      <c r="H525">
        <f t="shared" ca="1" si="25"/>
        <v>1</v>
      </c>
      <c r="I525">
        <f t="shared" ca="1" si="26"/>
        <v>1</v>
      </c>
    </row>
    <row r="526" spans="7:9">
      <c r="G526">
        <f t="shared" ca="1" si="24"/>
        <v>0.41176695439883604</v>
      </c>
      <c r="H526">
        <f t="shared" ca="1" si="25"/>
        <v>1</v>
      </c>
      <c r="I526">
        <f t="shared" ca="1" si="26"/>
        <v>1</v>
      </c>
    </row>
    <row r="527" spans="7:9">
      <c r="G527">
        <f t="shared" ca="1" si="24"/>
        <v>0.53877501721182508</v>
      </c>
      <c r="H527">
        <f t="shared" ca="1" si="25"/>
        <v>1</v>
      </c>
      <c r="I527">
        <f t="shared" ca="1" si="26"/>
        <v>1</v>
      </c>
    </row>
    <row r="528" spans="7:9">
      <c r="G528">
        <f t="shared" ca="1" si="24"/>
        <v>0.26048696854963327</v>
      </c>
      <c r="H528">
        <f t="shared" ca="1" si="25"/>
        <v>1</v>
      </c>
      <c r="I528">
        <f t="shared" ca="1" si="26"/>
        <v>2</v>
      </c>
    </row>
    <row r="529" spans="7:9">
      <c r="G529">
        <f t="shared" ca="1" si="24"/>
        <v>0.80948133983861736</v>
      </c>
      <c r="H529">
        <f t="shared" ca="1" si="25"/>
        <v>2</v>
      </c>
      <c r="I529">
        <f t="shared" ca="1" si="26"/>
        <v>1</v>
      </c>
    </row>
    <row r="530" spans="7:9">
      <c r="G530">
        <f t="shared" ca="1" si="24"/>
        <v>0.1691312830196503</v>
      </c>
      <c r="H530">
        <f t="shared" ca="1" si="25"/>
        <v>1</v>
      </c>
      <c r="I530">
        <f t="shared" ca="1" si="26"/>
        <v>2</v>
      </c>
    </row>
    <row r="531" spans="7:9">
      <c r="G531">
        <f t="shared" ca="1" si="24"/>
        <v>0.99419733651403341</v>
      </c>
      <c r="H531">
        <f t="shared" ca="1" si="25"/>
        <v>2</v>
      </c>
      <c r="I531">
        <f t="shared" ca="1" si="26"/>
        <v>1</v>
      </c>
    </row>
    <row r="532" spans="7:9">
      <c r="G532">
        <f t="shared" ca="1" si="24"/>
        <v>1.5190402205001785E-2</v>
      </c>
      <c r="H532">
        <f t="shared" ca="1" si="25"/>
        <v>1</v>
      </c>
      <c r="I532">
        <f t="shared" ca="1" si="26"/>
        <v>2</v>
      </c>
    </row>
    <row r="533" spans="7:9">
      <c r="G533">
        <f t="shared" ca="1" si="24"/>
        <v>0.21039137907768857</v>
      </c>
      <c r="H533">
        <f t="shared" ca="1" si="25"/>
        <v>1</v>
      </c>
      <c r="I533">
        <f t="shared" ca="1" si="26"/>
        <v>2</v>
      </c>
    </row>
    <row r="534" spans="7:9">
      <c r="G534">
        <f t="shared" ca="1" si="24"/>
        <v>0.6885350663734533</v>
      </c>
      <c r="H534">
        <f t="shared" ca="1" si="25"/>
        <v>2</v>
      </c>
      <c r="I534">
        <f t="shared" ca="1" si="26"/>
        <v>1</v>
      </c>
    </row>
    <row r="535" spans="7:9">
      <c r="G535">
        <f t="shared" ca="1" si="24"/>
        <v>0.49107913418155358</v>
      </c>
      <c r="H535">
        <f t="shared" ca="1" si="25"/>
        <v>1</v>
      </c>
      <c r="I535">
        <f t="shared" ca="1" si="26"/>
        <v>1</v>
      </c>
    </row>
    <row r="536" spans="7:9">
      <c r="G536">
        <f t="shared" ca="1" si="24"/>
        <v>0.93508548124918989</v>
      </c>
      <c r="H536">
        <f t="shared" ca="1" si="25"/>
        <v>2</v>
      </c>
      <c r="I536">
        <f t="shared" ca="1" si="26"/>
        <v>1</v>
      </c>
    </row>
    <row r="537" spans="7:9">
      <c r="G537">
        <f t="shared" ca="1" si="24"/>
        <v>1.5788689975745229E-2</v>
      </c>
      <c r="H537">
        <f t="shared" ca="1" si="25"/>
        <v>1</v>
      </c>
      <c r="I537">
        <f t="shared" ca="1" si="26"/>
        <v>2</v>
      </c>
    </row>
    <row r="538" spans="7:9">
      <c r="G538">
        <f t="shared" ca="1" si="24"/>
        <v>0.17512744247708434</v>
      </c>
      <c r="H538">
        <f t="shared" ca="1" si="25"/>
        <v>1</v>
      </c>
      <c r="I538">
        <f t="shared" ca="1" si="26"/>
        <v>2</v>
      </c>
    </row>
    <row r="539" spans="7:9">
      <c r="G539">
        <f t="shared" ca="1" si="24"/>
        <v>0.2803635784951507</v>
      </c>
      <c r="H539">
        <f t="shared" ca="1" si="25"/>
        <v>1</v>
      </c>
      <c r="I539">
        <f t="shared" ca="1" si="26"/>
        <v>2</v>
      </c>
    </row>
    <row r="540" spans="7:9">
      <c r="G540">
        <f t="shared" ca="1" si="24"/>
        <v>0.12661959439219161</v>
      </c>
      <c r="H540">
        <f t="shared" ca="1" si="25"/>
        <v>1</v>
      </c>
      <c r="I540">
        <f t="shared" ca="1" si="26"/>
        <v>2</v>
      </c>
    </row>
    <row r="541" spans="7:9">
      <c r="G541">
        <f t="shared" ca="1" si="24"/>
        <v>0.38785193703896081</v>
      </c>
      <c r="H541">
        <f t="shared" ca="1" si="25"/>
        <v>1</v>
      </c>
      <c r="I541">
        <f t="shared" ca="1" si="26"/>
        <v>1</v>
      </c>
    </row>
    <row r="542" spans="7:9">
      <c r="G542">
        <f t="shared" ca="1" si="24"/>
        <v>0.34677455524810008</v>
      </c>
      <c r="H542">
        <f t="shared" ca="1" si="25"/>
        <v>1</v>
      </c>
      <c r="I542">
        <f t="shared" ca="1" si="26"/>
        <v>1</v>
      </c>
    </row>
    <row r="543" spans="7:9">
      <c r="G543">
        <f t="shared" ca="1" si="24"/>
        <v>0.87352359671487712</v>
      </c>
      <c r="H543">
        <f t="shared" ca="1" si="25"/>
        <v>2</v>
      </c>
      <c r="I543">
        <f t="shared" ca="1" si="26"/>
        <v>1</v>
      </c>
    </row>
    <row r="544" spans="7:9">
      <c r="G544">
        <f t="shared" ca="1" si="24"/>
        <v>0.38371932332571823</v>
      </c>
      <c r="H544">
        <f t="shared" ca="1" si="25"/>
        <v>1</v>
      </c>
      <c r="I544">
        <f t="shared" ca="1" si="26"/>
        <v>1</v>
      </c>
    </row>
    <row r="545" spans="7:9">
      <c r="G545">
        <f t="shared" ca="1" si="24"/>
        <v>0.43489059416794973</v>
      </c>
      <c r="H545">
        <f t="shared" ca="1" si="25"/>
        <v>1</v>
      </c>
      <c r="I545">
        <f t="shared" ca="1" si="26"/>
        <v>1</v>
      </c>
    </row>
    <row r="546" spans="7:9">
      <c r="G546">
        <f t="shared" ca="1" si="24"/>
        <v>0.561874930447538</v>
      </c>
      <c r="H546">
        <f t="shared" ca="1" si="25"/>
        <v>1</v>
      </c>
      <c r="I546">
        <f t="shared" ca="1" si="26"/>
        <v>1</v>
      </c>
    </row>
    <row r="547" spans="7:9">
      <c r="G547">
        <f t="shared" ca="1" si="24"/>
        <v>0.31608789463621523</v>
      </c>
      <c r="H547">
        <f t="shared" ca="1" si="25"/>
        <v>1</v>
      </c>
      <c r="I547">
        <f t="shared" ca="1" si="26"/>
        <v>2</v>
      </c>
    </row>
    <row r="548" spans="7:9">
      <c r="G548">
        <f t="shared" ca="1" si="24"/>
        <v>0.11673748832724051</v>
      </c>
      <c r="H548">
        <f t="shared" ca="1" si="25"/>
        <v>1</v>
      </c>
      <c r="I548">
        <f t="shared" ca="1" si="26"/>
        <v>2</v>
      </c>
    </row>
    <row r="549" spans="7:9">
      <c r="G549">
        <f t="shared" ca="1" si="24"/>
        <v>0.88834124931466485</v>
      </c>
      <c r="H549">
        <f t="shared" ca="1" si="25"/>
        <v>2</v>
      </c>
      <c r="I549">
        <f t="shared" ca="1" si="26"/>
        <v>1</v>
      </c>
    </row>
    <row r="550" spans="7:9">
      <c r="G550">
        <f t="shared" ca="1" si="24"/>
        <v>0.16182835638885285</v>
      </c>
      <c r="H550">
        <f t="shared" ca="1" si="25"/>
        <v>1</v>
      </c>
      <c r="I550">
        <f t="shared" ca="1" si="26"/>
        <v>2</v>
      </c>
    </row>
    <row r="551" spans="7:9">
      <c r="G551">
        <f t="shared" ca="1" si="24"/>
        <v>0.92722790009577538</v>
      </c>
      <c r="H551">
        <f t="shared" ca="1" si="25"/>
        <v>2</v>
      </c>
      <c r="I551">
        <f t="shared" ca="1" si="26"/>
        <v>1</v>
      </c>
    </row>
    <row r="552" spans="7:9">
      <c r="G552">
        <f t="shared" ca="1" si="24"/>
        <v>0.82270067977106942</v>
      </c>
      <c r="H552">
        <f t="shared" ca="1" si="25"/>
        <v>2</v>
      </c>
      <c r="I552">
        <f t="shared" ca="1" si="26"/>
        <v>1</v>
      </c>
    </row>
    <row r="553" spans="7:9">
      <c r="G553">
        <f t="shared" ca="1" si="24"/>
        <v>0.88415410915096471</v>
      </c>
      <c r="H553">
        <f t="shared" ca="1" si="25"/>
        <v>2</v>
      </c>
      <c r="I553">
        <f t="shared" ca="1" si="26"/>
        <v>1</v>
      </c>
    </row>
    <row r="554" spans="7:9">
      <c r="G554">
        <f t="shared" ca="1" si="24"/>
        <v>0.3806180795399734</v>
      </c>
      <c r="H554">
        <f t="shared" ca="1" si="25"/>
        <v>1</v>
      </c>
      <c r="I554">
        <f t="shared" ca="1" si="26"/>
        <v>1</v>
      </c>
    </row>
    <row r="555" spans="7:9">
      <c r="G555">
        <f t="shared" ca="1" si="24"/>
        <v>0.40849957211813281</v>
      </c>
      <c r="H555">
        <f t="shared" ca="1" si="25"/>
        <v>1</v>
      </c>
      <c r="I555">
        <f t="shared" ca="1" si="26"/>
        <v>1</v>
      </c>
    </row>
    <row r="556" spans="7:9">
      <c r="G556">
        <f t="shared" ca="1" si="24"/>
        <v>0.28343386618214894</v>
      </c>
      <c r="H556">
        <f t="shared" ca="1" si="25"/>
        <v>1</v>
      </c>
      <c r="I556">
        <f t="shared" ca="1" si="26"/>
        <v>2</v>
      </c>
    </row>
    <row r="557" spans="7:9">
      <c r="G557">
        <f t="shared" ca="1" si="24"/>
        <v>0.96525168279498452</v>
      </c>
      <c r="H557">
        <f t="shared" ca="1" si="25"/>
        <v>2</v>
      </c>
      <c r="I557">
        <f t="shared" ca="1" si="26"/>
        <v>1</v>
      </c>
    </row>
    <row r="558" spans="7:9">
      <c r="G558">
        <f t="shared" ca="1" si="24"/>
        <v>0.22020899062352284</v>
      </c>
      <c r="H558">
        <f t="shared" ca="1" si="25"/>
        <v>1</v>
      </c>
      <c r="I558">
        <f t="shared" ca="1" si="26"/>
        <v>2</v>
      </c>
    </row>
    <row r="559" spans="7:9">
      <c r="G559">
        <f t="shared" ca="1" si="24"/>
        <v>0.6001047817679126</v>
      </c>
      <c r="H559">
        <f t="shared" ca="1" si="25"/>
        <v>1</v>
      </c>
      <c r="I559">
        <f t="shared" ca="1" si="26"/>
        <v>1</v>
      </c>
    </row>
    <row r="560" spans="7:9">
      <c r="G560">
        <f t="shared" ca="1" si="24"/>
        <v>0.4968051647112548</v>
      </c>
      <c r="H560">
        <f t="shared" ca="1" si="25"/>
        <v>1</v>
      </c>
      <c r="I560">
        <f t="shared" ca="1" si="26"/>
        <v>1</v>
      </c>
    </row>
    <row r="561" spans="7:9">
      <c r="G561">
        <f t="shared" ca="1" si="24"/>
        <v>9.3744167161556646E-2</v>
      </c>
      <c r="H561">
        <f t="shared" ca="1" si="25"/>
        <v>1</v>
      </c>
      <c r="I561">
        <f t="shared" ca="1" si="26"/>
        <v>2</v>
      </c>
    </row>
    <row r="562" spans="7:9">
      <c r="G562">
        <f t="shared" ca="1" si="24"/>
        <v>0.43202589990961537</v>
      </c>
      <c r="H562">
        <f t="shared" ca="1" si="25"/>
        <v>1</v>
      </c>
      <c r="I562">
        <f t="shared" ca="1" si="26"/>
        <v>1</v>
      </c>
    </row>
    <row r="563" spans="7:9">
      <c r="G563">
        <f t="shared" ca="1" si="24"/>
        <v>0.20216972511078102</v>
      </c>
      <c r="H563">
        <f t="shared" ca="1" si="25"/>
        <v>1</v>
      </c>
      <c r="I563">
        <f t="shared" ca="1" si="26"/>
        <v>2</v>
      </c>
    </row>
    <row r="564" spans="7:9">
      <c r="G564">
        <f t="shared" ca="1" si="24"/>
        <v>0.15168247727149131</v>
      </c>
      <c r="H564">
        <f t="shared" ca="1" si="25"/>
        <v>1</v>
      </c>
      <c r="I564">
        <f t="shared" ca="1" si="26"/>
        <v>2</v>
      </c>
    </row>
    <row r="565" spans="7:9">
      <c r="G565">
        <f t="shared" ca="1" si="24"/>
        <v>0.85351847310616502</v>
      </c>
      <c r="H565">
        <f t="shared" ca="1" si="25"/>
        <v>2</v>
      </c>
      <c r="I565">
        <f t="shared" ca="1" si="26"/>
        <v>1</v>
      </c>
    </row>
    <row r="566" spans="7:9">
      <c r="G566">
        <f t="shared" ca="1" si="24"/>
        <v>0.41822818575795062</v>
      </c>
      <c r="H566">
        <f t="shared" ca="1" si="25"/>
        <v>1</v>
      </c>
      <c r="I566">
        <f t="shared" ca="1" si="26"/>
        <v>1</v>
      </c>
    </row>
    <row r="567" spans="7:9">
      <c r="G567">
        <f t="shared" ca="1" si="24"/>
        <v>0.10187392940563444</v>
      </c>
      <c r="H567">
        <f t="shared" ca="1" si="25"/>
        <v>1</v>
      </c>
      <c r="I567">
        <f t="shared" ca="1" si="26"/>
        <v>2</v>
      </c>
    </row>
    <row r="568" spans="7:9">
      <c r="G568">
        <f t="shared" ca="1" si="24"/>
        <v>0.12087231784014119</v>
      </c>
      <c r="H568">
        <f t="shared" ca="1" si="25"/>
        <v>1</v>
      </c>
      <c r="I568">
        <f t="shared" ca="1" si="26"/>
        <v>2</v>
      </c>
    </row>
    <row r="569" spans="7:9">
      <c r="G569">
        <f t="shared" ca="1" si="24"/>
        <v>0.95822968779057627</v>
      </c>
      <c r="H569">
        <f t="shared" ca="1" si="25"/>
        <v>2</v>
      </c>
      <c r="I569">
        <f t="shared" ca="1" si="26"/>
        <v>1</v>
      </c>
    </row>
    <row r="570" spans="7:9">
      <c r="G570">
        <f t="shared" ca="1" si="24"/>
        <v>0.49974385198715798</v>
      </c>
      <c r="H570">
        <f t="shared" ca="1" si="25"/>
        <v>1</v>
      </c>
      <c r="I570">
        <f t="shared" ca="1" si="26"/>
        <v>1</v>
      </c>
    </row>
    <row r="571" spans="7:9">
      <c r="G571">
        <f t="shared" ca="1" si="24"/>
        <v>5.842159364298638E-2</v>
      </c>
      <c r="H571">
        <f t="shared" ca="1" si="25"/>
        <v>1</v>
      </c>
      <c r="I571">
        <f t="shared" ca="1" si="26"/>
        <v>2</v>
      </c>
    </row>
    <row r="572" spans="7:9">
      <c r="G572">
        <f t="shared" ca="1" si="24"/>
        <v>0.96655470800650722</v>
      </c>
      <c r="H572">
        <f t="shared" ca="1" si="25"/>
        <v>2</v>
      </c>
      <c r="I572">
        <f t="shared" ca="1" si="26"/>
        <v>1</v>
      </c>
    </row>
    <row r="573" spans="7:9">
      <c r="G573">
        <f t="shared" ca="1" si="24"/>
        <v>2.1423528330386521E-2</v>
      </c>
      <c r="H573">
        <f t="shared" ca="1" si="25"/>
        <v>1</v>
      </c>
      <c r="I573">
        <f t="shared" ca="1" si="26"/>
        <v>2</v>
      </c>
    </row>
    <row r="574" spans="7:9">
      <c r="G574">
        <f t="shared" ca="1" si="24"/>
        <v>0.93008195004735061</v>
      </c>
      <c r="H574">
        <f t="shared" ca="1" si="25"/>
        <v>2</v>
      </c>
      <c r="I574">
        <f t="shared" ca="1" si="26"/>
        <v>1</v>
      </c>
    </row>
    <row r="575" spans="7:9">
      <c r="G575">
        <f t="shared" ca="1" si="24"/>
        <v>0.77619435663739389</v>
      </c>
      <c r="H575">
        <f t="shared" ca="1" si="25"/>
        <v>2</v>
      </c>
      <c r="I575">
        <f t="shared" ca="1" si="26"/>
        <v>1</v>
      </c>
    </row>
    <row r="576" spans="7:9">
      <c r="G576">
        <f t="shared" ca="1" si="24"/>
        <v>0.79366934454971172</v>
      </c>
      <c r="H576">
        <f t="shared" ca="1" si="25"/>
        <v>2</v>
      </c>
      <c r="I576">
        <f t="shared" ca="1" si="26"/>
        <v>1</v>
      </c>
    </row>
    <row r="577" spans="7:9">
      <c r="G577">
        <f t="shared" ca="1" si="24"/>
        <v>0.34816349420604542</v>
      </c>
      <c r="H577">
        <f t="shared" ca="1" si="25"/>
        <v>1</v>
      </c>
      <c r="I577">
        <f t="shared" ca="1" si="26"/>
        <v>1</v>
      </c>
    </row>
    <row r="578" spans="7:9">
      <c r="G578">
        <f t="shared" ca="1" si="24"/>
        <v>0.57134240624912924</v>
      </c>
      <c r="H578">
        <f t="shared" ca="1" si="25"/>
        <v>1</v>
      </c>
      <c r="I578">
        <f t="shared" ca="1" si="26"/>
        <v>1</v>
      </c>
    </row>
    <row r="579" spans="7:9">
      <c r="G579">
        <f t="shared" ca="1" si="24"/>
        <v>0.55724597947512633</v>
      </c>
      <c r="H579">
        <f t="shared" ca="1" si="25"/>
        <v>1</v>
      </c>
      <c r="I579">
        <f t="shared" ca="1" si="26"/>
        <v>1</v>
      </c>
    </row>
    <row r="580" spans="7:9">
      <c r="G580">
        <f t="shared" ca="1" si="24"/>
        <v>0.8466685666988002</v>
      </c>
      <c r="H580">
        <f t="shared" ca="1" si="25"/>
        <v>2</v>
      </c>
      <c r="I580">
        <f t="shared" ca="1" si="26"/>
        <v>1</v>
      </c>
    </row>
    <row r="581" spans="7:9">
      <c r="G581">
        <f t="shared" ref="G581:G644" ca="1" si="27">RAND()</f>
        <v>0.28518612597677673</v>
      </c>
      <c r="H581">
        <f t="shared" ref="H581:H644" ca="1" si="28">IF(G581&lt;0.66,1,2)</f>
        <v>1</v>
      </c>
      <c r="I581">
        <f t="shared" ref="I581:I644" ca="1" si="29">IF(G581&lt;0.33,2,1)</f>
        <v>2</v>
      </c>
    </row>
    <row r="582" spans="7:9">
      <c r="G582">
        <f t="shared" ca="1" si="27"/>
        <v>0.80979748094935622</v>
      </c>
      <c r="H582">
        <f t="shared" ca="1" si="28"/>
        <v>2</v>
      </c>
      <c r="I582">
        <f t="shared" ca="1" si="29"/>
        <v>1</v>
      </c>
    </row>
    <row r="583" spans="7:9">
      <c r="G583">
        <f t="shared" ca="1" si="27"/>
        <v>0.36943971287556099</v>
      </c>
      <c r="H583">
        <f t="shared" ca="1" si="28"/>
        <v>1</v>
      </c>
      <c r="I583">
        <f t="shared" ca="1" si="29"/>
        <v>1</v>
      </c>
    </row>
    <row r="584" spans="7:9">
      <c r="G584">
        <f t="shared" ca="1" si="27"/>
        <v>0.45165588673600277</v>
      </c>
      <c r="H584">
        <f t="shared" ca="1" si="28"/>
        <v>1</v>
      </c>
      <c r="I584">
        <f t="shared" ca="1" si="29"/>
        <v>1</v>
      </c>
    </row>
    <row r="585" spans="7:9">
      <c r="G585">
        <f t="shared" ca="1" si="27"/>
        <v>0.78339893342723921</v>
      </c>
      <c r="H585">
        <f t="shared" ca="1" si="28"/>
        <v>2</v>
      </c>
      <c r="I585">
        <f t="shared" ca="1" si="29"/>
        <v>1</v>
      </c>
    </row>
    <row r="586" spans="7:9">
      <c r="G586">
        <f t="shared" ca="1" si="27"/>
        <v>0.42125786323130998</v>
      </c>
      <c r="H586">
        <f t="shared" ca="1" si="28"/>
        <v>1</v>
      </c>
      <c r="I586">
        <f t="shared" ca="1" si="29"/>
        <v>1</v>
      </c>
    </row>
    <row r="587" spans="7:9">
      <c r="G587">
        <f t="shared" ca="1" si="27"/>
        <v>0.72398156417311088</v>
      </c>
      <c r="H587">
        <f t="shared" ca="1" si="28"/>
        <v>2</v>
      </c>
      <c r="I587">
        <f t="shared" ca="1" si="29"/>
        <v>1</v>
      </c>
    </row>
    <row r="588" spans="7:9">
      <c r="G588">
        <f t="shared" ca="1" si="27"/>
        <v>0.93036442031527222</v>
      </c>
      <c r="H588">
        <f t="shared" ca="1" si="28"/>
        <v>2</v>
      </c>
      <c r="I588">
        <f t="shared" ca="1" si="29"/>
        <v>1</v>
      </c>
    </row>
    <row r="589" spans="7:9">
      <c r="G589">
        <f t="shared" ca="1" si="27"/>
        <v>4.5163167245668268E-2</v>
      </c>
      <c r="H589">
        <f t="shared" ca="1" si="28"/>
        <v>1</v>
      </c>
      <c r="I589">
        <f t="shared" ca="1" si="29"/>
        <v>2</v>
      </c>
    </row>
    <row r="590" spans="7:9">
      <c r="G590">
        <f t="shared" ca="1" si="27"/>
        <v>0.39568833602710907</v>
      </c>
      <c r="H590">
        <f t="shared" ca="1" si="28"/>
        <v>1</v>
      </c>
      <c r="I590">
        <f t="shared" ca="1" si="29"/>
        <v>1</v>
      </c>
    </row>
    <row r="591" spans="7:9">
      <c r="G591">
        <f t="shared" ca="1" si="27"/>
        <v>0.57010244764576545</v>
      </c>
      <c r="H591">
        <f t="shared" ca="1" si="28"/>
        <v>1</v>
      </c>
      <c r="I591">
        <f t="shared" ca="1" si="29"/>
        <v>1</v>
      </c>
    </row>
    <row r="592" spans="7:9">
      <c r="G592">
        <f t="shared" ca="1" si="27"/>
        <v>0.19216022301879909</v>
      </c>
      <c r="H592">
        <f t="shared" ca="1" si="28"/>
        <v>1</v>
      </c>
      <c r="I592">
        <f t="shared" ca="1" si="29"/>
        <v>2</v>
      </c>
    </row>
    <row r="593" spans="7:9">
      <c r="G593">
        <f t="shared" ca="1" si="27"/>
        <v>0.80345743996219798</v>
      </c>
      <c r="H593">
        <f t="shared" ca="1" si="28"/>
        <v>2</v>
      </c>
      <c r="I593">
        <f t="shared" ca="1" si="29"/>
        <v>1</v>
      </c>
    </row>
    <row r="594" spans="7:9">
      <c r="G594">
        <f t="shared" ca="1" si="27"/>
        <v>0.96402615735650321</v>
      </c>
      <c r="H594">
        <f t="shared" ca="1" si="28"/>
        <v>2</v>
      </c>
      <c r="I594">
        <f t="shared" ca="1" si="29"/>
        <v>1</v>
      </c>
    </row>
    <row r="595" spans="7:9">
      <c r="G595">
        <f t="shared" ca="1" si="27"/>
        <v>0.57220462125261951</v>
      </c>
      <c r="H595">
        <f t="shared" ca="1" si="28"/>
        <v>1</v>
      </c>
      <c r="I595">
        <f t="shared" ca="1" si="29"/>
        <v>1</v>
      </c>
    </row>
    <row r="596" spans="7:9">
      <c r="G596">
        <f t="shared" ca="1" si="27"/>
        <v>0.24852157486257465</v>
      </c>
      <c r="H596">
        <f t="shared" ca="1" si="28"/>
        <v>1</v>
      </c>
      <c r="I596">
        <f t="shared" ca="1" si="29"/>
        <v>2</v>
      </c>
    </row>
    <row r="597" spans="7:9">
      <c r="G597">
        <f t="shared" ca="1" si="27"/>
        <v>0.61782794448253164</v>
      </c>
      <c r="H597">
        <f t="shared" ca="1" si="28"/>
        <v>1</v>
      </c>
      <c r="I597">
        <f t="shared" ca="1" si="29"/>
        <v>1</v>
      </c>
    </row>
    <row r="598" spans="7:9">
      <c r="G598">
        <f t="shared" ca="1" si="27"/>
        <v>0.41687798524690778</v>
      </c>
      <c r="H598">
        <f t="shared" ca="1" si="28"/>
        <v>1</v>
      </c>
      <c r="I598">
        <f t="shared" ca="1" si="29"/>
        <v>1</v>
      </c>
    </row>
    <row r="599" spans="7:9">
      <c r="G599">
        <f t="shared" ca="1" si="27"/>
        <v>3.510103323598468E-2</v>
      </c>
      <c r="H599">
        <f t="shared" ca="1" si="28"/>
        <v>1</v>
      </c>
      <c r="I599">
        <f t="shared" ca="1" si="29"/>
        <v>2</v>
      </c>
    </row>
    <row r="600" spans="7:9">
      <c r="G600">
        <f t="shared" ca="1" si="27"/>
        <v>0.45745582409012198</v>
      </c>
      <c r="H600">
        <f t="shared" ca="1" si="28"/>
        <v>1</v>
      </c>
      <c r="I600">
        <f t="shared" ca="1" si="29"/>
        <v>1</v>
      </c>
    </row>
    <row r="601" spans="7:9">
      <c r="G601">
        <f t="shared" ca="1" si="27"/>
        <v>0.20721312176332085</v>
      </c>
      <c r="H601">
        <f t="shared" ca="1" si="28"/>
        <v>1</v>
      </c>
      <c r="I601">
        <f t="shared" ca="1" si="29"/>
        <v>2</v>
      </c>
    </row>
    <row r="602" spans="7:9">
      <c r="G602">
        <f t="shared" ca="1" si="27"/>
        <v>0.82566516840682525</v>
      </c>
      <c r="H602">
        <f t="shared" ca="1" si="28"/>
        <v>2</v>
      </c>
      <c r="I602">
        <f t="shared" ca="1" si="29"/>
        <v>1</v>
      </c>
    </row>
    <row r="603" spans="7:9">
      <c r="G603">
        <f t="shared" ca="1" si="27"/>
        <v>2.1631501783006435E-2</v>
      </c>
      <c r="H603">
        <f t="shared" ca="1" si="28"/>
        <v>1</v>
      </c>
      <c r="I603">
        <f t="shared" ca="1" si="29"/>
        <v>2</v>
      </c>
    </row>
    <row r="604" spans="7:9">
      <c r="G604">
        <f t="shared" ca="1" si="27"/>
        <v>0.28756764105006849</v>
      </c>
      <c r="H604">
        <f t="shared" ca="1" si="28"/>
        <v>1</v>
      </c>
      <c r="I604">
        <f t="shared" ca="1" si="29"/>
        <v>2</v>
      </c>
    </row>
    <row r="605" spans="7:9">
      <c r="G605">
        <f t="shared" ca="1" si="27"/>
        <v>2.4019523933318854E-2</v>
      </c>
      <c r="H605">
        <f t="shared" ca="1" si="28"/>
        <v>1</v>
      </c>
      <c r="I605">
        <f t="shared" ca="1" si="29"/>
        <v>2</v>
      </c>
    </row>
    <row r="606" spans="7:9">
      <c r="G606">
        <f t="shared" ca="1" si="27"/>
        <v>0.31656488672801619</v>
      </c>
      <c r="H606">
        <f t="shared" ca="1" si="28"/>
        <v>1</v>
      </c>
      <c r="I606">
        <f t="shared" ca="1" si="29"/>
        <v>2</v>
      </c>
    </row>
    <row r="607" spans="7:9">
      <c r="G607">
        <f t="shared" ca="1" si="27"/>
        <v>0.33861938589942375</v>
      </c>
      <c r="H607">
        <f t="shared" ca="1" si="28"/>
        <v>1</v>
      </c>
      <c r="I607">
        <f t="shared" ca="1" si="29"/>
        <v>1</v>
      </c>
    </row>
    <row r="608" spans="7:9">
      <c r="G608">
        <f t="shared" ca="1" si="27"/>
        <v>0.61511168593737053</v>
      </c>
      <c r="H608">
        <f t="shared" ca="1" si="28"/>
        <v>1</v>
      </c>
      <c r="I608">
        <f t="shared" ca="1" si="29"/>
        <v>1</v>
      </c>
    </row>
    <row r="609" spans="7:9">
      <c r="G609">
        <f t="shared" ca="1" si="27"/>
        <v>0.23662684149750213</v>
      </c>
      <c r="H609">
        <f t="shared" ca="1" si="28"/>
        <v>1</v>
      </c>
      <c r="I609">
        <f t="shared" ca="1" si="29"/>
        <v>2</v>
      </c>
    </row>
    <row r="610" spans="7:9">
      <c r="G610">
        <f t="shared" ca="1" si="27"/>
        <v>0.76026062373694059</v>
      </c>
      <c r="H610">
        <f t="shared" ca="1" si="28"/>
        <v>2</v>
      </c>
      <c r="I610">
        <f t="shared" ca="1" si="29"/>
        <v>1</v>
      </c>
    </row>
    <row r="611" spans="7:9">
      <c r="G611">
        <f t="shared" ca="1" si="27"/>
        <v>0.42009425031868564</v>
      </c>
      <c r="H611">
        <f t="shared" ca="1" si="28"/>
        <v>1</v>
      </c>
      <c r="I611">
        <f t="shared" ca="1" si="29"/>
        <v>1</v>
      </c>
    </row>
    <row r="612" spans="7:9">
      <c r="G612">
        <f t="shared" ca="1" si="27"/>
        <v>0.77141416159679199</v>
      </c>
      <c r="H612">
        <f t="shared" ca="1" si="28"/>
        <v>2</v>
      </c>
      <c r="I612">
        <f t="shared" ca="1" si="29"/>
        <v>1</v>
      </c>
    </row>
    <row r="613" spans="7:9">
      <c r="G613">
        <f t="shared" ca="1" si="27"/>
        <v>0.97059651440985562</v>
      </c>
      <c r="H613">
        <f t="shared" ca="1" si="28"/>
        <v>2</v>
      </c>
      <c r="I613">
        <f t="shared" ca="1" si="29"/>
        <v>1</v>
      </c>
    </row>
    <row r="614" spans="7:9">
      <c r="G614">
        <f t="shared" ca="1" si="27"/>
        <v>0.40841295162409097</v>
      </c>
      <c r="H614">
        <f t="shared" ca="1" si="28"/>
        <v>1</v>
      </c>
      <c r="I614">
        <f t="shared" ca="1" si="29"/>
        <v>1</v>
      </c>
    </row>
    <row r="615" spans="7:9">
      <c r="G615">
        <f t="shared" ca="1" si="27"/>
        <v>0.30379890097128981</v>
      </c>
      <c r="H615">
        <f t="shared" ca="1" si="28"/>
        <v>1</v>
      </c>
      <c r="I615">
        <f t="shared" ca="1" si="29"/>
        <v>2</v>
      </c>
    </row>
    <row r="616" spans="7:9">
      <c r="G616">
        <f t="shared" ca="1" si="27"/>
        <v>0.55235247115592134</v>
      </c>
      <c r="H616">
        <f t="shared" ca="1" si="28"/>
        <v>1</v>
      </c>
      <c r="I616">
        <f t="shared" ca="1" si="29"/>
        <v>1</v>
      </c>
    </row>
    <row r="617" spans="7:9">
      <c r="G617">
        <f t="shared" ca="1" si="27"/>
        <v>0.62173158595181388</v>
      </c>
      <c r="H617">
        <f t="shared" ca="1" si="28"/>
        <v>1</v>
      </c>
      <c r="I617">
        <f t="shared" ca="1" si="29"/>
        <v>1</v>
      </c>
    </row>
    <row r="618" spans="7:9">
      <c r="G618">
        <f t="shared" ca="1" si="27"/>
        <v>0.66917659979047139</v>
      </c>
      <c r="H618">
        <f t="shared" ca="1" si="28"/>
        <v>2</v>
      </c>
      <c r="I618">
        <f t="shared" ca="1" si="29"/>
        <v>1</v>
      </c>
    </row>
    <row r="619" spans="7:9">
      <c r="G619">
        <f t="shared" ca="1" si="27"/>
        <v>0.17290349140891237</v>
      </c>
      <c r="H619">
        <f t="shared" ca="1" si="28"/>
        <v>1</v>
      </c>
      <c r="I619">
        <f t="shared" ca="1" si="29"/>
        <v>2</v>
      </c>
    </row>
    <row r="620" spans="7:9">
      <c r="G620">
        <f t="shared" ca="1" si="27"/>
        <v>0.76497964374120342</v>
      </c>
      <c r="H620">
        <f t="shared" ca="1" si="28"/>
        <v>2</v>
      </c>
      <c r="I620">
        <f t="shared" ca="1" si="29"/>
        <v>1</v>
      </c>
    </row>
    <row r="621" spans="7:9">
      <c r="G621">
        <f t="shared" ca="1" si="27"/>
        <v>0.43362911109173519</v>
      </c>
      <c r="H621">
        <f t="shared" ca="1" si="28"/>
        <v>1</v>
      </c>
      <c r="I621">
        <f t="shared" ca="1" si="29"/>
        <v>1</v>
      </c>
    </row>
    <row r="622" spans="7:9">
      <c r="G622">
        <f t="shared" ca="1" si="27"/>
        <v>0.76188739535375549</v>
      </c>
      <c r="H622">
        <f t="shared" ca="1" si="28"/>
        <v>2</v>
      </c>
      <c r="I622">
        <f t="shared" ca="1" si="29"/>
        <v>1</v>
      </c>
    </row>
    <row r="623" spans="7:9">
      <c r="G623">
        <f t="shared" ca="1" si="27"/>
        <v>0.24914720867053131</v>
      </c>
      <c r="H623">
        <f t="shared" ca="1" si="28"/>
        <v>1</v>
      </c>
      <c r="I623">
        <f t="shared" ca="1" si="29"/>
        <v>2</v>
      </c>
    </row>
    <row r="624" spans="7:9">
      <c r="G624">
        <f t="shared" ca="1" si="27"/>
        <v>0.58580561461336289</v>
      </c>
      <c r="H624">
        <f t="shared" ca="1" si="28"/>
        <v>1</v>
      </c>
      <c r="I624">
        <f t="shared" ca="1" si="29"/>
        <v>1</v>
      </c>
    </row>
    <row r="625" spans="7:9">
      <c r="G625">
        <f t="shared" ca="1" si="27"/>
        <v>0.1960417710217508</v>
      </c>
      <c r="H625">
        <f t="shared" ca="1" si="28"/>
        <v>1</v>
      </c>
      <c r="I625">
        <f t="shared" ca="1" si="29"/>
        <v>2</v>
      </c>
    </row>
    <row r="626" spans="7:9">
      <c r="G626">
        <f t="shared" ca="1" si="27"/>
        <v>0.10874792515894727</v>
      </c>
      <c r="H626">
        <f t="shared" ca="1" si="28"/>
        <v>1</v>
      </c>
      <c r="I626">
        <f t="shared" ca="1" si="29"/>
        <v>2</v>
      </c>
    </row>
    <row r="627" spans="7:9">
      <c r="G627">
        <f t="shared" ca="1" si="27"/>
        <v>0.46404381860768829</v>
      </c>
      <c r="H627">
        <f t="shared" ca="1" si="28"/>
        <v>1</v>
      </c>
      <c r="I627">
        <f t="shared" ca="1" si="29"/>
        <v>1</v>
      </c>
    </row>
    <row r="628" spans="7:9">
      <c r="G628">
        <f t="shared" ca="1" si="27"/>
        <v>0.91847481055391789</v>
      </c>
      <c r="H628">
        <f t="shared" ca="1" si="28"/>
        <v>2</v>
      </c>
      <c r="I628">
        <f t="shared" ca="1" si="29"/>
        <v>1</v>
      </c>
    </row>
    <row r="629" spans="7:9">
      <c r="G629">
        <f t="shared" ca="1" si="27"/>
        <v>0.6259021047515354</v>
      </c>
      <c r="H629">
        <f t="shared" ca="1" si="28"/>
        <v>1</v>
      </c>
      <c r="I629">
        <f t="shared" ca="1" si="29"/>
        <v>1</v>
      </c>
    </row>
    <row r="630" spans="7:9">
      <c r="G630">
        <f t="shared" ca="1" si="27"/>
        <v>0.63782782914843028</v>
      </c>
      <c r="H630">
        <f t="shared" ca="1" si="28"/>
        <v>1</v>
      </c>
      <c r="I630">
        <f t="shared" ca="1" si="29"/>
        <v>1</v>
      </c>
    </row>
    <row r="631" spans="7:9">
      <c r="G631">
        <f t="shared" ca="1" si="27"/>
        <v>0.2960192495594457</v>
      </c>
      <c r="H631">
        <f t="shared" ca="1" si="28"/>
        <v>1</v>
      </c>
      <c r="I631">
        <f t="shared" ca="1" si="29"/>
        <v>2</v>
      </c>
    </row>
    <row r="632" spans="7:9">
      <c r="G632">
        <f t="shared" ca="1" si="27"/>
        <v>6.6620665557115322E-2</v>
      </c>
      <c r="H632">
        <f t="shared" ca="1" si="28"/>
        <v>1</v>
      </c>
      <c r="I632">
        <f t="shared" ca="1" si="29"/>
        <v>2</v>
      </c>
    </row>
    <row r="633" spans="7:9">
      <c r="G633">
        <f t="shared" ca="1" si="27"/>
        <v>0.28964823914238591</v>
      </c>
      <c r="H633">
        <f t="shared" ca="1" si="28"/>
        <v>1</v>
      </c>
      <c r="I633">
        <f t="shared" ca="1" si="29"/>
        <v>2</v>
      </c>
    </row>
    <row r="634" spans="7:9">
      <c r="G634">
        <f t="shared" ca="1" si="27"/>
        <v>0.55769100833628937</v>
      </c>
      <c r="H634">
        <f t="shared" ca="1" si="28"/>
        <v>1</v>
      </c>
      <c r="I634">
        <f t="shared" ca="1" si="29"/>
        <v>1</v>
      </c>
    </row>
    <row r="635" spans="7:9">
      <c r="G635">
        <f t="shared" ca="1" si="27"/>
        <v>0.6256748815958969</v>
      </c>
      <c r="H635">
        <f t="shared" ca="1" si="28"/>
        <v>1</v>
      </c>
      <c r="I635">
        <f t="shared" ca="1" si="29"/>
        <v>1</v>
      </c>
    </row>
    <row r="636" spans="7:9">
      <c r="G636">
        <f t="shared" ca="1" si="27"/>
        <v>0.79686020814878444</v>
      </c>
      <c r="H636">
        <f t="shared" ca="1" si="28"/>
        <v>2</v>
      </c>
      <c r="I636">
        <f t="shared" ca="1" si="29"/>
        <v>1</v>
      </c>
    </row>
    <row r="637" spans="7:9">
      <c r="G637">
        <f t="shared" ca="1" si="27"/>
        <v>0.98483508535170095</v>
      </c>
      <c r="H637">
        <f t="shared" ca="1" si="28"/>
        <v>2</v>
      </c>
      <c r="I637">
        <f t="shared" ca="1" si="29"/>
        <v>1</v>
      </c>
    </row>
    <row r="638" spans="7:9">
      <c r="G638">
        <f t="shared" ca="1" si="27"/>
        <v>0.52435112551747309</v>
      </c>
      <c r="H638">
        <f t="shared" ca="1" si="28"/>
        <v>1</v>
      </c>
      <c r="I638">
        <f t="shared" ca="1" si="29"/>
        <v>1</v>
      </c>
    </row>
    <row r="639" spans="7:9">
      <c r="G639">
        <f t="shared" ca="1" si="27"/>
        <v>0.26080113347908784</v>
      </c>
      <c r="H639">
        <f t="shared" ca="1" si="28"/>
        <v>1</v>
      </c>
      <c r="I639">
        <f t="shared" ca="1" si="29"/>
        <v>2</v>
      </c>
    </row>
    <row r="640" spans="7:9">
      <c r="G640">
        <f t="shared" ca="1" si="27"/>
        <v>0.25535825978088489</v>
      </c>
      <c r="H640">
        <f t="shared" ca="1" si="28"/>
        <v>1</v>
      </c>
      <c r="I640">
        <f t="shared" ca="1" si="29"/>
        <v>2</v>
      </c>
    </row>
    <row r="641" spans="7:9">
      <c r="G641">
        <f t="shared" ca="1" si="27"/>
        <v>0.19186576426150193</v>
      </c>
      <c r="H641">
        <f t="shared" ca="1" si="28"/>
        <v>1</v>
      </c>
      <c r="I641">
        <f t="shared" ca="1" si="29"/>
        <v>2</v>
      </c>
    </row>
    <row r="642" spans="7:9">
      <c r="G642">
        <f t="shared" ca="1" si="27"/>
        <v>0.58057865318645174</v>
      </c>
      <c r="H642">
        <f t="shared" ca="1" si="28"/>
        <v>1</v>
      </c>
      <c r="I642">
        <f t="shared" ca="1" si="29"/>
        <v>1</v>
      </c>
    </row>
    <row r="643" spans="7:9">
      <c r="G643">
        <f t="shared" ca="1" si="27"/>
        <v>0.25978435575441949</v>
      </c>
      <c r="H643">
        <f t="shared" ca="1" si="28"/>
        <v>1</v>
      </c>
      <c r="I643">
        <f t="shared" ca="1" si="29"/>
        <v>2</v>
      </c>
    </row>
    <row r="644" spans="7:9">
      <c r="G644">
        <f t="shared" ca="1" si="27"/>
        <v>0.89891539072068771</v>
      </c>
      <c r="H644">
        <f t="shared" ca="1" si="28"/>
        <v>2</v>
      </c>
      <c r="I644">
        <f t="shared" ca="1" si="29"/>
        <v>1</v>
      </c>
    </row>
    <row r="645" spans="7:9">
      <c r="G645">
        <f ca="1">RAND()</f>
        <v>0.93882880507388644</v>
      </c>
      <c r="H645">
        <f ca="1">IF(G645&lt;0.66,1,2)</f>
        <v>2</v>
      </c>
      <c r="I645">
        <f ca="1">IF(G645&lt;0.33,2,1)</f>
        <v>1</v>
      </c>
    </row>
  </sheetData>
  <mergeCells count="4">
    <mergeCell ref="A11:A12"/>
    <mergeCell ref="A13:A14"/>
    <mergeCell ref="A15:A29"/>
    <mergeCell ref="A35:A38"/>
  </mergeCells>
  <phoneticPr fontId="3" type="noConversion"/>
  <conditionalFormatting sqref="B2 B6:B7 B10">
    <cfRule type="cellIs" dxfId="35" priority="1" stopIfTrue="1" operator="between">
      <formula>1</formula>
      <formula>1</formula>
    </cfRule>
  </conditionalFormatting>
  <conditionalFormatting sqref="B3:B5 B33">
    <cfRule type="cellIs" dxfId="34" priority="2" stopIfTrue="1" operator="equal">
      <formula>1</formula>
    </cfRule>
  </conditionalFormatting>
  <conditionalFormatting sqref="B9">
    <cfRule type="expression" dxfId="33" priority="3" stopIfTrue="1">
      <formula>"A21=2"</formula>
    </cfRule>
  </conditionalFormatting>
  <pageMargins left="0.75" right="0.75" top="1" bottom="1" header="0" footer="0"/>
  <headerFooter alignWithMargins="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B820-A3C2-4B5C-9136-4AED615F0ECA}">
  <dimension ref="B2:D9"/>
  <sheetViews>
    <sheetView workbookViewId="0">
      <selection activeCell="D9" sqref="D9"/>
    </sheetView>
  </sheetViews>
  <sheetFormatPr defaultRowHeight="12.5"/>
  <sheetData>
    <row r="2" spans="2:4">
      <c r="B2">
        <v>1</v>
      </c>
    </row>
    <row r="3" spans="2:4">
      <c r="B3">
        <v>2</v>
      </c>
    </row>
    <row r="4" spans="2:4">
      <c r="B4">
        <f ca="1">RAND()</f>
        <v>0.96710890152391105</v>
      </c>
      <c r="D4">
        <f ca="1">RANDBETWEEN(1,10)</f>
        <v>9</v>
      </c>
    </row>
    <row r="9" spans="2:4">
      <c r="B9" s="97" t="e">
        <f ca="1">RANDBETWEEN(5,3)</f>
        <v>#NUM!</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R501"/>
  <sheetViews>
    <sheetView workbookViewId="0">
      <pane ySplit="1" topLeftCell="A2" activePane="bottomLeft" state="frozenSplit"/>
      <selection activeCell="C45" sqref="C45"/>
      <selection pane="bottomLeft" activeCell="C11" sqref="C11"/>
    </sheetView>
  </sheetViews>
  <sheetFormatPr defaultColWidth="11.453125" defaultRowHeight="12.5"/>
  <cols>
    <col min="1" max="1" width="33.1796875" style="47" bestFit="1" customWidth="1"/>
    <col min="2" max="2" width="33.1796875" style="49" customWidth="1"/>
    <col min="3" max="3" width="33.1796875" style="47" bestFit="1" customWidth="1"/>
    <col min="4" max="4" width="35.453125" style="49" bestFit="1" customWidth="1"/>
    <col min="5" max="5" width="19.54296875" style="49" bestFit="1" customWidth="1"/>
    <col min="6" max="6" width="12" style="46" bestFit="1" customWidth="1"/>
    <col min="7" max="7" width="16.453125" style="47" bestFit="1" customWidth="1"/>
    <col min="8" max="8" width="15.81640625" style="49" bestFit="1" customWidth="1"/>
    <col min="9" max="9" width="54.54296875" style="46" customWidth="1"/>
    <col min="10" max="10" width="11.453125" style="46"/>
    <col min="11" max="11" width="26.81640625" style="46" customWidth="1"/>
    <col min="12" max="12" width="12.26953125" style="81" bestFit="1" customWidth="1"/>
    <col min="13" max="17" width="11.453125" style="46"/>
    <col min="18" max="18" width="14.453125" style="46" customWidth="1"/>
    <col min="19" max="16384" width="11.453125" style="46"/>
  </cols>
  <sheetData>
    <row r="1" spans="1:18">
      <c r="A1" s="108" t="s">
        <v>34</v>
      </c>
      <c r="B1" s="109"/>
      <c r="C1" s="108" t="s">
        <v>33</v>
      </c>
      <c r="D1" s="109" t="s">
        <v>29</v>
      </c>
      <c r="E1" s="109" t="s">
        <v>32</v>
      </c>
      <c r="F1" s="110" t="s">
        <v>4</v>
      </c>
      <c r="G1" s="108" t="s">
        <v>30</v>
      </c>
      <c r="H1" s="109" t="s">
        <v>31</v>
      </c>
    </row>
    <row r="2" spans="1:18">
      <c r="A2" s="108">
        <f>('main page'!$U$31/100)*'normal case'!D3</f>
        <v>20</v>
      </c>
      <c r="B2" s="109"/>
      <c r="C2" s="108">
        <f>'normal case'!AN3+('main page'!U32/100)*'normal case'!D3</f>
        <v>20</v>
      </c>
      <c r="D2" s="109">
        <f>(A2-C2)/'normal case'!D3</f>
        <v>0</v>
      </c>
      <c r="E2" s="109">
        <f>D2-(G2*'normal case'!T3/100)/'normal case'!D3</f>
        <v>0</v>
      </c>
      <c r="F2" s="110">
        <v>1</v>
      </c>
      <c r="G2" s="108">
        <f>('main page'!$U$33/100)*'normal case'!D3</f>
        <v>0</v>
      </c>
      <c r="H2" s="109">
        <f>G2/'normal case'!D3</f>
        <v>0</v>
      </c>
      <c r="R2" s="47"/>
    </row>
    <row r="3" spans="1:18">
      <c r="A3" s="108">
        <f>('main page'!$U$31/100)*'normal case'!D4</f>
        <v>20</v>
      </c>
      <c r="B3" s="109"/>
      <c r="C3" s="108">
        <f>'normal case'!AN4-'normal case'!AN3+IF(controls!$B$33=1,C2*(1+(('main page'!$K$35/100))),'public finance'!C2)</f>
        <v>20</v>
      </c>
      <c r="D3" s="109">
        <f>IF(ABS(((A3-C3)/'normal case'!D4)-D2)&lt;0.0000001,D2,(A3-C3)/'normal case'!D4)</f>
        <v>0</v>
      </c>
      <c r="E3" s="109">
        <f ca="1">IF(ABS(D3-(G3*('normal case'!T4/100))/'normal case'!D4-E2)&lt;0.0000001,E2,D3-(G3*('normal case'!T4/100))/'normal case'!D4)</f>
        <v>0</v>
      </c>
      <c r="F3" s="110">
        <f>F2*(1+'normal case'!L3/100)</f>
        <v>1.02</v>
      </c>
      <c r="G3" s="108">
        <f>C3-A3+G2*(1+'normal case'!T3/100)</f>
        <v>0</v>
      </c>
      <c r="H3" s="109">
        <f>IF(ABS(G3/'normal case'!D4-H2)&lt;0.0000001,H2,G3/'normal case'!D4)</f>
        <v>0</v>
      </c>
      <c r="R3" s="47"/>
    </row>
    <row r="4" spans="1:18">
      <c r="A4" s="108">
        <f ca="1">('main page'!$U$31/100)*'normal case'!D5</f>
        <v>20</v>
      </c>
      <c r="B4" s="109"/>
      <c r="C4" s="108">
        <f>'normal case'!AN5-'normal case'!AN4+IF(controls!$B$33=1,C3*(1+(('main page'!$K$35/100))),'public finance'!C3)</f>
        <v>20</v>
      </c>
      <c r="D4" s="109">
        <f ca="1">IF(ABS(((A4-C4)/'normal case'!D5)-D3)&lt;0.0000001,D3,(A4-C4)/'normal case'!D5)</f>
        <v>0</v>
      </c>
      <c r="E4" s="109">
        <f ca="1">IF(ABS(D4-(G4*('normal case'!T5/100))/'normal case'!D5-E3)&lt;0.00001,E3,D4-(G4*('normal case'!T5/100))/'normal case'!D5)</f>
        <v>0</v>
      </c>
      <c r="F4" s="110">
        <f>F3*(1+'normal case'!L4/100)</f>
        <v>1.0404</v>
      </c>
      <c r="G4" s="108">
        <f ca="1">C4-A4+G3*(1+'normal case'!T4/100)</f>
        <v>0</v>
      </c>
      <c r="H4" s="109">
        <f ca="1">IF(ABS(G4/'normal case'!D5-H3)&lt;0.0000001,H3,G4/'normal case'!D5)</f>
        <v>0</v>
      </c>
      <c r="K4" s="46" t="s">
        <v>3</v>
      </c>
      <c r="L4" s="81">
        <f>'main page'!U31</f>
        <v>20</v>
      </c>
      <c r="R4" s="47"/>
    </row>
    <row r="5" spans="1:18">
      <c r="A5" s="108">
        <f ca="1">('main page'!$U$31/100)*'normal case'!D6</f>
        <v>20</v>
      </c>
      <c r="B5" s="109"/>
      <c r="C5" s="108">
        <f>'normal case'!AN6-'normal case'!AN5+IF(controls!$B$33=1,C4*(1+(('main page'!$K$35/100))),'public finance'!C4)</f>
        <v>20</v>
      </c>
      <c r="D5" s="109">
        <f ca="1">IF(ABS(((A5-C5)/'normal case'!D6)-D4)&lt;0.0000001,D4,(A5-C5)/'normal case'!D6)</f>
        <v>0</v>
      </c>
      <c r="E5" s="109">
        <f ca="1">IF(ABS(D5-(G5*('normal case'!T6/100))/'normal case'!D6-E4)&lt;0.00001,E4,D5-(G5*('normal case'!T6/100))/'normal case'!D6)</f>
        <v>0</v>
      </c>
      <c r="F5" s="110">
        <f ca="1">F4*(1+'normal case'!L5/100)</f>
        <v>1.0612079999999999</v>
      </c>
      <c r="G5" s="108">
        <f ca="1">C5-A5+G4*(1+'normal case'!T5/100)</f>
        <v>0</v>
      </c>
      <c r="H5" s="109">
        <f ca="1">IF(ABS(G5/'normal case'!D6-H4)&lt;0.0000001,H4,G5/'normal case'!D6)</f>
        <v>0</v>
      </c>
      <c r="K5" s="46" t="s">
        <v>5</v>
      </c>
      <c r="L5" s="81">
        <f>'main page'!U32</f>
        <v>20</v>
      </c>
      <c r="R5" s="47"/>
    </row>
    <row r="6" spans="1:18">
      <c r="A6" s="108">
        <f ca="1">('main page'!$U$31/100)*'normal case'!D7</f>
        <v>20</v>
      </c>
      <c r="B6" s="109"/>
      <c r="C6" s="108">
        <f>'normal case'!AN7-'normal case'!AN6+IF(controls!$B$33=1,C5*(1+(('main page'!$K$35/100))),'public finance'!C5)</f>
        <v>20</v>
      </c>
      <c r="D6" s="109">
        <f ca="1">IF(ABS(((A6-C6)/'normal case'!D7)-D5)&lt;0.0000001,D5,(A6-C6)/'normal case'!D7)</f>
        <v>0</v>
      </c>
      <c r="E6" s="109">
        <f ca="1">IF(ABS(D6-(G6*('normal case'!T7/100))/'normal case'!D7-E5)&lt;0.00001,E5,D6-(G6*('normal case'!T7/100))/'normal case'!D7)</f>
        <v>0</v>
      </c>
      <c r="F6" s="110">
        <f ca="1">F5*(1+'normal case'!L6/100)</f>
        <v>1.08243216</v>
      </c>
      <c r="G6" s="108">
        <f ca="1">C6-A6+G5*(1+'normal case'!T6/100)</f>
        <v>0</v>
      </c>
      <c r="H6" s="109">
        <f ca="1">IF(ABS(G6/'normal case'!D7-H5)&lt;0.0000001,H5,G6/'normal case'!D7)</f>
        <v>0</v>
      </c>
      <c r="K6" s="46" t="s">
        <v>6</v>
      </c>
      <c r="L6" s="81">
        <v>0.1</v>
      </c>
      <c r="R6" s="47"/>
    </row>
    <row r="7" spans="1:18">
      <c r="A7" s="108">
        <f ca="1">('main page'!$U$31/100)*'normal case'!D8</f>
        <v>20.3</v>
      </c>
      <c r="B7" s="109"/>
      <c r="C7" s="108">
        <f ca="1">'normal case'!AN8-'normal case'!AN7+IF(controls!$B$33=1,C6*(1+(('main page'!$K$35/100)))+'normal case'!K8,C6+'normal case'!J8)</f>
        <v>20</v>
      </c>
      <c r="D7" s="109">
        <f ca="1">IF(ABS(((A7-C7)/'normal case'!D8)-D6)&lt;0.0000001,D6,(A7-C7)/'normal case'!D8)</f>
        <v>2.955665024630549E-3</v>
      </c>
      <c r="E7" s="109">
        <f ca="1">IF(ABS(D7-(G7*('normal case'!T8/100))/'normal case'!D8-E6)&lt;0.00001,E6,D7-(G7*('normal case'!T8/100))/'normal case'!D8)</f>
        <v>3.0554187192118301E-3</v>
      </c>
      <c r="F7" s="110">
        <f ca="1">F6*(1+'normal case'!L7/100)</f>
        <v>1.0932564815999999</v>
      </c>
      <c r="G7" s="108">
        <f ca="1">C7-A7+G6*(1+'normal case'!T7/100)</f>
        <v>-0.30000000000000071</v>
      </c>
      <c r="H7" s="109">
        <f ca="1">IF(ABS(G7/'normal case'!D8-H6)&lt;0.0000001,H6,G7/'normal case'!D8)</f>
        <v>-2.955665024630549E-3</v>
      </c>
      <c r="K7" s="46" t="s">
        <v>7</v>
      </c>
      <c r="L7" s="81">
        <f>'main page'!U33</f>
        <v>0</v>
      </c>
      <c r="R7" s="47"/>
    </row>
    <row r="8" spans="1:18">
      <c r="A8" s="108">
        <f ca="1">('main page'!$U$31/100)*'normal case'!D9</f>
        <v>20.25</v>
      </c>
      <c r="B8" s="109"/>
      <c r="C8" s="108">
        <f ca="1">'normal case'!AN9-'normal case'!AN8+IF(controls!$B$31=1,IF(controls!$B$33=1,C7+(C7-'normal case'!K8)*(('main page'!$K$35/100))+'normal case'!K9-'normal case'!K8,C7+'normal case'!J9-'normal case'!J8),IF(controls!$B$33=1,C7*(1+(('main page'!$K$35/100)))+'normal case'!K9,C7+'normal case'!J9))</f>
        <v>20</v>
      </c>
      <c r="D8" s="109">
        <f ca="1">IF(ABS(((A8-C8)/'normal case'!D9)-D7)&lt;0.0000001,D7,(A8-C8)/'normal case'!D9)</f>
        <v>2.4691358024691358E-3</v>
      </c>
      <c r="E8" s="109">
        <f ca="1">IF(ABS(D8-(G8*('normal case'!T9/100))/'normal case'!D9-E7)&lt;0.00001,E7,D8-(G8*('normal case'!T9/100))/'normal case'!D9)</f>
        <v>2.6593016975308644E-3</v>
      </c>
      <c r="F8" s="110">
        <f ca="1">F7*(1+'normal case'!L8/100)</f>
        <v>1.1096553288239999</v>
      </c>
      <c r="G8" s="108">
        <f ca="1">C8-A8+G7*(1+'normal case'!T8/100)</f>
        <v>-0.56012500000000065</v>
      </c>
      <c r="H8" s="109">
        <f ca="1">IF(ABS(G8/'normal case'!D9-H7)&lt;0.0000001,H7,G8/'normal case'!D9)</f>
        <v>-5.5320987654321049E-3</v>
      </c>
      <c r="K8" s="46" t="s">
        <v>143</v>
      </c>
      <c r="L8" s="81">
        <f>(L5/100)*'normal case'!D3</f>
        <v>20</v>
      </c>
      <c r="R8" s="47"/>
    </row>
    <row r="9" spans="1:18">
      <c r="A9" s="108">
        <f ca="1">('main page'!$U$31/100)*'normal case'!D10</f>
        <v>20.225000000000001</v>
      </c>
      <c r="B9" s="109"/>
      <c r="C9" s="108">
        <f ca="1">'normal case'!AN10-'normal case'!AN9+IF(controls!$B$31=1,IF(controls!$B$33=1,C8+(C8-'normal case'!K9)*(('main page'!$K$35/100))+'normal case'!K10-'normal case'!K9,C8+'normal case'!J10-'normal case'!J9),IF(controls!$B$33=1,C8*(1+(('main page'!$K$35/100)))+'normal case'!K10,C8+'normal case'!J10))</f>
        <v>20</v>
      </c>
      <c r="D9" s="109">
        <f ca="1">IF(ABS(((A9-C9)/'normal case'!D10)-D8)&lt;0.0000001,D8,(A9-C9)/'normal case'!D10)</f>
        <v>2.2249690976514354E-3</v>
      </c>
      <c r="E9" s="109">
        <f ca="1">IF(ABS(D9-(G9*('normal case'!T10/100))/'normal case'!D10-E8)&lt;0.00001,E8,D9-(G9*('normal case'!T10/100))/'normal case'!D10)</f>
        <v>2.5008841222284601E-3</v>
      </c>
      <c r="F9" s="110">
        <f ca="1">F8*(1+'normal case'!L9/100)</f>
        <v>1.12907429707842</v>
      </c>
      <c r="G9" s="108">
        <f ca="1">C9-A9+G8*(1+'normal case'!T9/100)</f>
        <v>-0.80437929687500209</v>
      </c>
      <c r="H9" s="109">
        <f ca="1">IF(ABS(G9/'normal case'!D10-H8)&lt;0.0000001,H8,G9/'normal case'!D10)</f>
        <v>-7.9543070148331476E-3</v>
      </c>
      <c r="R9" s="47"/>
    </row>
    <row r="10" spans="1:18">
      <c r="A10" s="108">
        <f ca="1">('main page'!$U$31/100)*'normal case'!D11</f>
        <v>20.212500000000002</v>
      </c>
      <c r="B10" s="109"/>
      <c r="C10" s="108">
        <f ca="1">'normal case'!AN11-'normal case'!AN10+IF(controls!$B$31=1,IF(controls!$B$33=1,C9+(C9-'normal case'!K10)*(('main page'!$K$35/100))+'normal case'!K11-'normal case'!K10,C9+'normal case'!J11-'normal case'!J10),IF(controls!$B$33=1,C9*(1+(('main page'!$K$35/100)))+'normal case'!K11,C9+'normal case'!J11))</f>
        <v>20</v>
      </c>
      <c r="D10" s="109">
        <f ca="1">IF(ABS(((A10-C10)/'normal case'!D11)-D9)&lt;0.0000001,D9,(A10-C10)/'normal case'!D11)</f>
        <v>2.1026592455164095E-3</v>
      </c>
      <c r="E10" s="109">
        <f ca="1">IF(ABS(D10-(G10*('normal case'!T11/100))/'normal case'!D11-E9)&lt;0.00001,E9,D10-(G10*('normal case'!T11/100))/'normal case'!D11)</f>
        <v>2.4628729258395145E-3</v>
      </c>
      <c r="F10" s="110">
        <f ca="1">F9*(1+'normal case'!L10/100)</f>
        <v>1.1502444401486405</v>
      </c>
      <c r="G10" s="108">
        <f ca="1">C10-A10+G9*(1+'normal case'!T10/100)</f>
        <v>-1.0447812037353559</v>
      </c>
      <c r="H10" s="109">
        <f ca="1">IF(ABS(G10/'normal case'!D11-H9)&lt;0.0000001,H9,G10/'normal case'!D11)</f>
        <v>-1.0337971094474764E-2</v>
      </c>
      <c r="R10" s="47"/>
    </row>
    <row r="11" spans="1:18">
      <c r="A11" s="108">
        <f ca="1">('main page'!$U$31/100)*'normal case'!D12</f>
        <v>20.206250000000001</v>
      </c>
      <c r="B11" s="109"/>
      <c r="C11" s="108">
        <f ca="1">'normal case'!AN12-'normal case'!AN11+IF(controls!$B$31=1,IF(controls!$B$33=1,C10+(C10-'normal case'!K11)*(('main page'!$K$35/100))+'normal case'!K12-'normal case'!K11,C10+'normal case'!J12-'normal case'!J11),IF(controls!$B$33=1,C10*(1+(('main page'!$K$35/100)))+'normal case'!K12,C10+'normal case'!J12))</f>
        <v>20</v>
      </c>
      <c r="D11" s="109">
        <f ca="1">IF(ABS(((A11-C11)/'normal case'!D12)-D10)&lt;0.0000001,D10,(A11-C11)/'normal case'!D12)</f>
        <v>2.0414475719146372E-3</v>
      </c>
      <c r="E11" s="109">
        <f ca="1">IF(ABS(D11-(G11*('normal case'!T12/100))/'normal case'!D12-E10)&lt;0.00001,E10,D11-(G11*('normal case'!T12/100))/'normal case'!D12)</f>
        <v>2.4864549787851488E-3</v>
      </c>
      <c r="F11" s="110">
        <f ca="1">F10*(1+'normal case'!L11/100)</f>
        <v>1.1725304261765204</v>
      </c>
      <c r="G11" s="108">
        <f ca="1">C11-A11+G10*(1+'normal case'!T11/100)</f>
        <v>-1.2874352988030104</v>
      </c>
      <c r="H11" s="109">
        <f ca="1">IF(ABS(G11/'normal case'!D12-H10)&lt;0.0000001,H10,G11/'normal case'!D12)</f>
        <v>-1.2742941404793175E-2</v>
      </c>
      <c r="R11" s="47"/>
    </row>
    <row r="12" spans="1:18">
      <c r="A12" s="108">
        <f ca="1">('main page'!$U$31/100)*'normal case'!D13</f>
        <v>20.203125</v>
      </c>
      <c r="B12" s="109"/>
      <c r="C12" s="108">
        <f ca="1">'normal case'!AN13-'normal case'!AN12+IF(controls!$B$31=1,IF(controls!$B$33=1,C11+(C11-'normal case'!K12)*(('main page'!$K$35/100))+'normal case'!K13-'normal case'!K12,C11+'normal case'!J13-'normal case'!J12),IF(controls!$B$33=1,C11*(1+(('main page'!$K$35/100)))+'normal case'!K13,C11+'normal case'!J13))</f>
        <v>20</v>
      </c>
      <c r="D12" s="109">
        <f ca="1">IF(ABS(((A12-C12)/'normal case'!D13)-D11)&lt;0.0000001,D11,(A12-C12)/'normal case'!D13)</f>
        <v>2.0108275328692962E-3</v>
      </c>
      <c r="E12" s="109">
        <f ca="1">IF(ABS(D12-(G12*('normal case'!T13/100))/'normal case'!D13-E11)&lt;0.00001,E11,D12-(G12*('normal case'!T13/100))/'normal case'!D13)</f>
        <v>2.5422623195180453E-3</v>
      </c>
      <c r="F12" s="110">
        <f ca="1">F11*(1+'normal case'!L12/100)</f>
        <v>1.1956146189418706</v>
      </c>
      <c r="G12" s="108">
        <f ca="1">C12-A12+G11*(1+'normal case'!T12/100)</f>
        <v>-1.5355199533783968</v>
      </c>
      <c r="H12" s="109">
        <f ca="1">IF(ABS(G12/'normal case'!D13-H11)&lt;0.0000001,H11,G12/'normal case'!D13)</f>
        <v>-1.5200816243807794E-2</v>
      </c>
      <c r="R12" s="47"/>
    </row>
    <row r="13" spans="1:18">
      <c r="A13" s="108">
        <f ca="1">('main page'!$U$31/100)*'normal case'!D14</f>
        <v>20.201562500000001</v>
      </c>
      <c r="B13" s="109"/>
      <c r="C13" s="108">
        <f ca="1">'normal case'!AN14-'normal case'!AN13+IF(controls!$B$31=1,IF(controls!$B$33=1,C12+(C12-'normal case'!K13)*(('main page'!$K$35/100))+'normal case'!K14-'normal case'!K13,C12+'normal case'!J14-'normal case'!J13),IF(controls!$B$33=1,C12*(1+(('main page'!$K$35/100)))+'normal case'!K14,C12+'normal case'!J14))</f>
        <v>20</v>
      </c>
      <c r="D13" s="109">
        <f ca="1">IF(ABS(((A13-C13)/'normal case'!D14)-D12)&lt;0.0000001,D12,(A13-C13)/'normal case'!D14)</f>
        <v>1.9955139608631898E-3</v>
      </c>
      <c r="E13" s="109">
        <f ca="1">IF(ABS(D13-(G13*('normal case'!T14/100))/'normal case'!D14-E12)&lt;0.00001,E12,D13-(G13*('normal case'!T14/100))/'normal case'!D14)</f>
        <v>2.6156820550434718E-3</v>
      </c>
      <c r="F13" s="110">
        <f ca="1">F12*(1+'normal case'!L13/100)</f>
        <v>1.2193400965364982</v>
      </c>
      <c r="G13" s="108">
        <f ca="1">C13-A13+G12*(1+'normal case'!T13/100)</f>
        <v>-1.7907656704984631</v>
      </c>
      <c r="H13" s="109">
        <f ca="1">IF(ABS(G13/'normal case'!D14-H12)&lt;0.0000001,H12,G13/'normal case'!D14)</f>
        <v>-1.7728981810178922E-2</v>
      </c>
      <c r="R13" s="47"/>
    </row>
    <row r="14" spans="1:18">
      <c r="A14" s="108">
        <f ca="1">('main page'!$U$31/100)*'normal case'!D15</f>
        <v>20.200781250000002</v>
      </c>
      <c r="B14" s="109"/>
      <c r="C14" s="108">
        <f ca="1">'normal case'!AN15-'normal case'!AN14+IF(controls!$B$31=1,IF(controls!$B$33=1,C13+(C13-'normal case'!K14)*(('main page'!$K$35/100))+'normal case'!K15-'normal case'!K14,C13+'normal case'!J15-'normal case'!J14),IF(controls!$B$33=1,C13*(1+(('main page'!$K$35/100)))+'normal case'!K15,C13+'normal case'!J15))</f>
        <v>20</v>
      </c>
      <c r="D14" s="109">
        <f ca="1">IF(ABS(((A14-C14)/'normal case'!D15)-D13)&lt;0.0000001,D13,(A14-C14)/'normal case'!D15)</f>
        <v>1.9878562864988417E-3</v>
      </c>
      <c r="E14" s="109">
        <f ca="1">IF(ABS(D14-(G14*('normal case'!T15/100))/'normal case'!D15-E13)&lt;0.00001,E13,D14-(G14*('normal case'!T15/100))/'normal case'!D15)</f>
        <v>2.6994777300570483E-3</v>
      </c>
      <c r="F14" s="110">
        <f ca="1">F13*(1+'normal case'!L14/100)</f>
        <v>1.2436316375221863</v>
      </c>
      <c r="G14" s="108">
        <f ca="1">C14-A14+G13*(1+'normal case'!T14/100)</f>
        <v>-2.0541887430739094</v>
      </c>
      <c r="H14" s="109">
        <f ca="1">IF(ABS(G14/'normal case'!D15-H13)&lt;0.0000001,H13,G14/'normal case'!D15)</f>
        <v>-2.0337715830410365E-2</v>
      </c>
    </row>
    <row r="15" spans="1:18">
      <c r="A15" s="108">
        <f ca="1">('main page'!$U$31/100)*'normal case'!D16</f>
        <v>20.200390625000001</v>
      </c>
      <c r="B15" s="109"/>
      <c r="C15" s="108">
        <f ca="1">'normal case'!AN16-'normal case'!AN15+IF(controls!$B$31=1,IF(controls!$B$33=1,C14+(C14-'normal case'!K15)*(('main page'!$K$35/100))+'normal case'!K16-'normal case'!K15,C14+'normal case'!J16-'normal case'!J15),IF(controls!$B$33=1,C14*(1+(('main page'!$K$35/100)))+'normal case'!K16,C14+'normal case'!J16))</f>
        <v>20</v>
      </c>
      <c r="D15" s="109">
        <f ca="1">IF(ABS(((A15-C15)/'normal case'!D16)-D14)&lt;0.0000001,D14,(A15-C15)/'normal case'!D16)</f>
        <v>1.9840272271962633E-3</v>
      </c>
      <c r="E15" s="109">
        <f ca="1">IF(ABS(D15-(G15*('normal case'!T16/100))/'normal case'!D16-E14)&lt;0.00001,E14,D15-(G15*('normal case'!T16/100))/'normal case'!D16)</f>
        <v>2.7900967616020468E-3</v>
      </c>
      <c r="F15" s="110">
        <f ca="1">F14*(1+'normal case'!L15/100)</f>
        <v>1.2684556909117894</v>
      </c>
      <c r="G15" s="108">
        <f ca="1">C15-A15+G14*(1+'normal case'!T15/100)</f>
        <v>-2.3264559136445526</v>
      </c>
      <c r="H15" s="109">
        <f ca="1">IF(ABS(G15/'normal case'!D16-H14)&lt;0.0000001,H14,G15/'normal case'!D16)</f>
        <v>-2.3033771542668398E-2</v>
      </c>
    </row>
    <row r="16" spans="1:18">
      <c r="A16" s="108">
        <f ca="1">('main page'!$U$31/100)*'normal case'!D17</f>
        <v>20.2001953125</v>
      </c>
      <c r="B16" s="109"/>
      <c r="C16" s="108">
        <f ca="1">'normal case'!AN17-'normal case'!AN16+IF(controls!$B$31=1,IF(controls!$B$33=1,C15+(C15-'normal case'!K16)*(('main page'!$K$35/100))+'normal case'!K17-'normal case'!K16,C15+'normal case'!J17-'normal case'!J16),IF(controls!$B$33=1,C15*(1+(('main page'!$K$35/100)))+'normal case'!K17,C15+'normal case'!J17))</f>
        <v>20</v>
      </c>
      <c r="D16" s="109">
        <f ca="1">IF(ABS(((A16-C16)/'normal case'!D17)-D15)&lt;0.0000001,D15,(A16-C16)/'normal case'!D17)</f>
        <v>1.982112642011119E-3</v>
      </c>
      <c r="E16" s="109">
        <f ca="1">IF(ABS(D16-(G16*('normal case'!T17/100))/'normal case'!D17-E15)&lt;0.00001,E15,D16-(G16*('normal case'!T17/100))/'normal case'!D17)</f>
        <v>2.8858260473652686E-3</v>
      </c>
      <c r="F16" s="110">
        <f ca="1">F15*(1+'normal case'!L16/100)</f>
        <v>1.2938000302048123</v>
      </c>
      <c r="G16" s="108">
        <f ca="1">C16-A16+G15*(1+'normal case'!T16/100)</f>
        <v>-2.6080658234740963</v>
      </c>
      <c r="H16" s="109">
        <f ca="1">IF(ABS(G16/'normal case'!D17-H15)&lt;0.0000001,H15,G16/'normal case'!D17)</f>
        <v>-2.5822184222745705E-2</v>
      </c>
    </row>
    <row r="17" spans="1:8">
      <c r="A17" s="108">
        <f ca="1">('main page'!$U$31/100)*'normal case'!D18</f>
        <v>20.200097656250001</v>
      </c>
      <c r="B17" s="109"/>
      <c r="C17" s="108">
        <f ca="1">'normal case'!AN18-'normal case'!AN17+IF(controls!$B$31=1,IF(controls!$B$33=1,C16+(C16-'normal case'!K17)*(('main page'!$K$35/100))+'normal case'!K18-'normal case'!K17,C16+'normal case'!J18-'normal case'!J17),IF(controls!$B$33=1,C16*(1+(('main page'!$K$35/100)))+'normal case'!K18,C16+'normal case'!J18))</f>
        <v>20</v>
      </c>
      <c r="D17" s="109">
        <f ca="1">IF(ABS(((A17-C17)/'normal case'!D18)-D16)&lt;0.0000001,D16,(A17-C17)/'normal case'!D18)</f>
        <v>1.981155335534631E-3</v>
      </c>
      <c r="E17" s="109">
        <f ca="1">IF(ABS(D17-(G17*('normal case'!T18/100))/'normal case'!D18-E16)&lt;0.00001,E16,D17-(G17*('normal case'!T18/100))/'normal case'!D18)</f>
        <v>2.9858716684852162E-3</v>
      </c>
      <c r="F17" s="110">
        <f ca="1">F16*(1+'normal case'!L17/100)</f>
        <v>1.3196633960429887</v>
      </c>
      <c r="G17" s="108">
        <f ca="1">C17-A17+G16*(1+'normal case'!T17/100)</f>
        <v>-2.8994394161974895</v>
      </c>
      <c r="H17" s="109">
        <f ca="1">IF(ABS(G17/'normal case'!D18-H16)&lt;0.0000001,H16,G17/'normal case'!D18)</f>
        <v>-2.8707182168501943E-2</v>
      </c>
    </row>
    <row r="18" spans="1:8">
      <c r="A18" s="108">
        <f ca="1">('main page'!$U$31/100)*'normal case'!D19</f>
        <v>20.200048828125002</v>
      </c>
      <c r="B18" s="109"/>
      <c r="C18" s="108">
        <f ca="1">'normal case'!AN19-'normal case'!AN18+IF(controls!$B$31=1,IF(controls!$B$33=1,C17+(C17-'normal case'!K18)*(('main page'!$K$35/100))+'normal case'!K19-'normal case'!K18,C17+'normal case'!J19-'normal case'!J18),IF(controls!$B$33=1,C17*(1+(('main page'!$K$35/100)))+'normal case'!K19,C17+'normal case'!J19))</f>
        <v>20</v>
      </c>
      <c r="D18" s="109">
        <f ca="1">IF(ABS(((A18-C18)/'normal case'!D19)-D17)&lt;0.0000001,D17,(A18-C18)/'normal case'!D19)</f>
        <v>1.9806766788253451E-3</v>
      </c>
      <c r="E18" s="109">
        <f ca="1">IF(ABS(D18-(G18*('normal case'!T19/100))/'normal case'!D19-E17)&lt;0.00001,E17,D18-(G18*('normal case'!T19/100))/'normal case'!D19)</f>
        <v>3.0898999801936789E-3</v>
      </c>
      <c r="F18" s="110">
        <f ca="1">F17*(1+'normal case'!L18/100)</f>
        <v>1.3460502202949223</v>
      </c>
      <c r="G18" s="108">
        <f ca="1">C18-A18+G17*(1+'normal case'!T18/100)</f>
        <v>-3.2009650845346473</v>
      </c>
      <c r="H18" s="109">
        <f ca="1">IF(ABS(G18/'normal case'!D19-H17)&lt;0.0000001,H17,G18/'normal case'!D19)</f>
        <v>-3.1692647000712879E-2</v>
      </c>
    </row>
    <row r="19" spans="1:8">
      <c r="A19" s="108">
        <f ca="1">('main page'!$U$31/100)*'normal case'!D20</f>
        <v>20.200024414062501</v>
      </c>
      <c r="B19" s="109"/>
      <c r="C19" s="108">
        <f ca="1">'normal case'!AN20-'normal case'!AN19+IF(controls!$B$31=1,IF(controls!$B$33=1,C18+(C18-'normal case'!K19)*(('main page'!$K$35/100))+'normal case'!K20-'normal case'!K19,C18+'normal case'!J20-'normal case'!J19),IF(controls!$B$33=1,C18*(1+(('main page'!$K$35/100)))+'normal case'!K20,C18+'normal case'!J20))</f>
        <v>20</v>
      </c>
      <c r="D19" s="109">
        <f ca="1">IF(ABS(((A19-C19)/'normal case'!D20)-D18)&lt;0.0000001,D18,(A19-C19)/'normal case'!D20)</f>
        <v>1.9804373496029163E-3</v>
      </c>
      <c r="E19" s="109">
        <f ca="1">IF(ABS(D19-(G19*('normal case'!T20/100))/'normal case'!D20-E18)&lt;0.00001,E18,D19-(G19*('normal case'!T20/100))/'normal case'!D20)</f>
        <v>3.1978088902515555E-3</v>
      </c>
      <c r="F19" s="110">
        <f ca="1">F18*(1+'normal case'!L19/100)</f>
        <v>1.3729679384454001</v>
      </c>
      <c r="G19" s="108">
        <f ca="1">C19-A19+G18*(1+'normal case'!T19/100)</f>
        <v>-3.5130213228418201</v>
      </c>
      <c r="H19" s="109">
        <f ca="1">IF(ABS(G19/'normal case'!D20-H18)&lt;0.0000001,H18,G19/'normal case'!D20)</f>
        <v>-3.4782347296532831E-2</v>
      </c>
    </row>
    <row r="20" spans="1:8">
      <c r="A20" s="108">
        <f ca="1">('main page'!$U$31/100)*'normal case'!D21</f>
        <v>20.20001220703125</v>
      </c>
      <c r="B20" s="109"/>
      <c r="C20" s="108">
        <f ca="1">'normal case'!AN21-'normal case'!AN20+IF(controls!$B$31=1,IF(controls!$B$33=1,C19+(C19-'normal case'!K20)*(('main page'!$K$35/100))+'normal case'!K21-'normal case'!K20,C19+'normal case'!J21-'normal case'!J20),IF(controls!$B$33=1,C19*(1+(('main page'!$K$35/100)))+'normal case'!K21,C19+'normal case'!J21))</f>
        <v>20</v>
      </c>
      <c r="D20" s="109">
        <f ca="1">IF(ABS(((A20-C20)/'normal case'!D21)-D19)&lt;0.0000001,D19,(A20-C20)/'normal case'!D21)</f>
        <v>1.9803176847747591E-3</v>
      </c>
      <c r="E20" s="109">
        <f ca="1">IF(ABS(D20-(G20*('normal case'!T21/100))/'normal case'!D21-E19)&lt;0.00001,E19,D20-(G20*('normal case'!T21/100))/'normal case'!D21)</f>
        <v>3.3096139291685241E-3</v>
      </c>
      <c r="F20" s="110">
        <f ca="1">F19*(1+'normal case'!L20/100)</f>
        <v>1.400425621228055</v>
      </c>
      <c r="G20" s="108">
        <f ca="1">C20-A20+G19*(1+'normal case'!T20/100)</f>
        <v>-3.8359882040835074</v>
      </c>
      <c r="H20" s="109">
        <f ca="1">IF(ABS(G20/'normal case'!D21-H19)&lt;0.0000001,H19,G20/'normal case'!D21)</f>
        <v>-3.7980058276878378E-2</v>
      </c>
    </row>
    <row r="21" spans="1:8">
      <c r="A21" s="108">
        <f ca="1">('main page'!$U$31/100)*'normal case'!D22</f>
        <v>20.200006103515626</v>
      </c>
      <c r="B21" s="109"/>
      <c r="C21" s="108">
        <f ca="1">'normal case'!AN22-'normal case'!AN21+IF(controls!$B$31=1,IF(controls!$B$33=1,C20+(C20-'normal case'!K21)*(('main page'!$K$35/100))+'normal case'!K22-'normal case'!K21,C20+'normal case'!J22-'normal case'!J21),IF(controls!$B$33=1,C20*(1+(('main page'!$K$35/100)))+'normal case'!K22,C20+'normal case'!J22))</f>
        <v>20</v>
      </c>
      <c r="D21" s="109">
        <f ca="1">IF(ABS(((A21-C21)/'normal case'!D22)-D20)&lt;0.0000001,D20,(A21-C21)/'normal case'!D22)</f>
        <v>1.9803176847747591E-3</v>
      </c>
      <c r="E21" s="109">
        <f ca="1">IF(ABS(D21-(G21*('normal case'!T22/100))/'normal case'!D22-E20)&lt;0.00001,E20,D21-(G21*('normal case'!T22/100))/'normal case'!D22)</f>
        <v>3.4254513834136337E-3</v>
      </c>
      <c r="F21" s="110">
        <f ca="1">F20*(1+'normal case'!L21/100)</f>
        <v>1.42843327890065</v>
      </c>
      <c r="G21" s="108">
        <f ca="1">C21-A21+G20*(1+'normal case'!T21/100)</f>
        <v>-4.170253309416708</v>
      </c>
      <c r="H21" s="109">
        <f ca="1">IF(ABS(G21/'normal case'!D22-H20)&lt;0.0000001,H20,G21/'normal case'!D22)</f>
        <v>-4.1289624251063112E-2</v>
      </c>
    </row>
    <row r="22" spans="1:8">
      <c r="A22" s="108">
        <f ca="1">('main page'!$U$31/100)*'normal case'!D23</f>
        <v>20.200003051757815</v>
      </c>
      <c r="B22" s="109"/>
      <c r="C22" s="108">
        <f ca="1">'normal case'!AN23-'normal case'!AN22+IF(controls!$B$31=1,IF(controls!$B$33=1,C21+(C21-'normal case'!K22)*(('main page'!$K$35/100))+'normal case'!K23-'normal case'!K22,C21+'normal case'!J23-'normal case'!J22),IF(controls!$B$33=1,C21*(1+(('main page'!$K$35/100)))+'normal case'!K23,C21+'normal case'!J23))</f>
        <v>20</v>
      </c>
      <c r="D22" s="109">
        <f ca="1">IF(ABS(((A22-C22)/'normal case'!D23)-D21)&lt;0.0000001,D21,(A22-C22)/'normal case'!D23)</f>
        <v>1.9803176847747591E-3</v>
      </c>
      <c r="E22" s="109">
        <f ca="1">IF(ABS(D22-(G22*('normal case'!T23/100))/'normal case'!D23-E21)&lt;0.00001,E21,D22-(G22*('normal case'!T23/100))/'normal case'!D23)</f>
        <v>3.5453407110033054E-3</v>
      </c>
      <c r="F22" s="110">
        <f ca="1">F21*(1+'normal case'!L22/100)</f>
        <v>1.4570015085554211</v>
      </c>
      <c r="G22" s="108">
        <f ca="1">C22-A22+G21*(1+'normal case'!T22/100)</f>
        <v>-4.5162149088390295</v>
      </c>
      <c r="H22" s="109">
        <f ca="1">IF(ABS(G22/'normal case'!D23-H21)&lt;0.0000001,H21,G22/'normal case'!D23)</f>
        <v>-4.4714992342003893E-2</v>
      </c>
    </row>
    <row r="23" spans="1:8">
      <c r="A23" s="108">
        <f ca="1">('main page'!$U$31/100)*'normal case'!D24</f>
        <v>20.200001525878907</v>
      </c>
      <c r="B23" s="109"/>
      <c r="C23" s="108">
        <f ca="1">'normal case'!AN24-'normal case'!AN23+IF(controls!$B$31=1,IF(controls!$B$33=1,C22*(1+(('main page'!$K$35/100)))-'normal case'!K23,C22-'normal case'!J23),IF(controls!$B$33=1,C22*(1+(('main page'!$K$35/100))),C22))</f>
        <v>20</v>
      </c>
      <c r="D23" s="109">
        <f ca="1">IF(ABS(((A23-C23)/'normal case'!D24)-D22)&lt;0.0000001,D22,(A23-C23)/'normal case'!D24)</f>
        <v>1.9802129779314939E-3</v>
      </c>
      <c r="E23" s="109">
        <f ca="1">IF(ABS(D23-(G23*('normal case'!T24/100))/'normal case'!D24-E22)&lt;0.00001,E22,D23-(G23*('normal case'!T24/100))/'normal case'!D24)</f>
        <v>3.6693201719137499E-3</v>
      </c>
      <c r="F23" s="110">
        <f ca="1">F22*(1+'normal case'!L23/100)</f>
        <v>1.4861413164057429</v>
      </c>
      <c r="G23" s="108">
        <f ca="1">C23-A23+G22*(1+'normal case'!T23/100)</f>
        <v>-4.8742837842473765</v>
      </c>
      <c r="H23" s="109">
        <f ca="1">IF(ABS(G23/'normal case'!D24-H22)&lt;0.0000001,H22,G23/'normal case'!D24)</f>
        <v>-4.8260231842089385E-2</v>
      </c>
    </row>
    <row r="24" spans="1:8">
      <c r="A24" s="108">
        <f ca="1">('main page'!$U$31/100)*'normal case'!D25</f>
        <v>20.200000762939453</v>
      </c>
      <c r="B24" s="109"/>
      <c r="C24" s="108">
        <f ca="1">'normal case'!AN25-'normal case'!AN24+IF(controls!$B$33=1,(1+(('main page'!$K$35/100)))*C23,'public finance'!C23)</f>
        <v>20</v>
      </c>
      <c r="D24" s="109">
        <f ca="1">IF(ABS(((A24-C24)/'normal case'!D25)-D23)&lt;0.0000001,D23,(A24-C24)/'normal case'!D25)</f>
        <v>1.9802129779314939E-3</v>
      </c>
      <c r="E24" s="109">
        <f ca="1">IF(ABS(D24-(G24*('normal case'!T25/100))/'normal case'!D25-E23)&lt;0.00001,E23,D24-(G24*('normal case'!T25/100))/'normal case'!D25)</f>
        <v>3.7977466074448673E-3</v>
      </c>
      <c r="F24" s="110">
        <f ca="1">F23*(1+'normal case'!L24/100)</f>
        <v>1.5158640293502734</v>
      </c>
      <c r="G24" s="108">
        <f ca="1">C24-A24+G23*(1+'normal case'!T24/100)</f>
        <v>-5.2448843866659018</v>
      </c>
      <c r="H24" s="109">
        <f ca="1">IF(ABS(G24/'normal case'!D25-H23)&lt;0.0000001,H23,G24/'normal case'!D25)</f>
        <v>-5.1929546421489142E-2</v>
      </c>
    </row>
    <row r="25" spans="1:8">
      <c r="A25" s="108">
        <f ca="1">('main page'!$U$31/100)*'normal case'!D26</f>
        <v>20.200000381469728</v>
      </c>
      <c r="B25" s="109"/>
      <c r="C25" s="108">
        <f ca="1">'normal case'!AN26-'normal case'!AN25+IF(controls!$B$33=1,(1+(('main page'!$K$35/100)))*C24,'public finance'!C24)</f>
        <v>20</v>
      </c>
      <c r="D25" s="109">
        <f ca="1">IF(ABS(((A25-C25)/'normal case'!D26)-D24)&lt;0.0000001,D24,(A25-C25)/'normal case'!D26)</f>
        <v>1.9802129779314939E-3</v>
      </c>
      <c r="E25" s="109">
        <f ca="1">IF(ABS(D25-(G25*('normal case'!T26/100))/'normal case'!D26-E24)&lt;0.00001,E24,D25-(G25*('normal case'!T26/100))/'normal case'!D26)</f>
        <v>3.9306676110896985E-3</v>
      </c>
      <c r="F25" s="110">
        <f ca="1">F24*(1+'normal case'!L25/100)</f>
        <v>1.5461812521116551</v>
      </c>
      <c r="G25" s="108">
        <f ca="1">C25-A25+G24*(1+'normal case'!T25/100)</f>
        <v>-5.6284556716498209</v>
      </c>
      <c r="H25" s="109">
        <f ca="1">IF(ABS(G25/'normal case'!D26-H24)&lt;0.0000001,H24,G25/'normal case'!D26)</f>
        <v>-5.5727282825331327E-2</v>
      </c>
    </row>
    <row r="26" spans="1:8">
      <c r="A26" s="108">
        <f ca="1">('main page'!$U$31/100)*'normal case'!D27</f>
        <v>20.200000190734865</v>
      </c>
      <c r="B26" s="109"/>
      <c r="C26" s="108">
        <f ca="1">'normal case'!AN27-'normal case'!AN26+IF(controls!$B$33=1,(1+(('main page'!$K$35/100)))*C25,'public finance'!C25)</f>
        <v>20</v>
      </c>
      <c r="D26" s="109">
        <f ca="1">IF(ABS(((A26-C26)/'normal case'!D27)-D25)&lt;0.0000001,D25,(A26-C26)/'normal case'!D27)</f>
        <v>1.9802129779314939E-3</v>
      </c>
      <c r="E26" s="109">
        <f ca="1">IF(ABS(D26-(G26*('normal case'!T27/100))/'normal case'!D27-E25)&lt;0.00001,E25,D26-(G26*('normal case'!T27/100))/'normal case'!D27)</f>
        <v>4.0682406619393183E-3</v>
      </c>
      <c r="F26" s="110">
        <f ca="1">F25*(1+'normal case'!L26/100)</f>
        <v>1.5771048476628213</v>
      </c>
      <c r="G26" s="108">
        <f ca="1">C26-A26+G25*(1+'normal case'!T26/100)</f>
        <v>-6.0254517840538622</v>
      </c>
      <c r="H26" s="109">
        <f ca="1">IF(ABS(G26/'normal case'!D27-H25)&lt;0.0000001,H25,G26/'normal case'!D27)</f>
        <v>-5.9657937892669495E-2</v>
      </c>
    </row>
    <row r="27" spans="1:8">
      <c r="A27" s="108">
        <f ca="1">('main page'!$U$31/100)*'normal case'!D28</f>
        <v>20.200000095367432</v>
      </c>
      <c r="B27" s="109"/>
      <c r="C27" s="108">
        <f ca="1">'normal case'!AN28-'normal case'!AN27+IF(controls!$B$33=1,(1+(('main page'!$K$35/100)))*C26,'public finance'!C26)</f>
        <v>20</v>
      </c>
      <c r="D27" s="109">
        <f ca="1">IF(ABS(((A27-C27)/'normal case'!D28)-D26)&lt;0.0000001,D26,(A27-C27)/'normal case'!D28)</f>
        <v>1.9802129779314939E-3</v>
      </c>
      <c r="E27" s="109">
        <f ca="1">IF(ABS(D27-(G27*('normal case'!T28/100))/'normal case'!D28-E26)&lt;0.00001,E26,D27-(G27*('normal case'!T28/100))/'normal case'!D28)</f>
        <v>4.2106286707646124E-3</v>
      </c>
      <c r="F27" s="110">
        <f ca="1">F26*(1+'normal case'!L27/100)</f>
        <v>1.6086469295756338</v>
      </c>
      <c r="G27" s="108">
        <f ca="1">C27-A27+G26*(1+'normal case'!T27/100)</f>
        <v>-6.4363426774973833</v>
      </c>
      <c r="H27" s="109">
        <f ca="1">IF(ABS(G27/'normal case'!D28-H26)&lt;0.0000001,H26,G27/'normal case'!D28)</f>
        <v>-6.3726164822875048E-2</v>
      </c>
    </row>
    <row r="28" spans="1:8">
      <c r="A28" s="108">
        <f ca="1">('main page'!$U$31/100)*'normal case'!D29</f>
        <v>20.200000047683716</v>
      </c>
      <c r="B28" s="109"/>
      <c r="C28" s="108">
        <f ca="1">'normal case'!AN29-'normal case'!AN28+IF(controls!$B$33=1,(1+(('main page'!$K$35/100)))*C27,'public finance'!C27)</f>
        <v>20</v>
      </c>
      <c r="D28" s="109">
        <f ca="1">IF(ABS(((A28-C28)/'normal case'!D29)-D27)&lt;0.0000001,D27,(A28-C28)/'normal case'!D29)</f>
        <v>1.9802129779314939E-3</v>
      </c>
      <c r="E28" s="109">
        <f ca="1">IF(ABS(D28-(G28*('normal case'!T29/100))/'normal case'!D29-E27)&lt;0.00001,E27,D28-(G28*('normal case'!T29/100))/'normal case'!D29)</f>
        <v>4.358000207990681E-3</v>
      </c>
      <c r="F28" s="110">
        <f ca="1">F27*(1+'normal case'!L28/100)</f>
        <v>1.6408198604965201</v>
      </c>
      <c r="G28" s="108">
        <f ca="1">C28-A28+G27*(1+'normal case'!T28/100)</f>
        <v>-6.8616147112207893</v>
      </c>
      <c r="H28" s="109">
        <f ca="1">IF(ABS(G28/'normal case'!D29-H27)&lt;0.0000001,H27,G28/'normal case'!D29)</f>
        <v>-6.7936779158647514E-2</v>
      </c>
    </row>
    <row r="29" spans="1:8">
      <c r="A29" s="108">
        <f ca="1">('main page'!$U$31/100)*'normal case'!D30</f>
        <v>20.200000023841859</v>
      </c>
      <c r="B29" s="109"/>
      <c r="C29" s="108">
        <f ca="1">'normal case'!AN30-'normal case'!AN29+IF(controls!$B$33=1,(1+(('main page'!$K$35/100)))*C28,'public finance'!C28)</f>
        <v>20</v>
      </c>
      <c r="D29" s="109">
        <f ca="1">IF(ABS(((A29-C29)/'normal case'!D30)-D28)&lt;0.0000001,D28,(A29-C29)/'normal case'!D30)</f>
        <v>1.9802129779314939E-3</v>
      </c>
      <c r="E29" s="109">
        <f ca="1">IF(ABS(D29-(G29*('normal case'!T30/100))/'normal case'!D30-E28)&lt;0.00001,E28,D29-(G29*('normal case'!T30/100))/'normal case'!D30)</f>
        <v>4.5105297217687126E-3</v>
      </c>
      <c r="F29" s="110">
        <f ca="1">F28*(1+'normal case'!L29/100)</f>
        <v>1.6736362537944312</v>
      </c>
      <c r="G29" s="108">
        <f ca="1">C29-A29+G28*(1+'normal case'!T29/100)</f>
        <v>-7.3017712458655355</v>
      </c>
      <c r="H29" s="109">
        <f ca="1">IF(ABS(G29/'normal case'!D30-H28)&lt;0.0000001,H28,G29/'normal case'!D30)</f>
        <v>-7.2294764725221075E-2</v>
      </c>
    </row>
    <row r="30" spans="1:8">
      <c r="A30" s="108">
        <f ca="1">('main page'!$U$31/100)*'normal case'!D31</f>
        <v>20.200000011920931</v>
      </c>
      <c r="B30" s="109"/>
      <c r="C30" s="108">
        <f ca="1">'normal case'!AN31-'normal case'!AN30+IF(controls!$B$33=1,(1+(('main page'!$K$35/100)))*C29,'public finance'!C29)</f>
        <v>20</v>
      </c>
      <c r="D30" s="109">
        <f ca="1">IF(ABS(((A30-C30)/'normal case'!D31)-D29)&lt;0.0000001,D29,(A30-C30)/'normal case'!D31)</f>
        <v>1.9802129779314939E-3</v>
      </c>
      <c r="E30" s="109">
        <f ca="1">IF(ABS(D30-(G30*('normal case'!T31/100))/'normal case'!D31-E29)&lt;0.00001,E29,D30-(G30*('normal case'!T31/100))/'normal case'!D31)</f>
        <v>4.6683977427874786E-3</v>
      </c>
      <c r="F30" s="110">
        <f ca="1">F29*(1+'normal case'!L30/100)</f>
        <v>1.7071089768751899</v>
      </c>
      <c r="G30" s="108">
        <f ca="1">C30-A30+G29*(1+'normal case'!T30/100)</f>
        <v>-7.7573332492156624</v>
      </c>
      <c r="H30" s="109">
        <f ca="1">IF(ABS(G30/'normal case'!D31-H29)&lt;0.0000001,H29,G30/'normal case'!D31)</f>
        <v>-7.6805279649878322E-2</v>
      </c>
    </row>
    <row r="31" spans="1:8">
      <c r="A31" s="108">
        <f ca="1">('main page'!$U$31/100)*'normal case'!D32</f>
        <v>20.200000011920931</v>
      </c>
      <c r="B31" s="109"/>
      <c r="C31" s="108">
        <f ca="1">'normal case'!AN32-'normal case'!AN31+IF(controls!$B$33=1,(1+(('main page'!$K$35/100)))*C30,'public finance'!C30)</f>
        <v>20</v>
      </c>
      <c r="D31" s="109">
        <f ca="1">IF(ABS(((A31-C31)/'normal case'!D32)-D30)&lt;0.0000001,D30,(A31-C31)/'normal case'!D32)</f>
        <v>1.9802129779314939E-3</v>
      </c>
      <c r="E31" s="109">
        <f ca="1">IF(ABS(D31-(G31*('normal case'!T32/100))/'normal case'!D32-E30)&lt;0.00001,E30,D31-(G31*('normal case'!T32/100))/'normal case'!D32)</f>
        <v>4.8317911429493349E-3</v>
      </c>
      <c r="F31" s="110">
        <f ca="1">F30*(1+'normal case'!L31/100)</f>
        <v>1.7412511543776612</v>
      </c>
      <c r="G31" s="108">
        <f ca="1">C31-A31+G30*(1+'normal case'!T31/100)</f>
        <v>-8.2288399225472766</v>
      </c>
      <c r="H31" s="109">
        <f ca="1">IF(ABS(G31/'normal case'!D32-H30)&lt;0.0000001,H30,G31/'normal case'!D32)</f>
        <v>-8.1473662551396708E-2</v>
      </c>
    </row>
    <row r="32" spans="1:8">
      <c r="A32" s="108">
        <f ca="1">('main page'!$U$31/100)*'normal case'!D33</f>
        <v>20.200000011920931</v>
      </c>
      <c r="B32" s="109"/>
      <c r="C32" s="108">
        <f ca="1">'normal case'!AN33-'normal case'!AN32+IF(controls!$B$33=1,(1+(('main page'!$K$35/100)))*C31,'public finance'!C31)</f>
        <v>20</v>
      </c>
      <c r="D32" s="109">
        <f ca="1">IF(ABS(((A32-C32)/'normal case'!D33)-D31)&lt;0.0000001,D31,(A32-C32)/'normal case'!D33)</f>
        <v>1.9802129779314939E-3</v>
      </c>
      <c r="E32" s="109">
        <f ca="1">IF(ABS(D32-(G32*('normal case'!T33/100))/'normal case'!D33-E31)&lt;0.00001,E31,D32-(G32*('normal case'!T33/100))/'normal case'!D33)</f>
        <v>5.0009033120681622E-3</v>
      </c>
      <c r="F32" s="110">
        <f ca="1">F31*(1+'normal case'!L32/100)</f>
        <v>1.7760761753894814</v>
      </c>
      <c r="G32" s="108">
        <f ca="1">C32-A32+G31*(1+'normal case'!T32/100)</f>
        <v>-8.716849329304976</v>
      </c>
      <c r="H32" s="109">
        <f ca="1">IF(ABS(G32/'normal case'!D33-H31)&lt;0.0000001,H31,G32/'normal case'!D33)</f>
        <v>-8.6305438853076941E-2</v>
      </c>
    </row>
    <row r="33" spans="1:8">
      <c r="A33" s="108">
        <f ca="1">('main page'!$U$31/100)*'normal case'!D34</f>
        <v>20.200000011920931</v>
      </c>
      <c r="B33" s="109"/>
      <c r="C33" s="108">
        <f ca="1">'normal case'!AN34-'normal case'!AN33+IF(controls!$B$33=1,(1+(('main page'!$K$35/100)))*C32,'public finance'!C32)</f>
        <v>20</v>
      </c>
      <c r="D33" s="109">
        <f ca="1">IF(ABS(((A33-C33)/'normal case'!D34)-D32)&lt;0.0000001,D32,(A33-C33)/'normal case'!D34)</f>
        <v>1.9802129779314939E-3</v>
      </c>
      <c r="E33" s="109">
        <f ca="1">IF(ABS(D33-(G33*('normal case'!T34/100))/'normal case'!D34-E32)&lt;0.00001,E32,D33-(G33*('normal case'!T34/100))/'normal case'!D34)</f>
        <v>5.1759344070557477E-3</v>
      </c>
      <c r="F33" s="110">
        <f ca="1">F32*(1+'normal case'!L33/100)</f>
        <v>1.8115976967800234</v>
      </c>
      <c r="G33" s="108">
        <f ca="1">C33-A33+G32*(1+'normal case'!T33/100)</f>
        <v>-9.2219390651537569</v>
      </c>
      <c r="H33" s="109">
        <f ca="1">IF(ABS(G33/'normal case'!D34-H32)&lt;0.0000001,H32,G33/'normal case'!D34)</f>
        <v>-9.1306327323876002E-2</v>
      </c>
    </row>
    <row r="34" spans="1:8">
      <c r="A34" s="108">
        <f ca="1">('main page'!$U$31/100)*'normal case'!D35</f>
        <v>20.200000011920931</v>
      </c>
      <c r="B34" s="109"/>
      <c r="C34" s="108">
        <f ca="1">'normal case'!AN35-'normal case'!AN34+IF(controls!$B$33=1,(1+(('main page'!$K$35/100)))*C33,'public finance'!C33)</f>
        <v>20</v>
      </c>
      <c r="D34" s="109">
        <f ca="1">IF(ABS(((A34-C34)/'normal case'!D35)-D33)&lt;0.0000001,D33,(A34-C34)/'normal case'!D35)</f>
        <v>1.9802129779314939E-3</v>
      </c>
      <c r="E34" s="109">
        <f ca="1">IF(ABS(D34-(G34*('normal case'!T35/100))/'normal case'!D35-E33)&lt;0.00001,E33,D34-(G34*('normal case'!T35/100))/'normal case'!D35)</f>
        <v>5.3570915903157369E-3</v>
      </c>
      <c r="F34" s="110">
        <f ca="1">F33*(1+'normal case'!L34/100)</f>
        <v>1.8478296485560313</v>
      </c>
      <c r="G34" s="108">
        <f ca="1">C34-A34+G33*(1+'normal case'!T34/100)</f>
        <v>-9.7447069416067169</v>
      </c>
      <c r="H34" s="109">
        <f ca="1">IF(ABS(G34/'normal case'!D35-H33)&lt;0.0000001,H33,G34/'normal case'!D35)</f>
        <v>-9.6482246889662643E-2</v>
      </c>
    </row>
    <row r="35" spans="1:8">
      <c r="A35" s="108">
        <f ca="1">('main page'!$U$31/100)*'normal case'!D36</f>
        <v>20.200000011920931</v>
      </c>
      <c r="B35" s="109"/>
      <c r="C35" s="108">
        <f ca="1">'normal case'!AN36-'normal case'!AN35+IF(controls!$B$33=1,(1+(('main page'!$K$35/100)))*C34,'public finance'!C34)</f>
        <v>20</v>
      </c>
      <c r="D35" s="109">
        <f ca="1">IF(ABS(((A35-C35)/'normal case'!D36)-D34)&lt;0.0000001,D34,(A35-C35)/'normal case'!D36)</f>
        <v>1.9802129779314939E-3</v>
      </c>
      <c r="E35" s="109">
        <f ca="1">IF(ABS(D35-(G35*('normal case'!T36/100))/'normal case'!D36-E34)&lt;0.00001,E34,D35-(G35*('normal case'!T36/100))/'normal case'!D36)</f>
        <v>5.5445892749358353E-3</v>
      </c>
      <c r="F35" s="110">
        <f ca="1">F34*(1+'normal case'!L35/100)</f>
        <v>1.8847862393243673</v>
      </c>
      <c r="G35" s="108">
        <f ca="1">C35-A35+G34*(1+'normal case'!T35/100)</f>
        <v>-10.285771693579735</v>
      </c>
      <c r="H35" s="109">
        <f ca="1">IF(ABS(G35/'normal case'!D36-H34)&lt;0.0000001,H34,G35/'normal case'!D36)</f>
        <v>-0.10183932363870929</v>
      </c>
    </row>
    <row r="36" spans="1:8">
      <c r="A36" s="108">
        <f ca="1">('main page'!$U$31/100)*'normal case'!D37</f>
        <v>20.200000011920931</v>
      </c>
      <c r="B36" s="109"/>
      <c r="C36" s="108">
        <f ca="1">'normal case'!AN37-'normal case'!AN36+IF(controls!$B$33=1,(1+(('main page'!$K$35/100)))*C35,'public finance'!C35)</f>
        <v>20</v>
      </c>
      <c r="D36" s="109">
        <f ca="1">IF(ABS(((A36-C36)/'normal case'!D37)-D35)&lt;0.0000001,D35,(A36-C36)/'normal case'!D37)</f>
        <v>1.9802129779314939E-3</v>
      </c>
      <c r="E36" s="109">
        <f ca="1">IF(ABS(D36-(G36*('normal case'!T37/100))/'normal case'!D37-E35)&lt;0.00001,E35,D36-(G36*('normal case'!T37/100))/'normal case'!D37)</f>
        <v>5.7386493784617586E-3</v>
      </c>
      <c r="F36" s="110">
        <f ca="1">F35*(1+'normal case'!L36/100)</f>
        <v>1.9224819618640143</v>
      </c>
      <c r="G36" s="108">
        <f ca="1">C36-A36+G35*(1+'normal case'!T36/100)</f>
        <v>-10.845773711710557</v>
      </c>
      <c r="H36" s="109">
        <f ca="1">IF(ABS(G36/'normal case'!D37-H35)&lt;0.0000001,H35,G36/'normal case'!D37)</f>
        <v>-0.10738389807237601</v>
      </c>
    </row>
    <row r="37" spans="1:8">
      <c r="A37" s="108">
        <f ca="1">('main page'!$U$31/100)*'normal case'!D38</f>
        <v>20.200000011920931</v>
      </c>
      <c r="B37" s="109"/>
      <c r="C37" s="108">
        <f ca="1">'normal case'!AN38-'normal case'!AN37+IF(controls!$B$33=1,(1+(('main page'!$K$35/100)))*C36,'public finance'!C36)</f>
        <v>20</v>
      </c>
      <c r="D37" s="109">
        <f ca="1">IF(ABS(((A37-C37)/'normal case'!D38)-D36)&lt;0.0000001,D36,(A37-C37)/'normal case'!D38)</f>
        <v>1.9802129779314939E-3</v>
      </c>
      <c r="E37" s="109">
        <f ca="1">IF(ABS(D37-(G37*('normal case'!T38/100))/'normal case'!D38-E36)&lt;0.00001,E36,D37-(G37*('normal case'!T38/100))/'normal case'!D38)</f>
        <v>5.9395015855532559E-3</v>
      </c>
      <c r="F37" s="110">
        <f ca="1">F36*(1+'normal case'!L37/100)</f>
        <v>1.9609315988095175</v>
      </c>
      <c r="G37" s="108">
        <f ca="1">C37-A37+G36*(1+'normal case'!T37/100)</f>
        <v>-11.425375800309064</v>
      </c>
      <c r="H37" s="109">
        <f ca="1">IF(ABS(G37/'normal case'!D38-H36)&lt;0.0000001,H36,G37/'normal case'!D38)</f>
        <v>-0.11312253260956867</v>
      </c>
    </row>
    <row r="38" spans="1:8">
      <c r="A38" s="108">
        <f ca="1">('main page'!$U$31/100)*'normal case'!D39</f>
        <v>20.200000011920931</v>
      </c>
      <c r="B38" s="109"/>
      <c r="C38" s="108">
        <f ca="1">'normal case'!AN39-'normal case'!AN38+IF(controls!$B$33=1,(1+(('main page'!$K$35/100)))*C37,'public finance'!C37)</f>
        <v>20</v>
      </c>
      <c r="D38" s="109">
        <f ca="1">IF(ABS(((A38-C38)/'normal case'!D39)-D37)&lt;0.0000001,D37,(A38-C38)/'normal case'!D39)</f>
        <v>1.9802129779314939E-3</v>
      </c>
      <c r="E38" s="109">
        <f ca="1">IF(ABS(D38-(G38*('normal case'!T39/100))/'normal case'!D39-E37)&lt;0.00001,E37,D38-(G38*('normal case'!T39/100))/'normal case'!D39)</f>
        <v>6.1473836198330965E-3</v>
      </c>
      <c r="F38" s="110">
        <f ca="1">F37*(1+'normal case'!L38/100)</f>
        <v>2.0001502284480952</v>
      </c>
      <c r="G38" s="108">
        <f ca="1">C38-A38+G37*(1+'normal case'!T38/100)</f>
        <v>-12.025263961835785</v>
      </c>
      <c r="H38" s="109">
        <f ca="1">IF(ABS(G38/'normal case'!D39-H37)&lt;0.0000001,H37,G38/'normal case'!D39)</f>
        <v>-0.11906201935385283</v>
      </c>
    </row>
    <row r="39" spans="1:8">
      <c r="A39" s="108">
        <f ca="1">('main page'!$U$31/100)*'normal case'!D40</f>
        <v>20.200000011920931</v>
      </c>
      <c r="B39" s="109"/>
      <c r="C39" s="108">
        <f ca="1">'normal case'!AN40-'normal case'!AN39+IF(controls!$B$33=1,(1+(('main page'!$K$35/100)))*C38,'public finance'!C38)</f>
        <v>20</v>
      </c>
      <c r="D39" s="109">
        <f ca="1">IF(ABS(((A39-C39)/'normal case'!D40)-D38)&lt;0.0000001,D38,(A39-C39)/'normal case'!D40)</f>
        <v>1.9802129779314939E-3</v>
      </c>
      <c r="E39" s="109">
        <f ca="1">IF(ABS(D39-(G39*('normal case'!T40/100))/'normal case'!D40-E38)&lt;0.00001,E38,D39-(G39*('normal case'!T40/100))/'normal case'!D40)</f>
        <v>6.362541525250778E-3</v>
      </c>
      <c r="F39" s="110">
        <f ca="1">F38*(1+'normal case'!L39/100)</f>
        <v>2.0401532306326922</v>
      </c>
      <c r="G39" s="108">
        <f ca="1">C39-A39+G38*(1+'normal case'!T39/100)</f>
        <v>-12.646148208837161</v>
      </c>
      <c r="H39" s="109">
        <f ca="1">IF(ABS(G39/'normal case'!D40-H38)&lt;0.0000001,H38,G39/'normal case'!D40)</f>
        <v>-0.12520938813241683</v>
      </c>
    </row>
    <row r="40" spans="1:8">
      <c r="A40" s="108">
        <f ca="1">('main page'!$U$31/100)*'normal case'!D41</f>
        <v>20.200000011920931</v>
      </c>
      <c r="B40" s="109"/>
      <c r="C40" s="108">
        <f ca="1">'normal case'!AN41-'normal case'!AN40+IF(controls!$B$33=1,(1+(('main page'!$K$35/100)))*C39,'public finance'!C39)</f>
        <v>20</v>
      </c>
      <c r="D40" s="109">
        <f ca="1">IF(ABS(((A40-C40)/'normal case'!D41)-D39)&lt;0.0000001,D39,(A40-C40)/'normal case'!D41)</f>
        <v>1.9802129779314939E-3</v>
      </c>
      <c r="E40" s="109">
        <f ca="1">IF(ABS(D40-(G40*('normal case'!T41/100))/'normal case'!D41-E39)&lt;0.00001,E39,D40-(G40*('normal case'!T41/100))/'normal case'!D41)</f>
        <v>6.5852299572939556E-3</v>
      </c>
      <c r="F40" s="110">
        <f ca="1">F39*(1+'normal case'!L40/100)</f>
        <v>2.0809562928132941</v>
      </c>
      <c r="G40" s="108">
        <f ca="1">C40-A40+G39*(1+'normal case'!T40/100)</f>
        <v>-13.288763404298546</v>
      </c>
      <c r="H40" s="109">
        <f ca="1">IF(ABS(G40/'normal case'!D41-H39)&lt;0.0000001,H39,G40/'normal case'!D41)</f>
        <v>-0.13157191481639852</v>
      </c>
    </row>
    <row r="41" spans="1:8">
      <c r="A41" s="108">
        <f ca="1">('main page'!$U$31/100)*'normal case'!D42</f>
        <v>20.200000011920931</v>
      </c>
      <c r="B41" s="109">
        <f ca="1">A41/A40-1</f>
        <v>0</v>
      </c>
      <c r="C41" s="108">
        <f ca="1">'normal case'!AN42-'normal case'!AN41+IF(controls!$B$33=1,(1+(('main page'!$K$35/100)))*C40,'public finance'!C40)</f>
        <v>20</v>
      </c>
      <c r="D41" s="109">
        <f ca="1">IF(ABS(((A41-C41)/'normal case'!D42)-D40)&lt;0.0000001,D40,(A41-C41)/'normal case'!D42)</f>
        <v>1.9802129779314939E-3</v>
      </c>
      <c r="E41" s="109">
        <f ca="1">IF(ABS(D41-(G41*('normal case'!T42/100))/'normal case'!D42-E40)&lt;0.00001,E40,D41-(G41*('normal case'!T42/100))/'normal case'!D42)</f>
        <v>6.8157124843922787E-3</v>
      </c>
      <c r="F41" s="110">
        <f ca="1">F40*(1+'normal case'!L41/100)</f>
        <v>2.1225754161888668</v>
      </c>
      <c r="G41" s="108">
        <f ca="1">C41-A41+G40*(1+'normal case'!T41/100)</f>
        <v>-13.953870131409566</v>
      </c>
      <c r="H41" s="109">
        <f ca="1">IF(ABS(G41/'normal case'!D42-H40)&lt;0.0000001,H40,G41/'normal case'!D42)</f>
        <v>-0.13815712993242335</v>
      </c>
    </row>
    <row r="42" spans="1:8">
      <c r="A42" s="108">
        <f ca="1">('main page'!$U$31/100)*'normal case'!D43</f>
        <v>20.200000011920931</v>
      </c>
      <c r="B42" s="109">
        <f t="shared" ref="B42:B100" ca="1" si="0">A42/A41-1</f>
        <v>0</v>
      </c>
      <c r="C42" s="108">
        <f ca="1">'normal case'!AN43-'normal case'!AN42+IF(controls!$B$33=1,(1+(('main page'!$K$35/100)))*C41,'public finance'!C41)</f>
        <v>20</v>
      </c>
      <c r="D42" s="109">
        <f ca="1">IF(ABS(((A42-C42)/'normal case'!D43)-D41)&lt;0.0000001,D41,(A42-C42)/'normal case'!D43)</f>
        <v>1.9802129779314939E-3</v>
      </c>
      <c r="E42" s="109">
        <f ca="1">IF(ABS(D42-(G42*('normal case'!T43/100))/'normal case'!D43-E41)&lt;0.00001,E41,D42-(G42*('normal case'!T43/100))/'normal case'!D43)</f>
        <v>7.0542618998703545E-3</v>
      </c>
      <c r="F42" s="110">
        <f ca="1">F41*(1+'normal case'!L42/100)</f>
        <v>2.1650269219823373</v>
      </c>
      <c r="G42" s="108">
        <f ca="1">C42-A42+G41*(1+'normal case'!T42/100)</f>
        <v>-14.642255593771255</v>
      </c>
      <c r="H42" s="109">
        <f ca="1">IF(ABS(G42/'normal case'!D43-H41)&lt;0.0000001,H41,G42/'normal case'!D43)</f>
        <v>-0.14497282757554655</v>
      </c>
    </row>
    <row r="43" spans="1:8">
      <c r="A43" s="108">
        <f ca="1">('main page'!$U$31/100)*'normal case'!D44</f>
        <v>20.200000011920931</v>
      </c>
      <c r="B43" s="109">
        <f t="shared" ca="1" si="0"/>
        <v>0</v>
      </c>
      <c r="C43" s="108">
        <f ca="1">'normal case'!AN44-'normal case'!AN43+IF(controls!$B$33=1,(1+(('main page'!$K$35/100)))*C42,'public finance'!C42)</f>
        <v>20</v>
      </c>
      <c r="D43" s="109">
        <f ca="1">IF(ABS(((A43-C43)/'normal case'!D44)-D42)&lt;0.0000001,D42,(A43-C43)/'normal case'!D44)</f>
        <v>1.9802129779314939E-3</v>
      </c>
      <c r="E43" s="109">
        <f ca="1">IF(ABS(D43-(G43*('normal case'!T44/100))/'normal case'!D44-E42)&lt;0.00001,E42,D43-(G43*('normal case'!T44/100))/'normal case'!D44)</f>
        <v>7.3011605448190684E-3</v>
      </c>
      <c r="F43" s="110">
        <f ca="1">F42*(1+'normal case'!L43/100)</f>
        <v>2.208327457841071</v>
      </c>
      <c r="G43" s="108">
        <f ca="1">C43-A43+G42*(1+'normal case'!T43/100)</f>
        <v>-15.354734547110448</v>
      </c>
      <c r="H43" s="109">
        <f ca="1">IF(ABS(G43/'normal case'!D44-H42)&lt;0.0000001,H42,G43/'normal case'!D44)</f>
        <v>-0.1520270746341478</v>
      </c>
    </row>
    <row r="44" spans="1:8">
      <c r="A44" s="108">
        <f ca="1">('main page'!$U$31/100)*'normal case'!D45</f>
        <v>20.200000011920931</v>
      </c>
      <c r="B44" s="109">
        <f t="shared" ca="1" si="0"/>
        <v>0</v>
      </c>
      <c r="C44" s="108">
        <f ca="1">'normal case'!AN45-'normal case'!AN44+IF(controls!$B$33=1,(1+(('main page'!$K$35/100)))*C43,'public finance'!C43)</f>
        <v>20</v>
      </c>
      <c r="D44" s="109">
        <f ca="1">IF(ABS(((A44-C44)/'normal case'!D45)-D43)&lt;0.0000001,D43,(A44-C44)/'normal case'!D45)</f>
        <v>1.9802129779314939E-3</v>
      </c>
      <c r="E44" s="109">
        <f ca="1">IF(ABS(D44-(G44*('normal case'!T45/100))/'normal case'!D45-E43)&lt;0.00001,E43,D44-(G44*('normal case'!T45/100))/'normal case'!D45)</f>
        <v>7.5567006422674063E-3</v>
      </c>
      <c r="F44" s="110">
        <f ca="1">F43*(1+'normal case'!L44/100)</f>
        <v>2.252494004365361</v>
      </c>
      <c r="G44" s="108">
        <f ca="1">C44-A44+G43*(1+'normal case'!T44/100)</f>
        <v>-16.092150263604175</v>
      </c>
      <c r="H44" s="109">
        <f ca="1">IF(ABS(G44/'normal case'!D45-H43)&lt;0.0000001,H43,G44/'normal case'!D45)</f>
        <v>-0.15932822033769775</v>
      </c>
    </row>
    <row r="45" spans="1:8">
      <c r="A45" s="108">
        <f ca="1">('main page'!$U$31/100)*'normal case'!D46</f>
        <v>20.200000011920931</v>
      </c>
      <c r="B45" s="109">
        <f t="shared" ca="1" si="0"/>
        <v>0</v>
      </c>
      <c r="C45" s="108">
        <f ca="1">'normal case'!AN46-'normal case'!AN45+IF(controls!$B$33=1,(1+(('main page'!$K$35/100)))*C44,'public finance'!C44)</f>
        <v>20</v>
      </c>
      <c r="D45" s="109">
        <f ca="1">IF(ABS(((A45-C45)/'normal case'!D46)-D44)&lt;0.0000001,D44,(A45-C45)/'normal case'!D46)</f>
        <v>1.9802129779314939E-3</v>
      </c>
      <c r="E45" s="109">
        <f ca="1">IF(ABS(D45-(G45*('normal case'!T46/100))/'normal case'!D46-E44)&lt;0.00001,E44,D45-(G45*('normal case'!T46/100))/'normal case'!D46)</f>
        <v>7.8211846430502781E-3</v>
      </c>
      <c r="F45" s="110">
        <f ca="1">F44*(1+'normal case'!L45/100)</f>
        <v>2.2975438817674863</v>
      </c>
      <c r="G45" s="108">
        <f ca="1">C45-A45+G44*(1+'normal case'!T45/100)</f>
        <v>-16.855375529955417</v>
      </c>
      <c r="H45" s="109">
        <f ca="1">IF(ABS(G45/'normal case'!D46-H44)&lt;0.0000001,H44,G45/'normal case'!D46)</f>
        <v>-0.16688490613869605</v>
      </c>
    </row>
    <row r="46" spans="1:8">
      <c r="A46" s="108">
        <f ca="1">('main page'!$U$31/100)*'normal case'!D47</f>
        <v>20.200000011920931</v>
      </c>
      <c r="B46" s="109">
        <f t="shared" ca="1" si="0"/>
        <v>0</v>
      </c>
      <c r="C46" s="108">
        <f ca="1">'normal case'!AN47-'normal case'!AN46+IF(controls!$B$33=1,(1+(('main page'!$K$35/100)))*C45,'public finance'!C45)</f>
        <v>20</v>
      </c>
      <c r="D46" s="109">
        <f ca="1">IF(ABS(((A46-C46)/'normal case'!D47)-D45)&lt;0.0000001,D45,(A46-C46)/'normal case'!D47)</f>
        <v>1.9802129779314939E-3</v>
      </c>
      <c r="E46" s="109">
        <f ca="1">IF(ABS(D46-(G46*('normal case'!T47/100))/'normal case'!D47-E45)&lt;0.00001,E45,D46-(G46*('normal case'!T47/100))/'normal case'!D47)</f>
        <v>8.0949255837817306E-3</v>
      </c>
      <c r="F46" s="110">
        <f ca="1">F45*(1+'normal case'!L46/100)</f>
        <v>2.3434947566639504</v>
      </c>
      <c r="G46" s="108">
        <f ca="1">C46-A46+G45*(1+'normal case'!T46/100)</f>
        <v>-17.645313680401493</v>
      </c>
      <c r="H46" s="109">
        <f ca="1">IF(ABS(G46/'normal case'!D47-H45)&lt;0.0000001,H45,G46/'normal case'!D47)</f>
        <v>-0.17470607594047721</v>
      </c>
    </row>
    <row r="47" spans="1:8">
      <c r="A47" s="108">
        <f ca="1">('main page'!$U$31/100)*'normal case'!D48</f>
        <v>20.200000011920931</v>
      </c>
      <c r="B47" s="109">
        <f t="shared" ca="1" si="0"/>
        <v>0</v>
      </c>
      <c r="C47" s="108">
        <f ca="1">'normal case'!AN48-'normal case'!AN47+IF(controls!$B$33=1,(1+(('main page'!$K$35/100)))*C46,'public finance'!C46)</f>
        <v>20</v>
      </c>
      <c r="D47" s="109">
        <f ca="1">IF(ABS(((A47-C47)/'normal case'!D48)-D46)&lt;0.0000001,D46,(A47-C47)/'normal case'!D48)</f>
        <v>1.9802129779314939E-3</v>
      </c>
      <c r="E47" s="109">
        <f ca="1">IF(ABS(D47-(G47*('normal case'!T48/100))/'normal case'!D48-E46)&lt;0.00001,E46,D47-(G47*('normal case'!T48/100))/'normal case'!D48)</f>
        <v>8.3782474573571991E-3</v>
      </c>
      <c r="F47" s="110">
        <f ca="1">F46*(1+'normal case'!L47/100)</f>
        <v>2.3903646490035659</v>
      </c>
      <c r="G47" s="108">
        <f ca="1">C47-A47+G46*(1+'normal case'!T47/100)</f>
        <v>-18.462899665877764</v>
      </c>
      <c r="H47" s="109">
        <f ca="1">IF(ABS(G47/'normal case'!D48-H46)&lt;0.0000001,H46,G47/'normal case'!D48)</f>
        <v>-0.18280098668298986</v>
      </c>
    </row>
    <row r="48" spans="1:8">
      <c r="A48" s="108">
        <f ca="1">('main page'!$U$31/100)*'normal case'!D49</f>
        <v>20.200000011920931</v>
      </c>
      <c r="B48" s="109">
        <f t="shared" ca="1" si="0"/>
        <v>0</v>
      </c>
      <c r="C48" s="108">
        <f ca="1">'normal case'!AN49-'normal case'!AN48+IF(controls!$B$33=1,(1+(('main page'!$K$35/100)))*C47,'public finance'!C47)</f>
        <v>20</v>
      </c>
      <c r="D48" s="109">
        <f ca="1">IF(ABS(((A48-C48)/'normal case'!D49)-D47)&lt;0.0000001,D47,(A48-C48)/'normal case'!D49)</f>
        <v>1.9802129779314939E-3</v>
      </c>
      <c r="E48" s="109">
        <f ca="1">IF(ABS(D48-(G48*('normal case'!T49/100))/'normal case'!D49-E47)&lt;0.00001,E47,D48-(G48*('normal case'!T49/100))/'normal case'!D49)</f>
        <v>8.6714855964233756E-3</v>
      </c>
      <c r="F48" s="110">
        <f ca="1">F47*(1+'normal case'!L48/100)</f>
        <v>2.4381719391341008</v>
      </c>
      <c r="G48" s="108">
        <f ca="1">C48-A48+G47*(1+'normal case'!T48/100)</f>
        <v>-19.309101160602044</v>
      </c>
      <c r="H48" s="109">
        <f ca="1">IF(ABS(G48/'normal case'!D49-H47)&lt;0.0000001,H47,G48/'normal case'!D49)</f>
        <v>-0.19117921929907797</v>
      </c>
    </row>
    <row r="49" spans="1:8">
      <c r="A49" s="108">
        <f ca="1">('main page'!$U$31/100)*'normal case'!D50</f>
        <v>20.200000011920931</v>
      </c>
      <c r="B49" s="109">
        <f t="shared" ca="1" si="0"/>
        <v>0</v>
      </c>
      <c r="C49" s="108">
        <f ca="1">'normal case'!AN50-'normal case'!AN49+IF(controls!$B$33=1,(1+(('main page'!$K$35/100)))*C48,'public finance'!C48)</f>
        <v>20</v>
      </c>
      <c r="D49" s="109">
        <f ca="1">IF(ABS(((A49-C49)/'normal case'!D50)-D48)&lt;0.0000001,D48,(A49-C49)/'normal case'!D50)</f>
        <v>1.9802129779314939E-3</v>
      </c>
      <c r="E49" s="109">
        <f ca="1">IF(ABS(D49-(G49*('normal case'!T50/100))/'normal case'!D50-E48)&lt;0.00001,E48,D49-(G49*('normal case'!T50/100))/'normal case'!D50)</f>
        <v>8.9749870702694762E-3</v>
      </c>
      <c r="F49" s="110">
        <f ca="1">F48*(1+'normal case'!L49/100)</f>
        <v>2.4869353750102556</v>
      </c>
      <c r="G49" s="108">
        <f ca="1">C49-A49+G48*(1+'normal case'!T49/100)</f>
        <v>-20.184919707389486</v>
      </c>
      <c r="H49" s="109">
        <f ca="1">IF(ABS(G49/'normal case'!D50-H48)&lt;0.0000001,H48,G49/'normal case'!D50)</f>
        <v>-0.19985069005423226</v>
      </c>
    </row>
    <row r="50" spans="1:8">
      <c r="A50" s="108">
        <f ca="1">('main page'!$U$31/100)*'normal case'!D51</f>
        <v>20.200000011920931</v>
      </c>
      <c r="B50" s="109">
        <f t="shared" ca="1" si="0"/>
        <v>0</v>
      </c>
      <c r="C50" s="108">
        <f ca="1">'normal case'!AN51-'normal case'!AN50+IF(controls!$B$33=1,(1+(('main page'!$K$35/100)))*C49,'public finance'!C49)</f>
        <v>20</v>
      </c>
      <c r="D50" s="109">
        <f ca="1">IF(ABS(((A50-C50)/'normal case'!D51)-D49)&lt;0.0000001,D49,(A50-C50)/'normal case'!D51)</f>
        <v>1.9802129779314939E-3</v>
      </c>
      <c r="E50" s="109">
        <f ca="1">IF(ABS(D50-(G50*('normal case'!T51/100))/'normal case'!D51-E49)&lt;0.00001,E49,D50-(G50*('normal case'!T51/100))/'normal case'!D51)</f>
        <v>9.2891110956097381E-3</v>
      </c>
      <c r="F50" s="110">
        <f ca="1">F49*(1+'normal case'!L50/100)</f>
        <v>2.5366740795458029</v>
      </c>
      <c r="G50" s="108">
        <f ca="1">C50-A50+G49*(1+'normal case'!T50/100)</f>
        <v>-21.091391903053474</v>
      </c>
      <c r="H50" s="109">
        <f ca="1">IF(ABS(G50/'normal case'!D51-H49)&lt;0.0000001,H49,G50/'normal case'!D51)</f>
        <v>-0.20882566228323263</v>
      </c>
    </row>
    <row r="51" spans="1:8">
      <c r="A51" s="108">
        <f ca="1">('main page'!$U$31/100)*'normal case'!D52</f>
        <v>20.200000011920931</v>
      </c>
      <c r="B51" s="109">
        <f t="shared" ca="1" si="0"/>
        <v>0</v>
      </c>
      <c r="C51" s="108">
        <f ca="1">'normal case'!AN52-'normal case'!AN51+IF(controls!$B$33=1,(1+(('main page'!$K$35/100)))*C50,'public finance'!C50)</f>
        <v>20</v>
      </c>
      <c r="D51" s="109">
        <f ca="1">IF(ABS(((A51-C51)/'normal case'!D52)-D50)&lt;0.0000001,D50,(A51-C51)/'normal case'!D52)</f>
        <v>1.9802129779314939E-3</v>
      </c>
      <c r="E51" s="109">
        <f ca="1">IF(ABS(D51-(G51*('normal case'!T52/100))/'normal case'!D52-E50)&lt;0.00001,E50,D51-(G51*('normal case'!T52/100))/'normal case'!D52)</f>
        <v>9.6142294617432948E-3</v>
      </c>
      <c r="F51" s="110">
        <f ca="1">F50*(1+'normal case'!L51/100)</f>
        <v>2.5874075581127678</v>
      </c>
      <c r="G51" s="108">
        <f ca="1">C51-A51+G50*(1+'normal case'!T51/100)</f>
        <v>-22.029590625295551</v>
      </c>
      <c r="H51" s="109">
        <f ca="1">IF(ABS(G51/'normal case'!D52-H50)&lt;0.0000001,H50,G51/'normal case'!D52)</f>
        <v>-0.21811475853757326</v>
      </c>
    </row>
    <row r="52" spans="1:8">
      <c r="A52" s="108">
        <f ca="1">('main page'!$U$31/100)*'normal case'!D53</f>
        <v>20.200000011920931</v>
      </c>
      <c r="B52" s="109">
        <f t="shared" ca="1" si="0"/>
        <v>0</v>
      </c>
      <c r="C52" s="108">
        <f ca="1">'normal case'!AN53-'normal case'!AN52+IF(controls!$B$33=1,(1+(('main page'!$K$35/100)))*C51,'public finance'!C51)</f>
        <v>20</v>
      </c>
      <c r="D52" s="109">
        <f ca="1">IF(ABS(((A52-C52)/'normal case'!D53)-D51)&lt;0.0000001,D51,(A52-C52)/'normal case'!D53)</f>
        <v>1.9802129779314939E-3</v>
      </c>
      <c r="E52" s="109">
        <f ca="1">IF(ABS(D52-(G52*('normal case'!T53/100))/'normal case'!D53-E51)&lt;0.00001,E51,D52-(G52*('normal case'!T53/100))/'normal case'!D53)</f>
        <v>9.9507269705946325E-3</v>
      </c>
      <c r="F52" s="110">
        <f ca="1">F51*(1+'normal case'!L52/100)</f>
        <v>2.6391557061905933</v>
      </c>
      <c r="G52" s="108">
        <f ca="1">C52-A52+G51*(1+'normal case'!T52/100)</f>
        <v>-23.000626302536496</v>
      </c>
      <c r="H52" s="109">
        <f ca="1">IF(ABS(G52/'normal case'!D53-H51)&lt;0.0000001,H51,G52/'normal case'!D53)</f>
        <v>-0.22772897315804744</v>
      </c>
    </row>
    <row r="53" spans="1:8">
      <c r="A53" s="108">
        <f ca="1">('main page'!$U$31/100)*'normal case'!D54</f>
        <v>20.200000011920931</v>
      </c>
      <c r="B53" s="109">
        <f t="shared" ca="1" si="0"/>
        <v>0</v>
      </c>
      <c r="C53" s="108">
        <f ca="1">'normal case'!AN54-'normal case'!AN53+IF(controls!$B$33=1,(1+(('main page'!$K$35/100)))*C52,'public finance'!C52)</f>
        <v>20</v>
      </c>
      <c r="D53" s="109">
        <f ca="1">IF(ABS(((A53-C53)/'normal case'!D54)-D52)&lt;0.0000001,D52,(A53-C53)/'normal case'!D54)</f>
        <v>1.9802129779314939E-3</v>
      </c>
      <c r="E53" s="109">
        <f ca="1">IF(ABS(D53-(G53*('normal case'!T54/100))/'normal case'!D54-E52)&lt;0.00001,E52,D53-(G53*('normal case'!T54/100))/'normal case'!D54)</f>
        <v>1.0299001892155484E-2</v>
      </c>
      <c r="F53" s="110">
        <f ca="1">F52*(1+'normal case'!L53/100)</f>
        <v>2.6919388171682863</v>
      </c>
      <c r="G53" s="108">
        <f ca="1">C53-A53+G52*(1+'normal case'!T53/100)</f>
        <v>-24.005648228191482</v>
      </c>
      <c r="H53" s="109">
        <f ca="1">IF(ABS(G53/'normal case'!D54-H52)&lt;0.0000001,H52,G53/'normal case'!D54)</f>
        <v>-0.23767968528737296</v>
      </c>
    </row>
    <row r="54" spans="1:8">
      <c r="A54" s="108">
        <f ca="1">('main page'!$U$31/100)*'normal case'!D55</f>
        <v>20.200000011920931</v>
      </c>
      <c r="B54" s="109">
        <f t="shared" ca="1" si="0"/>
        <v>0</v>
      </c>
      <c r="C54" s="108">
        <f ca="1">'normal case'!AN55-'normal case'!AN54+IF(controls!$B$33=1,(1+(('main page'!$K$35/100)))*C53,'public finance'!C53)</f>
        <v>20</v>
      </c>
      <c r="D54" s="109">
        <f ca="1">IF(ABS(((A54-C54)/'normal case'!D55)-D53)&lt;0.0000001,D53,(A54-C54)/'normal case'!D55)</f>
        <v>1.9802129779314939E-3</v>
      </c>
      <c r="E54" s="109">
        <f ca="1">IF(ABS(D54-(G54*('normal case'!T55/100))/'normal case'!D55-E53)&lt;0.00001,E53,D54-(G54*('normal case'!T55/100))/'normal case'!D55)</f>
        <v>1.0659466435867168E-2</v>
      </c>
      <c r="F54" s="110">
        <f ca="1">F53*(1+'normal case'!L54/100)</f>
        <v>2.7457775903026111</v>
      </c>
      <c r="G54" s="108">
        <f ca="1">C54-A54+G53*(1+'normal case'!T54/100)</f>
        <v>-25.045845920944874</v>
      </c>
      <c r="H54" s="109">
        <f ca="1">IF(ABS(G54/'normal case'!D55-H53)&lt;0.0000001,H53,G54/'normal case'!D55)</f>
        <v>-0.24797867233825935</v>
      </c>
    </row>
    <row r="55" spans="1:8">
      <c r="A55" s="108">
        <f ca="1">('main page'!$U$31/100)*'normal case'!D56</f>
        <v>20.200000011920931</v>
      </c>
      <c r="B55" s="109">
        <f t="shared" ca="1" si="0"/>
        <v>0</v>
      </c>
      <c r="C55" s="108">
        <f ca="1">'normal case'!AN56-'normal case'!AN55+IF(controls!$B$33=1,(1+(('main page'!$K$35/100)))*C54,'public finance'!C54)</f>
        <v>20</v>
      </c>
      <c r="D55" s="109">
        <f ca="1">IF(ABS(((A55-C55)/'normal case'!D56)-D54)&lt;0.0000001,D54,(A55-C55)/'normal case'!D56)</f>
        <v>1.9802129779314939E-3</v>
      </c>
      <c r="E55" s="109">
        <f ca="1">IF(ABS(D55-(G55*('normal case'!T56/100))/'normal case'!D56-E54)&lt;0.00001,E54,D55-(G55*('normal case'!T56/100))/'normal case'!D56)</f>
        <v>1.1032547238501337E-2</v>
      </c>
      <c r="F55" s="110">
        <f ca="1">F54*(1+'normal case'!L55/100)</f>
        <v>2.8006931388354417</v>
      </c>
      <c r="G55" s="108">
        <f ca="1">C55-A55+G54*(1+'normal case'!T55/100)</f>
        <v>-26.12245053263463</v>
      </c>
      <c r="H55" s="109">
        <f ca="1">IF(ABS(G55/'normal case'!D56-H54)&lt;0.0000001,H54,G55/'normal case'!D56)</f>
        <v>-0.2586381239328574</v>
      </c>
    </row>
    <row r="56" spans="1:8">
      <c r="A56" s="108">
        <f ca="1">('main page'!$U$31/100)*'normal case'!D57</f>
        <v>20.200000011920931</v>
      </c>
      <c r="B56" s="109">
        <f t="shared" ca="1" si="0"/>
        <v>0</v>
      </c>
      <c r="C56" s="108">
        <f ca="1">'normal case'!AN57-'normal case'!AN56+IF(controls!$B$33=1,(1+(('main page'!$K$35/100)))*C55,'public finance'!C55)</f>
        <v>20</v>
      </c>
      <c r="D56" s="109">
        <f ca="1">IF(ABS(((A56-C56)/'normal case'!D57)-D55)&lt;0.0000001,D55,(A56-C56)/'normal case'!D57)</f>
        <v>1.9802129779314939E-3</v>
      </c>
      <c r="E56" s="109">
        <f ca="1">IF(ABS(D56-(G56*('normal case'!T57/100))/'normal case'!D57-E55)&lt;0.00001,E55,D56-(G56*('normal case'!T57/100))/'normal case'!D57)</f>
        <v>1.1418685869116513E-2</v>
      </c>
      <c r="F56" s="110">
        <f ca="1">F55*(1+'normal case'!L56/100)</f>
        <v>2.8567069982734643</v>
      </c>
      <c r="G56" s="108">
        <f ca="1">C56-A56+G55*(1+'normal case'!T56/100)</f>
        <v>-27.236736305412677</v>
      </c>
      <c r="H56" s="109">
        <f ca="1">IF(ABS(G56/'normal case'!D57-H55)&lt;0.0000001,H55,G56/'normal case'!D57)</f>
        <v>-0.26967065633008963</v>
      </c>
    </row>
    <row r="57" spans="1:8">
      <c r="A57" s="108">
        <f ca="1">('main page'!$U$31/100)*'normal case'!D58</f>
        <v>20.200000011920931</v>
      </c>
      <c r="B57" s="109">
        <f t="shared" ca="1" si="0"/>
        <v>0</v>
      </c>
      <c r="C57" s="108">
        <f ca="1">'normal case'!AN58-'normal case'!AN57+IF(controls!$B$33=1,(1+(('main page'!$K$35/100)))*C56,'public finance'!C56)</f>
        <v>20</v>
      </c>
      <c r="D57" s="109">
        <f ca="1">IF(ABS(((A57-C57)/'normal case'!D58)-D56)&lt;0.0000001,D56,(A57-C57)/'normal case'!D58)</f>
        <v>1.9802129779314939E-3</v>
      </c>
      <c r="E57" s="109">
        <f ca="1">IF(ABS(D57-(G57*('normal case'!T58/100))/'normal case'!D58-E56)&lt;0.00001,E56,D57-(G57*('normal case'!T58/100))/'normal case'!D58)</f>
        <v>1.1818339351688145E-2</v>
      </c>
      <c r="F57" s="110">
        <f ca="1">F56*(1+'normal case'!L57/100)</f>
        <v>2.9138411348334734</v>
      </c>
      <c r="G57" s="108">
        <f ca="1">C57-A57+G56*(1+'normal case'!T57/100)</f>
        <v>-28.390022079905872</v>
      </c>
      <c r="H57" s="109">
        <f ca="1">IF(ABS(G57/'normal case'!D58-H56)&lt;0.0000001,H56,G57/'normal case'!D58)</f>
        <v>-0.28108932735793707</v>
      </c>
    </row>
    <row r="58" spans="1:8">
      <c r="A58" s="108">
        <f ca="1">('main page'!$U$31/100)*'normal case'!D59</f>
        <v>20.200000011920931</v>
      </c>
      <c r="B58" s="109">
        <f t="shared" ca="1" si="0"/>
        <v>0</v>
      </c>
      <c r="C58" s="108">
        <f ca="1">'normal case'!AN59-'normal case'!AN58+IF(controls!$B$33=1,(1+(('main page'!$K$35/100)))*C57,'public finance'!C57)</f>
        <v>20</v>
      </c>
      <c r="D58" s="109">
        <f ca="1">IF(ABS(((A58-C58)/'normal case'!D59)-D57)&lt;0.0000001,D57,(A58-C58)/'normal case'!D59)</f>
        <v>1.9802129779314939E-3</v>
      </c>
      <c r="E58" s="109">
        <f ca="1">IF(ABS(D58-(G58*('normal case'!T59/100))/'normal case'!D59-E57)&lt;0.00001,E57,D58-(G58*('normal case'!T59/100))/'normal case'!D59)</f>
        <v>1.2231980706030675E-2</v>
      </c>
      <c r="F58" s="110">
        <f ca="1">F57*(1+'normal case'!L58/100)</f>
        <v>2.9721179540565736</v>
      </c>
      <c r="G58" s="108">
        <f ca="1">C58-A58+G57*(1+'normal case'!T58/100)</f>
        <v>-29.583672856162622</v>
      </c>
      <c r="H58" s="109">
        <f ca="1">IF(ABS(G58/'normal case'!D59-H57)&lt;0.0000001,H57,G58/'normal case'!D59)</f>
        <v>-0.2929076518683561</v>
      </c>
    </row>
    <row r="59" spans="1:8">
      <c r="A59" s="108">
        <f ca="1">('main page'!$U$31/100)*'normal case'!D60</f>
        <v>20.200000011920931</v>
      </c>
      <c r="B59" s="109">
        <f t="shared" ca="1" si="0"/>
        <v>0</v>
      </c>
      <c r="C59" s="108">
        <f ca="1">'normal case'!AN60-'normal case'!AN59+IF(controls!$B$33=1,(1+(('main page'!$K$35/100)))*C58,'public finance'!C58)</f>
        <v>20</v>
      </c>
      <c r="D59" s="109">
        <f ca="1">IF(ABS(((A59-C59)/'normal case'!D60)-D58)&lt;0.0000001,D58,(A59-C59)/'normal case'!D60)</f>
        <v>1.9802129779314939E-3</v>
      </c>
      <c r="E59" s="109">
        <f ca="1">IF(ABS(D59-(G59*('normal case'!T60/100))/'normal case'!D60-E58)&lt;0.00001,E58,D59-(G59*('normal case'!T60/100))/'normal case'!D60)</f>
        <v>1.2660099507651922E-2</v>
      </c>
      <c r="F59" s="110">
        <f ca="1">F58*(1+'normal case'!L59/100)</f>
        <v>3.0315603095946644</v>
      </c>
      <c r="G59" s="108">
        <f ca="1">C59-A59+G58*(1+'normal case'!T59/100)</f>
        <v>-30.819101409232623</v>
      </c>
      <c r="H59" s="109">
        <f ca="1">IF(ABS(G59/'normal case'!D60-H58)&lt;0.0000001,H58,G59/'normal case'!D60)</f>
        <v>-0.30513961773311765</v>
      </c>
    </row>
    <row r="60" spans="1:8">
      <c r="A60" s="108">
        <f ca="1">('main page'!$U$31/100)*'normal case'!D61</f>
        <v>20.200000011920931</v>
      </c>
      <c r="B60" s="109">
        <f t="shared" ca="1" si="0"/>
        <v>0</v>
      </c>
      <c r="C60" s="108">
        <f ca="1">'normal case'!AN61-'normal case'!AN60+IF(controls!$B$33=1,(1+(('main page'!$K$35/100)))*C59,'public finance'!C59)</f>
        <v>20</v>
      </c>
      <c r="D60" s="109">
        <f ca="1">IF(ABS(((A60-C60)/'normal case'!D61)-D59)&lt;0.0000001,D59,(A60-C60)/'normal case'!D61)</f>
        <v>1.9802129779314939E-3</v>
      </c>
      <c r="E60" s="109">
        <f ca="1">IF(ABS(D60-(G60*('normal case'!T61/100))/'normal case'!D61-E59)&lt;0.00001,E59,D60-(G60*('normal case'!T61/100))/'normal case'!D61)</f>
        <v>1.310320246720232E-2</v>
      </c>
      <c r="F60" s="110">
        <f ca="1">F59*(1+'normal case'!L60/100)</f>
        <v>3.0921915121726564</v>
      </c>
      <c r="G60" s="108">
        <f ca="1">C60-A60+G59*(1+'normal case'!T60/100)</f>
        <v>-32.097769961291888</v>
      </c>
      <c r="H60" s="109">
        <f ca="1">IF(ABS(G60/'normal case'!D61-H59)&lt;0.0000001,H59,G60/'normal case'!D61)</f>
        <v>-0.31779970239950051</v>
      </c>
    </row>
    <row r="61" spans="1:8">
      <c r="A61" s="108">
        <f ca="1">('main page'!$U$31/100)*'normal case'!D62</f>
        <v>20.200000011920931</v>
      </c>
      <c r="B61" s="109">
        <f t="shared" ca="1" si="0"/>
        <v>0</v>
      </c>
      <c r="C61" s="108">
        <f ca="1">'normal case'!AN62-'normal case'!AN61+IF(controls!$B$33=1,(1+(('main page'!$K$35/100)))*C60,'public finance'!C60)</f>
        <v>20</v>
      </c>
      <c r="D61" s="109">
        <f ca="1">IF(ABS(((A61-C61)/'normal case'!D62)-D60)&lt;0.0000001,D60,(A61-C61)/'normal case'!D62)</f>
        <v>1.9802129779314939E-3</v>
      </c>
      <c r="E61" s="109">
        <f ca="1">IF(ABS(D61-(G61*('normal case'!T62/100))/'normal case'!D62-E60)&lt;0.00001,E60,D61-(G61*('normal case'!T62/100))/'normal case'!D62)</f>
        <v>1.3561814030204931E-2</v>
      </c>
      <c r="F61" s="110">
        <f ca="1">F60*(1+'normal case'!L61/100)</f>
        <v>3.1540353387299302</v>
      </c>
      <c r="G61" s="108">
        <f ca="1">C61-A61+G60*(1+'normal case'!T61/100)</f>
        <v>-33.421191912292159</v>
      </c>
      <c r="H61" s="109">
        <f ca="1">IF(ABS(G61/'normal case'!D62-H60)&lt;0.0000001,H60,G61/'normal case'!D62)</f>
        <v>-0.33090289002543377</v>
      </c>
    </row>
    <row r="62" spans="1:8">
      <c r="A62" s="108">
        <f ca="1">('main page'!$U$31/100)*'normal case'!D63</f>
        <v>20.200000011920931</v>
      </c>
      <c r="B62" s="109">
        <f t="shared" ca="1" si="0"/>
        <v>0</v>
      </c>
      <c r="C62" s="108">
        <f ca="1">'normal case'!AN63-'normal case'!AN62+IF(controls!$B$33=1,(1+(('main page'!$K$35/100)))*C61,'public finance'!C61)</f>
        <v>20</v>
      </c>
      <c r="D62" s="109">
        <f ca="1">IF(ABS(((A62-C62)/'normal case'!D63)-D61)&lt;0.0000001,D61,(A62-C62)/'normal case'!D63)</f>
        <v>1.9802129779314939E-3</v>
      </c>
      <c r="E62" s="109">
        <f ca="1">IF(ABS(D62-(G62*('normal case'!T63/100))/'normal case'!D63-E61)&lt;0.00001,E61,D62-(G62*('normal case'!T63/100))/'normal case'!D63)</f>
        <v>1.4036476997775955E-2</v>
      </c>
      <c r="F62" s="110">
        <f ca="1">F61*(1+'normal case'!L62/100)</f>
        <v>3.2171160417446258</v>
      </c>
      <c r="G62" s="108">
        <f ca="1">C62-A62+G61*(1+'normal case'!T62/100)</f>
        <v>-34.790933631183023</v>
      </c>
      <c r="H62" s="109">
        <f ca="1">IF(ABS(G62/'normal case'!D63-H61)&lt;0.0000001,H61,G62/'normal case'!D63)</f>
        <v>-0.34446468921436957</v>
      </c>
    </row>
    <row r="63" spans="1:8">
      <c r="A63" s="108">
        <f ca="1">('main page'!$U$31/100)*'normal case'!D64</f>
        <v>20.200000011920931</v>
      </c>
      <c r="B63" s="109">
        <f t="shared" ca="1" si="0"/>
        <v>0</v>
      </c>
      <c r="C63" s="108">
        <f ca="1">'normal case'!AN64-'normal case'!AN63+IF(controls!$B$33=1,(1+(('main page'!$K$35/100)))*C62,'public finance'!C62)</f>
        <v>20</v>
      </c>
      <c r="D63" s="109">
        <f ca="1">IF(ABS(((A63-C63)/'normal case'!D64)-D62)&lt;0.0000001,D62,(A63-C63)/'normal case'!D64)</f>
        <v>1.9802129779314939E-3</v>
      </c>
      <c r="E63" s="109">
        <f ca="1">IF(ABS(D63-(G63*('normal case'!T64/100))/'normal case'!D64-E62)&lt;0.00001,E62,D63-(G63*('normal case'!T64/100))/'normal case'!D64)</f>
        <v>1.4527753169070502E-2</v>
      </c>
      <c r="F63" s="110">
        <f ca="1">F62*(1+'normal case'!L63/100)</f>
        <v>3.2814583587444175</v>
      </c>
      <c r="G63" s="108">
        <f ca="1">C63-A63+G62*(1+'normal case'!T63/100)</f>
        <v>-36.208616309826851</v>
      </c>
      <c r="H63" s="109">
        <f ca="1">IF(ABS(G63/'normal case'!D64-H62)&lt;0.0000001,H62,G63/'normal case'!D64)</f>
        <v>-0.3585011513708764</v>
      </c>
    </row>
    <row r="64" spans="1:8">
      <c r="A64" s="108">
        <f ca="1">('main page'!$U$31/100)*'normal case'!D65</f>
        <v>20.200000011920931</v>
      </c>
      <c r="B64" s="109">
        <f t="shared" ca="1" si="0"/>
        <v>0</v>
      </c>
      <c r="C64" s="108">
        <f ca="1">'normal case'!AN65-'normal case'!AN64+IF(controls!$B$33=1,(1+(('main page'!$K$35/100)))*C63,'public finance'!C63)</f>
        <v>20</v>
      </c>
      <c r="D64" s="109">
        <f ca="1">IF(ABS(((A64-C64)/'normal case'!D65)-D63)&lt;0.0000001,D63,(A64-C64)/'normal case'!D65)</f>
        <v>1.9802129779314939E-3</v>
      </c>
      <c r="E64" s="109">
        <f ca="1">IF(ABS(D64-(G64*('normal case'!T65/100))/'normal case'!D65-E63)&lt;0.00001,E63,D64-(G64*('normal case'!T65/100))/'normal case'!D65)</f>
        <v>1.5036224006213947E-2</v>
      </c>
      <c r="F64" s="110">
        <f ca="1">F63*(1+'normal case'!L64/100)</f>
        <v>3.3470875220075027</v>
      </c>
      <c r="G64" s="108">
        <f ca="1">C64-A64+G63*(1+'normal case'!T64/100)</f>
        <v>-37.675917881800714</v>
      </c>
      <c r="H64" s="109">
        <f ca="1">IF(ABS(G64/'normal case'!D65-H63)&lt;0.0000001,H63,G64/'normal case'!D65)</f>
        <v>-0.37302888969867781</v>
      </c>
    </row>
    <row r="65" spans="1:8">
      <c r="A65" s="108">
        <f ca="1">('main page'!$U$31/100)*'normal case'!D66</f>
        <v>20.200000011920931</v>
      </c>
      <c r="B65" s="109">
        <f t="shared" ca="1" si="0"/>
        <v>0</v>
      </c>
      <c r="C65" s="108">
        <f ca="1">'normal case'!AN66-'normal case'!AN65+IF(controls!$B$33=1,(1+(('main page'!$K$35/100)))*C64,'public finance'!C64)</f>
        <v>20</v>
      </c>
      <c r="D65" s="109">
        <f ca="1">IF(ABS(((A65-C65)/'normal case'!D66)-D64)&lt;0.0000001,D64,(A65-C65)/'normal case'!D66)</f>
        <v>1.9802129779314939E-3</v>
      </c>
      <c r="E65" s="109">
        <f ca="1">IF(ABS(D65-(G65*('normal case'!T66/100))/'normal case'!D66-E64)&lt;0.00001,E64,D65-(G65*('normal case'!T66/100))/'normal case'!D66)</f>
        <v>1.5562491322505877E-2</v>
      </c>
      <c r="F65" s="110">
        <f ca="1">F64*(1+'normal case'!L65/100)</f>
        <v>3.4140292684576137</v>
      </c>
      <c r="G65" s="108">
        <f ca="1">C65-A65+G64*(1+'normal case'!T65/100)</f>
        <v>-39.194575008356367</v>
      </c>
      <c r="H65" s="109">
        <f ca="1">IF(ABS(G65/'normal case'!D66-H64)&lt;0.0000001,H64,G65/'normal case'!D66)</f>
        <v>-0.38806509886362262</v>
      </c>
    </row>
    <row r="66" spans="1:8">
      <c r="A66" s="108">
        <f ca="1">('main page'!$U$31/100)*'normal case'!D67</f>
        <v>20.200000011920931</v>
      </c>
      <c r="B66" s="109">
        <f t="shared" ca="1" si="0"/>
        <v>0</v>
      </c>
      <c r="C66" s="108">
        <f ca="1">'normal case'!AN67-'normal case'!AN66+IF(controls!$B$33=1,(1+(('main page'!$K$35/100)))*C65,'public finance'!C65)</f>
        <v>20</v>
      </c>
      <c r="D66" s="109">
        <f ca="1">IF(ABS(((A66-C66)/'normal case'!D67)-D65)&lt;0.0000001,D65,(A66-C66)/'normal case'!D67)</f>
        <v>1.9802129779314939E-3</v>
      </c>
      <c r="E66" s="109">
        <f ca="1">IF(ABS(D66-(G66*('normal case'!T67/100))/'normal case'!D67-E65)&lt;0.00001,E65,D66-(G66*('normal case'!T67/100))/'normal case'!D67)</f>
        <v>1.6107177994711182E-2</v>
      </c>
      <c r="F66" s="110">
        <f ca="1">F65*(1+'normal case'!L66/100)</f>
        <v>3.482309849756926</v>
      </c>
      <c r="G66" s="108">
        <f ca="1">C66-A66+G65*(1+'normal case'!T66/100)</f>
        <v>-40.766385133888875</v>
      </c>
      <c r="H66" s="109">
        <f ca="1">IF(ABS(G66/'normal case'!D67-H65)&lt;0.0000001,H65,G66/'normal case'!D67)</f>
        <v>-0.40362757534485938</v>
      </c>
    </row>
    <row r="67" spans="1:8">
      <c r="A67" s="108">
        <f ca="1">('main page'!$U$31/100)*'normal case'!D68</f>
        <v>20.200000011920931</v>
      </c>
      <c r="B67" s="109">
        <f t="shared" ca="1" si="0"/>
        <v>0</v>
      </c>
      <c r="C67" s="108">
        <f ca="1">'normal case'!AN68-'normal case'!AN67+IF(controls!$B$33=1,(1+(('main page'!$K$35/100)))*C66,'public finance'!C66)</f>
        <v>20</v>
      </c>
      <c r="D67" s="109">
        <f ca="1">IF(ABS(((A67-C67)/'normal case'!D68)-D66)&lt;0.0000001,D66,(A67-C67)/'normal case'!D68)</f>
        <v>1.9802129779314939E-3</v>
      </c>
      <c r="E67" s="109">
        <f ca="1">IF(ABS(D67-(G67*('normal case'!T68/100))/'normal case'!D68-E66)&lt;0.00001,E66,D67-(G67*('normal case'!T68/100))/'normal case'!D68)</f>
        <v>1.6670928700281345E-2</v>
      </c>
      <c r="F67" s="110">
        <f ca="1">F66*(1+'normal case'!L67/100)</f>
        <v>3.5519560426008279</v>
      </c>
      <c r="G67" s="108">
        <f ca="1">C67-A67+G66*(1+'normal case'!T67/100)</f>
        <v>-42.393208613346587</v>
      </c>
      <c r="H67" s="109">
        <f ca="1">IF(ABS(G67/'normal case'!D68-H66)&lt;0.0000001,H66,G67/'normal case'!D68)</f>
        <v>-0.41973473849830145</v>
      </c>
    </row>
    <row r="68" spans="1:8">
      <c r="A68" s="108">
        <f ca="1">('main page'!$U$31/100)*'normal case'!D69</f>
        <v>20.200000011920931</v>
      </c>
      <c r="B68" s="109">
        <f t="shared" ca="1" si="0"/>
        <v>0</v>
      </c>
      <c r="C68" s="108">
        <f ca="1">'normal case'!AN69-'normal case'!AN68+IF(controls!$B$33=1,(1+(('main page'!$K$35/100)))*C67,'public finance'!C67)</f>
        <v>20</v>
      </c>
      <c r="D68" s="109">
        <f ca="1">IF(ABS(((A68-C68)/'normal case'!D69)-D67)&lt;0.0000001,D67,(A68-C68)/'normal case'!D69)</f>
        <v>1.9802129779314939E-3</v>
      </c>
      <c r="E68" s="109">
        <f ca="1">IF(ABS(D68-(G68*('normal case'!T69/100))/'normal case'!D69-E67)&lt;0.00001,E67,D68-(G68*('normal case'!T69/100))/'normal case'!D69)</f>
        <v>1.7254410680378453E-2</v>
      </c>
      <c r="F68" s="110">
        <f ca="1">F67*(1+'normal case'!L68/100)</f>
        <v>3.6229951592185832</v>
      </c>
      <c r="G68" s="108">
        <f ca="1">C68-A68+G67*(1+'normal case'!T68/100)</f>
        <v>-44.076970914100485</v>
      </c>
      <c r="H68" s="109">
        <f ca="1">IF(ABS(G68/'normal case'!D69-H67)&lt;0.0000001,H67,G68/'normal case'!D69)</f>
        <v>-0.43640565235731366</v>
      </c>
    </row>
    <row r="69" spans="1:8">
      <c r="A69" s="108">
        <f ca="1">('main page'!$U$31/100)*'normal case'!D70</f>
        <v>20.200000011920931</v>
      </c>
      <c r="B69" s="109">
        <f t="shared" ca="1" si="0"/>
        <v>0</v>
      </c>
      <c r="C69" s="108">
        <f ca="1">'normal case'!AN70-'normal case'!AN69+IF(controls!$B$33=1,(1+(('main page'!$K$35/100)))*C68,'public finance'!C68)</f>
        <v>20</v>
      </c>
      <c r="D69" s="109">
        <f ca="1">IF(ABS(((A69-C69)/'normal case'!D70)-D68)&lt;0.0000001,D68,(A69-C69)/'normal case'!D70)</f>
        <v>1.9802129779314939E-3</v>
      </c>
      <c r="E69" s="109">
        <f ca="1">IF(ABS(D69-(G69*('normal case'!T70/100))/'normal case'!D70-E68)&lt;0.00001,E68,D69-(G69*('normal case'!T70/100))/'normal case'!D70)</f>
        <v>1.7858314529605072E-2</v>
      </c>
      <c r="F69" s="110">
        <f ca="1">F68*(1+'normal case'!L69/100)</f>
        <v>3.6954550580840082</v>
      </c>
      <c r="G69" s="108">
        <f ca="1">C69-A69+G68*(1+'normal case'!T69/100)</f>
        <v>-45.819664894878969</v>
      </c>
      <c r="H69" s="109">
        <f ca="1">IF(ABS(G69/'normal case'!D70-H68)&lt;0.0000001,H68,G69/'normal case'!D70)</f>
        <v>-0.45366004819642297</v>
      </c>
    </row>
    <row r="70" spans="1:8">
      <c r="A70" s="108">
        <f ca="1">('main page'!$U$31/100)*'normal case'!D71</f>
        <v>20.200000011920931</v>
      </c>
      <c r="B70" s="109">
        <f t="shared" ca="1" si="0"/>
        <v>0</v>
      </c>
      <c r="C70" s="108">
        <f ca="1">'normal case'!AN71-'normal case'!AN70+IF(controls!$B$33=1,(1+(('main page'!$K$35/100)))*C69,'public finance'!C69)</f>
        <v>20</v>
      </c>
      <c r="D70" s="109">
        <f ca="1">IF(ABS(((A70-C70)/'normal case'!D71)-D69)&lt;0.0000001,D69,(A70-C70)/'normal case'!D71)</f>
        <v>1.9802129779314939E-3</v>
      </c>
      <c r="E70" s="109">
        <f ca="1">IF(ABS(D70-(G70*('normal case'!T71/100))/'normal case'!D71-E69)&lt;0.00001,E69,D70-(G70*('normal case'!T71/100))/'normal case'!D71)</f>
        <v>1.8483355013374645E-2</v>
      </c>
      <c r="F70" s="110">
        <f ca="1">F69*(1+'normal case'!L70/100)</f>
        <v>3.7693641548403627</v>
      </c>
      <c r="G70" s="108">
        <f ca="1">C70-A70+G69*(1+'normal case'!T70/100)</f>
        <v>-47.623353164465343</v>
      </c>
      <c r="H70" s="109">
        <f ca="1">IF(ABS(G70/'normal case'!D71-H69)&lt;0.0000001,H69,G70/'normal case'!D71)</f>
        <v>-0.47151834788475899</v>
      </c>
    </row>
    <row r="71" spans="1:8">
      <c r="A71" s="108">
        <f ca="1">('main page'!$U$31/100)*'normal case'!D72</f>
        <v>20.200000011920931</v>
      </c>
      <c r="B71" s="109">
        <f t="shared" ca="1" si="0"/>
        <v>0</v>
      </c>
      <c r="C71" s="108">
        <f ca="1">'normal case'!AN72-'normal case'!AN71+IF(controls!$B$33=1,(1+(('main page'!$K$35/100)))*C70,'public finance'!C70)</f>
        <v>20</v>
      </c>
      <c r="D71" s="109">
        <f ca="1">IF(ABS(((A71-C71)/'normal case'!D72)-D70)&lt;0.0000001,D70,(A71-C71)/'normal case'!D72)</f>
        <v>1.9802129779314939E-3</v>
      </c>
      <c r="E71" s="109">
        <f ca="1">IF(ABS(D71-(G71*('normal case'!T72/100))/'normal case'!D72-E70)&lt;0.00001,E70,D71-(G71*('normal case'!T72/100))/'normal case'!D72)</f>
        <v>1.9130271913889874E-2</v>
      </c>
      <c r="F71" s="110">
        <f ca="1">F70*(1+'normal case'!L71/100)</f>
        <v>3.8447514334437378</v>
      </c>
      <c r="G71" s="108">
        <f ca="1">C71-A71+G70*(1+'normal case'!T71/100)</f>
        <v>-49.490170522949697</v>
      </c>
      <c r="H71" s="109">
        <f ca="1">IF(ABS(G71/'normal case'!D72-H70)&lt;0.0000001,H70,G71/'normal case'!D72)</f>
        <v>-0.49000168805686456</v>
      </c>
    </row>
    <row r="72" spans="1:8">
      <c r="A72" s="108">
        <f ca="1">('main page'!$U$31/100)*'normal case'!D73</f>
        <v>20.200000011920931</v>
      </c>
      <c r="B72" s="109">
        <f t="shared" ca="1" si="0"/>
        <v>0</v>
      </c>
      <c r="C72" s="108">
        <f ca="1">'normal case'!AN73-'normal case'!AN72+IF(controls!$B$33=1,(1+(('main page'!$K$35/100)))*C71,'public finance'!C71)</f>
        <v>20</v>
      </c>
      <c r="D72" s="109">
        <f ca="1">IF(ABS(((A72-C72)/'normal case'!D73)-D71)&lt;0.0000001,D71,(A72-C72)/'normal case'!D73)</f>
        <v>1.9802129779314939E-3</v>
      </c>
      <c r="E72" s="109">
        <f ca="1">IF(ABS(D72-(G72*('normal case'!T73/100))/'normal case'!D73-E71)&lt;0.00001,E71,D72-(G72*('normal case'!T73/100))/'normal case'!D73)</f>
        <v>1.9799830905730339E-2</v>
      </c>
      <c r="F72" s="110">
        <f ca="1">F71*(1+'normal case'!L72/100)</f>
        <v>3.9216464575293117</v>
      </c>
      <c r="G72" s="108">
        <f ca="1">C72-A72+G71*(1+'normal case'!T72/100)</f>
        <v>-51.422326488424645</v>
      </c>
      <c r="H72" s="109">
        <f ca="1">IF(ABS(G72/'normal case'!D73-H71)&lt;0.0000001,H71,G72/'normal case'!D73)</f>
        <v>-0.50913194512948534</v>
      </c>
    </row>
    <row r="73" spans="1:8">
      <c r="A73" s="108">
        <f ca="1">('main page'!$U$31/100)*'normal case'!D74</f>
        <v>20.200000011920931</v>
      </c>
      <c r="B73" s="109">
        <f t="shared" ca="1" si="0"/>
        <v>0</v>
      </c>
      <c r="C73" s="108">
        <f ca="1">'normal case'!AN74-'normal case'!AN73+IF(controls!$B$33=1,(1+(('main page'!$K$35/100)))*C72,'public finance'!C72)</f>
        <v>20</v>
      </c>
      <c r="D73" s="109">
        <f ca="1">IF(ABS(((A73-C73)/'normal case'!D74)-D72)&lt;0.0000001,D72,(A73-C73)/'normal case'!D74)</f>
        <v>1.9802129779314939E-3</v>
      </c>
      <c r="E73" s="109">
        <f ca="1">IF(ABS(D73-(G73*('normal case'!T74/100))/'normal case'!D74-E72)&lt;0.00001,E72,D73-(G73*('normal case'!T74/100))/'normal case'!D74)</f>
        <v>2.0492824462085679E-2</v>
      </c>
      <c r="F73" s="110">
        <f ca="1">F72*(1+'normal case'!L73/100)</f>
        <v>4.0000793820049312</v>
      </c>
      <c r="G73" s="108">
        <f ca="1">C73-A73+G72*(1+'normal case'!T73/100)</f>
        <v>-53.422107912115393</v>
      </c>
      <c r="H73" s="109">
        <f ca="1">IF(ABS(G73/'normal case'!D74-H72)&lt;0.0000001,H72,G73/'normal case'!D74)</f>
        <v>-0.52893176119394658</v>
      </c>
    </row>
    <row r="74" spans="1:8">
      <c r="A74" s="108">
        <f ca="1">('main page'!$U$31/100)*'normal case'!D75</f>
        <v>20.200000011920931</v>
      </c>
      <c r="B74" s="109">
        <f t="shared" ca="1" si="0"/>
        <v>0</v>
      </c>
      <c r="C74" s="108">
        <f ca="1">'normal case'!AN75-'normal case'!AN74+IF(controls!$B$33=1,(1+(('main page'!$K$35/100)))*C73,'public finance'!C73)</f>
        <v>20</v>
      </c>
      <c r="D74" s="109">
        <f ca="1">IF(ABS(((A74-C74)/'normal case'!D75)-D73)&lt;0.0000001,D73,(A74-C74)/'normal case'!D75)</f>
        <v>1.9802129779314939E-3</v>
      </c>
      <c r="E74" s="109">
        <f ca="1">IF(ABS(D74-(G74*('normal case'!T75/100))/'normal case'!D75-E73)&lt;0.00001,E73,D74-(G74*('normal case'!T75/100))/'normal case'!D75)</f>
        <v>2.1210072792706924E-2</v>
      </c>
      <c r="F74" s="110">
        <f ca="1">F73*(1+'normal case'!L74/100)</f>
        <v>4.0800809648765641</v>
      </c>
      <c r="G74" s="108">
        <f ca="1">C74-A74+G73*(1+'normal case'!T74/100)</f>
        <v>-55.491881685039331</v>
      </c>
      <c r="H74" s="109">
        <f ca="1">IF(ABS(G74/'normal case'!D75-H73)&lt;0.0000001,H73,G74/'normal case'!D75)</f>
        <v>-0.54942457081476315</v>
      </c>
    </row>
    <row r="75" spans="1:8">
      <c r="A75" s="108">
        <f ca="1">('main page'!$U$31/100)*'normal case'!D76</f>
        <v>20.200000011920931</v>
      </c>
      <c r="B75" s="109">
        <f t="shared" ca="1" si="0"/>
        <v>0</v>
      </c>
      <c r="C75" s="108">
        <f ca="1">'normal case'!AN76-'normal case'!AN75+IF(controls!$B$33=1,(1+(('main page'!$K$35/100)))*C74,'public finance'!C74)</f>
        <v>20</v>
      </c>
      <c r="D75" s="109">
        <f ca="1">IF(ABS(((A75-C75)/'normal case'!D76)-D74)&lt;0.0000001,D74,(A75-C75)/'normal case'!D76)</f>
        <v>1.9802129779314939E-3</v>
      </c>
      <c r="E75" s="109">
        <f ca="1">IF(ABS(D75-(G75*('normal case'!T76/100))/'normal case'!D76-E74)&lt;0.00001,E74,D75-(G75*('normal case'!T76/100))/'normal case'!D76)</f>
        <v>2.1952424814686157E-2</v>
      </c>
      <c r="F75" s="110">
        <f ca="1">F74*(1+'normal case'!L75/100)</f>
        <v>4.1616825793102601</v>
      </c>
      <c r="G75" s="108">
        <f ca="1">C75-A75+G74*(1+'normal case'!T75/100)</f>
        <v>-57.634097539398766</v>
      </c>
      <c r="H75" s="109">
        <f ca="1">IF(ABS(G75/'normal case'!D76-H74)&lt;0.0000001,H74,G75/'normal case'!D76)</f>
        <v>-0.57063462876620086</v>
      </c>
    </row>
    <row r="76" spans="1:8">
      <c r="A76" s="108">
        <f ca="1">('main page'!$U$31/100)*'normal case'!D77</f>
        <v>20.200000011920931</v>
      </c>
      <c r="B76" s="109">
        <f t="shared" ca="1" si="0"/>
        <v>0</v>
      </c>
      <c r="C76" s="108">
        <f ca="1">'normal case'!AN77-'normal case'!AN76+IF(controls!$B$33=1,(1+(('main page'!$K$35/100)))*C75,'public finance'!C75)</f>
        <v>20</v>
      </c>
      <c r="D76" s="109">
        <f ca="1">IF(ABS(((A76-C76)/'normal case'!D77)-D75)&lt;0.0000001,D75,(A76-C76)/'normal case'!D77)</f>
        <v>1.9802129779314939E-3</v>
      </c>
      <c r="E76" s="109">
        <f ca="1">IF(ABS(D76-(G76*('normal case'!T77/100))/'normal case'!D77-E75)&lt;0.00001,E75,D76-(G76*('normal case'!T77/100))/'normal case'!D77)</f>
        <v>2.2720759157213426E-2</v>
      </c>
      <c r="F76" s="110">
        <f ca="1">F75*(1+'normal case'!L76/100)</f>
        <v>4.244916225935353</v>
      </c>
      <c r="G76" s="108">
        <f ca="1">C76-A76+G75*(1+'normal case'!T76/100)</f>
        <v>-59.851290948022353</v>
      </c>
      <c r="H76" s="109">
        <f ca="1">IF(ABS(G76/'normal case'!D77-H75)&lt;0.0000001,H75,G76/'normal case'!D77)</f>
        <v>-0.59258703873961793</v>
      </c>
    </row>
    <row r="77" spans="1:8">
      <c r="A77" s="108">
        <f ca="1">('main page'!$U$31/100)*'normal case'!D78</f>
        <v>20.200000011920931</v>
      </c>
      <c r="B77" s="109">
        <f t="shared" ca="1" si="0"/>
        <v>0</v>
      </c>
      <c r="C77" s="108">
        <f ca="1">'normal case'!AN78-'normal case'!AN77+IF(controls!$B$33=1,(1+(('main page'!$K$35/100)))*C76,'public finance'!C76)</f>
        <v>20</v>
      </c>
      <c r="D77" s="109">
        <f ca="1">IF(ABS(((A77-C77)/'normal case'!D78)-D76)&lt;0.0000001,D76,(A77-C77)/'normal case'!D78)</f>
        <v>1.9802129779314939E-3</v>
      </c>
      <c r="E77" s="109">
        <f ca="1">IF(ABS(D77-(G77*('normal case'!T78/100))/'normal case'!D78-E76)&lt;0.00001,E76,D77-(G77*('normal case'!T78/100))/'normal case'!D78)</f>
        <v>2.3515985201500163E-2</v>
      </c>
      <c r="F77" s="110">
        <f ca="1">F76*(1+'normal case'!L77/100)</f>
        <v>4.3298145453937256</v>
      </c>
      <c r="G77" s="108">
        <f ca="1">C77-A77+G76*(1+'normal case'!T77/100)</f>
        <v>-62.146086125286985</v>
      </c>
      <c r="H77" s="109">
        <f ca="1">IF(ABS(G77/'normal case'!D78-H76)&lt;0.0000001,H76,G77/'normal case'!D78)</f>
        <v>-0.61530778305556222</v>
      </c>
    </row>
    <row r="78" spans="1:8">
      <c r="A78" s="108">
        <f ca="1">('main page'!$U$31/100)*'normal case'!D79</f>
        <v>20.200000011920931</v>
      </c>
      <c r="B78" s="109">
        <f t="shared" ca="1" si="0"/>
        <v>0</v>
      </c>
      <c r="C78" s="108">
        <f ca="1">'normal case'!AN79-'normal case'!AN78+IF(controls!$B$33=1,(1+(('main page'!$K$35/100)))*C77,'public finance'!C77)</f>
        <v>20</v>
      </c>
      <c r="D78" s="109">
        <f ca="1">IF(ABS(((A78-C78)/'normal case'!D79)-D77)&lt;0.0000001,D77,(A78-C78)/'normal case'!D79)</f>
        <v>1.9802129779314939E-3</v>
      </c>
      <c r="E78" s="109">
        <f ca="1">IF(ABS(D78-(G78*('normal case'!T79/100))/'normal case'!D79-E77)&lt;0.00001,E77,D78-(G78*('normal case'!T79/100))/'normal case'!D79)</f>
        <v>2.4339044157099948E-2</v>
      </c>
      <c r="F78" s="110">
        <f ca="1">F77*(1+'normal case'!L78/100)</f>
        <v>4.4164108311400589</v>
      </c>
      <c r="G78" s="108">
        <f ca="1">C78-A78+G77*(1+'normal case'!T78/100)</f>
        <v>-64.521199133071988</v>
      </c>
      <c r="H78" s="109">
        <f ca="1">IF(ABS(G78/'normal case'!D79-H77)&lt;0.0000001,H77,G78/'normal case'!D79)</f>
        <v>-0.63882375341579334</v>
      </c>
    </row>
    <row r="79" spans="1:8">
      <c r="A79" s="108">
        <f ca="1">('main page'!$U$31/100)*'normal case'!D80</f>
        <v>20.200000011920931</v>
      </c>
      <c r="B79" s="109">
        <f t="shared" ca="1" si="0"/>
        <v>0</v>
      </c>
      <c r="C79" s="108">
        <f ca="1">'normal case'!AN80-'normal case'!AN79+IF(controls!$B$33=1,(1+(('main page'!$K$35/100)))*C78,'public finance'!C78)</f>
        <v>20</v>
      </c>
      <c r="D79" s="109">
        <f ca="1">IF(ABS(((A79-C79)/'normal case'!D80)-D78)&lt;0.0000001,D78,(A79-C79)/'normal case'!D80)</f>
        <v>1.9802129779314939E-3</v>
      </c>
      <c r="E79" s="109">
        <f ca="1">IF(ABS(D79-(G79*('normal case'!T80/100))/'normal case'!D80-E78)&lt;0.00001,E78,D79-(G79*('normal case'!T80/100))/'normal case'!D80)</f>
        <v>2.519091017590043E-2</v>
      </c>
      <c r="F79" s="110">
        <f ca="1">F78*(1+'normal case'!L79/100)</f>
        <v>4.5047390424980884</v>
      </c>
      <c r="G79" s="108">
        <f ca="1">C79-A79+G78*(1+'normal case'!T79/100)</f>
        <v>-66.97944109542162</v>
      </c>
      <c r="H79" s="109">
        <f ca="1">IF(ABS(G79/'normal case'!D80-H78)&lt;0.0000001,H78,G79/'normal case'!D80)</f>
        <v>-0.6631627827316241</v>
      </c>
    </row>
    <row r="80" spans="1:8">
      <c r="A80" s="108">
        <f ca="1">('main page'!$U$31/100)*'normal case'!D81</f>
        <v>20.200000011920931</v>
      </c>
      <c r="B80" s="109">
        <f t="shared" ca="1" si="0"/>
        <v>0</v>
      </c>
      <c r="C80" s="108">
        <f ca="1">'normal case'!AN81-'normal case'!AN80+IF(controls!$B$33=1,(1+(('main page'!$K$35/100)))*C79,'public finance'!C79)</f>
        <v>20</v>
      </c>
      <c r="D80" s="109">
        <f ca="1">IF(ABS(((A80-C80)/'normal case'!D81)-D79)&lt;0.0000001,D79,(A80-C80)/'normal case'!D81)</f>
        <v>1.9802129779314939E-3</v>
      </c>
      <c r="E80" s="109">
        <f ca="1">IF(ABS(D80-(G80*('normal case'!T81/100))/'normal case'!D81-E79)&lt;0.00001,E79,D80-(G80*('normal case'!T81/100))/'normal case'!D81)</f>
        <v>2.6072591505105058E-2</v>
      </c>
      <c r="F80" s="110">
        <f ca="1">F79*(1+'normal case'!L80/100)</f>
        <v>4.5948338179779826</v>
      </c>
      <c r="G80" s="108">
        <f ca="1">C80-A80+G79*(1+'normal case'!T80/100)</f>
        <v>-69.523721525720887</v>
      </c>
      <c r="H80" s="109">
        <f ca="1">IF(ABS(G80/'normal case'!D81-H79)&lt;0.0000001,H79,G80/'normal case'!D81)</f>
        <v>-0.68835367806625558</v>
      </c>
    </row>
    <row r="81" spans="1:12">
      <c r="A81" s="108">
        <f ca="1">('main page'!$U$31/100)*'normal case'!D82</f>
        <v>20.200000011920931</v>
      </c>
      <c r="B81" s="109">
        <f t="shared" ca="1" si="0"/>
        <v>0</v>
      </c>
      <c r="C81" s="108">
        <f ca="1">'normal case'!AN82-'normal case'!AN81+IF(controls!$B$33=1,(1+(('main page'!$K$35/100)))*C80,'public finance'!C80)</f>
        <v>20</v>
      </c>
      <c r="D81" s="109">
        <f ca="1">IF(ABS(((A81-C81)/'normal case'!D82)-D80)&lt;0.0000001,D80,(A81-C81)/'normal case'!D82)</f>
        <v>1.9802129779314939E-3</v>
      </c>
      <c r="E81" s="109">
        <f ca="1">IF(ABS(D81-(G81*('normal case'!T82/100))/'normal case'!D82-E80)&lt;0.00001,E80,D81-(G81*('normal case'!T82/100))/'normal case'!D82)</f>
        <v>2.6985131680569083E-2</v>
      </c>
      <c r="F81" s="110">
        <f ca="1">F80*(1+'normal case'!L81/100)</f>
        <v>4.686730488860074</v>
      </c>
      <c r="G81" s="108">
        <f ca="1">C81-A81+G80*(1+'normal case'!T81/100)</f>
        <v>-72.157051770322369</v>
      </c>
      <c r="H81" s="109">
        <f ca="1">IF(ABS(G81/'normal case'!D82-H80)&lt;0.0000001,H80,G81/'normal case'!D82)</f>
        <v>-0.71442625473009158</v>
      </c>
    </row>
    <row r="82" spans="1:12">
      <c r="A82" s="108">
        <f ca="1">('main page'!$U$31/100)*'normal case'!D83</f>
        <v>20.200000011920931</v>
      </c>
      <c r="B82" s="109">
        <f t="shared" ca="1" si="0"/>
        <v>0</v>
      </c>
      <c r="C82" s="108">
        <f ca="1">'normal case'!AN83-'normal case'!AN82+IF(controls!$B$33=1,(1+(('main page'!$K$35/100)))*C81,'public finance'!C81)</f>
        <v>20</v>
      </c>
      <c r="D82" s="109">
        <f ca="1">IF(ABS(((A82-C82)/'normal case'!D83)-D81)&lt;0.0000001,D81,(A82-C82)/'normal case'!D83)</f>
        <v>1.9802129779314939E-3</v>
      </c>
      <c r="E82" s="109">
        <f ca="1">IF(ABS(D82-(G82*('normal case'!T83/100))/'normal case'!D83-E81)&lt;0.00001,E81,D82-(G82*('normal case'!T83/100))/'normal case'!D83)</f>
        <v>2.7929610761902392E-2</v>
      </c>
      <c r="F82" s="110">
        <f ca="1">F81*(1+'normal case'!L82/100)</f>
        <v>4.7804650930502577</v>
      </c>
      <c r="G82" s="108">
        <f ca="1">C82-A82+G81*(1+'normal case'!T82/100)</f>
        <v>-74.882548572700102</v>
      </c>
      <c r="H82" s="109">
        <f ca="1">IF(ABS(G82/'normal case'!D83-H81)&lt;0.0000001,H81,G82/'normal case'!D83)</f>
        <v>-0.74141137156939152</v>
      </c>
    </row>
    <row r="83" spans="1:12">
      <c r="A83" s="108">
        <f ca="1">('main page'!$U$31/100)*'normal case'!D84</f>
        <v>20.200000011920931</v>
      </c>
      <c r="B83" s="109">
        <f t="shared" ca="1" si="0"/>
        <v>0</v>
      </c>
      <c r="C83" s="108">
        <f ca="1">'normal case'!AN84-'normal case'!AN83+IF(controls!$B$33=1,(1+(('main page'!$K$35/100)))*C82,'public finance'!C82)</f>
        <v>20</v>
      </c>
      <c r="D83" s="109">
        <f ca="1">IF(ABS(((A83-C83)/'normal case'!D84)-D82)&lt;0.0000001,D82,(A83-C83)/'normal case'!D84)</f>
        <v>1.9802129779314939E-3</v>
      </c>
      <c r="E83" s="109">
        <f ca="1">IF(ABS(D83-(G83*('normal case'!T84/100))/'normal case'!D84-E82)&lt;0.00001,E82,D83-(G83*('normal case'!T84/100))/'normal case'!D84)</f>
        <v>2.8907146610800887E-2</v>
      </c>
      <c r="F83" s="110">
        <f ca="1">F82*(1+'normal case'!L83/100)</f>
        <v>4.8760743892125049</v>
      </c>
      <c r="G83" s="108">
        <f ca="1">C83-A83+G82*(1+'normal case'!T83/100)</f>
        <v>-77.703437762348798</v>
      </c>
      <c r="H83" s="109">
        <f ca="1">IF(ABS(G83/'normal case'!D84-H82)&lt;0.0000001,H82,G83/'normal case'!D84)</f>
        <v>-0.76934096749002479</v>
      </c>
    </row>
    <row r="84" spans="1:12">
      <c r="A84" s="108">
        <f ca="1">('main page'!$U$31/100)*'normal case'!D85</f>
        <v>20.200000011920931</v>
      </c>
      <c r="B84" s="109">
        <f t="shared" ca="1" si="0"/>
        <v>0</v>
      </c>
      <c r="C84" s="108">
        <f ca="1">'normal case'!AN85-'normal case'!AN84+IF(controls!$B$33=1,(1+(('main page'!$K$35/100)))*C83,'public finance'!C83)</f>
        <v>20</v>
      </c>
      <c r="D84" s="109">
        <f ca="1">IF(ABS(((A84-C84)/'normal case'!D85)-D83)&lt;0.0000001,D83,(A84-C84)/'normal case'!D85)</f>
        <v>1.9802129779314939E-3</v>
      </c>
      <c r="E84" s="109">
        <f ca="1">IF(ABS(D84-(G84*('normal case'!T85/100))/'normal case'!D85-E83)&lt;0.00001,E83,D84-(G84*('normal case'!T85/100))/'normal case'!D85)</f>
        <v>2.9918896214119504E-2</v>
      </c>
      <c r="F84" s="110">
        <f ca="1">F83*(1+'normal case'!L84/100)</f>
        <v>4.9735958711840214</v>
      </c>
      <c r="G84" s="108">
        <f ca="1">C84-A84+G83*(1+'normal case'!T84/100)</f>
        <v>-80.623058072794507</v>
      </c>
      <c r="H84" s="109">
        <f ca="1">IF(ABS(G84/'normal case'!D85-H83)&lt;0.0000001,H83,G84/'normal case'!D85)</f>
        <v>-0.79824809925955653</v>
      </c>
    </row>
    <row r="85" spans="1:12">
      <c r="A85" s="108">
        <f ca="1">('main page'!$U$31/100)*'normal case'!D86</f>
        <v>20.200000011920931</v>
      </c>
      <c r="B85" s="109">
        <f t="shared" ca="1" si="0"/>
        <v>0</v>
      </c>
      <c r="C85" s="108">
        <f ca="1">'normal case'!AN86-'normal case'!AN85+IF(controls!$B$33=1,(1+(('main page'!$K$35/100)))*C84,'public finance'!C84)</f>
        <v>20</v>
      </c>
      <c r="D85" s="109">
        <f ca="1">IF(ABS(((A85-C85)/'normal case'!D86)-D84)&lt;0.0000001,D84,(A85-C85)/'normal case'!D86)</f>
        <v>1.9802129779314939E-3</v>
      </c>
      <c r="E85" s="109">
        <f ca="1">IF(ABS(D85-(G85*('normal case'!T86/100))/'normal case'!D86-E84)&lt;0.00001,E84,D85-(G85*('normal case'!T86/100))/'normal case'!D86)</f>
        <v>3.0966057053252748E-2</v>
      </c>
      <c r="F85" s="110">
        <f ca="1">F84*(1+'normal case'!L85/100)</f>
        <v>5.0730677826787138</v>
      </c>
      <c r="G85" s="108">
        <f ca="1">C85-A85+G84*(1+'normal case'!T85/100)</f>
        <v>-83.644865093235708</v>
      </c>
      <c r="H85" s="109">
        <f ca="1">IF(ABS(G85/'normal case'!D86-H84)&lt;0.0000001,H84,G85/'normal case'!D86)</f>
        <v>-0.82816698063240701</v>
      </c>
      <c r="L85" s="81">
        <f>0.09981-0.1</f>
        <v>-1.9000000000000961E-4</v>
      </c>
    </row>
    <row r="86" spans="1:12">
      <c r="A86" s="108">
        <f ca="1">('main page'!$U$31/100)*'normal case'!D87</f>
        <v>20.200000011920931</v>
      </c>
      <c r="B86" s="109">
        <f t="shared" ca="1" si="0"/>
        <v>0</v>
      </c>
      <c r="C86" s="108">
        <f ca="1">'normal case'!AN87-'normal case'!AN86+IF(controls!$B$33=1,(1+(('main page'!$K$35/100)))*C85,'public finance'!C85)</f>
        <v>20</v>
      </c>
      <c r="D86" s="109">
        <f ca="1">IF(ABS(((A86-C86)/'normal case'!D87)-D85)&lt;0.0000001,D85,(A86-C86)/'normal case'!D87)</f>
        <v>1.9802129779314939E-3</v>
      </c>
      <c r="E86" s="109">
        <f ca="1">IF(ABS(D86-(G86*('normal case'!T87/100))/'normal case'!D87-E85)&lt;0.00001,E85,D86-(G86*('normal case'!T87/100))/'normal case'!D87)</f>
        <v>3.2049868521443578E-2</v>
      </c>
      <c r="F86" s="110">
        <f ca="1">F85*(1+'normal case'!L86/100)</f>
        <v>5.1745291322847207</v>
      </c>
      <c r="G86" s="108">
        <f ca="1">C86-A86+G85*(1+'normal case'!T86/100)</f>
        <v>-86.772435358491776</v>
      </c>
      <c r="H86" s="109">
        <f ca="1">IF(ABS(G86/'normal case'!D87-H85)&lt;0.0000001,H85,G86/'normal case'!D87)</f>
        <v>-0.85913302284439064</v>
      </c>
      <c r="L86" s="81">
        <f>0.1001-0.0999</f>
        <v>1.9999999999999185E-4</v>
      </c>
    </row>
    <row r="87" spans="1:12">
      <c r="A87" s="108">
        <f ca="1">('main page'!$U$31/100)*'normal case'!D88</f>
        <v>20.200000011920931</v>
      </c>
      <c r="B87" s="109">
        <f t="shared" ca="1" si="0"/>
        <v>0</v>
      </c>
      <c r="C87" s="108">
        <f ca="1">'normal case'!AN88-'normal case'!AN87+IF(controls!$B$33=1,(1+(('main page'!$K$35/100)))*C86,'public finance'!C86)</f>
        <v>20</v>
      </c>
      <c r="D87" s="109">
        <f ca="1">IF(ABS(((A87-C87)/'normal case'!D88)-D86)&lt;0.0000001,D86,(A87-C87)/'normal case'!D88)</f>
        <v>1.9802129779314939E-3</v>
      </c>
      <c r="E87" s="109">
        <f ca="1">IF(ABS(D87-(G87*('normal case'!T88/100))/'normal case'!D88-E86)&lt;0.00001,E86,D87-(G87*('normal case'!T88/100))/'normal case'!D88)</f>
        <v>3.3171613390698081E-2</v>
      </c>
      <c r="F87" s="110">
        <f ca="1">F86*(1+'normal case'!L87/100)</f>
        <v>5.2780197087618959</v>
      </c>
      <c r="G87" s="108">
        <f ca="1">C87-A87+G86*(1+'normal case'!T87/100)</f>
        <v>-90.009470582099723</v>
      </c>
      <c r="H87" s="109">
        <f ca="1">IF(ABS(G87/'normal case'!D88-H86)&lt;0.0000001,H86,G87/'normal case'!D88)</f>
        <v>-0.89118287652456518</v>
      </c>
    </row>
    <row r="88" spans="1:12">
      <c r="A88" s="108">
        <f ca="1">('main page'!$U$31/100)*'normal case'!D89</f>
        <v>20.200000011920931</v>
      </c>
      <c r="B88" s="109">
        <f t="shared" ca="1" si="0"/>
        <v>0</v>
      </c>
      <c r="C88" s="108">
        <f ca="1">'normal case'!AN89-'normal case'!AN88+IF(controls!$B$33=1,(1+(('main page'!$K$35/100)))*C87,'public finance'!C87)</f>
        <v>20</v>
      </c>
      <c r="D88" s="109">
        <f ca="1">IF(ABS(((A88-C88)/'normal case'!D89)-D87)&lt;0.0000001,D87,(A88-C88)/'normal case'!D89)</f>
        <v>1.9802129779314939E-3</v>
      </c>
      <c r="E88" s="109">
        <f ca="1">IF(ABS(D88-(G88*('normal case'!T89/100))/'normal case'!D89-E87)&lt;0.00001,E87,D88-(G88*('normal case'!T89/100))/'normal case'!D89)</f>
        <v>3.4332619330042197E-2</v>
      </c>
      <c r="F88" s="110">
        <f ca="1">F87*(1+'normal case'!L88/100)</f>
        <v>5.3835800966452441</v>
      </c>
      <c r="G88" s="108">
        <f ca="1">C88-A88+G87*(1+'normal case'!T88/100)</f>
        <v>-93.359802037569239</v>
      </c>
      <c r="H88" s="109">
        <f ca="1">IF(ABS(G88/'normal case'!D89-H87)&lt;0.0000001,H87,G88/'normal case'!D89)</f>
        <v>-0.92435447507399426</v>
      </c>
    </row>
    <row r="89" spans="1:12">
      <c r="A89" s="108">
        <f ca="1">('main page'!$U$31/100)*'normal case'!D90</f>
        <v>20.200000011920931</v>
      </c>
      <c r="B89" s="109">
        <f t="shared" ca="1" si="0"/>
        <v>0</v>
      </c>
      <c r="C89" s="108">
        <f ca="1">'normal case'!AN90-'normal case'!AN89+IF(controls!$B$33=1,(1+(('main page'!$K$35/100)))*C88,'public finance'!C88)</f>
        <v>20</v>
      </c>
      <c r="D89" s="109">
        <f ca="1">IF(ABS(((A89-C89)/'normal case'!D90)-D88)&lt;0.0000001,D88,(A89-C89)/'normal case'!D90)</f>
        <v>1.9802129779314939E-3</v>
      </c>
      <c r="E89" s="109">
        <f ca="1">IF(ABS(D89-(G89*('normal case'!T90/100))/'normal case'!D90-E88)&lt;0.00001,E88,D89-(G89*('normal case'!T90/100))/'normal case'!D90)</f>
        <v>3.5534260476917337E-2</v>
      </c>
      <c r="F89" s="110">
        <f ca="1">F88*(1+'normal case'!L89/100)</f>
        <v>5.4912516921604215</v>
      </c>
      <c r="G89" s="108">
        <f ca="1">C89-A89+G88*(1+'normal case'!T89/100)</f>
        <v>-96.827395092981703</v>
      </c>
      <c r="H89" s="109">
        <f ca="1">IF(ABS(G89/'normal case'!D90-H88)&lt;0.0000001,H88,G89/'normal case'!D90)</f>
        <v>-0.95868707956276733</v>
      </c>
    </row>
    <row r="90" spans="1:12">
      <c r="A90" s="108">
        <f ca="1">('main page'!$U$31/100)*'normal case'!D91</f>
        <v>20.200000011920931</v>
      </c>
      <c r="B90" s="109">
        <f t="shared" ca="1" si="0"/>
        <v>0</v>
      </c>
      <c r="C90" s="108">
        <f ca="1">'normal case'!AN91-'normal case'!AN90+IF(controls!$B$33=1,(1+(('main page'!$K$35/100)))*C89,'public finance'!C89)</f>
        <v>20</v>
      </c>
      <c r="D90" s="109">
        <f ca="1">IF(ABS(((A90-C90)/'normal case'!D91)-D89)&lt;0.0000001,D89,(A90-C90)/'normal case'!D91)</f>
        <v>1.9802129779314939E-3</v>
      </c>
      <c r="E90" s="109">
        <f ca="1">IF(ABS(D90-(G90*('normal case'!T91/100))/'normal case'!D91-E89)&lt;0.00001,E89,D90-(G90*('normal case'!T91/100))/'normal case'!D91)</f>
        <v>3.6777959063574998E-2</v>
      </c>
      <c r="F90" s="110">
        <f ca="1">F89*(1+'normal case'!L90/100)</f>
        <v>5.6010767194575477</v>
      </c>
      <c r="G90" s="108">
        <f ca="1">C90-A90+G89*(1+'normal case'!T90/100)</f>
        <v>-100.41635390430018</v>
      </c>
      <c r="H90" s="109">
        <f ca="1">IF(ABS(G90/'normal case'!D91-H89)&lt;0.0000001,H89,G90/'normal case'!D91)</f>
        <v>-0.99422132519841555</v>
      </c>
    </row>
    <row r="91" spans="1:12">
      <c r="A91" s="108">
        <f ca="1">('main page'!$U$31/100)*'normal case'!D92</f>
        <v>20.200000011920931</v>
      </c>
      <c r="B91" s="109">
        <f t="shared" ca="1" si="0"/>
        <v>0</v>
      </c>
      <c r="C91" s="108">
        <f ca="1">'normal case'!AN92-'normal case'!AN91+IF(controls!$B$33=1,(1+(('main page'!$K$35/100)))*C90,'public finance'!C90)</f>
        <v>20</v>
      </c>
      <c r="D91" s="109">
        <f ca="1">IF(ABS(((A91-C91)/'normal case'!D92)-D90)&lt;0.0000001,D90,(A91-C91)/'normal case'!D92)</f>
        <v>1.9802129779314939E-3</v>
      </c>
      <c r="E91" s="109">
        <f ca="1">IF(ABS(D91-(G91*('normal case'!T92/100))/'normal case'!D92-E90)&lt;0.00001,E90,D91-(G91*('normal case'!T92/100))/'normal case'!D92)</f>
        <v>3.8065187100395026E-2</v>
      </c>
      <c r="F91" s="110">
        <f ca="1">F90*(1+'normal case'!L91/100)</f>
        <v>5.7130982471696949</v>
      </c>
      <c r="G91" s="108">
        <f ca="1">C91-A91+G90*(1+'normal case'!T91/100)</f>
        <v>-104.13092627294522</v>
      </c>
      <c r="H91" s="109">
        <f ca="1">IF(ABS(G91/'normal case'!D92-H90)&lt;0.0000001,H90,G91/'normal case'!D92)</f>
        <v>-1.0309992694207215</v>
      </c>
    </row>
    <row r="92" spans="1:12">
      <c r="A92" s="108">
        <f ca="1">('main page'!$U$31/100)*'normal case'!D93</f>
        <v>20.200000011920931</v>
      </c>
      <c r="B92" s="109">
        <f t="shared" ca="1" si="0"/>
        <v>0</v>
      </c>
      <c r="C92" s="108">
        <f ca="1">'normal case'!AN93-'normal case'!AN92+IF(controls!$B$33=1,(1+(('main page'!$K$35/100)))*C91,'public finance'!C91)</f>
        <v>20</v>
      </c>
      <c r="D92" s="109">
        <f ca="1">IF(ABS(((A92-C92)/'normal case'!D93)-D91)&lt;0.0000001,D91,(A92-C92)/'normal case'!D93)</f>
        <v>1.9802129779314939E-3</v>
      </c>
      <c r="E92" s="109">
        <f ca="1">IF(ABS(D92-(G92*('normal case'!T93/100))/'normal case'!D93-E91)&lt;0.00001,E91,D92-(G92*('normal case'!T93/100))/'normal case'!D93)</f>
        <v>3.939746811812013E-2</v>
      </c>
      <c r="F92" s="110">
        <f ca="1">F91*(1+'normal case'!L92/100)</f>
        <v>5.8273602053025453</v>
      </c>
      <c r="G92" s="108">
        <f ca="1">C92-A92+G91*(1+'normal case'!T92/100)</f>
        <v>-107.9755086733858</v>
      </c>
      <c r="H92" s="109">
        <f ca="1">IF(ABS(G92/'normal case'!D93-H91)&lt;0.0000001,H91,G92/'normal case'!D93)</f>
        <v>-1.0690644416798476</v>
      </c>
    </row>
    <row r="93" spans="1:12">
      <c r="A93" s="108">
        <f ca="1">('main page'!$U$31/100)*'normal case'!D94</f>
        <v>20.200000011920931</v>
      </c>
      <c r="B93" s="109">
        <f t="shared" ca="1" si="0"/>
        <v>0</v>
      </c>
      <c r="C93" s="108">
        <f ca="1">'normal case'!AN94-'normal case'!AN93+IF(controls!$B$33=1,(1+(('main page'!$K$35/100)))*C92,'public finance'!C92)</f>
        <v>20</v>
      </c>
      <c r="D93" s="109">
        <f ca="1">IF(ABS(((A93-C93)/'normal case'!D94)-D92)&lt;0.0000001,D92,(A93-C93)/'normal case'!D94)</f>
        <v>1.9802129779314939E-3</v>
      </c>
      <c r="E93" s="109">
        <f ca="1">IF(ABS(D93-(G93*('normal case'!T94/100))/'normal case'!D94-E92)&lt;0.00001,E92,D93-(G93*('normal case'!T94/100))/'normal case'!D94)</f>
        <v>4.0776378971068561E-2</v>
      </c>
      <c r="F93" s="110">
        <f ca="1">F92*(1+'normal case'!L93/100)</f>
        <v>5.9439074024618419</v>
      </c>
      <c r="G93" s="108">
        <f ca="1">C93-A93+G92*(1+'normal case'!T93/100)</f>
        <v>-111.95465145669603</v>
      </c>
      <c r="H93" s="109">
        <f ca="1">IF(ABS(G93/'normal case'!D94-H92)&lt;0.0000001,H92,G93/'normal case'!D94)</f>
        <v>-1.1084618949566984</v>
      </c>
    </row>
    <row r="94" spans="1:12">
      <c r="A94" s="108">
        <f ca="1">('main page'!$U$31/100)*'normal case'!D95</f>
        <v>20.200000011920931</v>
      </c>
      <c r="B94" s="109">
        <f t="shared" ca="1" si="0"/>
        <v>0</v>
      </c>
      <c r="C94" s="108">
        <f ca="1">'normal case'!AN95-'normal case'!AN94+IF(controls!$B$33=1,(1+(('main page'!$K$35/100)))*C93,'public finance'!C93)</f>
        <v>20</v>
      </c>
      <c r="D94" s="109">
        <f ca="1">IF(ABS(((A94-C94)/'normal case'!D95)-D93)&lt;0.0000001,D93,(A94-C94)/'normal case'!D95)</f>
        <v>1.9802129779314939E-3</v>
      </c>
      <c r="E94" s="109">
        <f ca="1">IF(ABS(D94-(G94*('normal case'!T95/100))/'normal case'!D95-E93)&lt;0.00001,E93,D94-(G94*('normal case'!T95/100))/'normal case'!D95)</f>
        <v>4.2203551703459234E-2</v>
      </c>
      <c r="F94" s="110">
        <f ca="1">F93*(1+'normal case'!L94/100)</f>
        <v>6.062785543425389</v>
      </c>
      <c r="G94" s="108">
        <f ca="1">C94-A94+G93*(1+'normal case'!T94/100)</f>
        <v>-116.07306423623623</v>
      </c>
      <c r="H94" s="109">
        <f ca="1">IF(ABS(G94/'normal case'!D95-H93)&lt;0.0000001,H93,G94/'normal case'!D95)</f>
        <v>-1.149238259086498</v>
      </c>
    </row>
    <row r="95" spans="1:12">
      <c r="A95" s="108">
        <f ca="1">('main page'!$U$31/100)*'normal case'!D96</f>
        <v>20.200000011920931</v>
      </c>
      <c r="B95" s="109">
        <f t="shared" ca="1" si="0"/>
        <v>0</v>
      </c>
      <c r="C95" s="108">
        <f ca="1">'normal case'!AN96-'normal case'!AN95+IF(controls!$B$33=1,(1+(('main page'!$K$35/100)))*C94,'public finance'!C94)</f>
        <v>20</v>
      </c>
      <c r="D95" s="109">
        <f ca="1">IF(ABS(((A95-C95)/'normal case'!D96)-D94)&lt;0.0000001,D94,(A95-C95)/'normal case'!D96)</f>
        <v>1.9802129779314939E-3</v>
      </c>
      <c r="E95" s="109">
        <f ca="1">IF(ABS(D95-(G95*('normal case'!T96/100))/'normal case'!D96-E94)&lt;0.00001,E94,D95-(G95*('normal case'!T96/100))/'normal case'!D96)</f>
        <v>4.3680675481058258E-2</v>
      </c>
      <c r="F95" s="110">
        <f ca="1">F94*(1+'normal case'!L95/100)</f>
        <v>6.1840412470664932</v>
      </c>
      <c r="G95" s="108">
        <f ca="1">C95-A95+G94*(1+'normal case'!T95/100)</f>
        <v>-120.33562146183297</v>
      </c>
      <c r="H95" s="109">
        <f ca="1">IF(ABS(G95/'normal case'!D96-H94)&lt;0.0000001,H94,G95/'normal case'!D96)</f>
        <v>-1.1914417959486883</v>
      </c>
    </row>
    <row r="96" spans="1:12">
      <c r="A96" s="108">
        <f ca="1">('main page'!$U$31/100)*'normal case'!D97</f>
        <v>20.200000011920931</v>
      </c>
      <c r="B96" s="109">
        <f t="shared" ca="1" si="0"/>
        <v>0</v>
      </c>
      <c r="C96" s="108">
        <f ca="1">'normal case'!AN97-'normal case'!AN96+IF(controls!$B$33=1,(1+(('main page'!$K$35/100)))*C95,'public finance'!C95)</f>
        <v>20</v>
      </c>
      <c r="D96" s="109">
        <f ca="1">IF(ABS(((A96-C96)/'normal case'!D97)-D95)&lt;0.0000001,D95,(A96-C96)/'normal case'!D97)</f>
        <v>1.9802129779314939E-3</v>
      </c>
      <c r="E96" s="109">
        <f ca="1">IF(ABS(D96-(G96*('normal case'!T97/100))/'normal case'!D97-E95)&lt;0.00001,E95,D96-(G96*('normal case'!T97/100))/'normal case'!D97)</f>
        <v>4.520949859043303E-2</v>
      </c>
      <c r="F96" s="110">
        <f ca="1">F95*(1+'normal case'!L96/100)</f>
        <v>6.3077220646358718</v>
      </c>
      <c r="G96" s="108">
        <f ca="1">C96-A96+G95*(1+'normal case'!T96/100)</f>
        <v>-124.74736818905525</v>
      </c>
      <c r="H96" s="109">
        <f ca="1">IF(ABS(G96/'normal case'!D97-H95)&lt;0.0000001,H95,G96/'normal case'!D97)</f>
        <v>-1.2351224565884773</v>
      </c>
    </row>
    <row r="97" spans="1:8">
      <c r="A97" s="108">
        <f ca="1">('main page'!$U$31/100)*'normal case'!D98</f>
        <v>20.200000011920931</v>
      </c>
      <c r="B97" s="109">
        <f t="shared" ca="1" si="0"/>
        <v>0</v>
      </c>
      <c r="C97" s="108">
        <f ca="1">'normal case'!AN98-'normal case'!AN97+IF(controls!$B$33=1,(1+(('main page'!$K$35/100)))*C96,'public finance'!C96)</f>
        <v>20</v>
      </c>
      <c r="D97" s="109">
        <f ca="1">IF(ABS(((A97-C97)/'normal case'!D98)-D96)&lt;0.0000001,D96,(A97-C97)/'normal case'!D98)</f>
        <v>1.9802129779314939E-3</v>
      </c>
      <c r="E97" s="109">
        <f ca="1">IF(ABS(D97-(G97*('normal case'!T98/100))/'normal case'!D98-E96)&lt;0.00001,E96,D97-(G97*('normal case'!T98/100))/'normal case'!D98)</f>
        <v>4.6791830508180296E-2</v>
      </c>
      <c r="F97" s="110">
        <f ca="1">F96*(1+'normal case'!L97/100)</f>
        <v>6.433876498409199</v>
      </c>
      <c r="G97" s="108">
        <f ca="1">C97-A97+G96*(1+'normal case'!T97/100)</f>
        <v>-129.3135260504155</v>
      </c>
      <c r="H97" s="109">
        <f ca="1">IF(ABS(G97/'normal case'!D98-H96)&lt;0.0000001,H96,G97/'normal case'!D98)</f>
        <v>-1.2803319403376414</v>
      </c>
    </row>
    <row r="98" spans="1:8">
      <c r="A98" s="108">
        <f ca="1">('main page'!$U$31/100)*'normal case'!D99</f>
        <v>20.200000011920931</v>
      </c>
      <c r="B98" s="109">
        <f t="shared" ca="1" si="0"/>
        <v>0</v>
      </c>
      <c r="C98" s="108">
        <f ca="1">'normal case'!AN99-'normal case'!AN98+IF(controls!$B$33=1,(1+(('main page'!$K$35/100)))*C97,'public finance'!C97)</f>
        <v>20</v>
      </c>
      <c r="D98" s="109">
        <f ca="1">IF(ABS(((A98-C98)/'normal case'!D99)-D97)&lt;0.0000001,D97,(A98-C98)/'normal case'!D99)</f>
        <v>1.9802129779314939E-3</v>
      </c>
      <c r="E98" s="109">
        <f ca="1">IF(ABS(D98-(G98*('normal case'!T99/100))/'normal case'!D99-E97)&lt;0.00001,E97,D98-(G98*('normal case'!T99/100))/'normal case'!D99)</f>
        <v>4.8429544042577134E-2</v>
      </c>
      <c r="F98" s="110">
        <f ca="1">F97*(1+'normal case'!L98/100)</f>
        <v>6.562554020707605</v>
      </c>
      <c r="G98" s="108">
        <f ca="1">C98-A98+G97*(1+'normal case'!T98/100)</f>
        <v>-134.03949943556253</v>
      </c>
      <c r="H98" s="109">
        <f ca="1">IF(ABS(G98/'normal case'!D99-H97)&lt;0.0000001,H97,G98/'normal case'!D99)</f>
        <v>-1.3271237560045523</v>
      </c>
    </row>
    <row r="99" spans="1:8">
      <c r="A99" s="108">
        <f ca="1">('main page'!$U$31/100)*'normal case'!D100</f>
        <v>20.200000011920931</v>
      </c>
      <c r="B99" s="109">
        <f t="shared" ca="1" si="0"/>
        <v>0</v>
      </c>
      <c r="C99" s="108">
        <f ca="1">'normal case'!AN100-'normal case'!AN99+IF(controls!$B$33=1,(1+(('main page'!$K$35/100)))*C98,'public finance'!C98)</f>
        <v>20</v>
      </c>
      <c r="D99" s="109">
        <f ca="1">IF(ABS(((A99-C99)/'normal case'!D100)-D98)&lt;0.0000001,D98,(A99-C99)/'normal case'!D100)</f>
        <v>1.9802129779314939E-3</v>
      </c>
      <c r="E99" s="109">
        <f ca="1">IF(ABS(D99-(G99*('normal case'!T100/100))/'normal case'!D100-E98)&lt;0.00001,E98,D99-(G99*('normal case'!T100/100))/'normal case'!D100)</f>
        <v>5.0124577550189793E-2</v>
      </c>
      <c r="F99" s="110">
        <f ca="1">F98*(1+'normal case'!L99/100)</f>
        <v>6.6938050932985833</v>
      </c>
      <c r="G99" s="108">
        <f ca="1">C99-A99+G98*(1+'normal case'!T99/100)</f>
        <v>-138.93088188778128</v>
      </c>
      <c r="H99" s="109">
        <f ca="1">IF(ABS(G99/'normal case'!D100-H98)&lt;0.0000001,H98,G99/'normal case'!D100)</f>
        <v>-1.3755532852058605</v>
      </c>
    </row>
    <row r="100" spans="1:8">
      <c r="A100" s="108">
        <f ca="1">('main page'!$U$31/100)*'normal case'!D101</f>
        <v>20.200000011920931</v>
      </c>
      <c r="B100" s="109">
        <f t="shared" ca="1" si="0"/>
        <v>0</v>
      </c>
      <c r="C100" s="108">
        <f ca="1">'normal case'!AN101-'normal case'!AN100+IF(controls!$B$33=1,(1+(('main page'!$K$35/100)))*C99,'public finance'!C99)</f>
        <v>20</v>
      </c>
      <c r="D100" s="109">
        <f ca="1">IF(ABS(((A100-C100)/'normal case'!D101)-D99)&lt;0.0000001,D99,(A100-C100)/'normal case'!D101)</f>
        <v>1.9802129779314939E-3</v>
      </c>
      <c r="E100" s="109">
        <f ca="1">IF(ABS(D100-(G100*('normal case'!T101/100))/'normal case'!D101-E99)&lt;0.00001,E99,D100-(G100*('normal case'!T101/100))/'normal case'!D101)</f>
        <v>5.1878937230063732E-2</v>
      </c>
      <c r="F100" s="110">
        <f ca="1">F99*(1+'normal case'!L100/100)</f>
        <v>6.8276811871849175</v>
      </c>
      <c r="G100" s="108">
        <f ca="1">C100-A100+G99*(1+'normal case'!T100/100)</f>
        <v>-143.99346272436992</v>
      </c>
      <c r="H100" s="109">
        <f ca="1">IF(ABS(G100/'normal case'!D101-H99)&lt;0.0000001,H99,G100/'normal case'!D101)</f>
        <v>-1.4256778479147811</v>
      </c>
    </row>
    <row r="101" spans="1:8">
      <c r="A101" s="108">
        <f ca="1">('main page'!$U$31/100)*'normal case'!D102</f>
        <v>20.200000011920931</v>
      </c>
      <c r="B101" s="109"/>
      <c r="C101" s="108">
        <f ca="1">'normal case'!AN102-'normal case'!AN101+IF(controls!$B$33=1,(1+(('main page'!$K$35/100)))*C100,'public finance'!C100)</f>
        <v>20</v>
      </c>
      <c r="D101" s="109">
        <f ca="1">IF(ABS(((A101-C101)/'normal case'!D102)-D100)&lt;0.0000001,D100,(A101-C101)/'normal case'!D102)</f>
        <v>1.9802129779314939E-3</v>
      </c>
      <c r="E101" s="109">
        <f ca="1">IF(ABS(D101-(G101*('normal case'!T102/100))/'normal case'!D102-E100)&lt;0.00001,E100,D101-(G101*('normal case'!T102/100))/'normal case'!D102)</f>
        <v>5.369469949821043E-2</v>
      </c>
      <c r="F101" s="110">
        <f ca="1">F100*(1+'normal case'!L101/100)</f>
        <v>6.9642348027893854</v>
      </c>
      <c r="G101" s="108">
        <f ca="1">C101-A101+G100*(1+'normal case'!T101/100)</f>
        <v>-149.23323388873041</v>
      </c>
      <c r="H101" s="109">
        <f ca="1">IF(ABS(G101/'normal case'!D102-H100)&lt;0.0000001,H100,G101/'normal case'!D102)</f>
        <v>-1.4775567703035759</v>
      </c>
    </row>
    <row r="102" spans="1:8">
      <c r="A102" s="108">
        <f ca="1">('main page'!$U$31/100)*'normal case'!D103</f>
        <v>20.200000011920931</v>
      </c>
      <c r="B102" s="109"/>
      <c r="C102" s="108">
        <f ca="1">'normal case'!AN103-'normal case'!AN102+IF(controls!$B$33=1,(1+(('main page'!$K$35/100)))*C101,'public finance'!C101)</f>
        <v>20</v>
      </c>
      <c r="D102" s="109">
        <f ca="1">IF(ABS(((A102-C102)/'normal case'!D103)-D101)&lt;0.0000001,D101,(A102-C102)/'normal case'!D103)</f>
        <v>1.9802129779314939E-3</v>
      </c>
      <c r="E102" s="109">
        <f ca="1">IF(ABS(D102-(G102*('normal case'!T103/100))/'normal case'!D103-E101)&lt;0.00001,E101,D102-(G102*('normal case'!T103/100))/'normal case'!D103)</f>
        <v>5.5574013445201104E-2</v>
      </c>
      <c r="F102" s="110">
        <f ca="1">F101*(1+'normal case'!L102/100)</f>
        <v>7.1035194905431585</v>
      </c>
      <c r="G102" s="108">
        <f ca="1">C102-A102+G101*(1+'normal case'!T102/100)</f>
        <v>-154.65639704228192</v>
      </c>
      <c r="H102" s="109">
        <f ca="1">IF(ABS(G102/'normal case'!D103-H101)&lt;0.0000001,H101,G102/'normal case'!D103)</f>
        <v>-1.5312514549605172</v>
      </c>
    </row>
    <row r="103" spans="1:8">
      <c r="A103" s="108">
        <f ca="1">('main page'!$U$31/100)*'normal case'!D104</f>
        <v>20.200000011920931</v>
      </c>
      <c r="B103" s="109"/>
      <c r="C103" s="108">
        <f ca="1">'normal case'!AN104-'normal case'!AN103+IF(controls!$B$33=1,(1+(('main page'!$K$35/100)))*C102,'public finance'!C102)</f>
        <v>20</v>
      </c>
      <c r="D103" s="109">
        <f ca="1">IF(ABS(((A103-C103)/'normal case'!D104)-D102)&lt;0.0000001,D102,(A103-C103)/'normal case'!D104)</f>
        <v>1.9802129779314939E-3</v>
      </c>
      <c r="E103" s="109">
        <f ca="1">IF(ABS(D103-(G103*('normal case'!T104/100))/'normal case'!D104-E102)&lt;0.00001,E102,D103-(G103*('normal case'!T104/100))/'normal case'!D104)</f>
        <v>5.7519103379776372E-2</v>
      </c>
      <c r="F103" s="110">
        <f ca="1">F102*(1+'normal case'!L103/100)</f>
        <v>7.2455898718859668</v>
      </c>
      <c r="G103" s="108">
        <f ca="1">C103-A103+G102*(1+'normal case'!T103/100)</f>
        <v>-160.26937090459151</v>
      </c>
      <c r="H103" s="109">
        <f ca="1">IF(ABS(G103/'normal case'!D104-H102)&lt;0.0000001,H102,G103/'normal case'!D104)</f>
        <v>-1.586825453564449</v>
      </c>
    </row>
    <row r="104" spans="1:8">
      <c r="A104" s="108">
        <f ca="1">('main page'!$U$31/100)*'normal case'!D105</f>
        <v>20.200000011920931</v>
      </c>
      <c r="B104" s="109"/>
      <c r="C104" s="108">
        <f ca="1">'normal case'!AN105-'normal case'!AN104+IF(controls!$B$33=1,(1+(('main page'!$K$35/100)))*C103,'public finance'!C103)</f>
        <v>20</v>
      </c>
      <c r="D104" s="109">
        <f ca="1">IF(ABS(((A104-C104)/'normal case'!D105)-D103)&lt;0.0000001,D103,(A104-C104)/'normal case'!D105)</f>
        <v>1.9802129779314939E-3</v>
      </c>
      <c r="E104" s="109">
        <f ca="1">IF(ABS(D104-(G104*('normal case'!T105/100))/'normal case'!D105-E103)&lt;0.00001,E103,D104-(G104*('normal case'!T105/100))/'normal case'!D105)</f>
        <v>5.9532271461482114E-2</v>
      </c>
      <c r="F104" s="110">
        <f ca="1">F103*(1+'normal case'!L104/100)</f>
        <v>7.3905016606862706</v>
      </c>
      <c r="G104" s="108">
        <f ca="1">C104-A104+G103*(1+'normal case'!T104/100)</f>
        <v>-166.07879885040916</v>
      </c>
      <c r="H104" s="109">
        <f ca="1">IF(ABS(G104/'normal case'!D105-H103)&lt;0.0000001,H103,G104/'normal case'!D105)</f>
        <v>-1.6443445421029563</v>
      </c>
    </row>
    <row r="105" spans="1:8">
      <c r="A105" s="108">
        <f ca="1">('main page'!$U$31/100)*'normal case'!D106</f>
        <v>20.200000011920931</v>
      </c>
      <c r="B105" s="109"/>
      <c r="C105" s="108">
        <f ca="1">'normal case'!AN106-'normal case'!AN105+IF(controls!$B$33=1,(1+(('main page'!$K$35/100)))*C104,'public finance'!C104)</f>
        <v>20</v>
      </c>
      <c r="D105" s="109">
        <f ca="1">IF(ABS(((A105-C105)/'normal case'!D106)-D104)&lt;0.0000001,D104,(A105-C105)/'normal case'!D106)</f>
        <v>1.9802129779314939E-3</v>
      </c>
      <c r="E105" s="109">
        <f ca="1">IF(ABS(D105-(G105*('normal case'!T106/100))/'normal case'!D106-E104)&lt;0.00001,E104,D105-(G105*('normal case'!T106/100))/'normal case'!D106)</f>
        <v>6.1615900425447567E-2</v>
      </c>
      <c r="F105" s="110">
        <f ca="1">F104*(1+'normal case'!L105/100)</f>
        <v>7.5383116850898322</v>
      </c>
      <c r="G105" s="108">
        <f ca="1">C105-A105+G104*(1+'normal case'!T105/100)</f>
        <v>-172.09155677259906</v>
      </c>
      <c r="H105" s="109">
        <f ca="1">IF(ABS(G105/'normal case'!D106-H104)&lt;0.0000001,H104,G105/'normal case'!D106)</f>
        <v>-1.7038767987231693</v>
      </c>
    </row>
    <row r="106" spans="1:8">
      <c r="A106" s="108">
        <f ca="1">('main page'!$U$31/100)*'normal case'!D107</f>
        <v>20.200000011920931</v>
      </c>
      <c r="B106" s="109"/>
      <c r="C106" s="108">
        <f ca="1">'normal case'!AN107-'normal case'!AN106+IF(controls!$B$33=1,(1+(('main page'!$K$35/100)))*C105,'public finance'!C105)</f>
        <v>20</v>
      </c>
      <c r="D106" s="109">
        <f ca="1">IF(ABS(((A106-C106)/'normal case'!D107)-D105)&lt;0.0000001,D105,(A106-C106)/'normal case'!D107)</f>
        <v>1.9802129779314939E-3</v>
      </c>
      <c r="E106" s="109">
        <f ca="1">IF(ABS(D106-(G106*('normal case'!T107/100))/'normal case'!D107-E105)&lt;0.00001,E105,D106-(G106*('normal case'!T107/100))/'normal case'!D107)</f>
        <v>6.3772456402530847E-2</v>
      </c>
      <c r="F106" s="110">
        <f ca="1">F105*(1+'normal case'!L106/100)</f>
        <v>7.6890779098052615</v>
      </c>
      <c r="G106" s="108">
        <f ca="1">C106-A106+G105*(1+'normal case'!T106/100)</f>
        <v>-178.31476122027368</v>
      </c>
      <c r="H106" s="109">
        <f ca="1">IF(ABS(G106/'normal case'!D107-H105)&lt;0.0000001,H105,G106/'normal case'!D107)</f>
        <v>-1.7654926843073477</v>
      </c>
    </row>
    <row r="107" spans="1:8">
      <c r="A107" s="108">
        <f ca="1">('main page'!$U$31/100)*'normal case'!D108</f>
        <v>20.200000011920931</v>
      </c>
      <c r="B107" s="109"/>
      <c r="C107" s="108">
        <f ca="1">'normal case'!AN108-'normal case'!AN107+IF(controls!$B$33=1,(1+(('main page'!$K$35/100)))*C106,'public finance'!C106)</f>
        <v>20</v>
      </c>
      <c r="D107" s="109">
        <f ca="1">IF(ABS(((A107-C107)/'normal case'!D108)-D106)&lt;0.0000001,D106,(A107-C107)/'normal case'!D108)</f>
        <v>1.9802129779314939E-3</v>
      </c>
      <c r="E107" s="109">
        <f ca="1">IF(ABS(D107-(G107*('normal case'!T108/100))/'normal case'!D108-E106)&lt;0.00001,E106,D107-(G107*('normal case'!T108/100))/'normal case'!D108)</f>
        <v>6.6004491838169338E-2</v>
      </c>
      <c r="F107" s="110">
        <f ca="1">F106*(1+'normal case'!L107/100)</f>
        <v>7.8428594588352718</v>
      </c>
      <c r="G107" s="108">
        <f ca="1">C107-A107+G106*(1+'normal case'!T107/100)</f>
        <v>-184.75577782176225</v>
      </c>
      <c r="H107" s="109">
        <f ca="1">IF(ABS(G107/'normal case'!D108-H106)&lt;0.0000001,H106,G107/'normal case'!D108)</f>
        <v>-1.8292651258686095</v>
      </c>
    </row>
    <row r="108" spans="1:8">
      <c r="A108" s="108">
        <f ca="1">('main page'!$U$31/100)*'normal case'!D109</f>
        <v>20.200000011920931</v>
      </c>
      <c r="B108" s="109"/>
      <c r="C108" s="108">
        <f ca="1">'normal case'!AN109-'normal case'!AN108+IF(controls!$B$33=1,(1+(('main page'!$K$35/100)))*C107,'public finance'!C107)</f>
        <v>20</v>
      </c>
      <c r="D108" s="109">
        <f ca="1">IF(ABS(((A108-C108)/'normal case'!D109)-D107)&lt;0.0000001,D107,(A108-C108)/'normal case'!D109)</f>
        <v>1.9802129779314939E-3</v>
      </c>
      <c r="E108" s="109">
        <f ca="1">IF(ABS(D108-(G108*('normal case'!T109/100))/'normal case'!D109-E107)&lt;0.00001,E107,D108-(G108*('normal case'!T109/100))/'normal case'!D109)</f>
        <v>6.8314648513389975E-2</v>
      </c>
      <c r="F108" s="110">
        <f ca="1">F107*(1+'normal case'!L108/100)</f>
        <v>7.9997166386625604</v>
      </c>
      <c r="G108" s="108">
        <f ca="1">C108-A108+G107*(1+'normal case'!T108/100)</f>
        <v>-191.42223000238334</v>
      </c>
      <c r="H108" s="109">
        <f ca="1">IF(ABS(G108/'normal case'!D109-H107)&lt;0.0000001,H107,G108/'normal case'!D109)</f>
        <v>-1.8952696028655096</v>
      </c>
    </row>
    <row r="109" spans="1:8">
      <c r="A109" s="108">
        <f ca="1">('main page'!$U$31/100)*'normal case'!D110</f>
        <v>20.200000011920931</v>
      </c>
      <c r="B109" s="109"/>
      <c r="C109" s="108">
        <f ca="1">'normal case'!AN110-'normal case'!AN109+IF(controls!$B$33=1,(1+(('main page'!$K$35/100)))*C108,'public finance'!C108)</f>
        <v>20</v>
      </c>
      <c r="D109" s="109">
        <f ca="1">IF(ABS(((A109-C109)/'normal case'!D110)-D108)&lt;0.0000001,D108,(A109-C109)/'normal case'!D110)</f>
        <v>1.9802129779314939E-3</v>
      </c>
      <c r="E109" s="109">
        <f ca="1">IF(ABS(D109-(G109*('normal case'!T110/100))/'normal case'!D110-E108)&lt;0.00001,E108,D109-(G109*('normal case'!T110/100))/'normal case'!D110)</f>
        <v>7.0705660671554871E-2</v>
      </c>
      <c r="F109" s="110">
        <f ca="1">F108*(1+'normal case'!L109/100)</f>
        <v>8.1597109618994068</v>
      </c>
      <c r="G109" s="108">
        <f ca="1">C109-A109+G108*(1+'normal case'!T109/100)</f>
        <v>-198.32200800733943</v>
      </c>
      <c r="H109" s="109">
        <f ca="1">IF(ABS(G109/'normal case'!D110-H108)&lt;0.0000001,H108,G109/'normal case'!D110)</f>
        <v>-1.9635842365376306</v>
      </c>
    </row>
    <row r="110" spans="1:8">
      <c r="A110" s="108">
        <f ca="1">('main page'!$U$31/100)*'normal case'!D111</f>
        <v>20.200000011920931</v>
      </c>
      <c r="B110" s="109"/>
      <c r="C110" s="108">
        <f ca="1">'normal case'!AN111-'normal case'!AN110+IF(controls!$B$33=1,(1+(('main page'!$K$35/100)))*C109,'public finance'!C109)</f>
        <v>20</v>
      </c>
      <c r="D110" s="109">
        <f ca="1">IF(ABS(((A110-C110)/'normal case'!D111)-D109)&lt;0.0000001,D109,(A110-C110)/'normal case'!D111)</f>
        <v>1.9802129779314939E-3</v>
      </c>
      <c r="E110" s="109">
        <f ca="1">IF(ABS(D110-(G110*('normal case'!T111/100))/'normal case'!D111-E109)&lt;0.00001,E109,D110-(G110*('normal case'!T111/100))/'normal case'!D111)</f>
        <v>7.3180358254542943E-2</v>
      </c>
      <c r="F110" s="110">
        <f ca="1">F109*(1+'normal case'!L110/100)</f>
        <v>8.3229051714102624</v>
      </c>
      <c r="G110" s="108">
        <f ca="1">C110-A110+G109*(1+'normal case'!T110/100)</f>
        <v>-205.46327824041268</v>
      </c>
      <c r="H110" s="109">
        <f ca="1">IF(ABS(G110/'normal case'!D111-H109)&lt;0.0000001,H109,G110/'normal case'!D111)</f>
        <v>-2.0342898823679163</v>
      </c>
    </row>
    <row r="111" spans="1:8">
      <c r="A111" s="108">
        <f ca="1">('main page'!$U$31/100)*'normal case'!D112</f>
        <v>20.200000011920931</v>
      </c>
      <c r="B111" s="109"/>
      <c r="C111" s="108">
        <f ca="1">'normal case'!AN112-'normal case'!AN111+IF(controls!$B$33=1,(1+(('main page'!$K$35/100)))*C110,'public finance'!C110)</f>
        <v>20</v>
      </c>
      <c r="D111" s="109">
        <f ca="1">IF(ABS(((A111-C111)/'normal case'!D112)-D110)&lt;0.0000001,D110,(A111-C111)/'normal case'!D112)</f>
        <v>1.9802129779314939E-3</v>
      </c>
      <c r="E111" s="109">
        <f ca="1">IF(ABS(D111-(G111*('normal case'!T112/100))/'normal case'!D112-E110)&lt;0.00001,E110,D111-(G111*('normal case'!T112/100))/'normal case'!D112)</f>
        <v>7.5741670252198093E-2</v>
      </c>
      <c r="F111" s="110">
        <f ca="1">F110*(1+'normal case'!L111/100)</f>
        <v>8.4893632649167916</v>
      </c>
      <c r="G111" s="108">
        <f ca="1">C111-A111+G110*(1+'normal case'!T111/100)</f>
        <v>-212.85449292951523</v>
      </c>
      <c r="H111" s="109">
        <f ca="1">IF(ABS(G111/'normal case'!D112-H110)&lt;0.0000001,H110,G111/'normal case'!D112)</f>
        <v>-2.1074702257811904</v>
      </c>
    </row>
    <row r="112" spans="1:8">
      <c r="A112" s="108">
        <f ca="1">('main page'!$U$31/100)*'normal case'!D113</f>
        <v>20.200000011920931</v>
      </c>
      <c r="B112" s="109"/>
      <c r="C112" s="108">
        <f ca="1">'normal case'!AN113-'normal case'!AN112+IF(controls!$B$33=1,(1+(('main page'!$K$35/100)))*C111,'public finance'!C111)</f>
        <v>20</v>
      </c>
      <c r="D112" s="109">
        <f ca="1">IF(ABS(((A112-C112)/'normal case'!D113)-D111)&lt;0.0000001,D111,(A112-C112)/'normal case'!D113)</f>
        <v>1.9802129779314939E-3</v>
      </c>
      <c r="E112" s="109">
        <f ca="1">IF(ABS(D112-(G112*('normal case'!T113/100))/'normal case'!D113-E111)&lt;0.00001,E111,D112-(G112*('normal case'!T113/100))/'normal case'!D113)</f>
        <v>7.8392628169007841E-2</v>
      </c>
      <c r="F112" s="110">
        <f ca="1">F111*(1+'normal case'!L112/100)</f>
        <v>8.6591505200950181</v>
      </c>
      <c r="G112" s="108">
        <f ca="1">C112-A112+G111*(1+'normal case'!T112/100)</f>
        <v>-220.50440013053361</v>
      </c>
      <c r="H112" s="109">
        <f ca="1">IF(ABS(G112/'normal case'!D113-H111)&lt;0.0000001,H111,G112/'normal case'!D113)</f>
        <v>-2.1832118811921193</v>
      </c>
    </row>
    <row r="113" spans="1:8">
      <c r="A113" s="108">
        <f ca="1">('main page'!$U$31/100)*'normal case'!D114</f>
        <v>20.200000011920931</v>
      </c>
      <c r="B113" s="109"/>
      <c r="C113" s="108">
        <f ca="1">'normal case'!AN114-'normal case'!AN113+IF(controls!$B$33=1,(1+(('main page'!$K$35/100)))*C112,'public finance'!C112)</f>
        <v>20</v>
      </c>
      <c r="D113" s="109">
        <f ca="1">IF(ABS(((A113-C113)/'normal case'!D114)-D112)&lt;0.0000001,D112,(A113-C113)/'normal case'!D114)</f>
        <v>1.9802129779314939E-3</v>
      </c>
      <c r="E113" s="109">
        <f ca="1">IF(ABS(D113-(G113*('normal case'!T114/100))/'normal case'!D114-E112)&lt;0.00001,E112,D113-(G113*('normal case'!T114/100))/'normal case'!D114)</f>
        <v>8.1136369612115872E-2</v>
      </c>
      <c r="F113" s="110">
        <f ca="1">F112*(1+'normal case'!L113/100)</f>
        <v>8.8323335201744069</v>
      </c>
      <c r="G113" s="108">
        <f ca="1">C113-A113+G112*(1+'normal case'!T113/100)</f>
        <v>-228.42205408130778</v>
      </c>
      <c r="H113" s="109">
        <f ca="1">IF(ABS(G113/'normal case'!D114-H112)&lt;0.0000001,H112,G113/'normal case'!D114)</f>
        <v>-2.2616044945198577</v>
      </c>
    </row>
    <row r="114" spans="1:8">
      <c r="A114" s="108">
        <f ca="1">('main page'!$U$31/100)*'normal case'!D115</f>
        <v>20.200000011920931</v>
      </c>
      <c r="B114" s="109"/>
      <c r="C114" s="108">
        <f ca="1">'normal case'!AN115-'normal case'!AN114+IF(controls!$B$33=1,(1+(('main page'!$K$35/100)))*C113,'public finance'!C113)</f>
        <v>20</v>
      </c>
      <c r="D114" s="109">
        <f ca="1">IF(ABS(((A114-C114)/'normal case'!D115)-D113)&lt;0.0000001,D113,(A114-C114)/'normal case'!D115)</f>
        <v>1.9802129779314939E-3</v>
      </c>
      <c r="E114" s="109">
        <f ca="1">IF(ABS(D114-(G114*('normal case'!T115/100))/'normal case'!D115-E113)&lt;0.00001,E113,D114-(G114*('normal case'!T115/100))/'normal case'!D115)</f>
        <v>8.3976142004914975E-2</v>
      </c>
      <c r="F114" s="110">
        <f ca="1">F113*(1+'normal case'!L114/100)</f>
        <v>9.0089801800489333</v>
      </c>
      <c r="G114" s="108">
        <f ca="1">C114-A114+G113*(1+'normal case'!T114/100)</f>
        <v>-236.61682591799939</v>
      </c>
      <c r="H114" s="109">
        <f ca="1">IF(ABS(G114/'normal case'!D115-H113)&lt;0.0000001,H113,G114/'normal case'!D115)</f>
        <v>-2.3427408492907045</v>
      </c>
    </row>
    <row r="115" spans="1:8">
      <c r="A115" s="108">
        <f ca="1">('main page'!$U$31/100)*'normal case'!D116</f>
        <v>20.200000011920931</v>
      </c>
      <c r="B115" s="109"/>
      <c r="C115" s="108">
        <f ca="1">'normal case'!AN116-'normal case'!AN115+IF(controls!$B$33=1,(1+(('main page'!$K$35/100)))*C114,'public finance'!C114)</f>
        <v>20</v>
      </c>
      <c r="D115" s="109">
        <f ca="1">IF(ABS(((A115-C115)/'normal case'!D116)-D114)&lt;0.0000001,D114,(A115-C115)/'normal case'!D116)</f>
        <v>1.9802129779314939E-3</v>
      </c>
      <c r="E115" s="109">
        <f ca="1">IF(ABS(D115-(G115*('normal case'!T116/100))/'normal case'!D116-E114)&lt;0.00001,E114,D115-(G115*('normal case'!T116/100))/'normal case'!D116)</f>
        <v>8.6915306430615735E-2</v>
      </c>
      <c r="F115" s="110">
        <f ca="1">F114*(1+'normal case'!L115/100)</f>
        <v>9.1891597729103704</v>
      </c>
      <c r="G115" s="108">
        <f ca="1">C115-A115+G114*(1+'normal case'!T115/100)</f>
        <v>-245.09841476653298</v>
      </c>
      <c r="H115" s="109">
        <f ca="1">IF(ABS(G115/'normal case'!D116-H114)&lt;0.0000001,H114,G115/'normal case'!D116)</f>
        <v>-2.4267169764543501</v>
      </c>
    </row>
    <row r="116" spans="1:8">
      <c r="A116" s="108">
        <f ca="1">('main page'!$U$31/100)*'normal case'!D117</f>
        <v>20.200000011920931</v>
      </c>
      <c r="B116" s="109"/>
      <c r="C116" s="108">
        <f ca="1">'normal case'!AN117-'normal case'!AN116+IF(controls!$B$33=1,(1+(('main page'!$K$35/100)))*C115,'public finance'!C115)</f>
        <v>20</v>
      </c>
      <c r="D116" s="109">
        <f ca="1">IF(ABS(((A116-C116)/'normal case'!D117)-D115)&lt;0.0000001,D115,(A116-C116)/'normal case'!D117)</f>
        <v>1.9802129779314939E-3</v>
      </c>
      <c r="E116" s="109">
        <f ca="1">IF(ABS(D116-(G116*('normal case'!T117/100))/'normal case'!D117-E115)&lt;0.00001,E115,D116-(G116*('normal case'!T117/100))/'normal case'!D117)</f>
        <v>8.9957341610340108E-2</v>
      </c>
      <c r="F116" s="110">
        <f ca="1">F115*(1+'normal case'!L116/100)</f>
        <v>9.3729429574142458</v>
      </c>
      <c r="G116" s="108">
        <f ca="1">C116-A116+G115*(1+'normal case'!T116/100)</f>
        <v>-253.87685922223756</v>
      </c>
      <c r="H116" s="109">
        <f ca="1">IF(ABS(G116/'normal case'!D117-H115)&lt;0.0000001,H115,G116/'normal case'!D117)</f>
        <v>-2.5136322680436969</v>
      </c>
    </row>
    <row r="117" spans="1:8">
      <c r="A117" s="108">
        <f ca="1">('main page'!$U$31/100)*'normal case'!D118</f>
        <v>20.200000011920931</v>
      </c>
      <c r="B117" s="109"/>
      <c r="C117" s="108">
        <f ca="1">'normal case'!AN118-'normal case'!AN117+IF(controls!$B$33=1,(1+(('main page'!$K$35/100)))*C116,'public finance'!C116)</f>
        <v>20</v>
      </c>
      <c r="D117" s="109">
        <f ca="1">IF(ABS(((A117-C117)/'normal case'!D118)-D116)&lt;0.0000001,D116,(A117-C117)/'normal case'!D118)</f>
        <v>1.9802129779314939E-3</v>
      </c>
      <c r="E117" s="109">
        <f ca="1">IF(ABS(D117-(G117*('normal case'!T118/100))/'normal case'!D118-E116)&lt;0.00001,E116,D117-(G117*('normal case'!T118/100))/'normal case'!D118)</f>
        <v>9.3105848020448204E-2</v>
      </c>
      <c r="F117" s="110">
        <f ca="1">F116*(1+'normal case'!L117/100)</f>
        <v>9.5604018053891124</v>
      </c>
      <c r="G117" s="108">
        <f ca="1">C117-A117+G116*(1+'normal case'!T117/100)</f>
        <v>-262.96254923127555</v>
      </c>
      <c r="H117" s="109">
        <f ca="1">IF(ABS(G117/'normal case'!D118-H116)&lt;0.0000001,H116,G117/'normal case'!D118)</f>
        <v>-2.6035895948127674</v>
      </c>
    </row>
    <row r="118" spans="1:8">
      <c r="A118" s="108">
        <f ca="1">('main page'!$U$31/100)*'normal case'!D119</f>
        <v>20.200000011920931</v>
      </c>
      <c r="B118" s="109"/>
      <c r="C118" s="108">
        <f ca="1">'normal case'!AN119-'normal case'!AN118+IF(controls!$B$33=1,(1+(('main page'!$K$35/100)))*C117,'public finance'!C117)</f>
        <v>20</v>
      </c>
      <c r="D118" s="109">
        <f ca="1">IF(ABS(((A118-C118)/'normal case'!D119)-D117)&lt;0.0000001,D117,(A118-C118)/'normal case'!D119)</f>
        <v>1.9802129779314939E-3</v>
      </c>
      <c r="E118" s="109">
        <f ca="1">IF(ABS(D118-(G118*('normal case'!T119/100))/'normal case'!D119-E117)&lt;0.00001,E117,D118-(G118*('normal case'!T119/100))/'normal case'!D119)</f>
        <v>9.6364552153971758E-2</v>
      </c>
      <c r="F118" s="110">
        <f ca="1">F117*(1+'normal case'!L118/100)</f>
        <v>9.7516098301000085</v>
      </c>
      <c r="G118" s="108">
        <f ca="1">C118-A118+G117*(1+'normal case'!T118/100)</f>
        <v>-272.36623838792212</v>
      </c>
      <c r="H118" s="109">
        <f ca="1">IF(ABS(G118/'normal case'!D119-H117)&lt;0.0000001,H117,G118/'normal case'!D119)</f>
        <v>-2.6966954279919459</v>
      </c>
    </row>
    <row r="119" spans="1:8">
      <c r="A119" s="108">
        <f ca="1">('main page'!$U$31/100)*'normal case'!D120</f>
        <v>20.200000011920931</v>
      </c>
      <c r="B119" s="109"/>
      <c r="C119" s="108">
        <f ca="1">'normal case'!AN120-'normal case'!AN119+IF(controls!$B$33=1,(1+(('main page'!$K$35/100)))*C118,'public finance'!C118)</f>
        <v>20</v>
      </c>
      <c r="D119" s="109">
        <f ca="1">IF(ABS(((A119-C119)/'normal case'!D120)-D118)&lt;0.0000001,D118,(A119-C119)/'normal case'!D120)</f>
        <v>1.9802129779314939E-3</v>
      </c>
      <c r="E119" s="109">
        <f ca="1">IF(ABS(D119-(G119*('normal case'!T120/100))/'normal case'!D120-E118)&lt;0.00001,E118,D119-(G119*('normal case'!T120/100))/'normal case'!D120)</f>
        <v>9.9737310931197448E-2</v>
      </c>
      <c r="F119" s="110">
        <f ca="1">F118*(1+'normal case'!L119/100)</f>
        <v>9.9466420150771846</v>
      </c>
      <c r="G119" s="108">
        <f ca="1">C119-A119+G118*(1+'normal case'!T119/100)</f>
        <v>-282.09905666224881</v>
      </c>
      <c r="H119" s="109">
        <f ca="1">IF(ABS(G119/'normal case'!D120-H118)&lt;0.0000001,H118,G119/'normal case'!D120)</f>
        <v>-2.7930599653046482</v>
      </c>
    </row>
    <row r="120" spans="1:8">
      <c r="A120" s="108">
        <f ca="1">('main page'!$U$31/100)*'normal case'!D121</f>
        <v>20.200000011920931</v>
      </c>
      <c r="B120" s="109"/>
      <c r="C120" s="108">
        <f ca="1">'normal case'!AN121-'normal case'!AN120+IF(controls!$B$33=1,(1+(('main page'!$K$35/100)))*C119,'public finance'!C119)</f>
        <v>20</v>
      </c>
      <c r="D120" s="109">
        <f ca="1">IF(ABS(((A120-C120)/'normal case'!D121)-D119)&lt;0.0000001,D119,(A120-C120)/'normal case'!D121)</f>
        <v>1.9802129779314939E-3</v>
      </c>
      <c r="E120" s="109">
        <f ca="1">IF(ABS(D120-(G120*('normal case'!T121/100))/'normal case'!D121-E119)&lt;0.00001,E119,D120-(G120*('normal case'!T121/100))/'normal case'!D121)</f>
        <v>0.1032281162646209</v>
      </c>
      <c r="F120" s="110">
        <f ca="1">F119*(1+'normal case'!L120/100)</f>
        <v>10.145574843521407</v>
      </c>
      <c r="G120" s="108">
        <f ca="1">C120-A120+G119*(1+'normal case'!T120/100)</f>
        <v>-292.17252357327635</v>
      </c>
      <c r="H120" s="109">
        <f ca="1">IF(ABS(G120/'normal case'!D121-H119)&lt;0.0000001,H119,G120/'normal case'!D121)</f>
        <v>-2.892797261394576</v>
      </c>
    </row>
    <row r="121" spans="1:8">
      <c r="A121" s="108">
        <f ca="1">('main page'!$U$31/100)*'normal case'!D122</f>
        <v>20.200000011920931</v>
      </c>
      <c r="B121" s="109"/>
      <c r="C121" s="108">
        <f ca="1">'normal case'!AN122-'normal case'!AN121+IF(controls!$B$33=1,(1+(('main page'!$K$35/100)))*C120,'public finance'!C120)</f>
        <v>20</v>
      </c>
      <c r="D121" s="109">
        <f ca="1">IF(ABS(((A121-C121)/'normal case'!D122)-D120)&lt;0.0000001,D120,(A121-C121)/'normal case'!D122)</f>
        <v>1.9802129779314939E-3</v>
      </c>
      <c r="E121" s="109">
        <f ca="1">IF(ABS(D121-(G121*('normal case'!T122/100))/'normal case'!D122-E120)&lt;0.00001,E120,D121-(G121*('normal case'!T122/100))/'normal case'!D122)</f>
        <v>0.10684109978367383</v>
      </c>
      <c r="F121" s="110">
        <f ca="1">F120*(1+'normal case'!L121/100)</f>
        <v>10.348486328297367</v>
      </c>
      <c r="G121" s="108">
        <f ca="1">C121-A121+G120*(1+'normal case'!T121/100)</f>
        <v>-302.59856182318771</v>
      </c>
      <c r="H121" s="109">
        <f ca="1">IF(ABS(G121/'normal case'!D122-H120)&lt;0.0000001,H120,G121/'normal case'!D122)</f>
        <v>-2.9960253628179276</v>
      </c>
    </row>
    <row r="122" spans="1:8">
      <c r="A122" s="108">
        <f ca="1">('main page'!$U$31/100)*'normal case'!D123</f>
        <v>20.200000011920931</v>
      </c>
      <c r="B122" s="109"/>
      <c r="C122" s="108">
        <f ca="1">'normal case'!AN123-'normal case'!AN122+IF(controls!$B$33=1,(1+(('main page'!$K$35/100)))*C121,'public finance'!C121)</f>
        <v>20</v>
      </c>
      <c r="D122" s="109">
        <f ca="1">IF(ABS(((A122-C122)/'normal case'!D123)-D121)&lt;0.0000001,D121,(A122-C122)/'normal case'!D123)</f>
        <v>1.9802129779314939E-3</v>
      </c>
      <c r="E122" s="109">
        <f ca="1">IF(ABS(D122-(G122*('normal case'!T123/100))/'normal case'!D123-E121)&lt;0.00001,E121,D122-(G122*('normal case'!T123/100))/'normal case'!D123)</f>
        <v>0.11058053772481687</v>
      </c>
      <c r="F122" s="110">
        <f ca="1">F121*(1+'normal case'!L122/100)</f>
        <v>10.555456042526957</v>
      </c>
      <c r="G122" s="108">
        <f ca="1">C122-A122+G121*(1+'normal case'!T122/100)</f>
        <v>-313.38951140873877</v>
      </c>
      <c r="H122" s="109">
        <f ca="1">IF(ABS(G122/'normal case'!D123-H121)&lt;0.0000001,H121,G122/'normal case'!D123)</f>
        <v>-3.102866447760332</v>
      </c>
    </row>
    <row r="123" spans="1:8">
      <c r="A123" s="108">
        <f ca="1">('main page'!$U$31/100)*'normal case'!D124</f>
        <v>20.200000011920931</v>
      </c>
      <c r="B123" s="109"/>
      <c r="C123" s="108">
        <f ca="1">'normal case'!AN124-'normal case'!AN123+IF(controls!$B$33=1,(1+(('main page'!$K$35/100)))*C122,'public finance'!C122)</f>
        <v>20</v>
      </c>
      <c r="D123" s="109">
        <f ca="1">IF(ABS(((A123-C123)/'normal case'!D124)-D122)&lt;0.0000001,D122,(A123-C123)/'normal case'!D124)</f>
        <v>1.9802129779314939E-3</v>
      </c>
      <c r="E123" s="109">
        <f ca="1">IF(ABS(D123-(G123*('normal case'!T124/100))/'normal case'!D124-E122)&lt;0.00001,E122,D123-(G123*('normal case'!T124/100))/'normal case'!D124)</f>
        <v>0.11445085599278546</v>
      </c>
      <c r="F123" s="110">
        <f ca="1">F122*(1+'normal case'!L123/100)</f>
        <v>10.766565150794413</v>
      </c>
      <c r="G123" s="108">
        <f ca="1">C123-A123+G122*(1+'normal case'!T123/100)</f>
        <v>-324.55814422656817</v>
      </c>
      <c r="H123" s="109">
        <f ca="1">IF(ABS(G123/'normal case'!D124-H122)&lt;0.0000001,H122,G123/'normal case'!D124)</f>
        <v>-3.2134469706438793</v>
      </c>
    </row>
    <row r="124" spans="1:8">
      <c r="A124" s="108">
        <f ca="1">('main page'!$U$31/100)*'normal case'!D125</f>
        <v>20.200000011920931</v>
      </c>
      <c r="B124" s="109"/>
      <c r="C124" s="108">
        <f ca="1">'normal case'!AN125-'normal case'!AN124+IF(controls!$B$33=1,(1+(('main page'!$K$35/100)))*C123,'public finance'!C123)</f>
        <v>20</v>
      </c>
      <c r="D124" s="109">
        <f ca="1">IF(ABS(((A124-C124)/'normal case'!D125)-D123)&lt;0.0000001,D123,(A124-C124)/'normal case'!D125)</f>
        <v>1.9802129779314939E-3</v>
      </c>
      <c r="E124" s="109">
        <f ca="1">IF(ABS(D124-(G124*('normal case'!T125/100))/'normal case'!D125-E123)&lt;0.00001,E123,D124-(G124*('normal case'!T125/100))/'normal case'!D125)</f>
        <v>0.11845663539897951</v>
      </c>
      <c r="F124" s="110">
        <f ca="1">F123*(1+'normal case'!L124/100)</f>
        <v>10.981896440975556</v>
      </c>
      <c r="G124" s="108">
        <f ca="1">C124-A124+G123*(1+'normal case'!T124/100)</f>
        <v>-336.11767918969309</v>
      </c>
      <c r="H124" s="109">
        <f ca="1">IF(ABS(G124/'normal case'!D125-H123)&lt;0.0000001,H123,G124/'normal case'!D125)</f>
        <v>-3.3278978117953955</v>
      </c>
    </row>
    <row r="125" spans="1:8">
      <c r="A125" s="108">
        <f ca="1">('main page'!$U$31/100)*'normal case'!D126</f>
        <v>20.200000011920931</v>
      </c>
      <c r="B125" s="109"/>
      <c r="C125" s="108">
        <f ca="1">'normal case'!AN126-'normal case'!AN125+IF(controls!$B$33=1,(1+(('main page'!$K$35/100)))*C124,'public finance'!C124)</f>
        <v>20</v>
      </c>
      <c r="D125" s="109">
        <f ca="1">IF(ABS(((A125-C125)/'normal case'!D126)-D124)&lt;0.0000001,D124,(A125-C125)/'normal case'!D126)</f>
        <v>1.9802129779314939E-3</v>
      </c>
      <c r="E125" s="109">
        <f ca="1">IF(ABS(D125-(G125*('normal case'!T126/100))/'normal case'!D126-E124)&lt;0.00001,E124,D125-(G125*('normal case'!T126/100))/'normal case'!D126)</f>
        <v>0.12260261708319654</v>
      </c>
      <c r="F125" s="110">
        <f ca="1">F124*(1+'normal case'!L125/100)</f>
        <v>11.201534356703627</v>
      </c>
      <c r="G125" s="108">
        <f ca="1">C125-A125+G124*(1+'normal case'!T125/100)</f>
        <v>-348.08179787308239</v>
      </c>
      <c r="H125" s="109">
        <f ca="1">IF(ABS(G125/'normal case'!D126-H124)&lt;0.0000001,H124,G125/'normal case'!D126)</f>
        <v>-3.4463544323531057</v>
      </c>
    </row>
    <row r="126" spans="1:8">
      <c r="A126" s="108">
        <f ca="1">('main page'!$U$31/100)*'normal case'!D127</f>
        <v>20.200000011920931</v>
      </c>
      <c r="B126" s="109"/>
      <c r="C126" s="108">
        <f ca="1">'normal case'!AN127-'normal case'!AN126+IF(controls!$B$33=1,(1+(('main page'!$K$35/100)))*C125,'public finance'!C125)</f>
        <v>20</v>
      </c>
      <c r="D126" s="109">
        <f ca="1">IF(ABS(((A126-C126)/'normal case'!D127)-D125)&lt;0.0000001,D125,(A126-C126)/'normal case'!D127)</f>
        <v>1.9802129779314939E-3</v>
      </c>
      <c r="E126" s="109">
        <f ca="1">IF(ABS(D126-(G126*('normal case'!T127/100))/'normal case'!D127-E125)&lt;0.00001,E125,D126-(G126*('normal case'!T127/100))/'normal case'!D127)</f>
        <v>0.12689370812512557</v>
      </c>
      <c r="F126" s="110">
        <f ca="1">F125*(1+'normal case'!L126/100)</f>
        <v>11.42556503048443</v>
      </c>
      <c r="G126" s="108">
        <f ca="1">C126-A126+G125*(1+'normal case'!T126/100)</f>
        <v>-360.4646607068247</v>
      </c>
      <c r="H126" s="109">
        <f ca="1">IF(ABS(G126/'normal case'!D127-H125)&lt;0.0000001,H125,G126/'normal case'!D127)</f>
        <v>-3.5689570345950323</v>
      </c>
    </row>
    <row r="127" spans="1:8">
      <c r="A127" s="108">
        <f ca="1">('main page'!$U$31/100)*'normal case'!D128</f>
        <v>20.200000011920931</v>
      </c>
      <c r="B127" s="109"/>
      <c r="C127" s="108">
        <f ca="1">'normal case'!AN128-'normal case'!AN127+IF(controls!$B$33=1,(1+(('main page'!$K$35/100)))*C126,'public finance'!C126)</f>
        <v>20</v>
      </c>
      <c r="D127" s="109">
        <f ca="1">IF(ABS(((A127-C127)/'normal case'!D128)-D126)&lt;0.0000001,D126,(A127-C127)/'normal case'!D128)</f>
        <v>1.9802129779314939E-3</v>
      </c>
      <c r="E127" s="109">
        <f ca="1">IF(ABS(D127-(G127*('normal case'!T128/100))/'normal case'!D128-E126)&lt;0.00001,E126,D127-(G127*('normal case'!T128/100))/'normal case'!D128)</f>
        <v>0.13133498735224325</v>
      </c>
      <c r="F127" s="110">
        <f ca="1">F126*(1+'normal case'!L127/100)</f>
        <v>11.654076317473784</v>
      </c>
      <c r="G127" s="108">
        <f ca="1">C127-A127+G126*(1+'normal case'!T127/100)</f>
        <v>-373.28092373605762</v>
      </c>
      <c r="H127" s="109">
        <f ca="1">IF(ABS(G127/'normal case'!D128-H126)&lt;0.0000001,H126,G127/'normal case'!D128)</f>
        <v>-3.6958507278788888</v>
      </c>
    </row>
    <row r="128" spans="1:8">
      <c r="A128" s="108">
        <f ca="1">('main page'!$U$31/100)*'normal case'!D129</f>
        <v>20.200000011920931</v>
      </c>
      <c r="B128" s="109"/>
      <c r="C128" s="108">
        <f ca="1">'normal case'!AN129-'normal case'!AN128+IF(controls!$B$33=1,(1+(('main page'!$K$35/100)))*C127,'public finance'!C127)</f>
        <v>20</v>
      </c>
      <c r="D128" s="109">
        <f ca="1">IF(ABS(((A128-C128)/'normal case'!D129)-D127)&lt;0.0000001,D127,(A128-C128)/'normal case'!D129)</f>
        <v>1.9802129779314939E-3</v>
      </c>
      <c r="E128" s="109">
        <f ca="1">IF(ABS(D128-(G128*('normal case'!T129/100))/'normal case'!D129-E127)&lt;0.00001,E127,D128-(G128*('normal case'!T129/100))/'normal case'!D129)</f>
        <v>0.13593171135098647</v>
      </c>
      <c r="F128" s="110">
        <f ca="1">F127*(1+'normal case'!L128/100)</f>
        <v>11.887157829930519</v>
      </c>
      <c r="G128" s="108">
        <f ca="1">C128-A128+G127*(1+'normal case'!T128/100)</f>
        <v>-386.54575596749413</v>
      </c>
      <c r="H128" s="109">
        <f ca="1">IF(ABS(G128/'normal case'!D129-H127)&lt;0.0000001,H127,G128/'normal case'!D129)</f>
        <v>-3.8271857003898622</v>
      </c>
    </row>
    <row r="129" spans="1:8">
      <c r="A129" s="108">
        <f ca="1">('main page'!$U$31/100)*'normal case'!D130</f>
        <v>20.200000011920931</v>
      </c>
      <c r="B129" s="109"/>
      <c r="C129" s="108">
        <f ca="1">'normal case'!AN130-'normal case'!AN129+IF(controls!$B$33=1,(1+(('main page'!$K$35/100)))*C128,'public finance'!C128)</f>
        <v>20</v>
      </c>
      <c r="D129" s="109">
        <f ca="1">IF(ABS(((A129-C129)/'normal case'!D130)-D128)&lt;0.0000001,D128,(A129-C129)/'normal case'!D130)</f>
        <v>1.9802129779314939E-3</v>
      </c>
      <c r="E129" s="109">
        <f ca="1">IF(ABS(D129-(G129*('normal case'!T130/100))/'normal case'!D130-E128)&lt;0.00001,E128,D129-(G129*('normal case'!T130/100))/'normal case'!D130)</f>
        <v>0.14068932068831577</v>
      </c>
      <c r="F129" s="110">
        <f ca="1">F128*(1+'normal case'!L129/100)</f>
        <v>12.124900972358533</v>
      </c>
      <c r="G129" s="108">
        <f ca="1">C129-A129+G128*(1+'normal case'!T129/100)</f>
        <v>-400.2748573230777</v>
      </c>
      <c r="H129" s="109">
        <f ca="1">IF(ABS(G129/'normal case'!D130-H128)&lt;0.0000001,H128,G129/'normal case'!D130)</f>
        <v>-3.963117396899579</v>
      </c>
    </row>
    <row r="130" spans="1:8">
      <c r="A130" s="108">
        <f ca="1">('main page'!$U$31/100)*'normal case'!D131</f>
        <v>20.200000011920931</v>
      </c>
      <c r="B130" s="109"/>
      <c r="C130" s="108">
        <f ca="1">'normal case'!AN131-'normal case'!AN130+IF(controls!$B$33=1,(1+(('main page'!$K$35/100)))*C129,'public finance'!C129)</f>
        <v>20</v>
      </c>
      <c r="D130" s="109">
        <f ca="1">IF(ABS(((A130-C130)/'normal case'!D131)-D129)&lt;0.0000001,D129,(A130-C130)/'normal case'!D131)</f>
        <v>1.9802129779314939E-3</v>
      </c>
      <c r="E130" s="109">
        <f ca="1">IF(ABS(D130-(G130*('normal case'!T131/100))/'normal case'!D131-E129)&lt;0.00001,E129,D130-(G130*('normal case'!T131/100))/'normal case'!D131)</f>
        <v>0.14561344635103371</v>
      </c>
      <c r="F130" s="110">
        <f ca="1">F129*(1+'normal case'!L130/100)</f>
        <v>12.367398977351696</v>
      </c>
      <c r="G130" s="108">
        <f ca="1">C130-A130+G129*(1+'normal case'!T130/100)</f>
        <v>-414.48447722201513</v>
      </c>
      <c r="H130" s="109">
        <f ca="1">IF(ABS(G130/'normal case'!D131-H129)&lt;0.0000001,H129,G130/'normal case'!D131)</f>
        <v>-4.1038067027466258</v>
      </c>
    </row>
    <row r="131" spans="1:8">
      <c r="A131" s="108">
        <f ca="1">('main page'!$U$31/100)*'normal case'!D132</f>
        <v>20.200000011920931</v>
      </c>
      <c r="B131" s="109"/>
      <c r="C131" s="108">
        <f ca="1">'normal case'!AN132-'normal case'!AN131+IF(controls!$B$33=1,(1+(('main page'!$K$35/100)))*C130,'public finance'!C130)</f>
        <v>20</v>
      </c>
      <c r="D131" s="109">
        <f ca="1">IF(ABS(((A131-C131)/'normal case'!D132)-D130)&lt;0.0000001,D130,(A131-C131)/'normal case'!D132)</f>
        <v>1.9802129779314939E-3</v>
      </c>
      <c r="E131" s="109">
        <f ca="1">IF(ABS(D131-(G131*('normal case'!T132/100))/'normal case'!D132-E130)&lt;0.00001,E130,D131-(G131*('normal case'!T132/100))/'normal case'!D132)</f>
        <v>0.15070991641047926</v>
      </c>
      <c r="F131" s="110">
        <f ca="1">F130*(1+'normal case'!L131/100)</f>
        <v>12.614746942155643</v>
      </c>
      <c r="G131" s="108">
        <f ca="1">C131-A131+G130*(1+'normal case'!T131/100)</f>
        <v>-429.19143381318054</v>
      </c>
      <c r="H131" s="109">
        <f ca="1">IF(ABS(G131/'normal case'!D132-H130)&lt;0.0000001,H130,G131/'normal case'!D132)</f>
        <v>-4.2494201342563898</v>
      </c>
    </row>
    <row r="132" spans="1:8">
      <c r="A132" s="108">
        <f ca="1">('main page'!$U$31/100)*'normal case'!D133</f>
        <v>20.200000011920931</v>
      </c>
      <c r="B132" s="109"/>
      <c r="C132" s="108">
        <f ca="1">'normal case'!AN133-'normal case'!AN132+IF(controls!$B$33=1,(1+(('main page'!$K$35/100)))*C131,'public finance'!C131)</f>
        <v>20</v>
      </c>
      <c r="D132" s="109">
        <f ca="1">IF(ABS(((A132-C132)/'normal case'!D133)-D131)&lt;0.0000001,D131,(A132-C132)/'normal case'!D133)</f>
        <v>1.9802129779314939E-3</v>
      </c>
      <c r="E132" s="109">
        <f ca="1">IF(ABS(D132-(G132*('normal case'!T133/100))/'normal case'!D133-E131)&lt;0.00001,E131,D132-(G132*('normal case'!T133/100))/'normal case'!D133)</f>
        <v>0.15598476292048655</v>
      </c>
      <c r="F132" s="110">
        <f ca="1">F131*(1+'normal case'!L132/100)</f>
        <v>12.867041865960806</v>
      </c>
      <c r="G132" s="108">
        <f ca="1">C132-A132+G131*(1+'normal case'!T132/100)</f>
        <v>-444.41313388065373</v>
      </c>
      <c r="H132" s="109">
        <f ca="1">IF(ABS(G132/'normal case'!D133-H131)&lt;0.0000001,H131,G132/'normal case'!D133)</f>
        <v>-4.4001300358255993</v>
      </c>
    </row>
    <row r="133" spans="1:8">
      <c r="A133" s="108">
        <f ca="1">('main page'!$U$31/100)*'normal case'!D134</f>
        <v>20.200000011920931</v>
      </c>
      <c r="B133" s="109"/>
      <c r="C133" s="108">
        <f ca="1">'normal case'!AN134-'normal case'!AN133+IF(controls!$B$33=1,(1+(('main page'!$K$35/100)))*C132,'public finance'!C132)</f>
        <v>20</v>
      </c>
      <c r="D133" s="109">
        <f ca="1">IF(ABS(((A133-C133)/'normal case'!D134)-D132)&lt;0.0000001,D132,(A133-C133)/'normal case'!D134)</f>
        <v>1.9802129779314939E-3</v>
      </c>
      <c r="E133" s="109">
        <f ca="1">IF(ABS(D133-(G133*('normal case'!T134/100))/'normal case'!D134-E132)&lt;0.00001,E132,D133-(G133*('normal case'!T134/100))/'normal case'!D134)</f>
        <v>0.16144422905677208</v>
      </c>
      <c r="F133" s="110">
        <f ca="1">F132*(1+'normal case'!L133/100)</f>
        <v>13.124382687941313</v>
      </c>
      <c r="G133" s="108">
        <f ca="1">C133-A133+G132*(1+'normal case'!T133/100)</f>
        <v>-460.16759344595209</v>
      </c>
      <c r="H133" s="109">
        <f ca="1">IF(ABS(G133/'normal case'!D134-H132)&lt;0.0000001,H132,G133/'normal case'!D134)</f>
        <v>-4.5561147839048166</v>
      </c>
    </row>
    <row r="134" spans="1:8">
      <c r="A134" s="108">
        <f ca="1">('main page'!$U$31/100)*'normal case'!D135</f>
        <v>20.200000011920931</v>
      </c>
      <c r="B134" s="109"/>
      <c r="C134" s="108">
        <f ca="1">'normal case'!AN135-'normal case'!AN134+IF(controls!$B$33=1,(1+(('main page'!$K$35/100)))*C133,'public finance'!C133)</f>
        <v>20</v>
      </c>
      <c r="D134" s="109">
        <f ca="1">IF(ABS(((A134-C134)/'normal case'!D135)-D133)&lt;0.0000001,D133,(A134-C134)/'normal case'!D135)</f>
        <v>1.9802129779314939E-3</v>
      </c>
      <c r="E134" s="109">
        <f ca="1">IF(ABS(D134-(G134*('normal case'!T135/100))/'normal case'!D135-E133)&lt;0.00001,E133,D134-(G134*('normal case'!T135/100))/'normal case'!D135)</f>
        <v>0.16709477650620053</v>
      </c>
      <c r="F134" s="110">
        <f ca="1">F133*(1+'normal case'!L134/100)</f>
        <v>13.386870326054657</v>
      </c>
      <c r="G134" s="108">
        <f ca="1">C134-A134+G133*(1+'normal case'!T134/100)</f>
        <v>-476.47345909134066</v>
      </c>
      <c r="H134" s="109">
        <f ca="1">IF(ABS(G134/'normal case'!D135-H133)&lt;0.0000001,H133,G134/'normal case'!D135)</f>
        <v>-4.7175589981203192</v>
      </c>
    </row>
    <row r="135" spans="1:8">
      <c r="A135" s="108">
        <f ca="1">('main page'!$U$31/100)*'normal case'!D136</f>
        <v>20.200000011920931</v>
      </c>
      <c r="B135" s="109"/>
      <c r="C135" s="108">
        <f ca="1">'normal case'!AN136-'normal case'!AN135+IF(controls!$B$33=1,(1+(('main page'!$K$35/100)))*C134,'public finance'!C134)</f>
        <v>20</v>
      </c>
      <c r="D135" s="109">
        <f ca="1">IF(ABS(((A135-C135)/'normal case'!D136)-D134)&lt;0.0000001,D134,(A135-C135)/'normal case'!D136)</f>
        <v>1.9802129779314939E-3</v>
      </c>
      <c r="E135" s="109">
        <f ca="1">IF(ABS(D135-(G135*('normal case'!T136/100))/'normal case'!D136-E134)&lt;0.00001,E134,D135-(G135*('normal case'!T136/100))/'normal case'!D136)</f>
        <v>0.17294309311467501</v>
      </c>
      <c r="F135" s="110">
        <f ca="1">F134*(1+'normal case'!L135/100)</f>
        <v>13.654607716617358</v>
      </c>
      <c r="G135" s="108">
        <f ca="1">C135-A135+G134*(1+'normal case'!T135/100)</f>
        <v>-493.35003002945831</v>
      </c>
      <c r="H135" s="109">
        <f ca="1">IF(ABS(G135/'normal case'!D136-H134)&lt;0.0000001,H134,G135/'normal case'!D136)</f>
        <v>-4.88465375978525</v>
      </c>
    </row>
    <row r="136" spans="1:8">
      <c r="A136" s="108">
        <f ca="1">('main page'!$U$31/100)*'normal case'!D137</f>
        <v>20.200000011920931</v>
      </c>
      <c r="B136" s="109"/>
      <c r="C136" s="108">
        <f ca="1">'normal case'!AN137-'normal case'!AN136+IF(controls!$B$33=1,(1+(('main page'!$K$35/100)))*C135,'public finance'!C135)</f>
        <v>20</v>
      </c>
      <c r="D136" s="109">
        <f ca="1">IF(ABS(((A136-C136)/'normal case'!D137)-D135)&lt;0.0000001,D135,(A136-C136)/'normal case'!D137)</f>
        <v>1.9802129779314939E-3</v>
      </c>
      <c r="E136" s="109">
        <f ca="1">IF(ABS(D136-(G136*('normal case'!T137/100))/'normal case'!D137-E135)&lt;0.00001,E135,D136-(G136*('normal case'!T137/100))/'normal case'!D137)</f>
        <v>0.17899610080270315</v>
      </c>
      <c r="F136" s="110">
        <f ca="1">F135*(1+'normal case'!L136/100)</f>
        <v>13.927699854672145</v>
      </c>
      <c r="G136" s="108">
        <f ca="1">C136-A136+G135*(1+'normal case'!T136/100)</f>
        <v>-510.8172809453805</v>
      </c>
      <c r="H136" s="109">
        <f ca="1">IF(ABS(G136/'normal case'!D137-H135)&lt;0.0000001,H135,G136/'normal case'!D137)</f>
        <v>-5.0575968380586556</v>
      </c>
    </row>
    <row r="137" spans="1:8">
      <c r="A137" s="108">
        <f ca="1">('main page'!$U$31/100)*'normal case'!D138</f>
        <v>20.200000011920931</v>
      </c>
      <c r="B137" s="109"/>
      <c r="C137" s="108">
        <f ca="1">'normal case'!AN138-'normal case'!AN137+IF(controls!$B$33=1,(1+(('main page'!$K$35/100)))*C136,'public finance'!C136)</f>
        <v>20</v>
      </c>
      <c r="D137" s="109">
        <f ca="1">IF(ABS(((A137-C137)/'normal case'!D138)-D136)&lt;0.0000001,D136,(A137-C137)/'normal case'!D138)</f>
        <v>1.9802129779314939E-3</v>
      </c>
      <c r="E137" s="109">
        <f ca="1">IF(ABS(D137-(G137*('normal case'!T138/100))/'normal case'!D138-E136)&lt;0.00001,E136,D137-(G137*('normal case'!T138/100))/'normal case'!D138)</f>
        <v>0.18526096375800835</v>
      </c>
      <c r="F137" s="110">
        <f ca="1">F136*(1+'normal case'!L137/100)</f>
        <v>14.206253835162476</v>
      </c>
      <c r="G137" s="108">
        <f ca="1">C137-A137+G136*(1+'normal case'!T137/100)</f>
        <v>-528.89588563815425</v>
      </c>
      <c r="H137" s="109">
        <f ca="1">IF(ABS(G137/'normal case'!D138-H136)&lt;0.0000001,H136,G137/'normal case'!D138)</f>
        <v>-5.2365929240200888</v>
      </c>
    </row>
    <row r="138" spans="1:8">
      <c r="A138" s="108">
        <f ca="1">('main page'!$U$31/100)*'normal case'!D139</f>
        <v>20.200000011920931</v>
      </c>
      <c r="B138" s="109"/>
      <c r="C138" s="108">
        <f ca="1">'normal case'!AN139-'normal case'!AN138+IF(controls!$B$33=1,(1+(('main page'!$K$35/100)))*C137,'public finance'!C137)</f>
        <v>20</v>
      </c>
      <c r="D138" s="109">
        <f ca="1">IF(ABS(((A138-C138)/'normal case'!D139)-D137)&lt;0.0000001,D137,(A138-C138)/'normal case'!D139)</f>
        <v>1.9802129779314939E-3</v>
      </c>
      <c r="E138" s="109">
        <f ca="1">IF(ABS(D138-(G138*('normal case'!T139/100))/'normal case'!D139-E137)&lt;0.00001,E137,D138-(G138*('normal case'!T139/100))/'normal case'!D139)</f>
        <v>0.19174509691488209</v>
      </c>
      <c r="F138" s="110">
        <f ca="1">F137*(1+'normal case'!L138/100)</f>
        <v>14.490378894930553</v>
      </c>
      <c r="G138" s="108">
        <f ca="1">C138-A138+G137*(1+'normal case'!T138/100)</f>
        <v>-547.60724148978727</v>
      </c>
      <c r="H138" s="109">
        <f ca="1">IF(ABS(G138/'normal case'!D139-H137)&lt;0.0000001,H137,G138/'normal case'!D139)</f>
        <v>-5.4218538729368273</v>
      </c>
    </row>
    <row r="139" spans="1:8">
      <c r="A139" s="108">
        <f ca="1">('main page'!$U$31/100)*'normal case'!D140</f>
        <v>20.200000011920931</v>
      </c>
      <c r="B139" s="109"/>
      <c r="C139" s="108">
        <f ca="1">'normal case'!AN140-'normal case'!AN139+IF(controls!$B$33=1,(1+(('main page'!$K$35/100)))*C138,'public finance'!C138)</f>
        <v>20</v>
      </c>
      <c r="D139" s="109">
        <f ca="1">IF(ABS(((A139-C139)/'normal case'!D140)-D138)&lt;0.0000001,D138,(A139-C139)/'normal case'!D140)</f>
        <v>1.9802129779314939E-3</v>
      </c>
      <c r="E139" s="109">
        <f ca="1">IF(ABS(D139-(G139*('normal case'!T140/100))/'normal case'!D140-E138)&lt;0.00001,E138,D139-(G139*('normal case'!T140/100))/'normal case'!D140)</f>
        <v>0.19845617473031407</v>
      </c>
      <c r="F139" s="110">
        <f ca="1">F138*(1+'normal case'!L139/100)</f>
        <v>14.780186455555286</v>
      </c>
      <c r="G139" s="108">
        <f ca="1">C139-A139+G138*(1+'normal case'!T139/100)</f>
        <v>-566.9734947906511</v>
      </c>
      <c r="H139" s="109">
        <f ca="1">IF(ABS(G139/'normal case'!D140-H138)&lt;0.0000001,H138,G139/'normal case'!D140)</f>
        <v>-5.613598955010441</v>
      </c>
    </row>
    <row r="140" spans="1:8">
      <c r="A140" s="108">
        <f ca="1">('main page'!$U$31/100)*'normal case'!D141</f>
        <v>20.200000011920931</v>
      </c>
      <c r="B140" s="109"/>
      <c r="C140" s="108">
        <f ca="1">'normal case'!AN141-'normal case'!AN140+IF(controls!$B$33=1,(1+(('main page'!$K$35/100)))*C139,'public finance'!C139)</f>
        <v>20</v>
      </c>
      <c r="D140" s="109">
        <f ca="1">IF(ABS(((A140-C140)/'normal case'!D141)-D139)&lt;0.0000001,D139,(A140-C140)/'normal case'!D141)</f>
        <v>1.9802129779314939E-3</v>
      </c>
      <c r="E140" s="109">
        <f ca="1">IF(ABS(D140-(G140*('normal case'!T141/100))/'normal case'!D141-E139)&lt;0.00001,E139,D140-(G140*('normal case'!T141/100))/'normal case'!D141)</f>
        <v>0.20540214026728609</v>
      </c>
      <c r="F140" s="110">
        <f ca="1">F139*(1+'normal case'!L140/100)</f>
        <v>15.075790167047037</v>
      </c>
      <c r="G140" s="108">
        <f ca="1">C140-A140+G139*(1+'normal case'!T140/100)</f>
        <v>-587.01756695127347</v>
      </c>
      <c r="H140" s="109">
        <f ca="1">IF(ABS(G140/'normal case'!D141-H139)&lt;0.0000001,H139,G140/'normal case'!D141)</f>
        <v>-5.8120551148994846</v>
      </c>
    </row>
    <row r="141" spans="1:8">
      <c r="A141" s="108">
        <f ca="1">('main page'!$U$31/100)*'normal case'!D142</f>
        <v>20.200000011920931</v>
      </c>
      <c r="B141" s="109"/>
      <c r="C141" s="108">
        <f ca="1">'normal case'!AN142-'normal case'!AN141+IF(controls!$B$33=1,(1+(('main page'!$K$35/100)))*C140,'public finance'!C140)</f>
        <v>20</v>
      </c>
      <c r="D141" s="109">
        <f ca="1">IF(ABS(((A141-C141)/'normal case'!D142)-D140)&lt;0.0000001,D140,(A141-C141)/'normal case'!D142)</f>
        <v>1.9802129779314939E-3</v>
      </c>
      <c r="E141" s="109">
        <f ca="1">IF(ABS(D141-(G141*('normal case'!T142/100))/'normal case'!D142-E140)&lt;0.00001,E140,D141-(G141*('normal case'!T142/100))/'normal case'!D142)</f>
        <v>0.21259121459598207</v>
      </c>
      <c r="F141" s="110">
        <f ca="1">F140*(1+'normal case'!L141/100)</f>
        <v>15.377305952416236</v>
      </c>
      <c r="G141" s="108">
        <f ca="1">C141-A141+G140*(1+'normal case'!T141/100)</f>
        <v>-607.76318163154406</v>
      </c>
      <c r="H141" s="109">
        <f ca="1">IF(ABS(G141/'normal case'!D142-H140)&lt;0.0000001,H140,G141/'normal case'!D142)</f>
        <v>-6.0174572403255011</v>
      </c>
    </row>
    <row r="142" spans="1:8">
      <c r="A142" s="108">
        <f ca="1">('main page'!$U$31/100)*'normal case'!D143</f>
        <v>20.200000011920931</v>
      </c>
      <c r="B142" s="109"/>
      <c r="C142" s="108">
        <f ca="1">'normal case'!AN143-'normal case'!AN142+IF(controls!$B$33=1,(1+(('main page'!$K$35/100)))*C141,'public finance'!C141)</f>
        <v>20</v>
      </c>
      <c r="D142" s="109">
        <f ca="1">IF(ABS(((A142-C142)/'normal case'!D143)-D141)&lt;0.0000001,D141,(A142-C142)/'normal case'!D143)</f>
        <v>1.9802129779314939E-3</v>
      </c>
      <c r="E142" s="109">
        <f ca="1">IF(ABS(D142-(G142*('normal case'!T143/100))/'normal case'!D143-E141)&lt;0.00001,E141,D142-(G142*('normal case'!T143/100))/'normal case'!D143)</f>
        <v>0.22003190652403992</v>
      </c>
      <c r="F142" s="110">
        <f ca="1">F141*(1+'normal case'!L142/100)</f>
        <v>15.684852053133385</v>
      </c>
      <c r="G142" s="108">
        <f ca="1">C142-A142+G141*(1+'normal case'!T142/100)</f>
        <v>-629.23489281944148</v>
      </c>
      <c r="H142" s="109">
        <f ca="1">IF(ABS(G142/'normal case'!D143-H141)&lt;0.0000001,H141,G142/'normal case'!D143)</f>
        <v>-6.2300484400802141</v>
      </c>
    </row>
    <row r="143" spans="1:8">
      <c r="A143" s="108">
        <f ca="1">('main page'!$U$31/100)*'normal case'!D144</f>
        <v>20.200000011920931</v>
      </c>
      <c r="B143" s="109"/>
      <c r="C143" s="108">
        <f ca="1">'normal case'!AN144-'normal case'!AN143+IF(controls!$B$33=1,(1+(('main page'!$K$35/100)))*C142,'public finance'!C142)</f>
        <v>20</v>
      </c>
      <c r="D143" s="109">
        <f ca="1">IF(ABS(((A143-C143)/'normal case'!D144)-D142)&lt;0.0000001,D142,(A143-C143)/'normal case'!D144)</f>
        <v>1.9802129779314939E-3</v>
      </c>
      <c r="E143" s="109">
        <f ca="1">IF(ABS(D143-(G143*('normal case'!T144/100))/'normal case'!D144-E142)&lt;0.00001,E142,D143-(G143*('normal case'!T144/100))/'normal case'!D144)</f>
        <v>0.22773302266736226</v>
      </c>
      <c r="F143" s="110">
        <f ca="1">F142*(1+'normal case'!L143/100)</f>
        <v>15.998549075498254</v>
      </c>
      <c r="G143" s="108">
        <f ca="1">C143-A143+G142*(1+'normal case'!T143/100)</f>
        <v>-651.45811389251617</v>
      </c>
      <c r="H143" s="109">
        <f ca="1">IF(ABS(G143/'normal case'!D144-H142)&lt;0.0000001,H142,G143/'normal case'!D144)</f>
        <v>-6.450080331762984</v>
      </c>
    </row>
    <row r="144" spans="1:8">
      <c r="A144" s="108">
        <f ca="1">('main page'!$U$31/100)*'normal case'!D145</f>
        <v>20.200000011920931</v>
      </c>
      <c r="B144" s="109"/>
      <c r="C144" s="108">
        <f ca="1">'normal case'!AN145-'normal case'!AN144+IF(controls!$B$33=1,(1+(('main page'!$K$35/100)))*C143,'public finance'!C143)</f>
        <v>20</v>
      </c>
      <c r="D144" s="109">
        <f ca="1">IF(ABS(((A144-C144)/'normal case'!D145)-D143)&lt;0.0000001,D143,(A144-C144)/'normal case'!D145)</f>
        <v>1.9802129779314939E-3</v>
      </c>
      <c r="E144" s="109">
        <f ca="1">IF(ABS(D144-(G144*('normal case'!T145/100))/'normal case'!D145-E143)&lt;0.00001,E143,D144-(G144*('normal case'!T145/100))/'normal case'!D145)</f>
        <v>0.23570367787340576</v>
      </c>
      <c r="F144" s="110">
        <f ca="1">F143*(1+'normal case'!L144/100)</f>
        <v>16.318520037936462</v>
      </c>
      <c r="G144" s="108">
        <f ca="1">C144-A144+G143*(1+'normal case'!T144/100)</f>
        <v>-674.45914769652552</v>
      </c>
      <c r="H144" s="109">
        <f ca="1">IF(ABS(G144/'normal case'!D145-H143)&lt;0.0000001,H143,G144/'normal case'!D145)</f>
        <v>-6.6778133395890773</v>
      </c>
    </row>
    <row r="145" spans="1:8">
      <c r="A145" s="108">
        <f ca="1">('main page'!$U$31/100)*'normal case'!D146</f>
        <v>20.200000011920931</v>
      </c>
      <c r="B145" s="109"/>
      <c r="C145" s="108">
        <f ca="1">'normal case'!AN146-'normal case'!AN145+IF(controls!$B$33=1,(1+(('main page'!$K$35/100)))*C144,'public finance'!C144)</f>
        <v>20</v>
      </c>
      <c r="D145" s="109">
        <f ca="1">IF(ABS(((A145-C145)/'normal case'!D146)-D144)&lt;0.0000001,D144,(A145-C145)/'normal case'!D146)</f>
        <v>1.9802129779314939E-3</v>
      </c>
      <c r="E145" s="109">
        <f ca="1">IF(ABS(D145-(G145*('normal case'!T146/100))/'normal case'!D146-E144)&lt;0.00001,E144,D145-(G145*('normal case'!T146/100))/'normal case'!D146)</f>
        <v>0.24395330600928536</v>
      </c>
      <c r="F145" s="110">
        <f ca="1">F144*(1+'normal case'!L145/100)</f>
        <v>16.644890419242</v>
      </c>
      <c r="G145" s="108">
        <f ca="1">C145-A145+G144*(1+'normal case'!T145/100)</f>
        <v>-698.26521767682027</v>
      </c>
      <c r="H145" s="109">
        <f ca="1">IF(ABS(G145/'normal case'!D146-H144)&lt;0.0000001,H144,G145/'normal case'!D146)</f>
        <v>-6.9135170026212132</v>
      </c>
    </row>
    <row r="146" spans="1:8">
      <c r="A146" s="108">
        <f ca="1">('main page'!$U$31/100)*'normal case'!D147</f>
        <v>20.200000011920931</v>
      </c>
      <c r="B146" s="109"/>
      <c r="C146" s="108">
        <f ca="1">'normal case'!AN147-'normal case'!AN146+IF(controls!$B$33=1,(1+(('main page'!$K$35/100)))*C145,'public finance'!C145)</f>
        <v>20</v>
      </c>
      <c r="D146" s="109">
        <f ca="1">IF(ABS(((A146-C146)/'normal case'!D147)-D145)&lt;0.0000001,D145,(A146-C146)/'normal case'!D147)</f>
        <v>1.9802129779314939E-3</v>
      </c>
      <c r="E146" s="109">
        <f ca="1">IF(ABS(D146-(G146*('normal case'!T147/100))/'normal case'!D147-E145)&lt;0.00001,E145,D146-(G146*('normal case'!T147/100))/'normal case'!D147)</f>
        <v>0.25249167112746218</v>
      </c>
      <c r="F146" s="110">
        <f ca="1">F145*(1+'normal case'!L146/100)</f>
        <v>16.977788207784585</v>
      </c>
      <c r="G146" s="108">
        <f ca="1">C146-A146+G145*(1+'normal case'!T146/100)</f>
        <v>-722.90450009933068</v>
      </c>
      <c r="H146" s="109">
        <f ca="1">IF(ABS(G146/'normal case'!D147-H145)&lt;0.0000001,H145,G146/'normal case'!D147)</f>
        <v>-7.1574702937892294</v>
      </c>
    </row>
    <row r="147" spans="1:8">
      <c r="A147" s="108">
        <f ca="1">('main page'!$U$31/100)*'normal case'!D148</f>
        <v>20.200000011920931</v>
      </c>
      <c r="B147" s="109"/>
      <c r="C147" s="108">
        <f ca="1">'normal case'!AN148-'normal case'!AN147+IF(controls!$B$33=1,(1+(('main page'!$K$35/100)))*C146,'public finance'!C146)</f>
        <v>20</v>
      </c>
      <c r="D147" s="109">
        <f ca="1">IF(ABS(((A147-C147)/'normal case'!D148)-D146)&lt;0.0000001,D146,(A147-C147)/'normal case'!D148)</f>
        <v>1.9802129779314939E-3</v>
      </c>
      <c r="E147" s="109">
        <f ca="1">IF(ABS(D147-(G147*('normal case'!T148/100))/'normal case'!D148-E146)&lt;0.00001,E146,D147-(G147*('normal case'!T148/100))/'normal case'!D148)</f>
        <v>0.26132887902223056</v>
      </c>
      <c r="F147" s="110">
        <f ca="1">F146*(1+'normal case'!L147/100)</f>
        <v>17.317343951701176</v>
      </c>
      <c r="G147" s="108">
        <f ca="1">C147-A147+G146*(1+'normal case'!T147/100)</f>
        <v>-748.4061573992858</v>
      </c>
      <c r="H147" s="109">
        <f ca="1">IF(ABS(G147/'normal case'!D148-H146)&lt;0.0000001,H146,G147/'normal case'!D148)</f>
        <v>-7.4099619500754219</v>
      </c>
    </row>
    <row r="148" spans="1:8">
      <c r="A148" s="108">
        <f ca="1">('main page'!$U$31/100)*'normal case'!D149</f>
        <v>20.200000011920931</v>
      </c>
      <c r="B148" s="109"/>
      <c r="C148" s="108">
        <f ca="1">'normal case'!AN149-'normal case'!AN148+IF(controls!$B$33=1,(1+(('main page'!$K$35/100)))*C147,'public finance'!C147)</f>
        <v>20</v>
      </c>
      <c r="D148" s="109">
        <f ca="1">IF(ABS(((A148-C148)/'normal case'!D149)-D147)&lt;0.0000001,D147,(A148-C148)/'normal case'!D149)</f>
        <v>1.9802129779314939E-3</v>
      </c>
      <c r="E148" s="109">
        <f ca="1">IF(ABS(D148-(G148*('normal case'!T149/100))/'normal case'!D149-E147)&lt;0.00001,E147,D148-(G148*('normal case'!T149/100))/'normal case'!D149)</f>
        <v>0.27047538919068209</v>
      </c>
      <c r="F148" s="110">
        <f ca="1">F147*(1+'normal case'!L148/100)</f>
        <v>17.663690810091317</v>
      </c>
      <c r="G148" s="108">
        <f ca="1">C148-A148+G147*(1+'normal case'!T148/100)</f>
        <v>-774.80037269713932</v>
      </c>
      <c r="H148" s="109">
        <f ca="1">IF(ABS(G148/'normal case'!D149-H147)&lt;0.0000001,H147,G148/'normal case'!D149)</f>
        <v>-7.671290814256384</v>
      </c>
    </row>
    <row r="149" spans="1:8">
      <c r="A149" s="108">
        <f ca="1">('main page'!$U$31/100)*'normal case'!D150</f>
        <v>20.200000011920931</v>
      </c>
      <c r="B149" s="109"/>
      <c r="C149" s="108">
        <f ca="1">'normal case'!AN150-'normal case'!AN149+IF(controls!$B$33=1,(1+(('main page'!$K$35/100)))*C148,'public finance'!C148)</f>
        <v>20</v>
      </c>
      <c r="D149" s="109">
        <f ca="1">IF(ABS(((A149-C149)/'normal case'!D150)-D148)&lt;0.0000001,D148,(A149-C149)/'normal case'!D150)</f>
        <v>1.9802129779314939E-3</v>
      </c>
      <c r="E149" s="109">
        <f ca="1">IF(ABS(D149-(G149*('normal case'!T150/100))/'normal case'!D150-E148)&lt;0.00001,E148,D149-(G149*('normal case'!T150/100))/'normal case'!D150)</f>
        <v>0.2799420272123036</v>
      </c>
      <c r="F149" s="110">
        <f ca="1">F148*(1+'normal case'!L149/100)</f>
        <v>18.016964605236385</v>
      </c>
      <c r="G149" s="108">
        <f ca="1">C149-A149+G148*(1+'normal case'!T149/100)</f>
        <v>-802.11838552255153</v>
      </c>
      <c r="H149" s="109">
        <f ca="1">IF(ABS(G149/'normal case'!D150-H148)&lt;0.0000001,H148,G149/'normal case'!D150)</f>
        <v>-7.9417661886057962</v>
      </c>
    </row>
    <row r="150" spans="1:8">
      <c r="A150" s="108">
        <f ca="1">('main page'!$U$31/100)*'normal case'!D151</f>
        <v>20.200000011920931</v>
      </c>
      <c r="B150" s="109"/>
      <c r="C150" s="108">
        <f ca="1">'normal case'!AN151-'normal case'!AN150+IF(controls!$B$33=1,(1+(('main page'!$K$35/100)))*C149,'public finance'!C149)</f>
        <v>20</v>
      </c>
      <c r="D150" s="109">
        <f ca="1">IF(ABS(((A150-C150)/'normal case'!D151)-D149)&lt;0.0000001,D149,(A150-C150)/'normal case'!D151)</f>
        <v>1.9802129779314939E-3</v>
      </c>
      <c r="E150" s="109">
        <f ca="1">IF(ABS(D150-(G150*('normal case'!T151/100))/'normal case'!D151-E149)&lt;0.00001,E149,D150-(G150*('normal case'!T151/100))/'normal case'!D151)</f>
        <v>0.28973999756186058</v>
      </c>
      <c r="F150" s="110">
        <f ca="1">F149*(1+'normal case'!L150/100)</f>
        <v>18.37730387586322</v>
      </c>
      <c r="G150" s="108">
        <f ca="1">C150-A150+G149*(1+'normal case'!T150/100)</f>
        <v>-830.39252878871184</v>
      </c>
      <c r="H150" s="109">
        <f ca="1">IF(ABS(G150/'normal case'!D151-H149)&lt;0.0000001,H149,G150/'normal case'!D151)</f>
        <v>-8.2217082009768294</v>
      </c>
    </row>
    <row r="151" spans="1:8">
      <c r="A151" s="108">
        <f ca="1">('main page'!$U$31/100)*'normal case'!D152</f>
        <v>20.200000011920931</v>
      </c>
      <c r="B151" s="109"/>
      <c r="C151" s="108">
        <f ca="1">'normal case'!AN152-'normal case'!AN151+IF(controls!$B$33=1,(1+(('main page'!$K$35/100)))*C150,'public finance'!C150)</f>
        <v>20</v>
      </c>
      <c r="D151" s="109">
        <f ca="1">IF(ABS(((A151-C151)/'normal case'!D152)-D150)&lt;0.0000001,D150,(A151-C151)/'normal case'!D152)</f>
        <v>1.9802129779314939E-3</v>
      </c>
      <c r="E151" s="109">
        <f ca="1">IF(ABS(D151-(G151*('normal case'!T152/100))/'normal case'!D152-E150)&lt;0.00001,E150,D151-(G151*('normal case'!T152/100))/'normal case'!D152)</f>
        <v>0.29988089687073205</v>
      </c>
      <c r="F151" s="110">
        <f ca="1">F150*(1+'normal case'!L151/100)</f>
        <v>18.744849931473031</v>
      </c>
      <c r="G151" s="108">
        <f ca="1">C151-A151+G150*(1+'normal case'!T151/100)</f>
        <v>-859.65626706076137</v>
      </c>
      <c r="H151" s="109">
        <f ca="1">IF(ABS(G151/'normal case'!D152-H150)&lt;0.0000001,H150,G151/'normal case'!D152)</f>
        <v>-8.5114481836974214</v>
      </c>
    </row>
    <row r="152" spans="1:8">
      <c r="A152" s="108">
        <f ca="1">('main page'!$U$31/100)*'normal case'!D153</f>
        <v>20.200000011920931</v>
      </c>
      <c r="B152" s="109"/>
      <c r="C152" s="108">
        <f ca="1">'normal case'!AN153-'normal case'!AN152+IF(controls!$B$33=1,(1+(('main page'!$K$35/100)))*C151,'public finance'!C151)</f>
        <v>20</v>
      </c>
      <c r="D152" s="109">
        <f ca="1">IF(ABS(((A152-C152)/'normal case'!D153)-D151)&lt;0.0000001,D151,(A152-C152)/'normal case'!D153)</f>
        <v>1.9802129779314939E-3</v>
      </c>
      <c r="E152" s="109">
        <f ca="1">IF(ABS(D152-(G152*('normal case'!T153/100))/'normal case'!D153-E151)&lt;0.00001,E151,D152-(G152*('normal case'!T153/100))/'normal case'!D153)</f>
        <v>0.31037672765239172</v>
      </c>
      <c r="F152" s="110">
        <f ca="1">F151*(1+'normal case'!L152/100)</f>
        <v>19.119746907756891</v>
      </c>
      <c r="G152" s="108">
        <f ca="1">C152-A152+G151*(1+'normal case'!T152/100)</f>
        <v>-889.94423616361132</v>
      </c>
      <c r="H152" s="109">
        <f ca="1">IF(ABS(G152/'normal case'!D153-H151)&lt;0.0000001,H151,G152/'normal case'!D153)</f>
        <v>-8.8113290657268823</v>
      </c>
    </row>
    <row r="153" spans="1:8">
      <c r="A153" s="108">
        <f ca="1">('main page'!$U$31/100)*'normal case'!D154</f>
        <v>20.200000011920931</v>
      </c>
      <c r="B153" s="109"/>
      <c r="C153" s="108">
        <f ca="1">'normal case'!AN154-'normal case'!AN153+IF(controls!$B$33=1,(1+(('main page'!$K$35/100)))*C152,'public finance'!C152)</f>
        <v>20</v>
      </c>
      <c r="D153" s="109">
        <f ca="1">IF(ABS(((A153-C153)/'normal case'!D154)-D152)&lt;0.0000001,D152,(A153-C153)/'normal case'!D154)</f>
        <v>1.9802129779314939E-3</v>
      </c>
      <c r="E153" s="109">
        <f ca="1">IF(ABS(D153-(G153*('normal case'!T154/100))/'normal case'!D154-E152)&lt;0.00001,E152,D153-(G153*('normal case'!T154/100))/'normal case'!D154)</f>
        <v>0.32123991250828154</v>
      </c>
      <c r="F153" s="110">
        <f ca="1">F152*(1+'normal case'!L153/100)</f>
        <v>19.502141823119516</v>
      </c>
      <c r="G153" s="108">
        <f ca="1">C153-A153+G152*(1+'normal case'!T153/100)</f>
        <v>-921.29228417603451</v>
      </c>
      <c r="H153" s="109">
        <f ca="1">IF(ABS(G153/'normal case'!D154-H152)&lt;0.0000001,H152,G153/'normal case'!D154)</f>
        <v>-9.1217057785380042</v>
      </c>
    </row>
    <row r="154" spans="1:8">
      <c r="A154" s="108">
        <f ca="1">('main page'!$U$31/100)*'normal case'!D155</f>
        <v>20.200000011920931</v>
      </c>
      <c r="B154" s="109"/>
      <c r="C154" s="108">
        <f ca="1">'normal case'!AN155-'normal case'!AN154+IF(controls!$B$33=1,(1+(('main page'!$K$35/100)))*C153,'public finance'!C153)</f>
        <v>20</v>
      </c>
      <c r="D154" s="109">
        <f ca="1">IF(ABS(((A154-C154)/'normal case'!D155)-D153)&lt;0.0000001,D153,(A154-C154)/'normal case'!D155)</f>
        <v>1.9802129779314939E-3</v>
      </c>
      <c r="E154" s="109">
        <f ca="1">IF(ABS(D154-(G154*('normal case'!T155/100))/'normal case'!D155-E153)&lt;0.00001,E153,D154-(G154*('normal case'!T155/100))/'normal case'!D155)</f>
        <v>0.33248330883088995</v>
      </c>
      <c r="F154" s="110">
        <f ca="1">F153*(1+'normal case'!L154/100)</f>
        <v>19.892184636333543</v>
      </c>
      <c r="G154" s="108">
        <f ca="1">C154-A154+G153*(1+'normal case'!T154/100)</f>
        <v>-953.73751385955006</v>
      </c>
      <c r="H154" s="109">
        <f ca="1">IF(ABS(G154/'normal case'!D155-H153)&lt;0.0000001,H153,G154/'normal case'!D155)</f>
        <v>-9.4429456762050155</v>
      </c>
    </row>
    <row r="155" spans="1:8">
      <c r="A155" s="108">
        <f ca="1">('main page'!$U$31/100)*'normal case'!D156</f>
        <v>20.200000011920931</v>
      </c>
      <c r="B155" s="109"/>
      <c r="C155" s="108">
        <f ca="1">'normal case'!AN156-'normal case'!AN155+IF(controls!$B$33=1,(1+(('main page'!$K$35/100)))*C154,'public finance'!C154)</f>
        <v>20</v>
      </c>
      <c r="D155" s="109">
        <f ca="1">IF(ABS(((A155-C155)/'normal case'!D156)-D154)&lt;0.0000001,D154,(A155-C155)/'normal case'!D156)</f>
        <v>1.9802129779314939E-3</v>
      </c>
      <c r="E155" s="109">
        <f ca="1">IF(ABS(D155-(G155*('normal case'!T156/100))/'normal case'!D156-E154)&lt;0.00001,E154,D155-(G155*('normal case'!T156/100))/'normal case'!D156)</f>
        <v>0.34412022402143894</v>
      </c>
      <c r="F155" s="110">
        <f ca="1">F154*(1+'normal case'!L155/100)</f>
        <v>20.290028305346883</v>
      </c>
      <c r="G155" s="108">
        <f ca="1">C155-A155+G154*(1+'normal case'!T155/100)</f>
        <v>-987.31832657231928</v>
      </c>
      <c r="H155" s="109">
        <f ca="1">IF(ABS(G155/'normal case'!D156-H154)&lt;0.0000001,H154,G155/'normal case'!D156)</f>
        <v>-9.7754289701946373</v>
      </c>
    </row>
    <row r="156" spans="1:8">
      <c r="A156" s="108">
        <f ca="1">('main page'!$U$31/100)*'normal case'!D157</f>
        <v>20.200000011920931</v>
      </c>
      <c r="B156" s="109"/>
      <c r="C156" s="108">
        <f ca="1">'normal case'!AN157-'normal case'!AN156+IF(controls!$B$33=1,(1+(('main page'!$K$35/100)))*C155,'public finance'!C155)</f>
        <v>20</v>
      </c>
      <c r="D156" s="109">
        <f ca="1">IF(ABS(((A156-C156)/'normal case'!D157)-D155)&lt;0.0000001,D155,(A156-C156)/'normal case'!D157)</f>
        <v>1.9802129779314939E-3</v>
      </c>
      <c r="E156" s="109">
        <f ca="1">IF(ABS(D156-(G156*('normal case'!T157/100))/'normal case'!D157-E155)&lt;0.00001,E155,D156-(G156*('normal case'!T157/100))/'normal case'!D157)</f>
        <v>0.35616443124018909</v>
      </c>
      <c r="F156" s="110">
        <f ca="1">F155*(1+'normal case'!L156/100)</f>
        <v>20.695828847266224</v>
      </c>
      <c r="G156" s="108">
        <f ca="1">C156-A156+G155*(1+'normal case'!T156/100)</f>
        <v>-1022.0744677200275</v>
      </c>
      <c r="H156" s="109">
        <f ca="1">IF(ABS(G156/'normal case'!D157-H155)&lt;0.0000001,H155,G156/'normal case'!D157)</f>
        <v>-10.119549179374806</v>
      </c>
    </row>
    <row r="157" spans="1:8">
      <c r="A157" s="108">
        <f ca="1">('main page'!$U$31/100)*'normal case'!D158</f>
        <v>20.200000011920931</v>
      </c>
      <c r="B157" s="109"/>
      <c r="C157" s="108">
        <f ca="1">'normal case'!AN158-'normal case'!AN157+IF(controls!$B$33=1,(1+(('main page'!$K$35/100)))*C156,'public finance'!C156)</f>
        <v>20</v>
      </c>
      <c r="D157" s="109">
        <f ca="1">IF(ABS(((A157-C157)/'normal case'!D158)-D156)&lt;0.0000001,D156,(A157-C157)/'normal case'!D158)</f>
        <v>1.9802129779314939E-3</v>
      </c>
      <c r="E157" s="109">
        <f ca="1">IF(ABS(D157-(G157*('normal case'!T158/100))/'normal case'!D158-E156)&lt;0.00001,E156,D157-(G157*('normal case'!T158/100))/'normal case'!D158)</f>
        <v>0.36863018570800604</v>
      </c>
      <c r="F157" s="110">
        <f ca="1">F156*(1+'normal case'!L157/100)</f>
        <v>21.109745399540198</v>
      </c>
      <c r="G157" s="108">
        <f ca="1">C157-A157+G156*(1+'normal case'!T157/100)</f>
        <v>-1058.0470737975477</v>
      </c>
      <c r="H157" s="109">
        <f ca="1">IF(ABS(G157/'normal case'!D158-H156)&lt;0.0000001,H156,G157/'normal case'!D158)</f>
        <v>-10.475713595773728</v>
      </c>
    </row>
    <row r="158" spans="1:8">
      <c r="A158" s="108">
        <f ca="1">('main page'!$U$31/100)*'normal case'!D159</f>
        <v>20.200000011920931</v>
      </c>
      <c r="B158" s="109"/>
      <c r="C158" s="108">
        <f ca="1">'normal case'!AN159-'normal case'!AN158+IF(controls!$B$33=1,(1+(('main page'!$K$35/100)))*C157,'public finance'!C157)</f>
        <v>20</v>
      </c>
      <c r="D158" s="109">
        <f ca="1">IF(ABS(((A158-C158)/'normal case'!D159)-D157)&lt;0.0000001,D157,(A158-C158)/'normal case'!D159)</f>
        <v>1.9802129779314939E-3</v>
      </c>
      <c r="E158" s="109">
        <f ca="1">IF(ABS(D158-(G158*('normal case'!T159/100))/'normal case'!D159-E157)&lt;0.00001,E157,D158-(G158*('normal case'!T159/100))/'normal case'!D159)</f>
        <v>0.38153224157848153</v>
      </c>
      <c r="F158" s="110">
        <f ca="1">F157*(1+'normal case'!L158/100)</f>
        <v>21.531940282366225</v>
      </c>
      <c r="G158" s="108">
        <f ca="1">C158-A158+G157*(1+'normal case'!T158/100)</f>
        <v>-1095.2787210770603</v>
      </c>
      <c r="H158" s="109">
        <f ca="1">IF(ABS(G158/'normal case'!D159-H157)&lt;0.0000001,H157,G158/'normal case'!D159)</f>
        <v>-10.844343766640465</v>
      </c>
    </row>
    <row r="159" spans="1:8">
      <c r="A159" s="108">
        <f ca="1">('main page'!$U$31/100)*'normal case'!D160</f>
        <v>20.200000011920931</v>
      </c>
      <c r="B159" s="109"/>
      <c r="C159" s="108">
        <f ca="1">'normal case'!AN160-'normal case'!AN159+IF(controls!$B$33=1,(1+(('main page'!$K$35/100)))*C158,'public finance'!C158)</f>
        <v>20</v>
      </c>
      <c r="D159" s="109">
        <f ca="1">IF(ABS(((A159-C159)/'normal case'!D160)-D158)&lt;0.0000001,D158,(A159-C159)/'normal case'!D160)</f>
        <v>1.9802129779314939E-3</v>
      </c>
      <c r="E159" s="109">
        <f ca="1">IF(ABS(D159-(G159*('normal case'!T160/100))/'normal case'!D160-E158)&lt;0.00001,E158,D159-(G159*('normal case'!T160/100))/'normal case'!D160)</f>
        <v>0.39488586940057857</v>
      </c>
      <c r="F159" s="110">
        <f ca="1">F158*(1+'normal case'!L159/100)</f>
        <v>21.962579062345476</v>
      </c>
      <c r="G159" s="108">
        <f ca="1">C159-A159+G158*(1+'normal case'!T159/100)</f>
        <v>-1133.8134760002599</v>
      </c>
      <c r="H159" s="109">
        <f ca="1">IF(ABS(G159/'normal case'!D160-H158)&lt;0.0000001,H158,G159/'normal case'!D160)</f>
        <v>-11.225875993377679</v>
      </c>
    </row>
    <row r="160" spans="1:8">
      <c r="A160" s="108">
        <f ca="1">('main page'!$U$31/100)*'normal case'!D161</f>
        <v>20.200000011920931</v>
      </c>
      <c r="B160" s="109"/>
      <c r="C160" s="108">
        <f ca="1">'normal case'!AN161-'normal case'!AN160+IF(controls!$B$33=1,(1+(('main page'!$K$35/100)))*C159,'public finance'!C159)</f>
        <v>20</v>
      </c>
      <c r="D160" s="109">
        <f ca="1">IF(ABS(((A160-C160)/'normal case'!D161)-D159)&lt;0.0000001,D159,(A160-C160)/'normal case'!D161)</f>
        <v>1.9802129779314939E-3</v>
      </c>
      <c r="E160" s="109">
        <f ca="1">IF(ABS(D160-(G160*('normal case'!T161/100))/'normal case'!D161-E159)&lt;0.00001,E159,D160-(G160*('normal case'!T161/100))/'normal case'!D161)</f>
        <v>0.40870687419246921</v>
      </c>
      <c r="F160" s="110">
        <f ca="1">F159*(1+'normal case'!L160/100)</f>
        <v>22.401830617410951</v>
      </c>
      <c r="G160" s="108">
        <f ca="1">C160-A160+G159*(1+'normal case'!T160/100)</f>
        <v>-1173.6969473342872</v>
      </c>
      <c r="H160" s="109">
        <f ca="1">IF(ABS(G160/'normal case'!D161-H159)&lt;0.0000001,H159,G160/'normal case'!D161)</f>
        <v>-11.620761847936988</v>
      </c>
    </row>
    <row r="161" spans="1:8">
      <c r="A161" s="108">
        <f ca="1">('main page'!$U$31/100)*'normal case'!D162</f>
        <v>20.200000011920931</v>
      </c>
      <c r="B161" s="109"/>
      <c r="C161" s="108">
        <f ca="1">'normal case'!AN162-'normal case'!AN161+IF(controls!$B$33=1,(1+(('main page'!$K$35/100)))*C160,'public finance'!C160)</f>
        <v>20</v>
      </c>
      <c r="D161" s="109">
        <f ca="1">IF(ABS(((A161-C161)/'normal case'!D162)-D160)&lt;0.0000001,D160,(A161-C161)/'normal case'!D162)</f>
        <v>1.9802129779314939E-3</v>
      </c>
      <c r="E161" s="109">
        <f ca="1">IF(ABS(D161-(G161*('normal case'!T162/100))/'normal case'!D162-E160)&lt;0.00001,E160,D161-(G161*('normal case'!T162/100))/'normal case'!D162)</f>
        <v>0.42301161414795707</v>
      </c>
      <c r="F161" s="110">
        <f ca="1">F160*(1+'normal case'!L161/100)</f>
        <v>22.849867203054107</v>
      </c>
      <c r="G161" s="108">
        <f ca="1">C161-A161+G160*(1+'normal case'!T161/100)</f>
        <v>-1214.9763401531193</v>
      </c>
      <c r="H161" s="109">
        <f ca="1">IF(ABS(G161/'normal case'!D162-H160)&lt;0.0000001,H160,G161/'normal case'!D162)</f>
        <v>-12.029468707288189</v>
      </c>
    </row>
    <row r="162" spans="1:8">
      <c r="A162" s="108">
        <f ca="1">('main page'!$U$31/100)*'normal case'!D163</f>
        <v>20.200000011920931</v>
      </c>
      <c r="B162" s="109"/>
      <c r="C162" s="108">
        <f ca="1">'normal case'!AN163-'normal case'!AN162+IF(controls!$B$33=1,(1+(('main page'!$K$35/100)))*C161,'public finance'!C161)</f>
        <v>20</v>
      </c>
      <c r="D162" s="109">
        <f ca="1">IF(ABS(((A162-C162)/'normal case'!D163)-D161)&lt;0.0000001,D161,(A162-C162)/'normal case'!D163)</f>
        <v>1.9802129779314939E-3</v>
      </c>
      <c r="E162" s="109">
        <f ca="1">IF(ABS(D162-(G162*('normal case'!T163/100))/'normal case'!D163-E161)&lt;0.00001,E161,D162-(G162*('normal case'!T163/100))/'normal case'!D163)</f>
        <v>0.43781701999762396</v>
      </c>
      <c r="F162" s="110">
        <f ca="1">F161*(1+'normal case'!L162/100)</f>
        <v>23.306864519876026</v>
      </c>
      <c r="G162" s="108">
        <f ca="1">C162-A162+G161*(1+'normal case'!T162/100)</f>
        <v>-1257.7005117083083</v>
      </c>
      <c r="H162" s="109">
        <f ca="1">IF(ABS(G162/'normal case'!D163-H161)&lt;0.0000001,H161,G162/'normal case'!D163)</f>
        <v>-12.452480306594879</v>
      </c>
    </row>
    <row r="163" spans="1:8">
      <c r="A163" s="108">
        <f ca="1">('main page'!$U$31/100)*'normal case'!D164</f>
        <v>20.200000011920931</v>
      </c>
      <c r="B163" s="109"/>
      <c r="C163" s="108">
        <f ca="1">'normal case'!AN164-'normal case'!AN163+IF(controls!$B$33=1,(1+(('main page'!$K$35/100)))*C162,'public finance'!C162)</f>
        <v>20</v>
      </c>
      <c r="D163" s="109">
        <f ca="1">IF(ABS(((A163-C163)/'normal case'!D164)-D162)&lt;0.0000001,D162,(A163-C163)/'normal case'!D164)</f>
        <v>1.9802129779314939E-3</v>
      </c>
      <c r="E163" s="109">
        <f ca="1">IF(ABS(D163-(G163*('normal case'!T164/100))/'normal case'!D164-E162)&lt;0.00001,E162,D163-(G163*('normal case'!T164/100))/'normal case'!D164)</f>
        <v>0.45314061504761677</v>
      </c>
      <c r="F163" s="110">
        <f ca="1">F162*(1+'normal case'!L163/100)</f>
        <v>23.773001782489601</v>
      </c>
      <c r="G163" s="108">
        <f ca="1">C163-A163+G162*(1+'normal case'!T163/100)</f>
        <v>-1301.9200292551961</v>
      </c>
      <c r="H163" s="109">
        <f ca="1">IF(ABS(G163/'normal case'!D164-H162)&lt;0.0000001,H162,G163/'normal case'!D164)</f>
        <v>-12.890297311751233</v>
      </c>
    </row>
    <row r="164" spans="1:8">
      <c r="A164" s="108">
        <f ca="1">('main page'!$U$31/100)*'normal case'!D165</f>
        <v>20.200000011920931</v>
      </c>
      <c r="B164" s="109"/>
      <c r="C164" s="108">
        <f ca="1">'normal case'!AN165-'normal case'!AN164+IF(controls!$B$33=1,(1+(('main page'!$K$35/100)))*C163,'public finance'!C163)</f>
        <v>20</v>
      </c>
      <c r="D164" s="109">
        <f ca="1">IF(ABS(((A164-C164)/'normal case'!D165)-D163)&lt;0.0000001,D163,(A164-C164)/'normal case'!D165)</f>
        <v>1.9802129779314939E-3</v>
      </c>
      <c r="E164" s="109">
        <f ca="1">IF(ABS(D164-(G164*('normal case'!T165/100))/'normal case'!D165-E163)&lt;0.00001,E163,D164-(G164*('normal case'!T165/100))/'normal case'!D165)</f>
        <v>0.46900053591979246</v>
      </c>
      <c r="F164" s="110">
        <f ca="1">F163*(1+'normal case'!L164/100)</f>
        <v>24.248461789799766</v>
      </c>
      <c r="G164" s="108">
        <f ca="1">C164-A164+G163*(1+'normal case'!T164/100)</f>
        <v>-1347.6872299030465</v>
      </c>
      <c r="H164" s="109">
        <f ca="1">IF(ABS(G164/'normal case'!D165-H163)&lt;0.0000001,H163,G164/'normal case'!D165)</f>
        <v>-13.343437911957581</v>
      </c>
    </row>
    <row r="165" spans="1:8">
      <c r="A165" s="108">
        <f ca="1">('main page'!$U$31/100)*'normal case'!D166</f>
        <v>20.200000011920931</v>
      </c>
      <c r="B165" s="109"/>
      <c r="C165" s="108">
        <f ca="1">'normal case'!AN166-'normal case'!AN165+IF(controls!$B$33=1,(1+(('main page'!$K$35/100)))*C164,'public finance'!C164)</f>
        <v>20</v>
      </c>
      <c r="D165" s="109">
        <f ca="1">IF(ABS(((A165-C165)/'normal case'!D166)-D164)&lt;0.0000001,D164,(A165-C165)/'normal case'!D166)</f>
        <v>1.9802129779314939E-3</v>
      </c>
      <c r="E165" s="109">
        <f ca="1">IF(ABS(D165-(G165*('normal case'!T166/100))/'normal case'!D166-E164)&lt;0.00001,E164,D165-(G165*('normal case'!T166/100))/'normal case'!D166)</f>
        <v>0.48541555401776776</v>
      </c>
      <c r="F165" s="110">
        <f ca="1">F164*(1+'normal case'!L165/100)</f>
        <v>24.733430996689343</v>
      </c>
      <c r="G165" s="108">
        <f ca="1">C165-A165+G164*(1+'normal case'!T165/100)</f>
        <v>-1395.056282559932</v>
      </c>
      <c r="H165" s="109">
        <f ca="1">IF(ABS(G165/'normal case'!D166-H164)&lt;0.0000001,H164,G165/'normal case'!D166)</f>
        <v>-13.812438433036105</v>
      </c>
    </row>
    <row r="166" spans="1:8">
      <c r="A166" s="108">
        <f ca="1">('main page'!$U$31/100)*'normal case'!D167</f>
        <v>20.200000011920931</v>
      </c>
      <c r="B166" s="109"/>
      <c r="C166" s="108">
        <f ca="1">'normal case'!AN167-'normal case'!AN166+IF(controls!$B$33=1,(1+(('main page'!$K$35/100)))*C165,'public finance'!C165)</f>
        <v>20</v>
      </c>
      <c r="D166" s="109">
        <f ca="1">IF(ABS(((A166-C166)/'normal case'!D167)-D165)&lt;0.0000001,D165,(A166-C166)/'normal case'!D167)</f>
        <v>1.9802129779314939E-3</v>
      </c>
      <c r="E166" s="109">
        <f ca="1">IF(ABS(D166-(G166*('normal case'!T167/100))/'normal case'!D167-E165)&lt;0.00001,E165,D166-(G166*('normal case'!T167/100))/'normal case'!D167)</f>
        <v>0.50240509774428022</v>
      </c>
      <c r="F166" s="110">
        <f ca="1">F165*(1+'normal case'!L166/100)</f>
        <v>25.228099587138583</v>
      </c>
      <c r="G166" s="108">
        <f ca="1">C166-A166+G165*(1+'normal case'!T166/100)</f>
        <v>-1444.0832520456916</v>
      </c>
      <c r="H166" s="109">
        <f ca="1">IF(ABS(G166/'normal case'!D167-H165)&lt;0.0000001,H165,G166/'normal case'!D167)</f>
        <v>-14.297853972212604</v>
      </c>
    </row>
    <row r="167" spans="1:8">
      <c r="A167" s="108">
        <f ca="1">('main page'!$U$31/100)*'normal case'!D168</f>
        <v>20.200000011920931</v>
      </c>
      <c r="B167" s="109"/>
      <c r="C167" s="108">
        <f ca="1">'normal case'!AN168-'normal case'!AN167+IF(controls!$B$33=1,(1+(('main page'!$K$35/100)))*C166,'public finance'!C166)</f>
        <v>20</v>
      </c>
      <c r="D167" s="109">
        <f ca="1">IF(ABS(((A167-C167)/'normal case'!D168)-D166)&lt;0.0000001,D166,(A167-C167)/'normal case'!D168)</f>
        <v>1.9802129779314939E-3</v>
      </c>
      <c r="E167" s="109">
        <f ca="1">IF(ABS(D167-(G167*('normal case'!T168/100))/'normal case'!D168-E166)&lt;0.00001,E166,D167-(G167*('normal case'!T168/100))/'normal case'!D168)</f>
        <v>0.51998927549615725</v>
      </c>
      <c r="F167" s="110">
        <f ca="1">F166*(1+'normal case'!L167/100)</f>
        <v>25.732661548807119</v>
      </c>
      <c r="G167" s="108">
        <f ca="1">C167-A167+G166*(1+'normal case'!T167/100)</f>
        <v>-1494.8261654488415</v>
      </c>
      <c r="H167" s="109">
        <f ca="1">IF(ABS(G167/'normal case'!D168-H166)&lt;0.0000001,H166,G167/'normal case'!D168)</f>
        <v>-14.800259055115617</v>
      </c>
    </row>
    <row r="168" spans="1:8">
      <c r="A168" s="108">
        <f ca="1">('main page'!$U$31/100)*'normal case'!D169</f>
        <v>20.200000011920931</v>
      </c>
      <c r="B168" s="109"/>
      <c r="C168" s="108">
        <f ca="1">'normal case'!AN169-'normal case'!AN168+IF(controls!$B$33=1,(1+(('main page'!$K$35/100)))*C167,'public finance'!C167)</f>
        <v>20</v>
      </c>
      <c r="D168" s="109">
        <f ca="1">IF(ABS(((A168-C168)/'normal case'!D169)-D167)&lt;0.0000001,D167,(A168-C168)/'normal case'!D169)</f>
        <v>1.9802129779314939E-3</v>
      </c>
      <c r="E168" s="109">
        <f ca="1">IF(ABS(D168-(G168*('normal case'!T169/100))/'normal case'!D169-E167)&lt;0.00001,E167,D168-(G168*('normal case'!T169/100))/'normal case'!D169)</f>
        <v>0.53818889946410942</v>
      </c>
      <c r="F168" s="110">
        <f ca="1">F167*(1+'normal case'!L168/100)</f>
        <v>26.247314749107538</v>
      </c>
      <c r="G168" s="108">
        <f ca="1">C168-A168+G167*(1+'normal case'!T168/100)</f>
        <v>-1547.345080805979</v>
      </c>
      <c r="H168" s="109">
        <f ca="1">IF(ABS(G168/'normal case'!D169-H167)&lt;0.0000001,H167,G168/'normal case'!D169)</f>
        <v>-15.320248315770506</v>
      </c>
    </row>
    <row r="169" spans="1:8">
      <c r="A169" s="108">
        <f ca="1">('main page'!$U$31/100)*'normal case'!D170</f>
        <v>20.200000011920931</v>
      </c>
      <c r="B169" s="109"/>
      <c r="C169" s="108">
        <f ca="1">'normal case'!AN170-'normal case'!AN169+IF(controls!$B$33=1,(1+(('main page'!$K$35/100)))*C168,'public finance'!C168)</f>
        <v>20</v>
      </c>
      <c r="D169" s="109">
        <f ca="1">IF(ABS(((A169-C169)/'normal case'!D170)-D168)&lt;0.0000001,D168,(A169-C169)/'normal case'!D170)</f>
        <v>1.9802129779314939E-3</v>
      </c>
      <c r="E169" s="109">
        <f ca="1">IF(ABS(D169-(G169*('normal case'!T170/100))/'normal case'!D170-E168)&lt;0.00001,E168,D169-(G169*('normal case'!T170/100))/'normal case'!D170)</f>
        <v>0.55702551026551606</v>
      </c>
      <c r="F169" s="110">
        <f ca="1">F168*(1+'normal case'!L169/100)</f>
        <v>26.772261012800453</v>
      </c>
      <c r="G169" s="108">
        <f ca="1">C169-A169+G168*(1+'normal case'!T169/100)</f>
        <v>-1601.7021581849644</v>
      </c>
      <c r="H169" s="109">
        <f ca="1">IF(ABS(G169/'normal case'!D170-H168)&lt;0.0000001,H168,G169/'normal case'!D170)</f>
        <v>-15.858437200393347</v>
      </c>
    </row>
    <row r="170" spans="1:8">
      <c r="A170" s="108">
        <f ca="1">('main page'!$U$31/100)*'normal case'!D171</f>
        <v>20.200000011920931</v>
      </c>
      <c r="B170" s="109"/>
      <c r="C170" s="108">
        <f ca="1">'normal case'!AN171-'normal case'!AN170+IF(controls!$B$33=1,(1+(('main page'!$K$35/100)))*C169,'public finance'!C169)</f>
        <v>20</v>
      </c>
      <c r="D170" s="109">
        <f ca="1">IF(ABS(((A170-C170)/'normal case'!D171)-D169)&lt;0.0000001,D169,(A170-C170)/'normal case'!D171)</f>
        <v>1.9802129779314939E-3</v>
      </c>
      <c r="E170" s="109">
        <f ca="1">IF(ABS(D170-(G170*('normal case'!T171/100))/'normal case'!D171-E169)&lt;0.00001,E169,D170-(G170*('normal case'!T171/100))/'normal case'!D171)</f>
        <v>0.57652140243935812</v>
      </c>
      <c r="F170" s="110">
        <f ca="1">F169*(1+'normal case'!L170/100)</f>
        <v>27.307706201141439</v>
      </c>
      <c r="G170" s="108">
        <f ca="1">C170-A170+G169*(1+'normal case'!T170/100)</f>
        <v>-1657.9617332560147</v>
      </c>
      <c r="H170" s="109">
        <f ca="1">IF(ABS(G170/'normal case'!D171-H169)&lt;0.0000001,H169,G170/'normal case'!D171)</f>
        <v>-16.415462695817592</v>
      </c>
    </row>
    <row r="171" spans="1:8">
      <c r="A171" s="108">
        <f ca="1">('main page'!$U$31/100)*'normal case'!D172</f>
        <v>20.200000011920931</v>
      </c>
      <c r="B171" s="109"/>
      <c r="C171" s="108">
        <f ca="1">'normal case'!AN172-'normal case'!AN171+IF(controls!$B$33=1,(1+(('main page'!$K$35/100)))*C170,'public finance'!C170)</f>
        <v>20</v>
      </c>
      <c r="D171" s="109">
        <f ca="1">IF(ABS(((A171-C171)/'normal case'!D172)-D170)&lt;0.0000001,D170,(A171-C171)/'normal case'!D172)</f>
        <v>1.9802129779314939E-3</v>
      </c>
      <c r="E171" s="109">
        <f ca="1">IF(ABS(D171-(G171*('normal case'!T172/100))/'normal case'!D172-E170)&lt;0.00001,E170,D171-(G171*('normal case'!T172/100))/'normal case'!D172)</f>
        <v>0.59669965083347454</v>
      </c>
      <c r="F171" s="110">
        <f ca="1">F170*(1+'normal case'!L171/100)</f>
        <v>27.853860292610946</v>
      </c>
      <c r="G171" s="108">
        <f ca="1">C171-A171+G170*(1+'normal case'!T171/100)</f>
        <v>-1716.1903934377851</v>
      </c>
      <c r="H171" s="109">
        <f ca="1">IF(ABS(G171/'normal case'!D172-H170)&lt;0.0000001,H170,G171/'normal case'!D172)</f>
        <v>-16.991984083415684</v>
      </c>
    </row>
    <row r="172" spans="1:8">
      <c r="A172" s="108">
        <f ca="1">('main page'!$U$31/100)*'normal case'!D173</f>
        <v>20.200000011920931</v>
      </c>
      <c r="B172" s="109"/>
      <c r="C172" s="108">
        <f ca="1">'normal case'!AN173-'normal case'!AN172+IF(controls!$B$33=1,(1+(('main page'!$K$35/100)))*C171,'public finance'!C171)</f>
        <v>20</v>
      </c>
      <c r="D172" s="109">
        <f ca="1">IF(ABS(((A172-C172)/'normal case'!D173)-D171)&lt;0.0000001,D171,(A172-C172)/'normal case'!D173)</f>
        <v>1.9802129779314939E-3</v>
      </c>
      <c r="E172" s="109">
        <f ca="1">IF(ABS(D172-(G172*('normal case'!T173/100))/'normal case'!D173-E171)&lt;0.00001,E171,D172-(G172*('normal case'!T173/100))/'normal case'!D173)</f>
        <v>0.61758413791537148</v>
      </c>
      <c r="F172" s="110">
        <f ca="1">F171*(1+'normal case'!L172/100)</f>
        <v>28.410937465258776</v>
      </c>
      <c r="G172" s="108">
        <f ca="1">C172-A172+G171*(1+'normal case'!T172/100)</f>
        <v>-1776.4570567085641</v>
      </c>
      <c r="H172" s="109">
        <f ca="1">IF(ABS(G172/'normal case'!D173-H171)&lt;0.0000001,H171,G172/'normal case'!D173)</f>
        <v>-17.588683719407889</v>
      </c>
    </row>
    <row r="173" spans="1:8">
      <c r="A173" s="108">
        <f ca="1">('main page'!$U$31/100)*'normal case'!D174</f>
        <v>20.200000011920931</v>
      </c>
      <c r="B173" s="109"/>
      <c r="C173" s="108">
        <f ca="1">'normal case'!AN174-'normal case'!AN173+IF(controls!$B$33=1,(1+(('main page'!$K$35/100)))*C172,'public finance'!C172)</f>
        <v>20</v>
      </c>
      <c r="D173" s="109">
        <f ca="1">IF(ABS(((A173-C173)/'normal case'!D174)-D172)&lt;0.0000001,D172,(A173-C173)/'normal case'!D174)</f>
        <v>1.9802129779314939E-3</v>
      </c>
      <c r="E173" s="109">
        <f ca="1">IF(ABS(D173-(G173*('normal case'!T174/100))/'normal case'!D174-E172)&lt;0.00001,E172,D173-(G173*('normal case'!T174/100))/'normal case'!D174)</f>
        <v>0.63919958203891059</v>
      </c>
      <c r="F173" s="110">
        <f ca="1">F172*(1+'normal case'!L173/100)</f>
        <v>28.979156180695476</v>
      </c>
      <c r="G173" s="108">
        <f ca="1">C173-A173+G172*(1+'normal case'!T173/100)</f>
        <v>-1838.8330531758593</v>
      </c>
      <c r="H173" s="109">
        <f ca="1">IF(ABS(G173/'normal case'!D174-H172)&lt;0.0000001,H172,G173/'normal case'!D174)</f>
        <v>-18.206267842481992</v>
      </c>
    </row>
    <row r="174" spans="1:8">
      <c r="A174" s="108">
        <f ca="1">('main page'!$U$31/100)*'normal case'!D175</f>
        <v>20.200000011920931</v>
      </c>
      <c r="B174" s="109"/>
      <c r="C174" s="108">
        <f ca="1">'normal case'!AN175-'normal case'!AN174+IF(controls!$B$33=1,(1+(('main page'!$K$35/100)))*C173,'public finance'!C173)</f>
        <v>20</v>
      </c>
      <c r="D174" s="109">
        <f ca="1">IF(ABS(((A174-C174)/'normal case'!D175)-D173)&lt;0.0000001,D173,(A174-C174)/'normal case'!D175)</f>
        <v>1.9802129779314939E-3</v>
      </c>
      <c r="E174" s="109">
        <f ca="1">IF(ABS(D174-(G174*('normal case'!T175/100))/'normal case'!D175-E173)&lt;0.00001,E173,D174-(G174*('normal case'!T175/100))/'normal case'!D175)</f>
        <v>0.6615715667003319</v>
      </c>
      <c r="F174" s="110">
        <f ca="1">F173*(1+'normal case'!L174/100)</f>
        <v>29.558739269763542</v>
      </c>
      <c r="G174" s="108">
        <f ca="1">C174-A174+G173*(1+'normal case'!T174/100)</f>
        <v>-1903.3922095009204</v>
      </c>
      <c r="H174" s="109">
        <f ca="1">IF(ABS(G174/'normal case'!D175-H173)&lt;0.0000001,H173,G174/'normal case'!D175)</f>
        <v>-18.845467409679635</v>
      </c>
    </row>
    <row r="175" spans="1:8">
      <c r="A175" s="108">
        <f ca="1">('main page'!$U$31/100)*'normal case'!D176</f>
        <v>20.200000011920931</v>
      </c>
      <c r="B175" s="109"/>
      <c r="C175" s="108">
        <f ca="1">'normal case'!AN176-'normal case'!AN175+IF(controls!$B$33=1,(1+(('main page'!$K$35/100)))*C174,'public finance'!C174)</f>
        <v>20</v>
      </c>
      <c r="D175" s="109">
        <f ca="1">IF(ABS(((A175-C175)/'normal case'!D176)-D174)&lt;0.0000001,D174,(A175-C175)/'normal case'!D176)</f>
        <v>1.9802129779314939E-3</v>
      </c>
      <c r="E175" s="109">
        <f ca="1">IF(ABS(D175-(G175*('normal case'!T176/100))/'normal case'!D176-E174)&lt;0.00001,E174,D175-(G175*('normal case'!T176/100))/'normal case'!D176)</f>
        <v>0.68472657081823529</v>
      </c>
      <c r="F175" s="110">
        <f ca="1">F174*(1+'normal case'!L175/100)</f>
        <v>30.149914019922051</v>
      </c>
      <c r="G175" s="108">
        <f ca="1">C175-A175+G174*(1+'normal case'!T175/100)</f>
        <v>-1970.2109362781187</v>
      </c>
      <c r="H175" s="109">
        <f ca="1">IF(ABS(G175/'normal case'!D176-H174)&lt;0.0000001,H174,G175/'normal case'!D176)</f>
        <v>-19.507038961538697</v>
      </c>
    </row>
    <row r="176" spans="1:8">
      <c r="A176" s="108">
        <f ca="1">('main page'!$U$31/100)*'normal case'!D177</f>
        <v>20.200000011920931</v>
      </c>
      <c r="B176" s="109"/>
      <c r="C176" s="108">
        <f ca="1">'normal case'!AN177-'normal case'!AN176+IF(controls!$B$33=1,(1+(('main page'!$K$35/100)))*C175,'public finance'!C175)</f>
        <v>20</v>
      </c>
      <c r="D176" s="109">
        <f ca="1">IF(ABS(((A176-C176)/'normal case'!D177)-D175)&lt;0.0000001,D175,(A176-C176)/'normal case'!D177)</f>
        <v>1.9802129779314939E-3</v>
      </c>
      <c r="E176" s="109">
        <f ca="1">IF(ABS(D176-(G176*('normal case'!T177/100))/'normal case'!D177-E175)&lt;0.00001,E175,D176-(G176*('normal case'!T177/100))/'normal case'!D177)</f>
        <v>0.70869200007336475</v>
      </c>
      <c r="F176" s="110">
        <f ca="1">F175*(1+'normal case'!L176/100)</f>
        <v>30.752912264378995</v>
      </c>
      <c r="G176" s="108">
        <f ca="1">C176-A176+G175*(1+'normal case'!T176/100)</f>
        <v>-2039.3683184726051</v>
      </c>
      <c r="H176" s="109">
        <f ca="1">IF(ABS(G176/'normal case'!D177-H175)&lt;0.0000001,H175,G176/'normal case'!D177)</f>
        <v>-20.191765517515663</v>
      </c>
    </row>
    <row r="177" spans="1:8">
      <c r="A177" s="108">
        <f ca="1">('main page'!$U$31/100)*'normal case'!D178</f>
        <v>20.200000011920931</v>
      </c>
      <c r="B177" s="109"/>
      <c r="C177" s="108">
        <f ca="1">'normal case'!AN178-'normal case'!AN177+IF(controls!$B$33=1,(1+(('main page'!$K$35/100)))*C176,'public finance'!C176)</f>
        <v>20</v>
      </c>
      <c r="D177" s="109">
        <f ca="1">IF(ABS(((A177-C177)/'normal case'!D178)-D176)&lt;0.0000001,D176,(A177-C177)/'normal case'!D178)</f>
        <v>1.9802129779314939E-3</v>
      </c>
      <c r="E177" s="109">
        <f ca="1">IF(ABS(D177-(G177*('normal case'!T178/100))/'normal case'!D178-E176)&lt;0.00001,E176,D177-(G177*('normal case'!T178/100))/'normal case'!D178)</f>
        <v>0.73349621934528142</v>
      </c>
      <c r="F177" s="110">
        <f ca="1">F176*(1+'normal case'!L177/100)</f>
        <v>31.367970473006249</v>
      </c>
      <c r="G177" s="108">
        <f ca="1">C177-A177+G176*(1+'normal case'!T177/100)</f>
        <v>-2110.9462090232882</v>
      </c>
      <c r="H177" s="109">
        <f ca="1">IF(ABS(G177/'normal case'!D178-H176)&lt;0.0000001,H176,G177/'normal case'!D178)</f>
        <v>-20.900457502747763</v>
      </c>
    </row>
    <row r="178" spans="1:8">
      <c r="A178" s="108">
        <f ca="1">('main page'!$U$31/100)*'normal case'!D179</f>
        <v>20.200000011920931</v>
      </c>
      <c r="B178" s="109"/>
      <c r="C178" s="108">
        <f ca="1">'normal case'!AN179-'normal case'!AN178+IF(controls!$B$33=1,(1+(('main page'!$K$35/100)))*C177,'public finance'!C177)</f>
        <v>20</v>
      </c>
      <c r="D178" s="109">
        <f ca="1">IF(ABS(((A178-C178)/'normal case'!D179)-D177)&lt;0.0000001,D177,(A178-C178)/'normal case'!D179)</f>
        <v>1.9802129779314939E-3</v>
      </c>
      <c r="E178" s="109">
        <f ca="1">IF(ABS(D178-(G178*('normal case'!T179/100))/'normal case'!D179-E177)&lt;0.00001,E177,D178-(G178*('normal case'!T179/100))/'normal case'!D179)</f>
        <v>0.75916858628432293</v>
      </c>
      <c r="F178" s="110">
        <f ca="1">F177*(1+'normal case'!L178/100)</f>
        <v>31.995329845072842</v>
      </c>
      <c r="G178" s="108">
        <f ca="1">C178-A178+G177*(1+'normal case'!T178/100)</f>
        <v>-2185.0293257219132</v>
      </c>
      <c r="H178" s="109">
        <f ca="1">IF(ABS(G178/'normal case'!D179-H177)&lt;0.0000001,H177,G178/'normal case'!D179)</f>
        <v>-21.633953707251774</v>
      </c>
    </row>
    <row r="179" spans="1:8">
      <c r="A179" s="108">
        <f ca="1">('main page'!$U$31/100)*'normal case'!D180</f>
        <v>20.200000011920931</v>
      </c>
      <c r="B179" s="109"/>
      <c r="C179" s="108">
        <f ca="1">'normal case'!AN180-'normal case'!AN179+IF(controls!$B$33=1,(1+(('main page'!$K$35/100)))*C178,'public finance'!C178)</f>
        <v>20</v>
      </c>
      <c r="D179" s="109">
        <f ca="1">IF(ABS(((A179-C179)/'normal case'!D180)-D178)&lt;0.0000001,D178,(A179-C179)/'normal case'!D180)</f>
        <v>1.9802129779314939E-3</v>
      </c>
      <c r="E179" s="109">
        <f ca="1">IF(ABS(D179-(G179*('normal case'!T180/100))/'normal case'!D180-E178)&lt;0.00001,E178,D179-(G179*('normal case'!T180/100))/'normal case'!D180)</f>
        <v>0.78573948605858002</v>
      </c>
      <c r="F179" s="110">
        <f ca="1">F178*(1+'normal case'!L179/100)</f>
        <v>32.635236403832891</v>
      </c>
      <c r="G179" s="108">
        <f ca="1">C179-A179+G178*(1+'normal case'!T179/100)</f>
        <v>-2261.7053514829117</v>
      </c>
      <c r="H179" s="109">
        <f ca="1">IF(ABS(G179/'normal case'!D180-H178)&lt;0.0000001,H178,G179/'normal case'!D180)</f>
        <v>-22.393122278694829</v>
      </c>
    </row>
    <row r="180" spans="1:8">
      <c r="A180" s="108">
        <f ca="1">('main page'!$U$31/100)*'normal case'!D181</f>
        <v>20.200000011920931</v>
      </c>
      <c r="B180" s="109"/>
      <c r="C180" s="108">
        <f ca="1">'normal case'!AN181-'normal case'!AN180+IF(controls!$B$33=1,(1+(('main page'!$K$35/100)))*C179,'public finance'!C179)</f>
        <v>20</v>
      </c>
      <c r="D180" s="109">
        <f ca="1">IF(ABS(((A180-C180)/'normal case'!D181)-D179)&lt;0.0000001,D179,(A180-C180)/'normal case'!D181)</f>
        <v>1.9802129779314939E-3</v>
      </c>
      <c r="E180" s="109">
        <f ca="1">IF(ABS(D180-(G180*('normal case'!T181/100))/'normal case'!D181-E179)&lt;0.00001,E179,D180-(G180*('normal case'!T181/100))/'normal case'!D181)</f>
        <v>0.81324036731701721</v>
      </c>
      <c r="F180" s="110">
        <f ca="1">F179*(1+'normal case'!L180/100)</f>
        <v>33.287941093005315</v>
      </c>
      <c r="G180" s="108">
        <f ca="1">C180-A180+G179*(1+'normal case'!T180/100)</f>
        <v>-2341.0650381226937</v>
      </c>
      <c r="H180" s="109">
        <f ca="1">IF(ABS(G180/'normal case'!D181-H179)&lt;0.0000001,H179,G180/'normal case'!D181)</f>
        <v>-23.178861749912137</v>
      </c>
    </row>
    <row r="181" spans="1:8">
      <c r="A181" s="108">
        <f ca="1">('main page'!$U$31/100)*'normal case'!D182</f>
        <v>20.200000011920931</v>
      </c>
      <c r="B181" s="109"/>
      <c r="C181" s="108">
        <f ca="1">'normal case'!AN182-'normal case'!AN181+IF(controls!$B$33=1,(1+(('main page'!$K$35/100)))*C180,'public finance'!C180)</f>
        <v>20</v>
      </c>
      <c r="D181" s="109">
        <f ca="1">IF(ABS(((A181-C181)/'normal case'!D182)-D180)&lt;0.0000001,D180,(A181-C181)/'normal case'!D182)</f>
        <v>1.9802129779314939E-3</v>
      </c>
      <c r="E181" s="109">
        <f ca="1">IF(ABS(D181-(G181*('normal case'!T182/100))/'normal case'!D182-E180)&lt;0.00001,E180,D181-(G181*('normal case'!T182/100))/'normal case'!D182)</f>
        <v>0.84170377941130392</v>
      </c>
      <c r="F181" s="110">
        <f ca="1">F180*(1+'normal case'!L181/100)</f>
        <v>33.953699875183105</v>
      </c>
      <c r="G181" s="108">
        <f ca="1">C181-A181+G180*(1+'normal case'!T181/100)</f>
        <v>-2423.2023137712172</v>
      </c>
      <c r="H181" s="109">
        <f ca="1">IF(ABS(G181/'normal case'!D182-H180)&lt;0.0000001,H180,G181/'normal case'!D182)</f>
        <v>-23.992102102387886</v>
      </c>
    </row>
    <row r="182" spans="1:8">
      <c r="A182" s="108">
        <f ca="1">('main page'!$U$31/100)*'normal case'!D183</f>
        <v>20.200000011920931</v>
      </c>
      <c r="B182" s="109"/>
      <c r="C182" s="108">
        <f ca="1">'normal case'!AN183-'normal case'!AN182+IF(controls!$B$33=1,(1+(('main page'!$K$35/100)))*C181,'public finance'!C181)</f>
        <v>20</v>
      </c>
      <c r="D182" s="109">
        <f ca="1">IF(ABS(((A182-C182)/'normal case'!D183)-D181)&lt;0.0000001,D181,(A182-C182)/'normal case'!D183)</f>
        <v>1.9802129779314939E-3</v>
      </c>
      <c r="E182" s="109">
        <f ca="1">IF(ABS(D182-(G182*('normal case'!T183/100))/'normal case'!D183-E181)&lt;0.00001,E181,D182-(G182*('normal case'!T183/100))/'normal case'!D183)</f>
        <v>0.87116341092040794</v>
      </c>
      <c r="F182" s="110">
        <f ca="1">F181*(1+'normal case'!L182/100)</f>
        <v>34.632773832210802</v>
      </c>
      <c r="G182" s="108">
        <f ca="1">C182-A182+G181*(1+'normal case'!T182/100)</f>
        <v>-2508.2143940429601</v>
      </c>
      <c r="H182" s="109">
        <f ca="1">IF(ABS(G182/'normal case'!D183-H181)&lt;0.0000001,H181,G182/'normal case'!D183)</f>
        <v>-24.83380586695792</v>
      </c>
    </row>
    <row r="183" spans="1:8">
      <c r="A183" s="108">
        <f ca="1">('main page'!$U$31/100)*'normal case'!D184</f>
        <v>20.200000011920931</v>
      </c>
      <c r="B183" s="109"/>
      <c r="C183" s="108">
        <f ca="1">'normal case'!AN184-'normal case'!AN183+IF(controls!$B$33=1,(1+(('main page'!$K$35/100)))*C182,'public finance'!C182)</f>
        <v>20</v>
      </c>
      <c r="D183" s="109">
        <f ca="1">IF(ABS(((A183-C183)/'normal case'!D184)-D182)&lt;0.0000001,D182,(A183-C183)/'normal case'!D184)</f>
        <v>1.9802129779314939E-3</v>
      </c>
      <c r="E183" s="109">
        <f ca="1">IF(ABS(D183-(G183*('normal case'!T184/100))/'normal case'!D184-E182)&lt;0.00001,E182,D183-(G183*('normal case'!T184/100))/'normal case'!D184)</f>
        <v>0.90165412952355073</v>
      </c>
      <c r="F183" s="110">
        <f ca="1">F182*(1+'normal case'!L183/100)</f>
        <v>35.325429267569532</v>
      </c>
      <c r="G183" s="108">
        <f ca="1">C183-A183+G182*(1+'normal case'!T183/100)</f>
        <v>-2596.2018970988784</v>
      </c>
      <c r="H183" s="109">
        <f ca="1">IF(ABS(G183/'normal case'!D184-H182)&lt;0.0000001,H182,G183/'normal case'!D184)</f>
        <v>-25.704969263037057</v>
      </c>
    </row>
    <row r="184" spans="1:8">
      <c r="A184" s="108">
        <f ca="1">('main page'!$U$31/100)*'normal case'!D185</f>
        <v>20.200000011920931</v>
      </c>
      <c r="B184" s="109"/>
      <c r="C184" s="108">
        <f ca="1">'normal case'!AN185-'normal case'!AN184+IF(controls!$B$33=1,(1+(('main page'!$K$35/100)))*C183,'public finance'!C183)</f>
        <v>20</v>
      </c>
      <c r="D184" s="109">
        <f ca="1">IF(ABS(((A184-C184)/'normal case'!D185)-D183)&lt;0.0000001,D183,(A184-C184)/'normal case'!D185)</f>
        <v>1.9802129779314939E-3</v>
      </c>
      <c r="E184" s="109">
        <f ca="1">IF(ABS(D184-(G184*('normal case'!T185/100))/'normal case'!D185-E183)&lt;0.00001,E183,D184-(G184*('normal case'!T185/100))/'normal case'!D185)</f>
        <v>0.93321202326871677</v>
      </c>
      <c r="F184" s="110">
        <f ca="1">F183*(1+'normal case'!L184/100)</f>
        <v>36.03193781080973</v>
      </c>
      <c r="G184" s="108">
        <f ca="1">C184-A184+G183*(1+'normal case'!T184/100)</f>
        <v>-2687.2689627355317</v>
      </c>
      <c r="H184" s="109">
        <f ca="1">IF(ABS(G184/'normal case'!D185-H183)&lt;0.0000001,H183,G184/'normal case'!D185)</f>
        <v>-26.606623377719341</v>
      </c>
    </row>
    <row r="185" spans="1:8">
      <c r="A185" s="108">
        <f ca="1">('main page'!$U$31/100)*'normal case'!D186</f>
        <v>20.200000011920931</v>
      </c>
      <c r="B185" s="109"/>
      <c r="C185" s="108">
        <f ca="1">'normal case'!AN186-'normal case'!AN185+IF(controls!$B$33=1,(1+(('main page'!$K$35/100)))*C184,'public finance'!C184)</f>
        <v>20</v>
      </c>
      <c r="D185" s="109">
        <f ca="1">IF(ABS(((A185-C185)/'normal case'!D186)-D184)&lt;0.0000001,D184,(A185-C185)/'normal case'!D186)</f>
        <v>1.9802129779314939E-3</v>
      </c>
      <c r="E185" s="109">
        <f ca="1">IF(ABS(D185-(G185*('normal case'!T186/100))/'normal case'!D186-E184)&lt;0.00001,E184,D185-(G185*('normal case'!T186/100))/'normal case'!D186)</f>
        <v>0.9658744432855586</v>
      </c>
      <c r="F185" s="110">
        <f ca="1">F184*(1+'normal case'!L185/100)</f>
        <v>36.752576524072509</v>
      </c>
      <c r="G185" s="108">
        <f ca="1">C185-A185+G184*(1+'normal case'!T185/100)</f>
        <v>-2781.5233756423277</v>
      </c>
      <c r="H185" s="109">
        <f ca="1">IF(ABS(G185/'normal case'!D186-H184)&lt;0.0000001,H184,G185/'normal case'!D186)</f>
        <v>-27.539835386146787</v>
      </c>
    </row>
    <row r="186" spans="1:8">
      <c r="A186" s="108">
        <f ca="1">('main page'!$U$31/100)*'normal case'!D187</f>
        <v>20.200000011920931</v>
      </c>
      <c r="B186" s="109"/>
      <c r="C186" s="108">
        <f ca="1">'normal case'!AN187-'normal case'!AN186+IF(controls!$B$33=1,(1+(('main page'!$K$35/100)))*C185,'public finance'!C185)</f>
        <v>20</v>
      </c>
      <c r="D186" s="109">
        <f ca="1">IF(ABS(((A186-C186)/'normal case'!D187)-D185)&lt;0.0000001,D185,(A186-C186)/'normal case'!D187)</f>
        <v>1.9802129779314939E-3</v>
      </c>
      <c r="E186" s="109">
        <f ca="1">IF(ABS(D186-(G186*('normal case'!T187/100))/'normal case'!D187-E185)&lt;0.00001,E185,D186-(G186*('normal case'!T187/100))/'normal case'!D187)</f>
        <v>0.99968004799325583</v>
      </c>
      <c r="F186" s="110">
        <f ca="1">F185*(1+'normal case'!L186/100)</f>
        <v>37.487628010741474</v>
      </c>
      <c r="G186" s="108">
        <f ca="1">C186-A186+G185*(1+'normal case'!T186/100)</f>
        <v>-2879.0766929727715</v>
      </c>
      <c r="H186" s="109">
        <f ca="1">IF(ABS(G186/'normal case'!D187-H185)&lt;0.0000001,H185,G186/'normal case'!D187)</f>
        <v>-28.505709814591079</v>
      </c>
    </row>
    <row r="187" spans="1:8">
      <c r="A187" s="108">
        <f ca="1">('main page'!$U$31/100)*'normal case'!D188</f>
        <v>20.200000011920931</v>
      </c>
      <c r="B187" s="109"/>
      <c r="C187" s="108">
        <f ca="1">'normal case'!AN188-'normal case'!AN187+IF(controls!$B$33=1,(1+(('main page'!$K$35/100)))*C186,'public finance'!C186)</f>
        <v>20</v>
      </c>
      <c r="D187" s="109">
        <f ca="1">IF(ABS(((A187-C187)/'normal case'!D188)-D186)&lt;0.0000001,D186,(A187-C187)/'normal case'!D188)</f>
        <v>1.9802129779314939E-3</v>
      </c>
      <c r="E187" s="109">
        <f ca="1">IF(ABS(D187-(G187*('normal case'!T188/100))/'normal case'!D188-E186)&lt;0.00001,E186,D187-(G187*('normal case'!T188/100))/'normal case'!D188)</f>
        <v>1.0346688488556472</v>
      </c>
      <c r="F187" s="110">
        <f ca="1">F186*(1+'normal case'!L187/100)</f>
        <v>38.237380526267572</v>
      </c>
      <c r="G187" s="108">
        <f ca="1">C187-A187+G186*(1+'normal case'!T187/100)</f>
        <v>-2980.0443763807079</v>
      </c>
      <c r="H187" s="109">
        <f ca="1">IF(ABS(G187/'normal case'!D188-H186)&lt;0.0000001,H186,G187/'normal case'!D188)</f>
        <v>-29.505389847743064</v>
      </c>
    </row>
    <row r="188" spans="1:8">
      <c r="A188" s="108">
        <f ca="1">('main page'!$U$31/100)*'normal case'!D189</f>
        <v>20.200000011920931</v>
      </c>
      <c r="B188" s="109"/>
      <c r="C188" s="108">
        <f ca="1">'normal case'!AN189-'normal case'!AN188+IF(controls!$B$33=1,(1+(('main page'!$K$35/100)))*C187,'public finance'!C187)</f>
        <v>20</v>
      </c>
      <c r="D188" s="109">
        <f ca="1">IF(ABS(((A188-C188)/'normal case'!D189)-D187)&lt;0.0000001,D187,(A188-C188)/'normal case'!D189)</f>
        <v>1.9802129779314939E-3</v>
      </c>
      <c r="E188" s="109">
        <f ca="1">IF(ABS(D188-(G188*('normal case'!T189/100))/'normal case'!D189-E187)&lt;0.00001,E187,D188-(G188*('normal case'!T189/100))/'normal case'!D189)</f>
        <v>1.0708822577377954</v>
      </c>
      <c r="F188" s="110">
        <f ca="1">F187*(1+'normal case'!L188/100)</f>
        <v>39.002128091210416</v>
      </c>
      <c r="G188" s="108">
        <f ca="1">C188-A188+G187*(1+'normal case'!T188/100)</f>
        <v>-3084.5459286778314</v>
      </c>
      <c r="H188" s="109">
        <f ca="1">IF(ABS(G188/'normal case'!D189-H187)&lt;0.0000001,H187,G188/'normal case'!D189)</f>
        <v>-30.540058681757447</v>
      </c>
    </row>
    <row r="189" spans="1:8">
      <c r="A189" s="108">
        <f ca="1">('main page'!$U$31/100)*'normal case'!D190</f>
        <v>20.200000011920931</v>
      </c>
      <c r="B189" s="109"/>
      <c r="C189" s="108">
        <f ca="1">'normal case'!AN190-'normal case'!AN189+IF(controls!$B$33=1,(1+(('main page'!$K$35/100)))*C188,'public finance'!C188)</f>
        <v>20</v>
      </c>
      <c r="D189" s="109">
        <f ca="1">IF(ABS(((A189-C189)/'normal case'!D190)-D188)&lt;0.0000001,D188,(A189-C189)/'normal case'!D190)</f>
        <v>1.9802129779314939E-3</v>
      </c>
      <c r="E189" s="109">
        <f ca="1">IF(ABS(D189-(G189*('normal case'!T190/100))/'normal case'!D190-E188)&lt;0.00001,E188,D189-(G189*('normal case'!T190/100))/'normal case'!D190)</f>
        <v>1.1083631359200261</v>
      </c>
      <c r="F189" s="110">
        <f ca="1">F188*(1+'normal case'!L189/100)</f>
        <v>39.782170606540468</v>
      </c>
      <c r="G189" s="108">
        <f ca="1">C189-A189+G188*(1+'normal case'!T189/100)</f>
        <v>-3192.7050352742103</v>
      </c>
      <c r="H189" s="109">
        <f ca="1">IF(ABS(G189/'normal case'!D190-H188)&lt;0.0000001,H188,G189/'normal case'!D190)</f>
        <v>-31.610940924653974</v>
      </c>
    </row>
    <row r="190" spans="1:8">
      <c r="A190" s="108">
        <f ca="1">('main page'!$U$31/100)*'normal case'!D191</f>
        <v>20.200000011920931</v>
      </c>
      <c r="B190" s="109"/>
      <c r="C190" s="108">
        <f ca="1">'normal case'!AN191-'normal case'!AN190+IF(controls!$B$33=1,(1+(('main page'!$K$35/100)))*C189,'public finance'!C189)</f>
        <v>20</v>
      </c>
      <c r="D190" s="109">
        <f ca="1">IF(ABS(((A190-C190)/'normal case'!D191)-D189)&lt;0.0000001,D189,(A190-C190)/'normal case'!D191)</f>
        <v>1.9802129779314939E-3</v>
      </c>
      <c r="E190" s="109">
        <f ca="1">IF(ABS(D190-(G190*('normal case'!T191/100))/'normal case'!D191-E189)&lt;0.00001,E189,D190-(G190*('normal case'!T191/100))/'normal case'!D191)</f>
        <v>1.1471558448274646</v>
      </c>
      <c r="F190" s="110">
        <f ca="1">F189*(1+'normal case'!L190/100)</f>
        <v>40.577813971247238</v>
      </c>
      <c r="G190" s="108">
        <f ca="1">C190-A190+G189*(1+'normal case'!T190/100)</f>
        <v>-3304.6497105692283</v>
      </c>
      <c r="H190" s="109">
        <f ca="1">IF(ABS(G190/'normal case'!D191-H189)&lt;0.0000001,H189,G190/'normal case'!D191)</f>
        <v>-32.719304045732734</v>
      </c>
    </row>
    <row r="191" spans="1:8">
      <c r="A191" s="108">
        <f ca="1">('main page'!$U$31/100)*'normal case'!D192</f>
        <v>20.200000011920931</v>
      </c>
      <c r="B191" s="109"/>
      <c r="C191" s="108">
        <f ca="1">'normal case'!AN192-'normal case'!AN191+IF(controls!$B$33=1,(1+(('main page'!$K$35/100)))*C190,'public finance'!C190)</f>
        <v>20</v>
      </c>
      <c r="D191" s="109">
        <f ca="1">IF(ABS(((A191-C191)/'normal case'!D192)-D190)&lt;0.0000001,D190,(A191-C191)/'normal case'!D192)</f>
        <v>1.9802129779314939E-3</v>
      </c>
      <c r="E191" s="109">
        <f ca="1">IF(ABS(D191-(G191*('normal case'!T192/100))/'normal case'!D192-E190)&lt;0.00001,E190,D191-(G191*('normal case'!T192/100))/'normal case'!D192)</f>
        <v>1.1873062985351024</v>
      </c>
      <c r="F191" s="110">
        <f ca="1">F190*(1+'normal case'!L191/100)</f>
        <v>41.389370202299659</v>
      </c>
      <c r="G191" s="108">
        <f ca="1">C191-A191+G190*(1+'normal case'!T191/100)</f>
        <v>-3420.51244946621</v>
      </c>
      <c r="H191" s="109">
        <f ca="1">IF(ABS(G191/'normal case'!D192-H190)&lt;0.0000001,H190,G191/'normal case'!D192)</f>
        <v>-33.866459875718931</v>
      </c>
    </row>
    <row r="192" spans="1:8">
      <c r="A192" s="108">
        <f ca="1">('main page'!$U$31/100)*'normal case'!D193</f>
        <v>20.200000011920931</v>
      </c>
      <c r="B192" s="109"/>
      <c r="C192" s="108">
        <f ca="1">'normal case'!AN193-'normal case'!AN192+IF(controls!$B$33=1,(1+(('main page'!$K$35/100)))*C191,'public finance'!C191)</f>
        <v>20</v>
      </c>
      <c r="D192" s="109">
        <f ca="1">IF(ABS(((A192-C192)/'normal case'!D193)-D191)&lt;0.0000001,D191,(A192-C192)/'normal case'!D193)</f>
        <v>1.9802129779314939E-3</v>
      </c>
      <c r="E192" s="109">
        <f ca="1">IF(ABS(D192-(G192*('normal case'!T193/100))/'normal case'!D193-E191)&lt;0.00001,E191,D192-(G192*('normal case'!T193/100))/'normal case'!D193)</f>
        <v>1.2288620181105416</v>
      </c>
      <c r="F192" s="110">
        <f ca="1">F191*(1+'normal case'!L192/100)</f>
        <v>42.217157557005677</v>
      </c>
      <c r="G192" s="108">
        <f ca="1">C192-A192+G191*(1+'normal case'!T192/100)</f>
        <v>-3540.430384190056</v>
      </c>
      <c r="H192" s="109">
        <f ca="1">IF(ABS(G192/'normal case'!D193-H191)&lt;0.0000001,H191,G192/'normal case'!D193)</f>
        <v>-35.05376615941276</v>
      </c>
    </row>
    <row r="193" spans="1:8">
      <c r="A193" s="108">
        <f ca="1">('main page'!$U$31/100)*'normal case'!D194</f>
        <v>20.200000011920931</v>
      </c>
      <c r="B193" s="109"/>
      <c r="C193" s="108">
        <f ca="1">'normal case'!AN194-'normal case'!AN193+IF(controls!$B$33=1,(1+(('main page'!$K$35/100)))*C192,'public finance'!C192)</f>
        <v>20</v>
      </c>
      <c r="D193" s="109">
        <f ca="1">IF(ABS(((A193-C193)/'normal case'!D194)-D192)&lt;0.0000001,D192,(A193-C193)/'normal case'!D194)</f>
        <v>1.9802129779314939E-3</v>
      </c>
      <c r="E193" s="109">
        <f ca="1">IF(ABS(D193-(G193*('normal case'!T194/100))/'normal case'!D194-E192)&lt;0.00001,E192,D193-(G193*('normal case'!T194/100))/'normal case'!D194)</f>
        <v>1.2718721878587367</v>
      </c>
      <c r="F193" s="110">
        <f ca="1">F192*(1+'normal case'!L193/100)</f>
        <v>43.061500657819018</v>
      </c>
      <c r="G193" s="108">
        <f ca="1">C193-A193+G192*(1+'normal case'!T193/100)</f>
        <v>-3664.5454465934986</v>
      </c>
      <c r="H193" s="109">
        <f ca="1">IF(ABS(G193/'normal case'!D194-H192)&lt;0.0000001,H192,G193/'normal case'!D194)</f>
        <v>-36.28262816268203</v>
      </c>
    </row>
    <row r="194" spans="1:8">
      <c r="A194" s="108">
        <f ca="1">('main page'!$U$31/100)*'normal case'!D195</f>
        <v>20.200000011920931</v>
      </c>
      <c r="B194" s="109"/>
      <c r="C194" s="108">
        <f ca="1">'normal case'!AN195-'normal case'!AN194+IF(controls!$B$33=1,(1+(('main page'!$K$35/100)))*C193,'public finance'!C193)</f>
        <v>20</v>
      </c>
      <c r="D194" s="109">
        <f ca="1">IF(ABS(((A194-C194)/'normal case'!D195)-D193)&lt;0.0000001,D193,(A194-C194)/'normal case'!D195)</f>
        <v>1.9802129779314939E-3</v>
      </c>
      <c r="E194" s="109">
        <f ca="1">IF(ABS(D194-(G194*('normal case'!T195/100))/'normal case'!D195-E193)&lt;0.00001,E193,D194-(G194*('normal case'!T195/100))/'normal case'!D195)</f>
        <v>1.316387713535301</v>
      </c>
      <c r="F194" s="110">
        <f ca="1">F193*(1+'normal case'!L194/100)</f>
        <v>43.922730619642088</v>
      </c>
      <c r="G194" s="108">
        <f ca="1">C194-A194+G193*(1+'normal case'!T194/100)</f>
        <v>-3793.0045361440725</v>
      </c>
      <c r="H194" s="109">
        <f ca="1">IF(ABS(G194/'normal case'!D195-H193)&lt;0.0000001,H193,G194/'normal case'!D195)</f>
        <v>-37.554500335699501</v>
      </c>
    </row>
    <row r="195" spans="1:8">
      <c r="A195" s="108">
        <f ca="1">('main page'!$U$31/100)*'normal case'!D196</f>
        <v>20.200000011920931</v>
      </c>
      <c r="B195" s="109"/>
      <c r="C195" s="108">
        <f ca="1">'normal case'!AN196-'normal case'!AN195+IF(controls!$B$33=1,(1+(('main page'!$K$35/100)))*C194,'public finance'!C194)</f>
        <v>20</v>
      </c>
      <c r="D195" s="109">
        <f ca="1">IF(ABS(((A195-C195)/'normal case'!D196)-D194)&lt;0.0000001,D194,(A195-C195)/'normal case'!D196)</f>
        <v>1.9802129779314939E-3</v>
      </c>
      <c r="E195" s="109">
        <f ca="1">IF(ABS(D195-(G195*('normal case'!T196/100))/'normal case'!D196-E194)&lt;0.00001,E194,D195-(G195*('normal case'!T196/100))/'normal case'!D196)</f>
        <v>1.3624612825972779</v>
      </c>
      <c r="F195" s="110">
        <f ca="1">F194*(1+'normal case'!L195/100)</f>
        <v>44.80118517967496</v>
      </c>
      <c r="G195" s="108">
        <f ca="1">C195-A195+G194*(1+'normal case'!T195/100)</f>
        <v>-3925.9596937906326</v>
      </c>
      <c r="H195" s="109">
        <f ca="1">IF(ABS(G195/'normal case'!D196-H194)&lt;0.0000001,H194,G195/'normal case'!D196)</f>
        <v>-38.870888034393538</v>
      </c>
    </row>
    <row r="196" spans="1:8">
      <c r="A196" s="108">
        <f ca="1">('main page'!$U$31/100)*'normal case'!D197</f>
        <v>20.200000011920931</v>
      </c>
      <c r="B196" s="109"/>
      <c r="C196" s="108">
        <f ca="1">'normal case'!AN197-'normal case'!AN196+IF(controls!$B$33=1,(1+(('main page'!$K$35/100)))*C195,'public finance'!C195)</f>
        <v>20</v>
      </c>
      <c r="D196" s="109">
        <f ca="1">IF(ABS(((A196-C196)/'normal case'!D197)-D195)&lt;0.0000001,D195,(A196-C196)/'normal case'!D197)</f>
        <v>1.9802129779314939E-3</v>
      </c>
      <c r="E196" s="109">
        <f ca="1">IF(ABS(D196-(G196*('normal case'!T197/100))/'normal case'!D197-E195)&lt;0.00001,E195,D196-(G196*('normal case'!T197/100))/'normal case'!D197)</f>
        <v>1.4101474265626932</v>
      </c>
      <c r="F196" s="110">
        <f ca="1">F195*(1+'normal case'!L196/100)</f>
        <v>45.697208829861289</v>
      </c>
      <c r="G196" s="108">
        <f ca="1">C196-A196+G195*(1+'normal case'!T196/100)</f>
        <v>-4063.5682819151984</v>
      </c>
      <c r="H196" s="109">
        <f ca="1">IF(ABS(G196/'normal case'!D197-H195)&lt;0.0000001,H195,G196/'normal case'!D197)</f>
        <v>-40.233349302149541</v>
      </c>
    </row>
    <row r="197" spans="1:8">
      <c r="A197" s="108">
        <f ca="1">('main page'!$U$31/100)*'normal case'!D198</f>
        <v>20.200000011920931</v>
      </c>
      <c r="B197" s="109"/>
      <c r="C197" s="108">
        <f ca="1">'normal case'!AN198-'normal case'!AN197+IF(controls!$B$33=1,(1+(('main page'!$K$35/100)))*C196,'public finance'!C196)</f>
        <v>20</v>
      </c>
      <c r="D197" s="109">
        <f ca="1">IF(ABS(((A197-C197)/'normal case'!D198)-D196)&lt;0.0000001,D196,(A197-C197)/'normal case'!D198)</f>
        <v>1.9802129779314939E-3</v>
      </c>
      <c r="E197" s="109">
        <f ca="1">IF(ABS(D197-(G197*('normal case'!T198/100))/'normal case'!D198-E196)&lt;0.00001,E196,D197-(G197*('normal case'!T198/100))/'normal case'!D198)</f>
        <v>1.4595025855526862</v>
      </c>
      <c r="F197" s="110">
        <f ca="1">F196*(1+'normal case'!L197/100)</f>
        <v>46.6111529519832</v>
      </c>
      <c r="G197" s="108">
        <f ca="1">C197-A197+G196*(1+'normal case'!T197/100)</f>
        <v>-4205.9931705831132</v>
      </c>
      <c r="H197" s="109">
        <f ca="1">IF(ABS(G197/'normal case'!D198-H196)&lt;0.0000001,H196,G197/'normal case'!D198)</f>
        <v>-41.643496713870967</v>
      </c>
    </row>
    <row r="198" spans="1:8">
      <c r="A198" s="108">
        <f ca="1">('main page'!$U$31/100)*'normal case'!D199</f>
        <v>20.200000011920931</v>
      </c>
      <c r="B198" s="109"/>
      <c r="C198" s="108">
        <f ca="1">'normal case'!AN199-'normal case'!AN198+IF(controls!$B$33=1,(1+(('main page'!$K$35/100)))*C197,'public finance'!C197)</f>
        <v>20</v>
      </c>
      <c r="D198" s="109">
        <f ca="1">IF(ABS(((A198-C198)/'normal case'!D199)-D197)&lt;0.0000001,D197,(A198-C198)/'normal case'!D199)</f>
        <v>1.9802129779314939E-3</v>
      </c>
      <c r="E198" s="109">
        <f ca="1">IF(ABS(D198-(G198*('normal case'!T199/100))/'normal case'!D199-E197)&lt;0.00001,E197,D198-(G198*('normal case'!T199/100))/'normal case'!D199)</f>
        <v>1.5105851750926196</v>
      </c>
      <c r="F198" s="110">
        <f ca="1">F197*(1+'normal case'!L198/100)</f>
        <v>47.543375955458039</v>
      </c>
      <c r="G198" s="108">
        <f ca="1">C198-A198+G197*(1+'normal case'!T198/100)</f>
        <v>-4353.4029303119587</v>
      </c>
      <c r="H198" s="109">
        <f ca="1">IF(ABS(G198/'normal case'!D199-H197)&lt;0.0000001,H197,G198/'normal case'!D199)</f>
        <v>-43.102999284582374</v>
      </c>
    </row>
    <row r="199" spans="1:8">
      <c r="A199" s="108">
        <f ca="1">('main page'!$U$31/100)*'normal case'!D200</f>
        <v>20.200000011920931</v>
      </c>
      <c r="B199" s="109"/>
      <c r="C199" s="108">
        <f ca="1">'normal case'!AN200-'normal case'!AN199+IF(controls!$B$33=1,(1+(('main page'!$K$35/100)))*C198,'public finance'!C198)</f>
        <v>20</v>
      </c>
      <c r="D199" s="109">
        <f ca="1">IF(ABS(((A199-C199)/'normal case'!D200)-D198)&lt;0.0000001,D198,(A199-C199)/'normal case'!D200)</f>
        <v>1.9802129779314939E-3</v>
      </c>
      <c r="E199" s="109">
        <f ca="1">IF(ABS(D199-(G199*('normal case'!T200/100))/'normal case'!D200-E198)&lt;0.00001,E198,D199-(G199*('normal case'!T200/100))/'normal case'!D200)</f>
        <v>1.5634556552512275</v>
      </c>
      <c r="F199" s="110">
        <f ca="1">F198*(1+'normal case'!L199/100)</f>
        <v>48.494243417891084</v>
      </c>
      <c r="G199" s="108">
        <f ca="1">C199-A199+G198*(1+'normal case'!T199/100)</f>
        <v>-4505.9720315873828</v>
      </c>
      <c r="H199" s="109">
        <f ca="1">IF(ABS(G199/'normal case'!D200-H198)&lt;0.0000001,H198,G199/'normal case'!D200)</f>
        <v>-44.61358444483372</v>
      </c>
    </row>
    <row r="200" spans="1:8">
      <c r="A200" s="108">
        <f ca="1">('main page'!$U$31/100)*'normal case'!D201</f>
        <v>20.200000011920931</v>
      </c>
      <c r="B200" s="109"/>
      <c r="C200" s="108">
        <f ca="1">'normal case'!AN201-'normal case'!AN200+IF(controls!$B$33=1,(1+(('main page'!$K$35/100)))*C199,'public finance'!C199)</f>
        <v>20</v>
      </c>
      <c r="D200" s="109">
        <f ca="1">IF(ABS(((A200-C200)/'normal case'!D201)-D199)&lt;0.0000001,D199,(A200-C200)/'normal case'!D201)</f>
        <v>1.9802129779314939E-3</v>
      </c>
      <c r="E200" s="109">
        <f ca="1">IF(ABS(D200-(G200*('normal case'!T201/100))/'normal case'!D201-E199)&lt;0.00001,E199,D200-(G200*('normal case'!T201/100))/'normal case'!D201)</f>
        <v>1.6181766021996298</v>
      </c>
      <c r="F200" s="110">
        <f ca="1">F199*(1+'normal case'!L200/100)</f>
        <v>49.464128228439264</v>
      </c>
      <c r="G200" s="108">
        <f ca="1">C200-A200+G199*(1+'normal case'!T200/100)</f>
        <v>-4663.8810513619774</v>
      </c>
      <c r="H200" s="109">
        <f ca="1">IF(ABS(G200/'normal case'!D201-H199)&lt;0.0000001,H199,G200/'normal case'!D201)</f>
        <v>-46.177040085243675</v>
      </c>
    </row>
    <row r="201" spans="1:8">
      <c r="A201" s="108">
        <f ca="1">('main page'!$U$31/100)*'normal case'!D202</f>
        <v>20.200000011920931</v>
      </c>
      <c r="B201" s="109"/>
      <c r="C201" s="108">
        <f ca="1">'normal case'!AN202-'normal case'!AN201+IF(controls!$B$33=1,(1+(('main page'!$K$35/100)))*C200,'public finance'!C200)</f>
        <v>20</v>
      </c>
      <c r="D201" s="109">
        <f ca="1">IF(ABS(((A201-C201)/'normal case'!D202)-D200)&lt;0.0000001,D200,(A201-C201)/'normal case'!D202)</f>
        <v>1.9802129779314939E-3</v>
      </c>
      <c r="E201" s="109">
        <f ca="1">IF(ABS(D201-(G201*('normal case'!T202/100))/'normal case'!D202-E200)&lt;0.00001,E200,D201-(G201*('normal case'!T202/100))/'normal case'!D202)</f>
        <v>1.6748127822749179</v>
      </c>
      <c r="F201" s="110">
        <f ca="1">F200*(1+'normal case'!L201/100)</f>
        <v>50.453410734042215</v>
      </c>
      <c r="G201" s="108">
        <f ca="1">C201-A201+G200*(1+'normal case'!T201/100)</f>
        <v>-4827.3168867816221</v>
      </c>
      <c r="H201" s="109">
        <f ca="1">IF(ABS(G201/'normal case'!D202-H200)&lt;0.0000001,H200,G201/'normal case'!D202)</f>
        <v>-47.795216672602031</v>
      </c>
    </row>
    <row r="202" spans="1:8">
      <c r="A202" s="108">
        <f ca="1">('main page'!$U$31/100)*'normal case'!D203</f>
        <v>20.200000011920931</v>
      </c>
      <c r="B202" s="109"/>
      <c r="C202" s="108">
        <f ca="1">'normal case'!AN203-'normal case'!AN202+IF(controls!$B$33=1,(1+(('main page'!$K$35/100)))*C201,'public finance'!C201)</f>
        <v>20</v>
      </c>
      <c r="D202" s="109">
        <f ca="1">IF(ABS(((A202-C202)/'normal case'!D203)-D201)&lt;0.0000001,D201,(A202-C202)/'normal case'!D203)</f>
        <v>1.9802129779314939E-3</v>
      </c>
      <c r="E202" s="109">
        <f ca="1">IF(ABS(D202-(G202*('normal case'!T203/100))/'normal case'!D203-E201)&lt;0.00001,E201,D202-(G202*('normal case'!T203/100))/'normal case'!D203)</f>
        <v>1.7334312286359626</v>
      </c>
      <c r="F202" s="110">
        <f ca="1">F201*(1+'normal case'!L202/100)</f>
        <v>51.462478888577913</v>
      </c>
      <c r="G202" s="108">
        <f ca="1">C202-A202+G201*(1+'normal case'!T202/100)</f>
        <v>-4996.4729763922469</v>
      </c>
      <c r="H202" s="109">
        <f ca="1">IF(ABS(G202/'normal case'!D203-H201)&lt;0.0000001,H201,G202/'normal case'!D203)</f>
        <v>-49.470029440035674</v>
      </c>
    </row>
    <row r="203" spans="1:8">
      <c r="A203" s="108">
        <f ca="1">('main page'!$U$31/100)*'normal case'!D204</f>
        <v>20.200000011920931</v>
      </c>
      <c r="B203" s="109"/>
      <c r="C203" s="108">
        <f ca="1">'normal case'!AN204-'normal case'!AN203+IF(controls!$B$33=1,(1+(('main page'!$K$35/100)))*C202,'public finance'!C202)</f>
        <v>20</v>
      </c>
      <c r="D203" s="109">
        <f ca="1">IF(ABS(((A203-C203)/'normal case'!D204)-D202)&lt;0.0000001,D202,(A203-C203)/'normal case'!D204)</f>
        <v>1.9802129779314939E-3</v>
      </c>
      <c r="E203" s="109">
        <f ca="1">IF(ABS(D203-(G203*('normal case'!T204/100))/'normal case'!D204-E202)&lt;0.00001,E202,D203-(G203*('normal case'!T204/100))/'normal case'!D204)</f>
        <v>1.7941013206021739</v>
      </c>
      <c r="F203" s="110">
        <f ca="1">F202*(1+'normal case'!L203/100)</f>
        <v>52.491728405001417</v>
      </c>
      <c r="G203" s="108">
        <f ca="1">C203-A203+G202*(1+'normal case'!T203/100)</f>
        <v>-5171.5495290888312</v>
      </c>
      <c r="H203" s="109">
        <f ca="1">IF(ABS(G203/'normal case'!D204-H202)&lt;0.0000001,H202,G203/'normal case'!D204)</f>
        <v>-51.203460653830369</v>
      </c>
    </row>
    <row r="204" spans="1:8">
      <c r="A204" s="108">
        <f ca="1">('main page'!$U$31/100)*'normal case'!D205</f>
        <v>20.200000011920931</v>
      </c>
      <c r="B204" s="109"/>
      <c r="C204" s="108">
        <f ca="1">'normal case'!AN205-'normal case'!AN204+IF(controls!$B$33=1,(1+(('main page'!$K$35/100)))*C203,'public finance'!C203)</f>
        <v>20</v>
      </c>
      <c r="D204" s="109">
        <f ca="1">IF(ABS(((A204-C204)/'normal case'!D205)-D203)&lt;0.0000001,D203,(A204-C204)/'normal case'!D205)</f>
        <v>1.9802129779314939E-3</v>
      </c>
      <c r="E204" s="109">
        <f ca="1">IF(ABS(D204-(G204*('normal case'!T205/100))/'normal case'!D205-E203)&lt;0.00001,E203,D204-(G204*('normal case'!T205/100))/'normal case'!D205)</f>
        <v>1.8568948657691215</v>
      </c>
      <c r="F204" s="110">
        <f ca="1">F203*(1+'normal case'!L204/100)</f>
        <v>53.54156291052643</v>
      </c>
      <c r="G204" s="108">
        <f ca="1">C204-A204+G203*(1+'normal case'!T204/100)</f>
        <v>-5352.7537610776189</v>
      </c>
      <c r="H204" s="109">
        <f ca="1">IF(ABS(G204/'normal case'!D205-H203)&lt;0.0000001,H203,G204/'normal case'!D205)</f>
        <v>-52.997561959591266</v>
      </c>
    </row>
    <row r="205" spans="1:8">
      <c r="A205" s="108">
        <f ca="1">('main page'!$U$31/100)*'normal case'!D206</f>
        <v>20.200000011920931</v>
      </c>
      <c r="B205" s="109"/>
      <c r="C205" s="108">
        <f ca="1">'normal case'!AN206-'normal case'!AN205+IF(controls!$B$33=1,(1+(('main page'!$K$35/100)))*C204,'public finance'!C204)</f>
        <v>20</v>
      </c>
      <c r="D205" s="109">
        <f ca="1">IF(ABS(((A205-C205)/'normal case'!D206)-D204)&lt;0.0000001,D204,(A205-C205)/'normal case'!D206)</f>
        <v>1.9802129779314939E-3</v>
      </c>
      <c r="E205" s="109">
        <f ca="1">IF(ABS(D205-(G205*('normal case'!T206/100))/'normal case'!D206-E204)&lt;0.00001,E204,D205-(G205*('normal case'!T206/100))/'normal case'!D206)</f>
        <v>1.9218861849981985</v>
      </c>
      <c r="F205" s="110">
        <f ca="1">F204*(1+'normal case'!L205/100)</f>
        <v>54.612394104910443</v>
      </c>
      <c r="G205" s="108">
        <f ca="1">C205-A205+G204*(1+'normal case'!T205/100)</f>
        <v>-5540.300141132011</v>
      </c>
      <c r="H205" s="109">
        <f ca="1">IF(ABS(G205/'normal case'!D206-H204)&lt;0.0000001,H204,G205/'normal case'!D206)</f>
        <v>-54.854456810519117</v>
      </c>
    </row>
    <row r="206" spans="1:8">
      <c r="A206" s="108">
        <f ca="1">('main page'!$U$31/100)*'normal case'!D207</f>
        <v>20.200000011920931</v>
      </c>
      <c r="B206" s="109"/>
      <c r="C206" s="108">
        <f ca="1">'normal case'!AN207-'normal case'!AN206+IF(controls!$B$33=1,(1+(('main page'!$K$35/100)))*C205,'public finance'!C205)</f>
        <v>20</v>
      </c>
      <c r="D206" s="109">
        <f ca="1">IF(ABS(((A206-C206)/'normal case'!D207)-D205)&lt;0.0000001,D205,(A206-C206)/'normal case'!D207)</f>
        <v>1.9802129779314939E-3</v>
      </c>
      <c r="E206" s="109">
        <f ca="1">IF(ABS(D206-(G206*('normal case'!T207/100))/'normal case'!D207-E205)&lt;0.00001,E205,D206-(G206*('normal case'!T207/100))/'normal case'!D207)</f>
        <v>1.9891522003809239</v>
      </c>
      <c r="F206" s="110">
        <f ca="1">F205*(1+'normal case'!L206/100)</f>
        <v>55.704641921905605</v>
      </c>
      <c r="G206" s="108">
        <f ca="1">C206-A206+G205*(1+'normal case'!T206/100)</f>
        <v>-5734.4106444324134</v>
      </c>
      <c r="H206" s="109">
        <f ca="1">IF(ABS(G206/'normal case'!D207-H205)&lt;0.0000001,H205,G206/'normal case'!D207)</f>
        <v>-56.776342980676034</v>
      </c>
    </row>
    <row r="207" spans="1:8">
      <c r="A207" s="108">
        <f ca="1">('main page'!$U$31/100)*'normal case'!D208</f>
        <v>20.200000011920931</v>
      </c>
      <c r="B207" s="109"/>
      <c r="C207" s="108">
        <f ca="1">'normal case'!AN208-'normal case'!AN207+IF(controls!$B$33=1,(1+(('main page'!$K$35/100)))*C206,'public finance'!C206)</f>
        <v>20</v>
      </c>
      <c r="D207" s="109">
        <f ca="1">IF(ABS(((A207-C207)/'normal case'!D208)-D206)&lt;0.0000001,D206,(A207-C207)/'normal case'!D208)</f>
        <v>1.9802129779314939E-3</v>
      </c>
      <c r="E207" s="109">
        <f ca="1">IF(ABS(D207-(G207*('normal case'!T208/100))/'normal case'!D208-E206)&lt;0.00001,E206,D207-(G207*('normal case'!T208/100))/'normal case'!D208)</f>
        <v>2.0587725262819982</v>
      </c>
      <c r="F207" s="110">
        <f ca="1">F206*(1+'normal case'!L207/100)</f>
        <v>56.818734693938609</v>
      </c>
      <c r="G207" s="108">
        <f ca="1">C207-A207+G206*(1+'normal case'!T207/100)</f>
        <v>-5935.3150152904809</v>
      </c>
      <c r="H207" s="109">
        <f ca="1">IF(ABS(G207/'normal case'!D208-H206)&lt;0.0000001,H206,G207/'normal case'!D208)</f>
        <v>-58.765495166215686</v>
      </c>
    </row>
    <row r="208" spans="1:8">
      <c r="A208" s="108">
        <f ca="1">('main page'!$U$31/100)*'normal case'!D209</f>
        <v>20.200000011920931</v>
      </c>
      <c r="B208" s="109"/>
      <c r="C208" s="108">
        <f ca="1">'normal case'!AN209-'normal case'!AN208+IF(controls!$B$33=1,(1+(('main page'!$K$35/100)))*C207,'public finance'!C207)</f>
        <v>20</v>
      </c>
      <c r="D208" s="109">
        <f ca="1">IF(ABS(((A208-C208)/'normal case'!D209)-D207)&lt;0.0000001,D207,(A208-C208)/'normal case'!D209)</f>
        <v>1.9802129779314939E-3</v>
      </c>
      <c r="E208" s="109">
        <f ca="1">IF(ABS(D208-(G208*('normal case'!T209/100))/'normal case'!D209-E207)&lt;0.00001,E207,D208-(G208*('normal case'!T209/100))/'normal case'!D209)</f>
        <v>2.1308295635688617</v>
      </c>
      <c r="F208" s="110">
        <f ca="1">F207*(1+'normal case'!L208/100)</f>
        <v>57.955109320084176</v>
      </c>
      <c r="G208" s="108">
        <f ca="1">C208-A208+G207*(1+'normal case'!T208/100)</f>
        <v>-6143.2510390687066</v>
      </c>
      <c r="H208" s="109">
        <f ca="1">IF(ABS(G208/'normal case'!D209-H207)&lt;0.0000001,H207,G208/'normal case'!D209)</f>
        <v>-60.824267677656415</v>
      </c>
    </row>
    <row r="209" spans="1:8">
      <c r="A209" s="108">
        <f ca="1">('main page'!$U$31/100)*'normal case'!D210</f>
        <v>20.200000011920931</v>
      </c>
      <c r="B209" s="109"/>
      <c r="C209" s="108">
        <f ca="1">'normal case'!AN210-'normal case'!AN209+IF(controls!$B$33=1,(1+(('main page'!$K$35/100)))*C208,'public finance'!C208)</f>
        <v>20</v>
      </c>
      <c r="D209" s="109">
        <f ca="1">IF(ABS(((A209-C209)/'normal case'!D210)-D208)&lt;0.0000001,D208,(A209-C209)/'normal case'!D210)</f>
        <v>1.9802129779314939E-3</v>
      </c>
      <c r="E209" s="109">
        <f ca="1">IF(ABS(D209-(G209*('normal case'!T210/100))/'normal case'!D210-E208)&lt;0.00001,E208,D209-(G209*('normal case'!T210/100))/'normal case'!D210)</f>
        <v>2.2054085971392907</v>
      </c>
      <c r="F209" s="110">
        <f ca="1">F208*(1+'normal case'!L209/100)</f>
        <v>59.114211437397991</v>
      </c>
      <c r="G209" s="108">
        <f ca="1">C209-A209+G208*(1+'normal case'!T209/100)</f>
        <v>-6358.4648236172006</v>
      </c>
      <c r="H209" s="109">
        <f ca="1">IF(ABS(G209/'normal case'!D210-H208)&lt;0.0000001,H208,G209/'normal case'!D210)</f>
        <v>-62.955097226384005</v>
      </c>
    </row>
    <row r="210" spans="1:8">
      <c r="A210" s="108">
        <f ca="1">('main page'!$U$31/100)*'normal case'!D211</f>
        <v>20.200000011920931</v>
      </c>
      <c r="B210" s="109"/>
      <c r="C210" s="108">
        <f ca="1">'normal case'!AN211-'normal case'!AN210+IF(controls!$B$33=1,(1+(('main page'!$K$35/100)))*C209,'public finance'!C209)</f>
        <v>20</v>
      </c>
      <c r="D210" s="109">
        <f ca="1">IF(ABS(((A210-C210)/'normal case'!D211)-D209)&lt;0.0000001,D209,(A210-C210)/'normal case'!D211)</f>
        <v>1.9802129779314939E-3</v>
      </c>
      <c r="E210" s="109">
        <f ca="1">IF(ABS(D210-(G210*('normal case'!T211/100))/'normal case'!D211-E209)&lt;0.00001,E209,D210-(G210*('normal case'!T211/100))/'normal case'!D211)</f>
        <v>2.2825978968624585</v>
      </c>
      <c r="F210" s="110">
        <f ca="1">F209*(1+'normal case'!L210/100)</f>
        <v>60.296495595676319</v>
      </c>
      <c r="G210" s="108">
        <f ca="1">C210-A210+G209*(1+'normal case'!T210/100)</f>
        <v>-6581.2110905607533</v>
      </c>
      <c r="H210" s="109">
        <f ca="1">IF(ABS(G210/'normal case'!D211-H209)&lt;0.0000001,H209,G210/'normal case'!D211)</f>
        <v>-65.160505808682018</v>
      </c>
    </row>
    <row r="211" spans="1:8">
      <c r="A211" s="108">
        <f ca="1">('main page'!$U$31/100)*'normal case'!D212</f>
        <v>20.200000011920931</v>
      </c>
      <c r="B211" s="109"/>
      <c r="C211" s="108">
        <f ca="1">'normal case'!AN212-'normal case'!AN211+IF(controls!$B$33=1,(1+(('main page'!$K$35/100)))*C210,'public finance'!C210)</f>
        <v>20</v>
      </c>
      <c r="D211" s="109">
        <f ca="1">IF(ABS(((A211-C211)/'normal case'!D212)-D210)&lt;0.0000001,D210,(A211-C211)/'normal case'!D212)</f>
        <v>1.9802129779314939E-3</v>
      </c>
      <c r="E211" s="109">
        <f ca="1">IF(ABS(D211-(G211*('normal case'!T212/100))/'normal case'!D212-E210)&lt;0.00001,E210,D211-(G211*('normal case'!T212/100))/'normal case'!D212)</f>
        <v>2.3624888220529328</v>
      </c>
      <c r="F211" s="110">
        <f ca="1">F210*(1+'normal case'!L211/100)</f>
        <v>61.502425435710826</v>
      </c>
      <c r="G211" s="108">
        <f ca="1">C211-A211+G210*(1+'normal case'!T211/100)</f>
        <v>-6811.7534767809466</v>
      </c>
      <c r="H211" s="109">
        <f ca="1">IF(ABS(G211/'normal case'!D212-H210)&lt;0.0000001,H210,G211/'normal case'!D212)</f>
        <v>-67.443103690703211</v>
      </c>
    </row>
    <row r="212" spans="1:8">
      <c r="A212" s="108">
        <f ca="1">('main page'!$U$31/100)*'normal case'!D213</f>
        <v>20.200000011920931</v>
      </c>
      <c r="B212" s="109"/>
      <c r="C212" s="108">
        <f ca="1">'normal case'!AN213-'normal case'!AN212+IF(controls!$B$33=1,(1+(('main page'!$K$35/100)))*C211,'public finance'!C211)</f>
        <v>20</v>
      </c>
      <c r="D212" s="109">
        <f ca="1">IF(ABS(((A212-C212)/'normal case'!D213)-D211)&lt;0.0000001,D211,(A212-C212)/'normal case'!D213)</f>
        <v>1.9802129779314939E-3</v>
      </c>
      <c r="E212" s="109">
        <f ca="1">IF(ABS(D212-(G212*('normal case'!T213/100))/'normal case'!D213-E211)&lt;0.00001,E211,D212-(G212*('normal case'!T213/100))/'normal case'!D213)</f>
        <v>2.4451759296012643</v>
      </c>
      <c r="F212" s="110">
        <f ca="1">F211*(1+'normal case'!L212/100)</f>
        <v>62.732473871108439</v>
      </c>
      <c r="G212" s="108">
        <f ca="1">C212-A212+G211*(1+'normal case'!T212/100)</f>
        <v>-7050.3648464501393</v>
      </c>
      <c r="H212" s="109">
        <f ca="1">IF(ABS(G212/'normal case'!D213-H211)&lt;0.0000001,H211,G212/'normal case'!D213)</f>
        <v>-69.805592497914873</v>
      </c>
    </row>
    <row r="213" spans="1:8">
      <c r="A213" s="108">
        <f ca="1">('main page'!$U$31/100)*'normal case'!D214</f>
        <v>20.200000011920931</v>
      </c>
      <c r="B213" s="109"/>
      <c r="C213" s="108">
        <f ca="1">'normal case'!AN214-'normal case'!AN213+IF(controls!$B$33=1,(1+(('main page'!$K$35/100)))*C212,'public finance'!C212)</f>
        <v>20</v>
      </c>
      <c r="D213" s="109">
        <f ca="1">IF(ABS(((A213-C213)/'normal case'!D214)-D212)&lt;0.0000001,D212,(A213-C213)/'normal case'!D214)</f>
        <v>1.9802129779314939E-3</v>
      </c>
      <c r="E213" s="109">
        <f ca="1">IF(ABS(D213-(G213*('normal case'!T214/100))/'normal case'!D214-E212)&lt;0.00001,E212,D213-(G213*('normal case'!T214/100))/'normal case'!D214)</f>
        <v>2.5307570858891446</v>
      </c>
      <c r="F213" s="110">
        <f ca="1">F212*(1+'normal case'!L213/100)</f>
        <v>63.987123273747677</v>
      </c>
      <c r="G213" s="108">
        <f ca="1">C213-A213+G212*(1+'normal case'!T213/100)</f>
        <v>-7297.3276139866421</v>
      </c>
      <c r="H213" s="109">
        <f ca="1">IF(ABS(G213/'normal case'!D214-H212)&lt;0.0000001,H212,G213/'normal case'!D214)</f>
        <v>-72.250768412674859</v>
      </c>
    </row>
    <row r="214" spans="1:8">
      <c r="A214" s="108">
        <f ca="1">('main page'!$U$31/100)*'normal case'!D215</f>
        <v>20.200000011920931</v>
      </c>
      <c r="B214" s="109"/>
      <c r="C214" s="108">
        <f ca="1">'normal case'!AN215-'normal case'!AN214+IF(controls!$B$33=1,(1+(('main page'!$K$35/100)))*C213,'public finance'!C213)</f>
        <v>20</v>
      </c>
      <c r="D214" s="109">
        <f ca="1">IF(ABS(((A214-C214)/'normal case'!D215)-D213)&lt;0.0000001,D213,(A214-C214)/'normal case'!D215)</f>
        <v>1.9802129779314939E-3</v>
      </c>
      <c r="E214" s="109">
        <f ca="1">IF(ABS(D214-(G214*('normal case'!T215/100))/'normal case'!D215-E213)&lt;0.00001,E213,D214-(G214*('normal case'!T215/100))/'normal case'!D215)</f>
        <v>2.619333582621596</v>
      </c>
      <c r="F214" s="110">
        <f ca="1">F213*(1+'normal case'!L214/100)</f>
        <v>65.266865662944042</v>
      </c>
      <c r="G214" s="108">
        <f ca="1">C214-A214+G213*(1+'normal case'!T214/100)</f>
        <v>-7552.9340783133221</v>
      </c>
      <c r="H214" s="109">
        <f ca="1">IF(ABS(G214/'normal case'!D215-H213)&lt;0.0000001,H213,G214/'normal case'!D215)</f>
        <v>-74.781525483722731</v>
      </c>
    </row>
    <row r="215" spans="1:8">
      <c r="A215" s="108">
        <f ca="1">('main page'!$U$31/100)*'normal case'!D216</f>
        <v>20.200000011920931</v>
      </c>
      <c r="B215" s="109"/>
      <c r="C215" s="108">
        <f ca="1">'normal case'!AN216-'normal case'!AN215+IF(controls!$B$33=1,(1+(('main page'!$K$35/100)))*C214,'public finance'!C214)</f>
        <v>20</v>
      </c>
      <c r="D215" s="109">
        <f ca="1">IF(ABS(((A215-C215)/'normal case'!D216)-D214)&lt;0.0000001,D214,(A215-C215)/'normal case'!D216)</f>
        <v>1.9802129779314939E-3</v>
      </c>
      <c r="E215" s="109">
        <f ca="1">IF(ABS(D215-(G215*('normal case'!T216/100))/'normal case'!D216-E214)&lt;0.00001,E214,D215-(G215*('normal case'!T216/100))/'normal case'!D216)</f>
        <v>2.7110102567132848</v>
      </c>
      <c r="F215" s="110">
        <f ca="1">F214*(1+'normal case'!L215/100)</f>
        <v>66.572202898398757</v>
      </c>
      <c r="G215" s="108">
        <f ca="1">C215-A215+G214*(1+'normal case'!T215/100)</f>
        <v>-7817.486768815259</v>
      </c>
      <c r="H215" s="109">
        <f ca="1">IF(ABS(G215/'normal case'!D216-H214)&lt;0.0000001,H214,G215/'normal case'!D216)</f>
        <v>-77.400859051503048</v>
      </c>
    </row>
    <row r="216" spans="1:8">
      <c r="A216" s="108">
        <f ca="1">('main page'!$U$31/100)*'normal case'!D217</f>
        <v>20.200000011920931</v>
      </c>
      <c r="B216" s="109"/>
      <c r="C216" s="108">
        <f ca="1">'normal case'!AN217-'normal case'!AN216+IF(controls!$B$33=1,(1+(('main page'!$K$35/100)))*C215,'public finance'!C215)</f>
        <v>20</v>
      </c>
      <c r="D216" s="109">
        <f ca="1">IF(ABS(((A216-C216)/'normal case'!D217)-D215)&lt;0.0000001,D215,(A216-C216)/'normal case'!D217)</f>
        <v>1.9802129779314939E-3</v>
      </c>
      <c r="E216" s="109">
        <f ca="1">IF(ABS(D216-(G216*('normal case'!T217/100))/'normal case'!D217-E215)&lt;0.00001,E215,D216-(G216*('normal case'!T217/100))/'normal case'!D217)</f>
        <v>2.8058956143708613</v>
      </c>
      <c r="F216" s="110">
        <f ca="1">F215*(1+'normal case'!L216/100)</f>
        <v>67.90364687700648</v>
      </c>
      <c r="G216" s="108">
        <f ca="1">C216-A216+G215*(1+'normal case'!T216/100)</f>
        <v>-8091.2988034059208</v>
      </c>
      <c r="H216" s="109">
        <f ca="1">IF(ABS(G216/'normal case'!D217-H215)&lt;0.0000001,H215,G216/'normal case'!D217)</f>
        <v>-80.111869293375065</v>
      </c>
    </row>
    <row r="217" spans="1:8">
      <c r="A217" s="108">
        <f ca="1">('main page'!$U$31/100)*'normal case'!D218</f>
        <v>20.200000011920931</v>
      </c>
      <c r="B217" s="109"/>
      <c r="C217" s="108">
        <f ca="1">'normal case'!AN218-'normal case'!AN217+IF(controls!$B$33=1,(1+(('main page'!$K$35/100)))*C216,'public finance'!C216)</f>
        <v>20</v>
      </c>
      <c r="D217" s="109">
        <f ca="1">IF(ABS(((A217-C217)/'normal case'!D218)-D216)&lt;0.0000001,D216,(A217-C217)/'normal case'!D218)</f>
        <v>1.9802129779314939E-3</v>
      </c>
      <c r="E217" s="109">
        <f ca="1">IF(ABS(D217-(G217*('normal case'!T218/100))/'normal case'!D218-E216)&lt;0.00001,E216,D217-(G217*('normal case'!T218/100))/'normal case'!D218)</f>
        <v>2.904101959518175</v>
      </c>
      <c r="F217" s="110">
        <f ca="1">F216*(1+'normal case'!L217/100)</f>
        <v>69.261719733599151</v>
      </c>
      <c r="G217" s="108">
        <f ca="1">C217-A217+G216*(1+'normal case'!T217/100)</f>
        <v>-8374.6942591256538</v>
      </c>
      <c r="H217" s="109">
        <f ca="1">IF(ABS(G217/'normal case'!D218-H216)&lt;0.0000001,H216,G217/'normal case'!D218)</f>
        <v>-82.917764892904657</v>
      </c>
    </row>
    <row r="218" spans="1:8">
      <c r="A218" s="108">
        <f ca="1">('main page'!$U$31/100)*'normal case'!D219</f>
        <v>20.200000011920931</v>
      </c>
      <c r="B218" s="109"/>
      <c r="C218" s="108">
        <f ca="1">'normal case'!AN219-'normal case'!AN218+IF(controls!$B$33=1,(1+(('main page'!$K$35/100)))*C217,'public finance'!C217)</f>
        <v>20</v>
      </c>
      <c r="D218" s="109">
        <f ca="1">IF(ABS(((A218-C218)/'normal case'!D219)-D217)&lt;0.0000001,D217,(A218-C218)/'normal case'!D219)</f>
        <v>1.9802129779314939E-3</v>
      </c>
      <c r="E218" s="109">
        <f ca="1">IF(ABS(D218-(G218*('normal case'!T219/100))/'normal case'!D219-E217)&lt;0.00001,E217,D218-(G218*('normal case'!T219/100))/'normal case'!D219)</f>
        <v>3.005745526716376</v>
      </c>
      <c r="F218" s="110">
        <f ca="1">F217*(1+'normal case'!L218/100)</f>
        <v>70.646954045704732</v>
      </c>
      <c r="G218" s="108">
        <f ca="1">C218-A218+G217*(1+'normal case'!T218/100)</f>
        <v>-8668.0085557111179</v>
      </c>
      <c r="H218" s="109">
        <f ca="1">IF(ABS(G218/'normal case'!D219-H217)&lt;0.0000001,H217,G218/'normal case'!D219)</f>
        <v>-85.821866837581538</v>
      </c>
    </row>
    <row r="219" spans="1:8">
      <c r="A219" s="108">
        <f ca="1">('main page'!$U$31/100)*'normal case'!D220</f>
        <v>20.200000011920931</v>
      </c>
      <c r="B219" s="109"/>
      <c r="C219" s="108">
        <f ca="1">'normal case'!AN220-'normal case'!AN219+IF(controls!$B$33=1,(1+(('main page'!$K$35/100)))*C218,'public finance'!C218)</f>
        <v>20</v>
      </c>
      <c r="D219" s="109">
        <f ca="1">IF(ABS(((A219-C219)/'normal case'!D220)-D218)&lt;0.0000001,D218,(A219-C219)/'normal case'!D220)</f>
        <v>1.9802129779314939E-3</v>
      </c>
      <c r="E219" s="109">
        <f ca="1">IF(ABS(D219-(G219*('normal case'!T220/100))/'normal case'!D220-E218)&lt;0.00001,E218,D219-(G219*('normal case'!T220/100))/'normal case'!D220)</f>
        <v>3.1109466187362225</v>
      </c>
      <c r="F219" s="110">
        <f ca="1">F218*(1+'normal case'!L219/100)</f>
        <v>72.0598930424011</v>
      </c>
      <c r="G219" s="108">
        <f ca="1">C219-A219+G218*(1+'normal case'!T219/100)</f>
        <v>-8971.5888525896589</v>
      </c>
      <c r="H219" s="109">
        <f ca="1">IF(ABS(G219/'normal case'!D220-H218)&lt;0.0000001,H218,G219/'normal case'!D220)</f>
        <v>-88.827612349456643</v>
      </c>
    </row>
    <row r="220" spans="1:8">
      <c r="A220" s="108">
        <f ca="1">('main page'!$U$31/100)*'normal case'!D221</f>
        <v>20.200000011920931</v>
      </c>
      <c r="B220" s="109"/>
      <c r="C220" s="108">
        <f ca="1">'normal case'!AN221-'normal case'!AN220+IF(controls!$B$33=1,(1+(('main page'!$K$35/100)))*C219,'public finance'!C219)</f>
        <v>20</v>
      </c>
      <c r="D220" s="109">
        <f ca="1">IF(ABS(((A220-C220)/'normal case'!D221)-D219)&lt;0.0000001,D219,(A220-C220)/'normal case'!D221)</f>
        <v>1.9802129779314939E-3</v>
      </c>
      <c r="E220" s="109">
        <f ca="1">IF(ABS(D220-(G220*('normal case'!T221/100))/'normal case'!D221-E219)&lt;0.00001,E219,D220-(G220*('normal case'!T221/100))/'normal case'!D221)</f>
        <v>3.2198297489454117</v>
      </c>
      <c r="F220" s="110">
        <f ca="1">F219*(1+'normal case'!L220/100)</f>
        <v>73.501090817347034</v>
      </c>
      <c r="G220" s="108">
        <f ca="1">C220-A220+G219*(1+'normal case'!T220/100)</f>
        <v>-9285.7944597684764</v>
      </c>
      <c r="H220" s="109">
        <f ca="1">IF(ABS(G220/'normal case'!D221-H219)&lt;0.0000001,H219,G220/'normal case'!D221)</f>
        <v>-91.938558953351603</v>
      </c>
    </row>
    <row r="221" spans="1:8">
      <c r="A221" s="108">
        <f ca="1">('main page'!$U$31/100)*'normal case'!D222</f>
        <v>20.200000011920931</v>
      </c>
      <c r="B221" s="109"/>
      <c r="C221" s="108">
        <f ca="1">'normal case'!AN222-'normal case'!AN221+IF(controls!$B$33=1,(1+(('main page'!$K$35/100)))*C220,'public finance'!C220)</f>
        <v>20</v>
      </c>
      <c r="D221" s="109">
        <f ca="1">IF(ABS(((A221-C221)/'normal case'!D222)-D220)&lt;0.0000001,D220,(A221-C221)/'normal case'!D222)</f>
        <v>1.9802129779314939E-3</v>
      </c>
      <c r="E221" s="109">
        <f ca="1">IF(ABS(D221-(G221*('normal case'!T222/100))/'normal case'!D222-E220)&lt;0.00001,E220,D221-(G221*('normal case'!T222/100))/'normal case'!D222)</f>
        <v>3.3325237886794725</v>
      </c>
      <c r="F221" s="110">
        <f ca="1">F220*(1+'normal case'!L221/100)</f>
        <v>74.971112546073854</v>
      </c>
      <c r="G221" s="108">
        <f ca="1">C221-A221+G220*(1+'normal case'!T221/100)</f>
        <v>-9610.9972631049113</v>
      </c>
      <c r="H221" s="109">
        <f ca="1">IF(ABS(G221/'normal case'!D222-H220)&lt;0.0000001,H220,G221/'normal case'!D222)</f>
        <v>-95.158388687455741</v>
      </c>
    </row>
    <row r="222" spans="1:8">
      <c r="A222" s="108">
        <f ca="1">('main page'!$U$31/100)*'normal case'!D223</f>
        <v>20.200000011920931</v>
      </c>
      <c r="B222" s="109"/>
      <c r="C222" s="108">
        <f ca="1">'normal case'!AN223-'normal case'!AN222+IF(controls!$B$33=1,(1+(('main page'!$K$35/100)))*C221,'public finance'!C221)</f>
        <v>20</v>
      </c>
      <c r="D222" s="109">
        <f ca="1">IF(ABS(((A222-C222)/'normal case'!D223)-D221)&lt;0.0000001,D221,(A222-C222)/'normal case'!D223)</f>
        <v>1.9802129779314939E-3</v>
      </c>
      <c r="E222" s="109">
        <f ca="1">IF(ABS(D222-(G222*('normal case'!T223/100))/'normal case'!D223-E221)&lt;0.00001,E221,D222-(G222*('normal case'!T223/100))/'normal case'!D223)</f>
        <v>3.4491621197706395</v>
      </c>
      <c r="F222" s="110">
        <f ca="1">F221*(1+'normal case'!L222/100)</f>
        <v>76.470534707622804</v>
      </c>
      <c r="G222" s="108">
        <f ca="1">C222-A222+G221*(1+'normal case'!T222/100)</f>
        <v>-9947.5821644612024</v>
      </c>
      <c r="H222" s="109">
        <f ca="1">IF(ABS(G222/'normal case'!D223-H221)&lt;0.0000001,H221,G222/'normal case'!D223)</f>
        <v>-98.490912461293931</v>
      </c>
    </row>
    <row r="223" spans="1:8">
      <c r="A223" s="108">
        <f ca="1">('main page'!$U$31/100)*'normal case'!D224</f>
        <v>20.200000011920931</v>
      </c>
      <c r="B223" s="109"/>
      <c r="C223" s="108">
        <f ca="1">'normal case'!AN224-'normal case'!AN223+IF(controls!$B$33=1,(1+(('main page'!$K$35/100)))*C222,'public finance'!C222)</f>
        <v>20</v>
      </c>
      <c r="D223" s="109">
        <f ca="1">IF(ABS(((A223-C223)/'normal case'!D224)-D222)&lt;0.0000001,D222,(A223-C223)/'normal case'!D224)</f>
        <v>1.9802129779314939E-3</v>
      </c>
      <c r="E223" s="109">
        <f ca="1">IF(ABS(D223-(G223*('normal case'!T224/100))/'normal case'!D224-E222)&lt;0.00001,E222,D223-(G223*('normal case'!T224/100))/'normal case'!D224)</f>
        <v>3.5698827924152372</v>
      </c>
      <c r="F223" s="110">
        <f ca="1">F222*(1+'normal case'!L223/100)</f>
        <v>77.999945310615288</v>
      </c>
      <c r="G223" s="108">
        <f ca="1">C223-A223+G222*(1+'normal case'!T223/100)</f>
        <v>-10295.947537264654</v>
      </c>
      <c r="H223" s="109">
        <f ca="1">IF(ABS(G223/'normal case'!D224-H222)&lt;0.0000001,H222,G223/'normal case'!D224)</f>
        <v>-101.94007456622329</v>
      </c>
    </row>
    <row r="224" spans="1:8">
      <c r="A224" s="108">
        <f ca="1">('main page'!$U$31/100)*'normal case'!D225</f>
        <v>20.200000011920931</v>
      </c>
      <c r="B224" s="109"/>
      <c r="C224" s="108">
        <f ca="1">'normal case'!AN225-'normal case'!AN224+IF(controls!$B$33=1,(1+(('main page'!$K$35/100)))*C223,'public finance'!C223)</f>
        <v>20</v>
      </c>
      <c r="D224" s="109">
        <f ca="1">IF(ABS(((A224-C224)/'normal case'!D225)-D223)&lt;0.0000001,D223,(A224-C224)/'normal case'!D225)</f>
        <v>1.9802129779314939E-3</v>
      </c>
      <c r="E224" s="109">
        <f ca="1">IF(ABS(D224-(G224*('normal case'!T225/100))/'normal case'!D225-E223)&lt;0.00001,E223,D224-(G224*('normal case'!T225/100))/'normal case'!D225)</f>
        <v>3.6948286885664179</v>
      </c>
      <c r="F224" s="110">
        <f ca="1">F223*(1+'normal case'!L224/100)</f>
        <v>79.559944123844417</v>
      </c>
      <c r="G224" s="108">
        <f ca="1">C224-A224+G223*(1+'normal case'!T224/100)</f>
        <v>-10656.505698012406</v>
      </c>
      <c r="H224" s="109">
        <f ca="1">IF(ABS(G224/'normal case'!D225-H223)&lt;0.0000001,H223,G224/'normal case'!D225)</f>
        <v>-105.50995734379725</v>
      </c>
    </row>
    <row r="225" spans="1:8">
      <c r="A225" s="108">
        <f ca="1">('main page'!$U$31/100)*'normal case'!D226</f>
        <v>20.200000011920931</v>
      </c>
      <c r="B225" s="109"/>
      <c r="C225" s="108">
        <f ca="1">'normal case'!AN226-'normal case'!AN225+IF(controls!$B$33=1,(1+(('main page'!$K$35/100)))*C224,'public finance'!C224)</f>
        <v>20</v>
      </c>
      <c r="D225" s="109">
        <f ca="1">IF(ABS(((A225-C225)/'normal case'!D226)-D224)&lt;0.0000001,D224,(A225-C225)/'normal case'!D226)</f>
        <v>1.9802129779314939E-3</v>
      </c>
      <c r="E225" s="109">
        <f ca="1">IF(ABS(D225-(G225*('normal case'!T226/100))/'normal case'!D226-E224)&lt;0.00001,E224,D225-(G225*('normal case'!T226/100))/'normal case'!D226)</f>
        <v>3.8241476910456531</v>
      </c>
      <c r="F225" s="110">
        <f ca="1">F224*(1+'normal case'!L225/100)</f>
        <v>81.151142911478459</v>
      </c>
      <c r="G225" s="108">
        <f ca="1">C225-A225+G224*(1+'normal case'!T225/100)</f>
        <v>-11029.683394278874</v>
      </c>
      <c r="H225" s="109">
        <f ca="1">IF(ABS(G225/'normal case'!D226-H224)&lt;0.0000001,H224,G225/'normal case'!D226)</f>
        <v>-109.20478601752239</v>
      </c>
    </row>
    <row r="226" spans="1:8">
      <c r="A226" s="108">
        <f ca="1">('main page'!$U$31/100)*'normal case'!D227</f>
        <v>20.200000011920931</v>
      </c>
      <c r="B226" s="109"/>
      <c r="C226" s="108">
        <f ca="1">'normal case'!AN227-'normal case'!AN226+IF(controls!$B$33=1,(1+(('main page'!$K$35/100)))*C225,'public finance'!C225)</f>
        <v>20</v>
      </c>
      <c r="D226" s="109">
        <f ca="1">IF(ABS(((A226-C226)/'normal case'!D227)-D225)&lt;0.0000001,D225,(A226-C226)/'normal case'!D227)</f>
        <v>1.9802129779314939E-3</v>
      </c>
      <c r="E226" s="109">
        <f ca="1">IF(ABS(D226-(G226*('normal case'!T227/100))/'normal case'!D227-E225)&lt;0.00001,E225,D226-(G226*('normal case'!T227/100))/'normal case'!D227)</f>
        <v>3.9579928585731219</v>
      </c>
      <c r="F226" s="110">
        <f ca="1">F225*(1+'normal case'!L226/100)</f>
        <v>82.774165672968337</v>
      </c>
      <c r="G226" s="108">
        <f ca="1">C226-A226+G225*(1+'normal case'!T226/100)</f>
        <v>-11415.922309803454</v>
      </c>
      <c r="H226" s="109">
        <f ca="1">IF(ABS(G226/'normal case'!D227-H225)&lt;0.0000001,H225,G226/'normal case'!D227)</f>
        <v>-113.02893369372678</v>
      </c>
    </row>
    <row r="227" spans="1:8">
      <c r="A227" s="108">
        <f ca="1">('main page'!$U$31/100)*'normal case'!D228</f>
        <v>20.200000011920931</v>
      </c>
      <c r="B227" s="109"/>
      <c r="C227" s="108">
        <f ca="1">'normal case'!AN228-'normal case'!AN227+IF(controls!$B$33=1,(1+(('main page'!$K$35/100)))*C226,'public finance'!C226)</f>
        <v>20</v>
      </c>
      <c r="D227" s="109">
        <f ca="1">IF(ABS(((A227-C227)/'normal case'!D228)-D226)&lt;0.0000001,D226,(A227-C227)/'normal case'!D228)</f>
        <v>1.9802129779314939E-3</v>
      </c>
      <c r="E227" s="109">
        <f ca="1">IF(ABS(D227-(G227*('normal case'!T228/100))/'normal case'!D228-E226)&lt;0.00001,E226,D227-(G227*('normal case'!T228/100))/'normal case'!D228)</f>
        <v>4.0965226069241627</v>
      </c>
      <c r="F227" s="110">
        <f ca="1">F226*(1+'normal case'!L227/100)</f>
        <v>84.429648887753217</v>
      </c>
      <c r="G227" s="108">
        <f ca="1">C227-A227+G226*(1+'normal case'!T227/100)</f>
        <v>-11815.679587256285</v>
      </c>
      <c r="H227" s="109">
        <f ca="1">IF(ABS(G227/'normal case'!D228-H226)&lt;0.0000001,H226,G227/'normal case'!D228)</f>
        <v>-116.98692653745863</v>
      </c>
    </row>
    <row r="228" spans="1:8">
      <c r="A228" s="108">
        <f ca="1">('main page'!$U$31/100)*'normal case'!D229</f>
        <v>20.200000011920931</v>
      </c>
      <c r="B228" s="109"/>
      <c r="C228" s="108">
        <f ca="1">'normal case'!AN229-'normal case'!AN228+IF(controls!$B$33=1,(1+(('main page'!$K$35/100)))*C227,'public finance'!C227)</f>
        <v>20</v>
      </c>
      <c r="D228" s="109">
        <f ca="1">IF(ABS(((A228-C228)/'normal case'!D229)-D227)&lt;0.0000001,D227,(A228-C228)/'normal case'!D229)</f>
        <v>1.9802129779314939E-3</v>
      </c>
      <c r="E228" s="109">
        <f ca="1">IF(ABS(D228-(G228*('normal case'!T229/100))/'normal case'!D229-E227)&lt;0.00001,E227,D228-(G228*('normal case'!T229/100))/'normal case'!D229)</f>
        <v>4.2399008964262057</v>
      </c>
      <c r="F228" s="110">
        <f ca="1">F227*(1+'normal case'!L228/100)</f>
        <v>86.118241764860301</v>
      </c>
      <c r="G228" s="108">
        <f ca="1">C228-A228+G227*(1+'normal case'!T228/100)</f>
        <v>-12229.428369300829</v>
      </c>
      <c r="H228" s="109">
        <f ca="1">IF(ABS(G228/'normal case'!D229-H227)&lt;0.0000001,H227,G228/'normal case'!D229)</f>
        <v>-121.08344912954152</v>
      </c>
    </row>
    <row r="229" spans="1:8">
      <c r="A229" s="108">
        <f ca="1">('main page'!$U$31/100)*'normal case'!D230</f>
        <v>20.200000011920931</v>
      </c>
      <c r="B229" s="109"/>
      <c r="C229" s="108">
        <f ca="1">'normal case'!AN230-'normal case'!AN229+IF(controls!$B$33=1,(1+(('main page'!$K$35/100)))*C228,'public finance'!C228)</f>
        <v>20</v>
      </c>
      <c r="D229" s="109">
        <f ca="1">IF(ABS(((A229-C229)/'normal case'!D230)-D228)&lt;0.0000001,D228,(A229-C229)/'normal case'!D230)</f>
        <v>1.9802129779314939E-3</v>
      </c>
      <c r="E229" s="109">
        <f ca="1">IF(ABS(D229-(G229*('normal case'!T230/100))/'normal case'!D230-E228)&lt;0.00001,E228,D229-(G229*('normal case'!T230/100))/'normal case'!D230)</f>
        <v>4.3882974260180889</v>
      </c>
      <c r="F229" s="110">
        <f ca="1">F228*(1+'normal case'!L229/100)</f>
        <v>87.840606497496566</v>
      </c>
      <c r="G229" s="108">
        <f ca="1">C229-A229+G228*(1+'normal case'!T229/100)</f>
        <v>-12657.658358593624</v>
      </c>
      <c r="H229" s="109">
        <f ca="1">IF(ABS(G229/'normal case'!D230-H228)&lt;0.0000001,H228,G229/'normal case'!D230)</f>
        <v>-125.32335001112644</v>
      </c>
    </row>
    <row r="230" spans="1:8">
      <c r="A230" s="108">
        <f ca="1">('main page'!$U$31/100)*'normal case'!D231</f>
        <v>20.200000011920931</v>
      </c>
      <c r="B230" s="109"/>
      <c r="C230" s="108">
        <f ca="1">'normal case'!AN231-'normal case'!AN230+IF(controls!$B$33=1,(1+(('main page'!$K$35/100)))*C229,'public finance'!C229)</f>
        <v>20</v>
      </c>
      <c r="D230" s="109">
        <f ca="1">IF(ABS(((A230-C230)/'normal case'!D231)-D229)&lt;0.0000001,D229,(A230-C230)/'normal case'!D231)</f>
        <v>1.9802129779314939E-3</v>
      </c>
      <c r="E230" s="109">
        <f ca="1">IF(ABS(D230-(G230*('normal case'!T231/100))/'normal case'!D231-E229)&lt;0.00001,E229,D230-(G230*('normal case'!T231/100))/'normal case'!D231)</f>
        <v>4.5418878341014626</v>
      </c>
      <c r="F230" s="110">
        <f ca="1">F229*(1+'normal case'!L230/100)</f>
        <v>89.59741852273234</v>
      </c>
      <c r="G230" s="108">
        <f ca="1">C230-A230+G229*(1+'normal case'!T230/100)</f>
        <v>-13100.876397384045</v>
      </c>
      <c r="H230" s="109">
        <f ca="1">IF(ABS(G230/'normal case'!D231-H229)&lt;0.0000001,H229,G230/'normal case'!D231)</f>
        <v>-129.71164742230326</v>
      </c>
    </row>
    <row r="231" spans="1:8">
      <c r="A231" s="108">
        <f ca="1">('main page'!$U$31/100)*'normal case'!D232</f>
        <v>20.200000011920931</v>
      </c>
      <c r="B231" s="109"/>
      <c r="C231" s="108">
        <f ca="1">'normal case'!AN232-'normal case'!AN231+IF(controls!$B$33=1,(1+(('main page'!$K$35/100)))*C230,'public finance'!C230)</f>
        <v>20</v>
      </c>
      <c r="D231" s="109">
        <f ca="1">IF(ABS(((A231-C231)/'normal case'!D232)-D230)&lt;0.0000001,D230,(A231-C231)/'normal case'!D232)</f>
        <v>1.9802129779314939E-3</v>
      </c>
      <c r="E231" s="109">
        <f ca="1">IF(ABS(D231-(G231*('normal case'!T232/100))/'normal case'!D232-E230)&lt;0.00001,E230,D231-(G231*('normal case'!T232/100))/'normal case'!D232)</f>
        <v>4.7008539064219814</v>
      </c>
      <c r="F231" s="110">
        <f ca="1">F230*(1+'normal case'!L231/100)</f>
        <v>91.389366786378545</v>
      </c>
      <c r="G231" s="108">
        <f ca="1">C231-A231+G230*(1+'normal case'!T231/100)</f>
        <v>-13559.607067400042</v>
      </c>
      <c r="H231" s="109">
        <f ca="1">IF(ABS(G231/'normal case'!D232-H230)&lt;0.0000001,H230,G231/'normal case'!D232)</f>
        <v>-134.25353524156344</v>
      </c>
    </row>
    <row r="232" spans="1:8">
      <c r="A232" s="108">
        <f ca="1">('main page'!$U$31/100)*'normal case'!D233</f>
        <v>20.200000011920931</v>
      </c>
      <c r="B232" s="109"/>
      <c r="C232" s="108">
        <f ca="1">'normal case'!AN233-'normal case'!AN232+IF(controls!$B$33=1,(1+(('main page'!$K$35/100)))*C231,'public finance'!C231)</f>
        <v>20</v>
      </c>
      <c r="D232" s="109">
        <f ca="1">IF(ABS(((A232-C232)/'normal case'!D233)-D231)&lt;0.0000001,D231,(A232-C232)/'normal case'!D233)</f>
        <v>1.9802129779314939E-3</v>
      </c>
      <c r="E232" s="109">
        <f ca="1">IF(ABS(D232-(G232*('normal case'!T233/100))/'normal case'!D233-E231)&lt;0.00001,E231,D232-(G232*('normal case'!T233/100))/'normal case'!D233)</f>
        <v>4.8653837912263418</v>
      </c>
      <c r="F232" s="110">
        <f ca="1">F231*(1+'normal case'!L232/100)</f>
        <v>93.217154013161505</v>
      </c>
      <c r="G232" s="108">
        <f ca="1">C232-A232+G231*(1+'normal case'!T232/100)</f>
        <v>-14034.393310729885</v>
      </c>
      <c r="H232" s="109">
        <f ca="1">IF(ABS(G232/'normal case'!D233-H231)&lt;0.0000001,H231,G232/'normal case'!D233)</f>
        <v>-138.95438913314413</v>
      </c>
    </row>
    <row r="233" spans="1:8">
      <c r="A233" s="108">
        <f ca="1">('main page'!$U$31/100)*'normal case'!D234</f>
        <v>20.200000011920931</v>
      </c>
      <c r="B233" s="109"/>
      <c r="C233" s="108">
        <f ca="1">'normal case'!AN234-'normal case'!AN233+IF(controls!$B$33=1,(1+(('main page'!$K$35/100)))*C232,'public finance'!C232)</f>
        <v>20</v>
      </c>
      <c r="D233" s="109">
        <f ca="1">IF(ABS(((A233-C233)/'normal case'!D234)-D232)&lt;0.0000001,D232,(A233-C233)/'normal case'!D234)</f>
        <v>1.9802129779314939E-3</v>
      </c>
      <c r="E233" s="109">
        <f ca="1">IF(ABS(D233-(G233*('normal case'!T234/100))/'normal case'!D234-E232)&lt;0.00001,E232,D233-(G233*('normal case'!T234/100))/'normal case'!D234)</f>
        <v>5.035672221949822</v>
      </c>
      <c r="F233" s="110">
        <f ca="1">F232*(1+'normal case'!L233/100)</f>
        <v>95.081496982301232</v>
      </c>
      <c r="G233" s="108">
        <f ca="1">C233-A233+G232*(1+'normal case'!T233/100)</f>
        <v>-14525.797072434776</v>
      </c>
      <c r="H233" s="109">
        <f ca="1">IF(ABS(G233/'normal case'!D234-H232)&lt;0.0000001,H232,G233/'normal case'!D234)</f>
        <v>-143.81977290952921</v>
      </c>
    </row>
    <row r="234" spans="1:8">
      <c r="A234" s="108">
        <f ca="1">('main page'!$U$31/100)*'normal case'!D235</f>
        <v>20.200000011920931</v>
      </c>
      <c r="B234" s="109"/>
      <c r="C234" s="108">
        <f ca="1">'normal case'!AN235-'normal case'!AN234+IF(controls!$B$33=1,(1+(('main page'!$K$35/100)))*C233,'public finance'!C233)</f>
        <v>20</v>
      </c>
      <c r="D234" s="109">
        <f ca="1">IF(ABS(((A234-C234)/'normal case'!D235)-D233)&lt;0.0000001,D233,(A234-C234)/'normal case'!D235)</f>
        <v>1.9802129779314939E-3</v>
      </c>
      <c r="E234" s="109">
        <f ca="1">IF(ABS(D234-(G234*('normal case'!T235/100))/'normal case'!D235-E233)&lt;0.00001,E233,D234-(G234*('normal case'!T235/100))/'normal case'!D235)</f>
        <v>5.2119207476978744</v>
      </c>
      <c r="F234" s="110">
        <f ca="1">F233*(1+'normal case'!L234/100)</f>
        <v>96.983126808601284</v>
      </c>
      <c r="G234" s="108">
        <f ca="1">C234-A234+G233*(1+'normal case'!T234/100)</f>
        <v>-15034.399965652889</v>
      </c>
      <c r="H234" s="109">
        <f ca="1">IF(ABS(G234/'normal case'!D235-H233)&lt;0.0000001,H233,G234/'normal case'!D235)</f>
        <v>-148.85544511663775</v>
      </c>
    </row>
    <row r="235" spans="1:8">
      <c r="A235" s="108">
        <f ca="1">('main page'!$U$31/100)*'normal case'!D236</f>
        <v>20.200000011920931</v>
      </c>
      <c r="B235" s="109"/>
      <c r="C235" s="108">
        <f ca="1">'normal case'!AN236-'normal case'!AN235+IF(controls!$B$33=1,(1+(('main page'!$K$35/100)))*C234,'public finance'!C234)</f>
        <v>20</v>
      </c>
      <c r="D235" s="109">
        <f ca="1">IF(ABS(((A235-C235)/'normal case'!D236)-D234)&lt;0.0000001,D234,(A235-C235)/'normal case'!D236)</f>
        <v>1.9802129779314939E-3</v>
      </c>
      <c r="E235" s="109">
        <f ca="1">IF(ABS(D235-(G235*('normal case'!T236/100))/'normal case'!D236-E234)&lt;0.00001,E234,D235-(G235*('normal case'!T236/100))/'normal case'!D236)</f>
        <v>5.3943379717945819</v>
      </c>
      <c r="F235" s="110">
        <f ca="1">F234*(1+'normal case'!L235/100)</f>
        <v>98.922789229160415</v>
      </c>
      <c r="G235" s="108">
        <f ca="1">C235-A235+G234*(1+'normal case'!T235/100)</f>
        <v>-15560.80395998206</v>
      </c>
      <c r="H235" s="109">
        <f ca="1">IF(ABS(G235/'normal case'!D236-H234)&lt;0.0000001,H234,G235/'normal case'!D236)</f>
        <v>-154.06736584949437</v>
      </c>
    </row>
    <row r="236" spans="1:8">
      <c r="A236" s="108">
        <f ca="1">('main page'!$U$31/100)*'normal case'!D237</f>
        <v>20.200000011920931</v>
      </c>
      <c r="B236" s="109"/>
      <c r="C236" s="108">
        <f ca="1">'normal case'!AN237-'normal case'!AN236+IF(controls!$B$33=1,(1+(('main page'!$K$35/100)))*C235,'public finance'!C235)</f>
        <v>20</v>
      </c>
      <c r="D236" s="109">
        <f ca="1">IF(ABS(((A236-C236)/'normal case'!D237)-D235)&lt;0.0000001,D235,(A236-C236)/'normal case'!D237)</f>
        <v>1.9802129779314939E-3</v>
      </c>
      <c r="E236" s="109">
        <f ca="1">IF(ABS(D236-(G236*('normal case'!T237/100))/'normal case'!D237-E235)&lt;0.00001,E235,D236-(G236*('normal case'!T237/100))/'normal case'!D237)</f>
        <v>5.5831397986803086</v>
      </c>
      <c r="F236" s="110">
        <f ca="1">F235*(1+'normal case'!L236/100)</f>
        <v>100.90124489581848</v>
      </c>
      <c r="G236" s="108">
        <f ca="1">C236-A236+G235*(1+'normal case'!T236/100)</f>
        <v>-16105.632093955872</v>
      </c>
      <c r="H236" s="109">
        <f ca="1">IF(ABS(G236/'normal case'!D237-H235)&lt;0.0000001,H235,G236/'normal case'!D237)</f>
        <v>-159.46170380644767</v>
      </c>
    </row>
    <row r="237" spans="1:8">
      <c r="A237" s="108">
        <f ca="1">('main page'!$U$31/100)*'normal case'!D238</f>
        <v>20.200000011920931</v>
      </c>
      <c r="B237" s="109"/>
      <c r="C237" s="108">
        <f ca="1">'normal case'!AN238-'normal case'!AN237+IF(controls!$B$33=1,(1+(('main page'!$K$35/100)))*C236,'public finance'!C236)</f>
        <v>20</v>
      </c>
      <c r="D237" s="109">
        <f ca="1">IF(ABS(((A237-C237)/'normal case'!D238)-D236)&lt;0.0000001,D236,(A237-C237)/'normal case'!D238)</f>
        <v>1.9802129779314939E-3</v>
      </c>
      <c r="E237" s="109">
        <f ca="1">IF(ABS(D237-(G237*('normal case'!T238/100))/'normal case'!D238-E236)&lt;0.00001,E236,D237-(G237*('normal case'!T238/100))/'normal case'!D238)</f>
        <v>5.7785496894507702</v>
      </c>
      <c r="F237" s="110">
        <f ca="1">F236*(1+'normal case'!L237/100)</f>
        <v>102.9192696734512</v>
      </c>
      <c r="G237" s="108">
        <f ca="1">C237-A237+G236*(1+'normal case'!T237/100)</f>
        <v>-16669.529212456397</v>
      </c>
      <c r="H237" s="109">
        <f ca="1">IF(ABS(G237/'normal case'!D238-H236)&lt;0.0000001,H236,G237/'normal case'!D238)</f>
        <v>-165.04484359028672</v>
      </c>
    </row>
    <row r="238" spans="1:8">
      <c r="A238" s="108">
        <f ca="1">('main page'!$U$31/100)*'normal case'!D239</f>
        <v>20.200000011920931</v>
      </c>
      <c r="B238" s="109"/>
      <c r="C238" s="108">
        <f ca="1">'normal case'!AN239-'normal case'!AN238+IF(controls!$B$33=1,(1+(('main page'!$K$35/100)))*C237,'public finance'!C237)</f>
        <v>20</v>
      </c>
      <c r="D238" s="109">
        <f ca="1">IF(ABS(((A238-C238)/'normal case'!D239)-D237)&lt;0.0000001,D237,(A238-C238)/'normal case'!D239)</f>
        <v>1.9802129779314939E-3</v>
      </c>
      <c r="E238" s="109">
        <f ca="1">IF(ABS(D238-(G238*('normal case'!T239/100))/'normal case'!D239-E237)&lt;0.00001,E237,D238-(G238*('normal case'!T239/100))/'normal case'!D239)</f>
        <v>5.9807989263399621</v>
      </c>
      <c r="F238" s="110">
        <f ca="1">F237*(1+'normal case'!L238/100)</f>
        <v>104.97765494423089</v>
      </c>
      <c r="G238" s="108">
        <f ca="1">C238-A238+G237*(1+'normal case'!T238/100)</f>
        <v>-17253.162729936386</v>
      </c>
      <c r="H238" s="109">
        <f ca="1">IF(ABS(G238/'normal case'!D239-H237)&lt;0.0000001,H237,G238/'normal case'!D239)</f>
        <v>-170.82339326489623</v>
      </c>
    </row>
    <row r="239" spans="1:8">
      <c r="A239" s="108">
        <f ca="1">('main page'!$U$31/100)*'normal case'!D240</f>
        <v>20.200000011920931</v>
      </c>
      <c r="B239" s="109"/>
      <c r="C239" s="108">
        <f ca="1">'normal case'!AN240-'normal case'!AN239+IF(controls!$B$33=1,(1+(('main page'!$K$35/100)))*C238,'public finance'!C238)</f>
        <v>20</v>
      </c>
      <c r="D239" s="109">
        <f ca="1">IF(ABS(((A239-C239)/'normal case'!D240)-D238)&lt;0.0000001,D238,(A239-C239)/'normal case'!D240)</f>
        <v>1.9802129779314939E-3</v>
      </c>
      <c r="E239" s="109">
        <f ca="1">IF(ABS(D239-(G239*('normal case'!T240/100))/'normal case'!D240-E238)&lt;0.00001,E238,D239-(G239*('normal case'!T240/100))/'normal case'!D240)</f>
        <v>6.1901268864599999</v>
      </c>
      <c r="F239" s="110">
        <f ca="1">F238*(1+'normal case'!L239/100)</f>
        <v>107.0772079179724</v>
      </c>
      <c r="G239" s="108">
        <f ca="1">C239-A239+G238*(1+'normal case'!T239/100)</f>
        <v>-17857.223420354239</v>
      </c>
      <c r="H239" s="109">
        <f ca="1">IF(ABS(G239/'normal case'!D240-H238)&lt;0.0000001,H238,G239/'normal case'!D240)</f>
        <v>-176.80419217639493</v>
      </c>
    </row>
    <row r="240" spans="1:8">
      <c r="A240" s="108">
        <f ca="1">('main page'!$U$31/100)*'normal case'!D241</f>
        <v>20.200000011920931</v>
      </c>
      <c r="B240" s="109"/>
      <c r="C240" s="108">
        <f ca="1">'normal case'!AN241-'normal case'!AN240+IF(controls!$B$33=1,(1+(('main page'!$K$35/100)))*C239,'public finance'!C239)</f>
        <v>20</v>
      </c>
      <c r="D240" s="109">
        <f ca="1">IF(ABS(((A240-C240)/'normal case'!D241)-D239)&lt;0.0000001,D239,(A240-C240)/'normal case'!D241)</f>
        <v>1.9802129779314939E-3</v>
      </c>
      <c r="E240" s="109">
        <f ca="1">IF(ABS(D240-(G240*('normal case'!T241/100))/'normal case'!D241-E239)&lt;0.00001,E239,D240-(G240*('normal case'!T241/100))/'normal case'!D241)</f>
        <v>6.4067813251218535</v>
      </c>
      <c r="F240" s="110">
        <f ca="1">F239*(1+'normal case'!L240/100)</f>
        <v>109.21875194868588</v>
      </c>
      <c r="G240" s="108">
        <f ca="1">C240-A240+G239*(1+'normal case'!T240/100)</f>
        <v>-18482.426234756691</v>
      </c>
      <c r="H240" s="109">
        <f ca="1">IF(ABS(G240/'normal case'!D241-H239)&lt;0.0000001,H239,G240/'normal case'!D241)</f>
        <v>-182.99431904801366</v>
      </c>
    </row>
    <row r="241" spans="1:8">
      <c r="A241" s="108">
        <f ca="1">('main page'!$U$31/100)*'normal case'!D242</f>
        <v>20.200000011920931</v>
      </c>
      <c r="B241" s="109"/>
      <c r="C241" s="108">
        <f ca="1">'normal case'!AN242-'normal case'!AN241+IF(controls!$B$33=1,(1+(('main page'!$K$35/100)))*C240,'public finance'!C240)</f>
        <v>20</v>
      </c>
      <c r="D241" s="109">
        <f ca="1">IF(ABS(((A241-C241)/'normal case'!D242)-D240)&lt;0.0000001,D240,(A241-C241)/'normal case'!D242)</f>
        <v>1.9802129779314939E-3</v>
      </c>
      <c r="E241" s="109">
        <f ca="1">IF(ABS(D241-(G241*('normal case'!T242/100))/'normal case'!D242-E240)&lt;0.00001,E240,D241-(G241*('normal case'!T242/100))/'normal case'!D242)</f>
        <v>6.6310186690723043</v>
      </c>
      <c r="F241" s="110">
        <f ca="1">F240*(1+'normal case'!L241/100)</f>
        <v>111.40312685746071</v>
      </c>
      <c r="G241" s="108">
        <f ca="1">C241-A241+G240*(1+'normal case'!T241/100)</f>
        <v>-19129.511147476904</v>
      </c>
      <c r="H241" s="109">
        <f ca="1">IF(ABS(G241/'normal case'!D242-H240)&lt;0.0000001,H240,G241/'normal case'!D242)</f>
        <v>-189.40110035829423</v>
      </c>
    </row>
    <row r="242" spans="1:8">
      <c r="A242" s="108">
        <f ca="1">('main page'!$U$31/100)*'normal case'!D243</f>
        <v>20.200000011920931</v>
      </c>
      <c r="B242" s="109"/>
      <c r="C242" s="108">
        <f ca="1">'normal case'!AN243-'normal case'!AN242+IF(controls!$B$33=1,(1+(('main page'!$K$35/100)))*C241,'public finance'!C241)</f>
        <v>20</v>
      </c>
      <c r="D242" s="109">
        <f ca="1">IF(ABS(((A242-C242)/'normal case'!D243)-D241)&lt;0.0000001,D241,(A242-C242)/'normal case'!D243)</f>
        <v>1.9802129779314939E-3</v>
      </c>
      <c r="E242" s="109">
        <f ca="1">IF(ABS(D242-(G242*('normal case'!T243/100))/'normal case'!D243-E241)&lt;0.00001,E241,D242-(G242*('normal case'!T243/100))/'normal case'!D243)</f>
        <v>6.8631043199941928</v>
      </c>
      <c r="F242" s="110">
        <f ca="1">F241*(1+'normal case'!L242/100)</f>
        <v>113.63118926180705</v>
      </c>
      <c r="G242" s="108">
        <f ca="1">C242-A242+G241*(1+'normal case'!T242/100)</f>
        <v>-19799.244031949478</v>
      </c>
      <c r="H242" s="109">
        <f ca="1">IF(ABS(G242/'normal case'!D243-H241)&lt;0.0000001,H241,G242/'normal case'!D243)</f>
        <v>-196.03211901252527</v>
      </c>
    </row>
    <row r="243" spans="1:8">
      <c r="A243" s="108">
        <f ca="1">('main page'!$U$31/100)*'normal case'!D244</f>
        <v>20.200000011920931</v>
      </c>
      <c r="B243" s="109"/>
      <c r="C243" s="108">
        <f ca="1">'normal case'!AN244-'normal case'!AN243+IF(controls!$B$33=1,(1+(('main page'!$K$35/100)))*C242,'public finance'!C242)</f>
        <v>20</v>
      </c>
      <c r="D243" s="109">
        <f ca="1">IF(ABS(((A243-C243)/'normal case'!D244)-D242)&lt;0.0000001,D242,(A243-C243)/'normal case'!D244)</f>
        <v>1.9802129779314939E-3</v>
      </c>
      <c r="E243" s="109">
        <f ca="1">IF(ABS(D243-(G243*('normal case'!T244/100))/'normal case'!D244-E242)&lt;0.00001,E242,D243-(G243*('normal case'!T244/100))/'normal case'!D244)</f>
        <v>7.1033129686291812</v>
      </c>
      <c r="F243" s="110">
        <f ca="1">F242*(1+'normal case'!L243/100)</f>
        <v>115.90381291158427</v>
      </c>
      <c r="G243" s="108">
        <f ca="1">C243-A243+G242*(1+'normal case'!T243/100)</f>
        <v>-20492.417567178996</v>
      </c>
      <c r="H243" s="109">
        <f ca="1">IF(ABS(G243/'normal case'!D244-H242)&lt;0.0000001,H242,G243/'normal case'!D244)</f>
        <v>-202.89522331767822</v>
      </c>
    </row>
    <row r="244" spans="1:8">
      <c r="A244" s="108">
        <f ca="1">('main page'!$U$31/100)*'normal case'!D245</f>
        <v>20.200000011920931</v>
      </c>
      <c r="B244" s="109"/>
      <c r="C244" s="108">
        <f ca="1">'normal case'!AN245-'normal case'!AN244+IF(controls!$B$33=1,(1+(('main page'!$K$35/100)))*C243,'public finance'!C243)</f>
        <v>20</v>
      </c>
      <c r="D244" s="109">
        <f ca="1">IF(ABS(((A244-C244)/'normal case'!D245)-D243)&lt;0.0000001,D243,(A244-C244)/'normal case'!D245)</f>
        <v>1.9802129779314939E-3</v>
      </c>
      <c r="E244" s="109">
        <f ca="1">IF(ABS(D244-(G244*('normal case'!T245/100))/'normal case'!D245-E243)&lt;0.00001,E243,D244-(G244*('normal case'!T245/100))/'normal case'!D245)</f>
        <v>7.3519289198948057</v>
      </c>
      <c r="F244" s="110">
        <f ca="1">F243*(1+'normal case'!L244/100)</f>
        <v>118.22188903164785</v>
      </c>
      <c r="G244" s="108">
        <f ca="1">C244-A244+G243*(1+'normal case'!T244/100)</f>
        <v>-21209.852175934968</v>
      </c>
      <c r="H244" s="109">
        <f ca="1">IF(ABS(G244/'normal case'!D245-H243)&lt;0.0000001,H243,G244/'normal case'!D245)</f>
        <v>-209.99853627146612</v>
      </c>
    </row>
    <row r="245" spans="1:8">
      <c r="A245" s="108">
        <f ca="1">('main page'!$U$31/100)*'normal case'!D246</f>
        <v>20.200000011920931</v>
      </c>
      <c r="B245" s="109"/>
      <c r="C245" s="108">
        <f ca="1">'normal case'!AN246-'normal case'!AN245+IF(controls!$B$33=1,(1+(('main page'!$K$35/100)))*C244,'public finance'!C244)</f>
        <v>20</v>
      </c>
      <c r="D245" s="109">
        <f ca="1">IF(ABS(((A245-C245)/'normal case'!D246)-D244)&lt;0.0000001,D244,(A245-C245)/'normal case'!D246)</f>
        <v>1.9802129779314939E-3</v>
      </c>
      <c r="E245" s="109">
        <f ca="1">IF(ABS(D245-(G245*('normal case'!T246/100))/'normal case'!D246-E244)&lt;0.00001,E244,D245-(G245*('normal case'!T246/100))/'normal case'!D246)</f>
        <v>7.6092464293806339</v>
      </c>
      <c r="F245" s="110">
        <f ca="1">F244*(1+'normal case'!L245/100)</f>
        <v>120.58632667134934</v>
      </c>
      <c r="G245" s="108">
        <f ca="1">C245-A245+G244*(1+'normal case'!T245/100)</f>
        <v>-21952.396995783583</v>
      </c>
      <c r="H245" s="109">
        <f ca="1">IF(ABS(G245/'normal case'!D246-H244)&lt;0.0000001,H244,G245/'normal case'!D246)</f>
        <v>-217.35046517651966</v>
      </c>
    </row>
    <row r="246" spans="1:8">
      <c r="A246" s="108">
        <f ca="1">('main page'!$U$31/100)*'normal case'!D247</f>
        <v>20.200000011920931</v>
      </c>
      <c r="B246" s="109"/>
      <c r="C246" s="108">
        <f ca="1">'normal case'!AN247-'normal case'!AN246+IF(controls!$B$33=1,(1+(('main page'!$K$35/100)))*C245,'public finance'!C245)</f>
        <v>20</v>
      </c>
      <c r="D246" s="109">
        <f ca="1">IF(ABS(((A246-C246)/'normal case'!D247)-D245)&lt;0.0000001,D245,(A246-C246)/'normal case'!D247)</f>
        <v>1.9802129779314939E-3</v>
      </c>
      <c r="E246" s="109">
        <f ca="1">IF(ABS(D246-(G246*('normal case'!T247/100))/'normal case'!D247-E245)&lt;0.00001,E245,D246-(G246*('normal case'!T247/100))/'normal case'!D247)</f>
        <v>7.8755700516217813</v>
      </c>
      <c r="F246" s="110">
        <f ca="1">F245*(1+'normal case'!L246/100)</f>
        <v>122.99805306102623</v>
      </c>
      <c r="G246" s="108">
        <f ca="1">C246-A246+G245*(1+'normal case'!T246/100)</f>
        <v>-22720.930884105608</v>
      </c>
      <c r="H246" s="109">
        <f ca="1">IF(ABS(G246/'normal case'!D247-H245)&lt;0.0000001,H245,G246/'normal case'!D247)</f>
        <v>-224.95971159105906</v>
      </c>
    </row>
    <row r="247" spans="1:8">
      <c r="A247" s="108">
        <f ca="1">('main page'!$U$31/100)*'normal case'!D248</f>
        <v>20.200000011920931</v>
      </c>
      <c r="B247" s="109"/>
      <c r="C247" s="108">
        <f ca="1">'normal case'!AN248-'normal case'!AN247+IF(controls!$B$33=1,(1+(('main page'!$K$35/100)))*C246,'public finance'!C246)</f>
        <v>20</v>
      </c>
      <c r="D247" s="109">
        <f ca="1">IF(ABS(((A247-C247)/'normal case'!D248)-D246)&lt;0.0000001,D246,(A247-C247)/'normal case'!D248)</f>
        <v>1.9802129779314939E-3</v>
      </c>
      <c r="E247" s="109">
        <f ca="1">IF(ABS(D247-(G247*('normal case'!T248/100))/'normal case'!D248-E246)&lt;0.00001,E246,D247-(G247*('normal case'!T248/100))/'normal case'!D248)</f>
        <v>8.1512150005619972</v>
      </c>
      <c r="F247" s="110">
        <f ca="1">F246*(1+'normal case'!L247/100)</f>
        <v>125.45801397562165</v>
      </c>
      <c r="G247" s="108">
        <f ca="1">C247-A247+G246*(1+'normal case'!T247/100)</f>
        <v>-23516.363458289863</v>
      </c>
      <c r="H247" s="109">
        <f ca="1">IF(ABS(G247/'normal case'!D248-H246)&lt;0.0000001,H246,G247/'normal case'!D248)</f>
        <v>-232.83528162783958</v>
      </c>
    </row>
    <row r="248" spans="1:8">
      <c r="A248" s="108">
        <f ca="1">('main page'!$U$31/100)*'normal case'!D249</f>
        <v>20.200000011920931</v>
      </c>
      <c r="B248" s="109"/>
      <c r="C248" s="108">
        <f ca="1">'normal case'!AN249-'normal case'!AN248+IF(controls!$B$33=1,(1+(('main page'!$K$35/100)))*C247,'public finance'!C247)</f>
        <v>20</v>
      </c>
      <c r="D248" s="109">
        <f ca="1">IF(ABS(((A248-C248)/'normal case'!D249)-D247)&lt;0.0000001,D247,(A248-C248)/'normal case'!D249)</f>
        <v>1.9802129779314939E-3</v>
      </c>
      <c r="E248" s="109">
        <f ca="1">IF(ABS(D248-(G248*('normal case'!T249/100))/'normal case'!D249-E247)&lt;0.00001,E247,D248-(G248*('normal case'!T249/100))/'normal case'!D249)</f>
        <v>8.4365075226329722</v>
      </c>
      <c r="F248" s="110">
        <f ca="1">F247*(1+'normal case'!L248/100)</f>
        <v>127.96717410557649</v>
      </c>
      <c r="G248" s="108">
        <f ca="1">C248-A248+G247*(1+'normal case'!T248/100)</f>
        <v>-24339.636172333507</v>
      </c>
      <c r="H248" s="109">
        <f ca="1">IF(ABS(G248/'normal case'!D249-H247)&lt;0.0000001,H247,G248/'normal case'!D249)</f>
        <v>-240.98649661356032</v>
      </c>
    </row>
    <row r="249" spans="1:8">
      <c r="A249" s="108">
        <f ca="1">('main page'!$U$31/100)*'normal case'!D250</f>
        <v>20.200000011920931</v>
      </c>
      <c r="B249" s="109"/>
      <c r="C249" s="108">
        <f ca="1">'normal case'!AN250-'normal case'!AN249+IF(controls!$B$33=1,(1+(('main page'!$K$35/100)))*C248,'public finance'!C248)</f>
        <v>20</v>
      </c>
      <c r="D249" s="109">
        <f ca="1">IF(ABS(((A249-C249)/'normal case'!D250)-D248)&lt;0.0000001,D248,(A249-C249)/'normal case'!D250)</f>
        <v>1.9802129779314939E-3</v>
      </c>
      <c r="E249" s="109">
        <f ca="1">IF(ABS(D249-(G249*('normal case'!T250/100))/'normal case'!D250-E248)&lt;0.00001,E248,D249-(G249*('normal case'!T250/100))/'normal case'!D250)</f>
        <v>8.7317852828914067</v>
      </c>
      <c r="F249" s="110">
        <f ca="1">F248*(1+'normal case'!L249/100)</f>
        <v>130.52651743513925</v>
      </c>
      <c r="G249" s="108">
        <f ca="1">C249-A249+G248*(1+'normal case'!T249/100)</f>
        <v>-25191.723431123326</v>
      </c>
      <c r="H249" s="109">
        <f ca="1">IF(ABS(G249/'normal case'!D250-H248)&lt;0.0000001,H248,G249/'normal case'!D250)</f>
        <v>-249.42300412135205</v>
      </c>
    </row>
    <row r="250" spans="1:8">
      <c r="A250" s="108">
        <f ca="1">('main page'!$U$31/100)*'normal case'!D251</f>
        <v>20.200000011920931</v>
      </c>
      <c r="B250" s="109"/>
      <c r="C250" s="108">
        <f ca="1">'normal case'!AN251-'normal case'!AN250+IF(controls!$B$33=1,(1+(('main page'!$K$35/100)))*C249,'public finance'!C249)</f>
        <v>20</v>
      </c>
      <c r="D250" s="109">
        <f ca="1">IF(ABS(((A250-C250)/'normal case'!D251)-D249)&lt;0.0000001,D249,(A250-C250)/'normal case'!D251)</f>
        <v>1.9802129779314939E-3</v>
      </c>
      <c r="E250" s="109">
        <f ca="1">IF(ABS(D250-(G250*('normal case'!T251/100))/'normal case'!D251-E249)&lt;0.00001,E249,D250-(G250*('normal case'!T251/100))/'normal case'!D251)</f>
        <v>9.037397764670887</v>
      </c>
      <c r="F250" s="110">
        <f ca="1">F249*(1+'normal case'!L250/100)</f>
        <v>133.1370476282423</v>
      </c>
      <c r="G250" s="108">
        <f ca="1">C250-A250+G249*(1+'normal case'!T250/100)</f>
        <v>-26073.633743716844</v>
      </c>
      <c r="H250" s="109">
        <f ca="1">IF(ABS(G250/'normal case'!D251-H249)&lt;0.0000001,H249,G250/'normal case'!D251)</f>
        <v>-258.1547893894022</v>
      </c>
    </row>
    <row r="251" spans="1:8">
      <c r="A251" s="108">
        <f ca="1">('main page'!$U$31/100)*'normal case'!D252</f>
        <v>20.200000011920931</v>
      </c>
      <c r="B251" s="109"/>
      <c r="C251" s="108">
        <f ca="1">'normal case'!AN252-'normal case'!AN251+IF(controls!$B$33=1,(1+(('main page'!$K$35/100)))*C250,'public finance'!C250)</f>
        <v>20</v>
      </c>
      <c r="D251" s="109">
        <f ca="1">IF(ABS(((A251-C251)/'normal case'!D252)-D250)&lt;0.0000001,D250,(A251-C251)/'normal case'!D252)</f>
        <v>1.9802129779314939E-3</v>
      </c>
      <c r="E251" s="109">
        <f ca="1">IF(ABS(D251-(G251*('normal case'!T252/100))/'normal case'!D252-E250)&lt;0.00001,E250,D251-(G251*('normal case'!T252/100))/'normal case'!D252)</f>
        <v>9.353706683221569</v>
      </c>
      <c r="F251" s="110">
        <f ca="1">F250*(1+'normal case'!L251/100)</f>
        <v>135.79978842209542</v>
      </c>
      <c r="G251" s="108">
        <f ca="1">C251-A251+G250*(1+'normal case'!T251/100)</f>
        <v>-26986.410916988309</v>
      </c>
      <c r="H251" s="109">
        <f ca="1">IF(ABS(G251/'normal case'!D252-H250)&lt;0.0000001,H250,G251/'normal case'!D252)</f>
        <v>-267.19218713923181</v>
      </c>
    </row>
    <row r="252" spans="1:8">
      <c r="A252" s="108">
        <f ca="1">('main page'!$U$31/100)*'normal case'!D253</f>
        <v>20.200000011920931</v>
      </c>
      <c r="B252" s="109"/>
      <c r="C252" s="108">
        <f ca="1">'normal case'!AN253-'normal case'!AN252+IF(controls!$B$33=1,(1+(('main page'!$K$35/100)))*C251,'public finance'!C251)</f>
        <v>20</v>
      </c>
      <c r="D252" s="109">
        <f ca="1">IF(ABS(((A252-C252)/'normal case'!D253)-D251)&lt;0.0000001,D251,(A252-C252)/'normal case'!D253)</f>
        <v>1.9802129779314939E-3</v>
      </c>
      <c r="E252" s="109">
        <f ca="1">IF(ABS(D252-(G252*('normal case'!T253/100))/'normal case'!D253-E251)&lt;0.00001,E251,D252-(G252*('normal case'!T253/100))/'normal case'!D253)</f>
        <v>9.6810864138272574</v>
      </c>
      <c r="F252" s="110">
        <f ca="1">F251*(1+'normal case'!L252/100)</f>
        <v>138.51578402865138</v>
      </c>
      <c r="G252" s="108">
        <f ca="1">C252-A252+G251*(1+'normal case'!T252/100)</f>
        <v>-27931.135291052244</v>
      </c>
      <c r="H252" s="109">
        <f ca="1">IF(ABS(G252/'normal case'!D253-H251)&lt;0.0000001,H251,G252/'normal case'!D253)</f>
        <v>-276.54589380761212</v>
      </c>
    </row>
    <row r="253" spans="1:8">
      <c r="A253" s="108">
        <f ca="1">('main page'!$U$31/100)*'normal case'!D254</f>
        <v>20.200000011920931</v>
      </c>
      <c r="B253" s="109"/>
      <c r="C253" s="108">
        <f ca="1">'normal case'!AN254-'normal case'!AN253+IF(controls!$B$33=1,(1+(('main page'!$K$35/100)))*C252,'public finance'!C252)</f>
        <v>20</v>
      </c>
      <c r="D253" s="109">
        <f ca="1">IF(ABS(((A253-C253)/'normal case'!D254)-D252)&lt;0.0000001,D252,(A253-C253)/'normal case'!D254)</f>
        <v>1.9802129779314939E-3</v>
      </c>
      <c r="E253" s="109">
        <f ca="1">IF(ABS(D253-(G253*('normal case'!T254/100))/'normal case'!D254-E252)&lt;0.00001,E252,D253-(G253*('normal case'!T254/100))/'normal case'!D254)</f>
        <v>10.01992443490658</v>
      </c>
      <c r="F253" s="110">
        <f ca="1">F252*(1+'normal case'!L253/100)</f>
        <v>141.28609954410072</v>
      </c>
      <c r="G253" s="108">
        <f ca="1">C253-A253+G252*(1+'normal case'!T253/100)</f>
        <v>-28908.925017926867</v>
      </c>
      <c r="H253" s="109">
        <f ca="1">IF(ABS(G253/'normal case'!D254-H252)&lt;0.0000001,H252,G253/'normal case'!D254)</f>
        <v>-286.22698020659811</v>
      </c>
    </row>
    <row r="254" spans="1:8">
      <c r="A254" s="108">
        <f ca="1">('main page'!$U$31/100)*'normal case'!D255</f>
        <v>20.200000011920931</v>
      </c>
      <c r="B254" s="109"/>
      <c r="C254" s="108">
        <f ca="1">'normal case'!AN255-'normal case'!AN254+IF(controls!$B$33=1,(1+(('main page'!$K$35/100)))*C253,'public finance'!C253)</f>
        <v>20</v>
      </c>
      <c r="D254" s="109">
        <f ca="1">IF(ABS(((A254-C254)/'normal case'!D255)-D253)&lt;0.0000001,D253,(A254-C254)/'normal case'!D255)</f>
        <v>1.9802129779314939E-3</v>
      </c>
      <c r="E254" s="109">
        <f ca="1">IF(ABS(D254-(G254*('normal case'!T255/100))/'normal case'!D255-E253)&lt;0.00001,E253,D254-(G254*('normal case'!T255/100))/'normal case'!D255)</f>
        <v>10.370621786622696</v>
      </c>
      <c r="F254" s="110">
        <f ca="1">F253*(1+'normal case'!L254/100)</f>
        <v>144.1118213665566</v>
      </c>
      <c r="G254" s="108">
        <f ca="1">C254-A254+G253*(1+'normal case'!T254/100)</f>
        <v>-29920.937384950699</v>
      </c>
      <c r="H254" s="109">
        <f ca="1">IF(ABS(G254/'normal case'!D255-H253)&lt;0.0000001,H253,G254/'normal case'!D255)</f>
        <v>-296.24690462666342</v>
      </c>
    </row>
    <row r="255" spans="1:8">
      <c r="A255" s="108">
        <f ca="1">('main page'!$U$31/100)*'normal case'!D256</f>
        <v>20.200000011920931</v>
      </c>
      <c r="B255" s="109"/>
      <c r="C255" s="108">
        <f ca="1">'normal case'!AN256-'normal case'!AN255+IF(controls!$B$33=1,(1+(('main page'!$K$35/100)))*C254,'public finance'!C254)</f>
        <v>20</v>
      </c>
      <c r="D255" s="109">
        <f ca="1">IF(ABS(((A255-C255)/'normal case'!D256)-D254)&lt;0.0000001,D254,(A255-C255)/'normal case'!D256)</f>
        <v>1.9802129779314939E-3</v>
      </c>
      <c r="E255" s="109">
        <f ca="1">IF(ABS(D255-(G255*('normal case'!T256/100))/'normal case'!D256-E254)&lt;0.00001,E254,D255-(G255*('normal case'!T256/100))/'normal case'!D256)</f>
        <v>10.733593545544361</v>
      </c>
      <c r="F255" s="110">
        <f ca="1">F254*(1+'normal case'!L255/100)</f>
        <v>146.99405762209307</v>
      </c>
      <c r="G255" s="108">
        <f ca="1">C255-A255+G254*(1+'normal case'!T255/100)</f>
        <v>-30968.370184518761</v>
      </c>
      <c r="H255" s="109">
        <f ca="1">IF(ABS(G255/'normal case'!D256-H254)&lt;0.0000001,H254,G255/'normal case'!D256)</f>
        <v>-306.61752639844485</v>
      </c>
    </row>
    <row r="256" spans="1:8">
      <c r="A256" s="108">
        <f ca="1">('main page'!$U$31/100)*'normal case'!D257</f>
        <v>20.200000011920931</v>
      </c>
      <c r="B256" s="109"/>
      <c r="C256" s="108">
        <f ca="1">'normal case'!AN257-'normal case'!AN256+IF(controls!$B$33=1,(1+(('main page'!$K$35/100)))*C255,'public finance'!C255)</f>
        <v>20</v>
      </c>
      <c r="D256" s="109">
        <f ca="1">IF(ABS(((A256-C256)/'normal case'!D257)-D255)&lt;0.0000001,D255,(A256-C256)/'normal case'!D257)</f>
        <v>1.9802129779314939E-3</v>
      </c>
      <c r="E256" s="109">
        <f ca="1">IF(ABS(D256-(G256*('normal case'!T257/100))/'normal case'!D257-E255)&lt;0.00001,E255,D256-(G256*('normal case'!T257/100))/'normal case'!D257)</f>
        <v>11.109269315920107</v>
      </c>
      <c r="F256" s="110">
        <f ca="1">F255*(1+'normal case'!L256/100)</f>
        <v>149.93393859930435</v>
      </c>
      <c r="G256" s="108">
        <f ca="1">C256-A256+G255*(1+'normal case'!T256/100)</f>
        <v>-32052.463131759545</v>
      </c>
      <c r="H256" s="109">
        <f ca="1">IF(ABS(G256/'normal case'!D257-H255)&lt;0.0000001,H255,G256/'normal case'!D257)</f>
        <v>-317.35111992914796</v>
      </c>
    </row>
    <row r="257" spans="1:8">
      <c r="A257" s="108">
        <f ca="1">('main page'!$U$31/100)*'normal case'!D258</f>
        <v>20.200000011920931</v>
      </c>
      <c r="B257" s="109"/>
      <c r="C257" s="108">
        <f ca="1">'normal case'!AN258-'normal case'!AN257+IF(controls!$B$33=1,(1+(('main page'!$K$35/100)))*C256,'public finance'!C256)</f>
        <v>20</v>
      </c>
      <c r="D257" s="109">
        <f ca="1">IF(ABS(((A257-C257)/'normal case'!D258)-D256)&lt;0.0000001,D256,(A257-C257)/'normal case'!D258)</f>
        <v>1.9802129779314939E-3</v>
      </c>
      <c r="E257" s="109">
        <f ca="1">IF(ABS(D257-(G257*('normal case'!T258/100))/'normal case'!D258-E256)&lt;0.00001,E256,D257-(G257*('normal case'!T258/100))/'normal case'!D258)</f>
        <v>11.498093738147046</v>
      </c>
      <c r="F257" s="110">
        <f ca="1">F256*(1+'normal case'!L257/100)</f>
        <v>152.93261719255526</v>
      </c>
      <c r="G257" s="108">
        <f ca="1">C257-A257+G256*(1+'normal case'!T257/100)</f>
        <v>-33174.499331830673</v>
      </c>
      <c r="H257" s="109">
        <f ca="1">IF(ABS(G257/'normal case'!D258-H256)&lt;0.0000001,H256,G257/'normal case'!D258)</f>
        <v>-328.46038923022684</v>
      </c>
    </row>
    <row r="258" spans="1:8">
      <c r="A258" s="108">
        <f ca="1">('main page'!$U$31/100)*'normal case'!D259</f>
        <v>20.200000011920931</v>
      </c>
      <c r="B258" s="109"/>
      <c r="C258" s="108">
        <f ca="1">'normal case'!AN259-'normal case'!AN258+IF(controls!$B$33=1,(1+(('main page'!$K$35/100)))*C257,'public finance'!C257)</f>
        <v>20</v>
      </c>
      <c r="D258" s="109">
        <f ca="1">IF(ABS(((A258-C258)/'normal case'!D259)-D257)&lt;0.0000001,D257,(A258-C258)/'normal case'!D259)</f>
        <v>1.9802129779314939E-3</v>
      </c>
      <c r="E258" s="109">
        <f ca="1">IF(ABS(D258-(G258*('normal case'!T259/100))/'normal case'!D259-E257)&lt;0.00001,E257,D258-(G258*('normal case'!T259/100))/'normal case'!D259)</f>
        <v>11.900527015036049</v>
      </c>
      <c r="F258" s="110">
        <f ca="1">F257*(1+'normal case'!L258/100)</f>
        <v>155.99126935409649</v>
      </c>
      <c r="G258" s="108">
        <f ca="1">C258-A258+G257*(1+'normal case'!T258/100)</f>
        <v>-34335.806798569894</v>
      </c>
      <c r="H258" s="109">
        <f ca="1">IF(ABS(G258/'normal case'!D259-H257)&lt;0.0000001,H257,G258/'normal case'!D259)</f>
        <v>-339.95848295353255</v>
      </c>
    </row>
    <row r="259" spans="1:8">
      <c r="A259" s="108">
        <f ca="1">('main page'!$U$31/100)*'normal case'!D260</f>
        <v>20.200000011920931</v>
      </c>
      <c r="B259" s="109"/>
      <c r="C259" s="108">
        <f ca="1">'normal case'!AN260-'normal case'!AN259+IF(controls!$B$33=1,(1+(('main page'!$K$35/100)))*C258,'public finance'!C258)</f>
        <v>20</v>
      </c>
      <c r="D259" s="109">
        <f ca="1">IF(ABS(((A259-C259)/'normal case'!D260)-D258)&lt;0.0000001,D258,(A259-C259)/'normal case'!D260)</f>
        <v>1.9802129779314939E-3</v>
      </c>
      <c r="E259" s="109">
        <f ca="1">IF(ABS(D259-(G259*('normal case'!T260/100))/'normal case'!D260-E258)&lt;0.00001,E258,D259-(G259*('normal case'!T260/100))/'normal case'!D260)</f>
        <v>12.317045456496233</v>
      </c>
      <c r="F259" s="110">
        <f ca="1">F258*(1+'normal case'!L259/100)</f>
        <v>159.11109455522234</v>
      </c>
      <c r="G259" s="108">
        <f ca="1">C259-A259+G258*(1+'normal case'!T259/100)</f>
        <v>-35537.760026298893</v>
      </c>
      <c r="H259" s="109">
        <f ca="1">IF(ABS(G259/'normal case'!D260-H258)&lt;0.0000001,H258,G259/'normal case'!D260)</f>
        <v>-351.85900995372737</v>
      </c>
    </row>
    <row r="260" spans="1:8">
      <c r="A260" s="108">
        <f ca="1">('main page'!$U$31/100)*'normal case'!D261</f>
        <v>20.200000011920931</v>
      </c>
      <c r="B260" s="109"/>
      <c r="C260" s="108">
        <f ca="1">'normal case'!AN261-'normal case'!AN260+IF(controls!$B$33=1,(1+(('main page'!$K$35/100)))*C259,'public finance'!C259)</f>
        <v>20</v>
      </c>
      <c r="D260" s="109">
        <f ca="1">IF(ABS(((A260-C260)/'normal case'!D261)-D259)&lt;0.0000001,D259,(A260-C260)/'normal case'!D261)</f>
        <v>1.9802129779314939E-3</v>
      </c>
      <c r="E260" s="109">
        <f ca="1">IF(ABS(D260-(G260*('normal case'!T261/100))/'normal case'!D261-E259)&lt;0.00001,E259,D260-(G260*('normal case'!T261/100))/'normal case'!D261)</f>
        <v>12.748142043283393</v>
      </c>
      <c r="F260" s="110">
        <f ca="1">F259*(1+'normal case'!L260/100)</f>
        <v>162.29331625665159</v>
      </c>
      <c r="G260" s="108">
        <f ca="1">C260-A260+G259*(1+'normal case'!T260/100)</f>
        <v>-36781.781616640197</v>
      </c>
      <c r="H260" s="109">
        <f ca="1">IF(ABS(G260/'normal case'!D261-H259)&lt;0.0000001,H259,G260/'normal case'!D261)</f>
        <v>-364.17605539538232</v>
      </c>
    </row>
    <row r="261" spans="1:8">
      <c r="A261" s="108">
        <f ca="1">('main page'!$U$31/100)*'normal case'!D262</f>
        <v>20.200000011920931</v>
      </c>
      <c r="B261" s="109"/>
      <c r="C261" s="108">
        <f ca="1">'normal case'!AN262-'normal case'!AN261+IF(controls!$B$33=1,(1+(('main page'!$K$35/100)))*C260,'public finance'!C260)</f>
        <v>20</v>
      </c>
      <c r="D261" s="109">
        <f ca="1">IF(ABS(((A261-C261)/'normal case'!D262)-D260)&lt;0.0000001,D260,(A261-C261)/'normal case'!D262)</f>
        <v>1.9802129779314939E-3</v>
      </c>
      <c r="E261" s="109">
        <f ca="1">IF(ABS(D261-(G261*('normal case'!T262/100))/'normal case'!D262-E260)&lt;0.00001,E260,D261-(G261*('normal case'!T262/100))/'normal case'!D262)</f>
        <v>13.194327010479624</v>
      </c>
      <c r="F261" s="110">
        <f ca="1">F260*(1+'normal case'!L261/100)</f>
        <v>165.53918238831594</v>
      </c>
      <c r="G261" s="108">
        <f ca="1">C261-A261+G260*(1+'normal case'!T261/100)</f>
        <v>-38069.343962272702</v>
      </c>
      <c r="H261" s="109">
        <f ca="1">IF(ABS(G261/'normal case'!D262-H260)&lt;0.0000001,H260,G261/'normal case'!D262)</f>
        <v>-376.92419742382447</v>
      </c>
    </row>
    <row r="262" spans="1:8">
      <c r="A262" s="108">
        <f ca="1">('main page'!$U$31/100)*'normal case'!D263</f>
        <v>20.200000011920931</v>
      </c>
      <c r="B262" s="109"/>
      <c r="C262" s="108">
        <f ca="1">'normal case'!AN263-'normal case'!AN262+IF(controls!$B$33=1,(1+(('main page'!$K$35/100)))*C261,'public finance'!C261)</f>
        <v>20</v>
      </c>
      <c r="D262" s="109">
        <f ca="1">IF(ABS(((A262-C262)/'normal case'!D263)-D261)&lt;0.0000001,D261,(A262-C262)/'normal case'!D263)</f>
        <v>1.9802129779314939E-3</v>
      </c>
      <c r="E262" s="109">
        <f ca="1">IF(ABS(D262-(G262*('normal case'!T263/100))/'normal case'!D263-E261)&lt;0.00001,E261,D262-(G262*('normal case'!T263/100))/'normal case'!D263)</f>
        <v>13.656128451394752</v>
      </c>
      <c r="F262" s="110">
        <f ca="1">F261*(1+'normal case'!L262/100)</f>
        <v>168.84996583874417</v>
      </c>
      <c r="G262" s="108">
        <f ca="1">C262-A262+G261*(1+'normal case'!T262/100)</f>
        <v>-39401.970989618618</v>
      </c>
      <c r="H262" s="109">
        <f ca="1">IF(ABS(G262/'normal case'!D263-H261)&lt;0.0000001,H261,G262/'normal case'!D263)</f>
        <v>-390.1185244194628</v>
      </c>
    </row>
    <row r="263" spans="1:8">
      <c r="A263" s="108">
        <f ca="1">('main page'!$U$31/100)*'normal case'!D264</f>
        <v>20.200000011920931</v>
      </c>
      <c r="B263" s="109"/>
      <c r="C263" s="108">
        <f ca="1">'normal case'!AN264-'normal case'!AN263+IF(controls!$B$33=1,(1+(('main page'!$K$35/100)))*C262,'public finance'!C262)</f>
        <v>20</v>
      </c>
      <c r="D263" s="109">
        <f ca="1">IF(ABS(((A263-C263)/'normal case'!D264)-D262)&lt;0.0000001,D262,(A263-C263)/'normal case'!D264)</f>
        <v>1.9802129779314939E-3</v>
      </c>
      <c r="E263" s="109">
        <f ca="1">IF(ABS(D263-(G263*('normal case'!T264/100))/'normal case'!D264-E262)&lt;0.00001,E262,D263-(G263*('normal case'!T264/100))/'normal case'!D264)</f>
        <v>14.134092942604278</v>
      </c>
      <c r="F263" s="110">
        <f ca="1">F262*(1+'normal case'!L263/100)</f>
        <v>172.22696495423421</v>
      </c>
      <c r="G263" s="108">
        <f ca="1">C263-A263+G262*(1+'normal case'!T263/100)</f>
        <v>-40781.239962524487</v>
      </c>
      <c r="H263" s="109">
        <f ca="1">IF(ABS(G263/'normal case'!D264-H262)&lt;0.0000001,H262,G263/'normal case'!D264)</f>
        <v>-403.77465285601625</v>
      </c>
    </row>
    <row r="264" spans="1:8">
      <c r="A264" s="108">
        <f ca="1">('main page'!$U$31/100)*'normal case'!D265</f>
        <v>20.200000011920931</v>
      </c>
      <c r="B264" s="109"/>
      <c r="C264" s="108">
        <f ca="1">'normal case'!AN265-'normal case'!AN264+IF(controls!$B$33=1,(1+(('main page'!$K$35/100)))*C263,'public finance'!C263)</f>
        <v>20</v>
      </c>
      <c r="D264" s="109">
        <f ca="1">IF(ABS(((A264-C264)/'normal case'!D265)-D263)&lt;0.0000001,D263,(A264-C264)/'normal case'!D265)</f>
        <v>1.9802129779314939E-3</v>
      </c>
      <c r="E264" s="109">
        <f ca="1">IF(ABS(D264-(G264*('normal case'!T265/100))/'normal case'!D265-E263)&lt;0.00001,E263,D264-(G264*('normal case'!T265/100))/'normal case'!D265)</f>
        <v>14.628786190863696</v>
      </c>
      <c r="F264" s="110">
        <f ca="1">F263*(1+'normal case'!L264/100)</f>
        <v>175.67150404800836</v>
      </c>
      <c r="G264" s="108">
        <f ca="1">C264-A264+G263*(1+'normal case'!T264/100)</f>
        <v>-42208.783349071011</v>
      </c>
      <c r="H264" s="109">
        <f ca="1">IF(ABS(G264/'normal case'!D265-H263)&lt;0.0000001,H263,G264/'normal case'!D265)</f>
        <v>-417.9087457837793</v>
      </c>
    </row>
    <row r="265" spans="1:8">
      <c r="A265" s="108">
        <f ca="1">('main page'!$U$31/100)*'normal case'!D266</f>
        <v>20.200000011920931</v>
      </c>
      <c r="B265" s="109"/>
      <c r="C265" s="108">
        <f ca="1">'normal case'!AN266-'normal case'!AN265+IF(controls!$B$33=1,(1+(('main page'!$K$35/100)))*C264,'public finance'!C264)</f>
        <v>20</v>
      </c>
      <c r="D265" s="109">
        <f ca="1">IF(ABS(((A265-C265)/'normal case'!D266)-D264)&lt;0.0000001,D264,(A265-C265)/'normal case'!D266)</f>
        <v>1.9802129779314939E-3</v>
      </c>
      <c r="E265" s="109">
        <f ca="1">IF(ABS(D265-(G265*('normal case'!T266/100))/'normal case'!D266-E264)&lt;0.00001,E264,D265-(G265*('normal case'!T266/100))/'normal case'!D266)</f>
        <v>15.140793702664764</v>
      </c>
      <c r="F265" s="110">
        <f ca="1">F264*(1+'normal case'!L265/100)</f>
        <v>179.18493391955178</v>
      </c>
      <c r="G265" s="108">
        <f ca="1">C265-A265+G264*(1+'normal case'!T265/100)</f>
        <v>-43686.290753721223</v>
      </c>
      <c r="H265" s="109">
        <f ca="1">IF(ABS(G265/'normal case'!D266-H264)&lt;0.0000001,H264,G265/'normal case'!D266)</f>
        <v>-432.53753195980175</v>
      </c>
    </row>
    <row r="266" spans="1:8">
      <c r="A266" s="108">
        <f ca="1">('main page'!$U$31/100)*'normal case'!D267</f>
        <v>20.200000011920931</v>
      </c>
      <c r="B266" s="109"/>
      <c r="C266" s="108">
        <f ca="1">'normal case'!AN267-'normal case'!AN266+IF(controls!$B$33=1,(1+(('main page'!$K$35/100)))*C265,'public finance'!C265)</f>
        <v>20</v>
      </c>
      <c r="D266" s="109">
        <f ca="1">IF(ABS(((A266-C266)/'normal case'!D267)-D265)&lt;0.0000001,D265,(A266-C266)/'normal case'!D267)</f>
        <v>1.9802129779314939E-3</v>
      </c>
      <c r="E266" s="109">
        <f ca="1">IF(ABS(D266-(G266*('normal case'!T267/100))/'normal case'!D267-E265)&lt;0.00001,E265,D266-(G266*('normal case'!T267/100))/'normal case'!D267)</f>
        <v>15.67072147722628</v>
      </c>
      <c r="F266" s="110">
        <f ca="1">F265*(1+'normal case'!L266/100)</f>
        <v>182.76863238433774</v>
      </c>
      <c r="G266" s="108">
        <f ca="1">C266-A266+G265*(1+'normal case'!T266/100)</f>
        <v>-45215.510917093859</v>
      </c>
      <c r="H266" s="109">
        <f ca="1">IF(ABS(G266/'normal case'!D267-H265)&lt;0.0000001,H265,G266/'normal case'!D267)</f>
        <v>-447.67832564762529</v>
      </c>
    </row>
    <row r="267" spans="1:8">
      <c r="A267" s="108">
        <f ca="1">('main page'!$U$31/100)*'normal case'!D268</f>
        <v>20.200000011920931</v>
      </c>
      <c r="B267" s="109"/>
      <c r="C267" s="108">
        <f ca="1">'normal case'!AN268-'normal case'!AN267+IF(controls!$B$33=1,(1+(('main page'!$K$35/100)))*C266,'public finance'!C266)</f>
        <v>20</v>
      </c>
      <c r="D267" s="109">
        <f ca="1">IF(ABS(((A267-C267)/'normal case'!D268)-D266)&lt;0.0000001,D266,(A267-C267)/'normal case'!D268)</f>
        <v>1.9802129779314939E-3</v>
      </c>
      <c r="E267" s="109">
        <f ca="1">IF(ABS(D267-(G267*('normal case'!T268/100))/'normal case'!D268-E266)&lt;0.00001,E266,D267-(G267*('normal case'!T268/100))/'normal case'!D268)</f>
        <v>16.219196723739515</v>
      </c>
      <c r="F267" s="110">
        <f ca="1">F266*(1+'normal case'!L267/100)</f>
        <v>186.42400481414731</v>
      </c>
      <c r="G267" s="108">
        <f ca="1">C267-A267+G266*(1+'normal case'!T267/100)</f>
        <v>-46798.253785728797</v>
      </c>
      <c r="H267" s="109">
        <f ca="1">IF(ABS(G267/'normal case'!D268-H266)&lt;0.0000001,H266,G267/'normal case'!D268)</f>
        <v>-463.3490471100103</v>
      </c>
    </row>
    <row r="268" spans="1:8">
      <c r="A268" s="108">
        <f ca="1">('main page'!$U$31/100)*'normal case'!D269</f>
        <v>20.200000011920931</v>
      </c>
      <c r="B268" s="109"/>
      <c r="C268" s="108">
        <f ca="1">'normal case'!AN269-'normal case'!AN268+IF(controls!$B$33=1,(1+(('main page'!$K$35/100)))*C267,'public finance'!C267)</f>
        <v>20</v>
      </c>
      <c r="D268" s="109">
        <f ca="1">IF(ABS(((A268-C268)/'normal case'!D269)-D267)&lt;0.0000001,D267,(A268-C268)/'normal case'!D269)</f>
        <v>1.9802129779314939E-3</v>
      </c>
      <c r="E268" s="109">
        <f ca="1">IF(ABS(D268-(G268*('normal case'!T269/100))/'normal case'!D269-E267)&lt;0.00001,E267,D268-(G268*('normal case'!T269/100))/'normal case'!D269)</f>
        <v>16.786868603717256</v>
      </c>
      <c r="F268" s="110">
        <f ca="1">F267*(1+'normal case'!L268/100)</f>
        <v>190.15248468819553</v>
      </c>
      <c r="G268" s="108">
        <f ca="1">C268-A268+G267*(1+'normal case'!T268/100)</f>
        <v>-48436.392654294257</v>
      </c>
      <c r="H268" s="109">
        <f ca="1">IF(ABS(G268/'normal case'!D269-H267)&lt;0.0000001,H267,G268/'normal case'!D269)</f>
        <v>-479.56824381890851</v>
      </c>
    </row>
    <row r="269" spans="1:8">
      <c r="A269" s="108">
        <f ca="1">('main page'!$U$31/100)*'normal case'!D270</f>
        <v>20.200000011920931</v>
      </c>
      <c r="B269" s="109"/>
      <c r="C269" s="108">
        <f ca="1">'normal case'!AN270-'normal case'!AN269+IF(controls!$B$33=1,(1+(('main page'!$K$35/100)))*C268,'public finance'!C268)</f>
        <v>20</v>
      </c>
      <c r="D269" s="109">
        <f ca="1">IF(ABS(((A269-C269)/'normal case'!D270)-D268)&lt;0.0000001,D268,(A269-C269)/'normal case'!D270)</f>
        <v>1.9802129779314939E-3</v>
      </c>
      <c r="E269" s="109">
        <f ca="1">IF(ABS(D269-(G269*('normal case'!T270/100))/'normal case'!D270-E268)&lt;0.00001,E268,D269-(G269*('normal case'!T270/100))/'normal case'!D270)</f>
        <v>17.374408999325041</v>
      </c>
      <c r="F269" s="110">
        <f ca="1">F268*(1+'normal case'!L269/100)</f>
        <v>193.95553415528002</v>
      </c>
      <c r="G269" s="108">
        <f ca="1">C269-A269+G268*(1+'normal case'!T269/100)</f>
        <v>-50131.86638277131</v>
      </c>
      <c r="H269" s="109">
        <f ca="1">IF(ABS(G269/'normal case'!D270-H268)&lt;0.0000001,H268,G269/'normal case'!D270)</f>
        <v>-496.35511240778453</v>
      </c>
    </row>
    <row r="270" spans="1:8">
      <c r="A270" s="108">
        <f ca="1">('main page'!$U$31/100)*'normal case'!D271</f>
        <v>20.200000011920931</v>
      </c>
      <c r="B270" s="109"/>
      <c r="C270" s="108">
        <f ca="1">'normal case'!AN271-'normal case'!AN270+IF(controls!$B$33=1,(1+(('main page'!$K$35/100)))*C269,'public finance'!C269)</f>
        <v>20</v>
      </c>
      <c r="D270" s="109">
        <f ca="1">IF(ABS(((A270-C270)/'normal case'!D271)-D269)&lt;0.0000001,D269,(A270-C270)/'normal case'!D271)</f>
        <v>1.9802129779314939E-3</v>
      </c>
      <c r="E270" s="109">
        <f ca="1">IF(ABS(D270-(G270*('normal case'!T271/100))/'normal case'!D271-E269)&lt;0.00001,E269,D270-(G270*('normal case'!T271/100))/'normal case'!D271)</f>
        <v>17.982513308603998</v>
      </c>
      <c r="F270" s="110">
        <f ca="1">F269*(1+'normal case'!L270/100)</f>
        <v>197.83464460717261</v>
      </c>
      <c r="G270" s="108">
        <f ca="1">C270-A270+G269*(1+'normal case'!T270/100)</f>
        <v>-51886.68169123977</v>
      </c>
      <c r="H270" s="109">
        <f ca="1">IF(ABS(G270/'normal case'!D271-H269)&lt;0.0000001,H269,G270/'normal case'!D271)</f>
        <v>-513.72952139226834</v>
      </c>
    </row>
    <row r="271" spans="1:8">
      <c r="A271" s="108">
        <f ca="1">('main page'!$U$31/100)*'normal case'!D272</f>
        <v>20.200000011920931</v>
      </c>
      <c r="B271" s="109"/>
      <c r="C271" s="108">
        <f ca="1">'normal case'!AN272-'normal case'!AN271+IF(controls!$B$33=1,(1+(('main page'!$K$35/100)))*C270,'public finance'!C270)</f>
        <v>20</v>
      </c>
      <c r="D271" s="109">
        <f ca="1">IF(ABS(((A271-C271)/'normal case'!D272)-D270)&lt;0.0000001,D270,(A271-C271)/'normal case'!D272)</f>
        <v>1.9802129779314939E-3</v>
      </c>
      <c r="E271" s="109">
        <f ca="1">IF(ABS(D271-(G271*('normal case'!T272/100))/'normal case'!D272-E270)&lt;0.00001,E270,D271-(G271*('normal case'!T272/100))/'normal case'!D272)</f>
        <v>18.611901268526488</v>
      </c>
      <c r="F271" s="110">
        <f ca="1">F270*(1+'normal case'!L271/100)</f>
        <v>201.79133726347879</v>
      </c>
      <c r="G271" s="108">
        <f ca="1">C271-A271+G270*(1+'normal case'!T271/100)</f>
        <v>-53702.91553498165</v>
      </c>
      <c r="H271" s="109">
        <f ca="1">IF(ABS(G271/'normal case'!D272-H270)&lt;0.0000001,H270,G271/'normal case'!D272)</f>
        <v>-531.71203468603107</v>
      </c>
    </row>
    <row r="272" spans="1:8">
      <c r="A272" s="108">
        <f ca="1">('main page'!$U$31/100)*'normal case'!D273</f>
        <v>20.200000011920931</v>
      </c>
      <c r="B272" s="109"/>
      <c r="C272" s="108">
        <f ca="1">'normal case'!AN273-'normal case'!AN272+IF(controls!$B$33=1,(1+(('main page'!$K$35/100)))*C271,'public finance'!C271)</f>
        <v>20</v>
      </c>
      <c r="D272" s="109">
        <f ca="1">IF(ABS(((A272-C272)/'normal case'!D273)-D271)&lt;0.0000001,D271,(A272-C272)/'normal case'!D273)</f>
        <v>1.9802129779314939E-3</v>
      </c>
      <c r="E272" s="109">
        <f ca="1">IF(ABS(D272-(G272*('normal case'!T273/100))/'normal case'!D273-E271)&lt;0.00001,E271,D272-(G272*('normal case'!T273/100))/'normal case'!D273)</f>
        <v>19.263317806858691</v>
      </c>
      <c r="F272" s="110">
        <f ca="1">F271*(1+'normal case'!L272/100)</f>
        <v>205.82716376819437</v>
      </c>
      <c r="G272" s="108">
        <f ca="1">C272-A272+G271*(1+'normal case'!T272/100)</f>
        <v>-55582.717562713216</v>
      </c>
      <c r="H272" s="109">
        <f ca="1">IF(ABS(G272/'normal case'!D273-H271)&lt;0.0000001,H271,G272/'normal case'!D273)</f>
        <v>-550.32393593971642</v>
      </c>
    </row>
    <row r="273" spans="1:8">
      <c r="A273" s="108">
        <f ca="1">('main page'!$U$31/100)*'normal case'!D274</f>
        <v>20.200000011920931</v>
      </c>
      <c r="B273" s="109"/>
      <c r="C273" s="108">
        <f ca="1">'normal case'!AN274-'normal case'!AN273+IF(controls!$B$33=1,(1+(('main page'!$K$35/100)))*C272,'public finance'!C272)</f>
        <v>20</v>
      </c>
      <c r="D273" s="109">
        <f ca="1">IF(ABS(((A273-C273)/'normal case'!D274)-D272)&lt;0.0000001,D272,(A273-C273)/'normal case'!D274)</f>
        <v>1.9802129779314939E-3</v>
      </c>
      <c r="E273" s="109">
        <f ca="1">IF(ABS(D273-(G273*('normal case'!T274/100))/'normal case'!D274-E272)&lt;0.00001,E272,D273-(G273*('normal case'!T274/100))/'normal case'!D274)</f>
        <v>19.937533923838387</v>
      </c>
      <c r="F273" s="110">
        <f ca="1">F272*(1+'normal case'!L273/100)</f>
        <v>209.94370679819318</v>
      </c>
      <c r="G273" s="108">
        <f ca="1">C273-A273+G272*(1+'normal case'!T273/100)</f>
        <v>-57528.312660855161</v>
      </c>
      <c r="H273" s="109">
        <f ca="1">IF(ABS(G273/'normal case'!D274-H272)&lt;0.0000001,H272,G273/'normal case'!D274)</f>
        <v>-569.58725373173377</v>
      </c>
    </row>
    <row r="274" spans="1:8">
      <c r="A274" s="108">
        <f ca="1">('main page'!$U$31/100)*'normal case'!D275</f>
        <v>20.200000011920931</v>
      </c>
      <c r="B274" s="109"/>
      <c r="C274" s="108">
        <f ca="1">'normal case'!AN275-'normal case'!AN274+IF(controls!$B$33=1,(1+(('main page'!$K$35/100)))*C273,'public finance'!C273)</f>
        <v>20</v>
      </c>
      <c r="D274" s="109">
        <f ca="1">IF(ABS(((A274-C274)/'normal case'!D275)-D273)&lt;0.0000001,D273,(A274-C274)/'normal case'!D275)</f>
        <v>1.9802129779314939E-3</v>
      </c>
      <c r="E274" s="109">
        <f ca="1">IF(ABS(D274-(G274*('normal case'!T275/100))/'normal case'!D275-E273)&lt;0.00001,E273,D274-(G274*('normal case'!T275/100))/'normal case'!D275)</f>
        <v>20.635347604711434</v>
      </c>
      <c r="F274" s="110">
        <f ca="1">F273*(1+'normal case'!L274/100)</f>
        <v>214.14258068388466</v>
      </c>
      <c r="G274" s="108">
        <f ca="1">C274-A274+G273*(1+'normal case'!T274/100)</f>
        <v>-59542.003586852239</v>
      </c>
      <c r="H274" s="109">
        <f ca="1">IF(ABS(G274/'normal case'!D275-H273)&lt;0.0000001,H273,G274/'normal case'!D275)</f>
        <v>-589.52478764073089</v>
      </c>
    </row>
    <row r="275" spans="1:8">
      <c r="A275" s="108">
        <f ca="1">('main page'!$U$31/100)*'normal case'!D276</f>
        <v>20.200000011920931</v>
      </c>
      <c r="B275" s="109"/>
      <c r="C275" s="108">
        <f ca="1">'normal case'!AN276-'normal case'!AN275+IF(controls!$B$33=1,(1+(('main page'!$K$35/100)))*C274,'public finance'!C274)</f>
        <v>20</v>
      </c>
      <c r="D275" s="109">
        <f ca="1">IF(ABS(((A275-C275)/'normal case'!D276)-D274)&lt;0.0000001,D274,(A275-C275)/'normal case'!D276)</f>
        <v>1.9802129779314939E-3</v>
      </c>
      <c r="E275" s="109">
        <f ca="1">IF(ABS(D275-(G275*('normal case'!T276/100))/'normal case'!D276-E274)&lt;0.00001,E274,D275-(G275*('normal case'!T276/100))/'normal case'!D276)</f>
        <v>21.357584764207079</v>
      </c>
      <c r="F275" s="110">
        <f ca="1">F274*(1+'normal case'!L275/100)</f>
        <v>218.42543204228451</v>
      </c>
      <c r="G275" s="108">
        <f ca="1">C275-A275+G274*(1+'normal case'!T275/100)</f>
        <v>-61626.17369465909</v>
      </c>
      <c r="H275" s="109">
        <f ca="1">IF(ABS(G275/'normal case'!D276-H274)&lt;0.0000001,H274,G275/'normal case'!D276)</f>
        <v>-610.1601352306011</v>
      </c>
    </row>
    <row r="276" spans="1:8">
      <c r="A276" s="108">
        <f ca="1">('main page'!$U$31/100)*'normal case'!D277</f>
        <v>20.200000011920931</v>
      </c>
      <c r="B276" s="109"/>
      <c r="C276" s="108">
        <f ca="1">'normal case'!AN277-'normal case'!AN276+IF(controls!$B$33=1,(1+(('main page'!$K$35/100)))*C275,'public finance'!C275)</f>
        <v>20</v>
      </c>
      <c r="D276" s="109">
        <f ca="1">IF(ABS(((A276-C276)/'normal case'!D277)-D275)&lt;0.0000001,D275,(A276-C276)/'normal case'!D277)</f>
        <v>1.9802129779314939E-3</v>
      </c>
      <c r="E276" s="109">
        <f ca="1">IF(ABS(D276-(G276*('normal case'!T277/100))/'normal case'!D277-E275)&lt;0.00001,E275,D276-(G276*('normal case'!T277/100))/'normal case'!D277)</f>
        <v>22.105100224069826</v>
      </c>
      <c r="F276" s="110">
        <f ca="1">F275*(1+'normal case'!L276/100)</f>
        <v>222.7939404227468</v>
      </c>
      <c r="G276" s="108">
        <f ca="1">C276-A276+G275*(1+'normal case'!T276/100)</f>
        <v>-63783.289755618047</v>
      </c>
      <c r="H276" s="109">
        <f ca="1">IF(ABS(G276/'normal case'!D277-H275)&lt;0.0000001,H275,G276/'normal case'!D277)</f>
        <v>-631.51771997996696</v>
      </c>
    </row>
    <row r="277" spans="1:8">
      <c r="A277" s="108">
        <f ca="1">('main page'!$U$31/100)*'normal case'!D278</f>
        <v>20.200000011920931</v>
      </c>
      <c r="B277" s="109"/>
      <c r="C277" s="108">
        <f ca="1">'normal case'!AN278-'normal case'!AN277+IF(controls!$B$33=1,(1+(('main page'!$K$35/100)))*C276,'public finance'!C276)</f>
        <v>20</v>
      </c>
      <c r="D277" s="109">
        <f ca="1">IF(ABS(((A277-C277)/'normal case'!D278)-D276)&lt;0.0000001,D276,(A277-C277)/'normal case'!D278)</f>
        <v>1.9802129779314939E-3</v>
      </c>
      <c r="E277" s="109">
        <f ca="1">IF(ABS(D277-(G277*('normal case'!T278/100))/'normal case'!D278-E276)&lt;0.00001,E276,D277-(G277*('normal case'!T278/100))/'normal case'!D278)</f>
        <v>22.878778724804992</v>
      </c>
      <c r="F277" s="110">
        <f ca="1">F276*(1+'normal case'!L277/100)</f>
        <v>227.24981896561067</v>
      </c>
      <c r="G277" s="108">
        <f ca="1">C277-A277+G276*(1+'normal case'!T277/100)</f>
        <v>-66015.904878067697</v>
      </c>
      <c r="H277" s="109">
        <f ca="1">IF(ABS(G277/'normal case'!D278-H276)&lt;0.0000001,H276,G277/'normal case'!D278)</f>
        <v>-653.62282018919541</v>
      </c>
    </row>
    <row r="278" spans="1:8">
      <c r="A278" s="108">
        <f ca="1">('main page'!$U$31/100)*'normal case'!D279</f>
        <v>20.200000011920931</v>
      </c>
      <c r="B278" s="109"/>
      <c r="C278" s="108">
        <f ca="1">'normal case'!AN279-'normal case'!AN278+IF(controls!$B$33=1,(1+(('main page'!$K$35/100)))*C277,'public finance'!C277)</f>
        <v>20</v>
      </c>
      <c r="D278" s="109">
        <f ca="1">IF(ABS(((A278-C278)/'normal case'!D279)-D277)&lt;0.0000001,D277,(A278-C278)/'normal case'!D279)</f>
        <v>1.9802129779314939E-3</v>
      </c>
      <c r="E278" s="109">
        <f ca="1">IF(ABS(D278-(G278*('normal case'!T279/100))/'normal case'!D279-E277)&lt;0.00001,E277,D278-(G278*('normal case'!T279/100))/'normal case'!D279)</f>
        <v>23.679535972835318</v>
      </c>
      <c r="F278" s="110">
        <f ca="1">F277*(1+'normal case'!L278/100)</f>
        <v>231.79481507401999</v>
      </c>
      <c r="G278" s="108">
        <f ca="1">C278-A278+G277*(1+'normal case'!T278/100)</f>
        <v>-68326.661529137709</v>
      </c>
      <c r="H278" s="109">
        <f ca="1">IF(ABS(G278/'normal case'!D279-H277)&lt;0.0000001,H277,G278/'normal case'!D279)</f>
        <v>-676.50159889915915</v>
      </c>
    </row>
    <row r="279" spans="1:8">
      <c r="A279" s="108">
        <f ca="1">('main page'!$U$31/100)*'normal case'!D280</f>
        <v>20.200000011920931</v>
      </c>
      <c r="B279" s="109"/>
      <c r="C279" s="108">
        <f ca="1">'normal case'!AN280-'normal case'!AN279+IF(controls!$B$33=1,(1+(('main page'!$K$35/100)))*C278,'public finance'!C278)</f>
        <v>20</v>
      </c>
      <c r="D279" s="109">
        <f ca="1">IF(ABS(((A279-C279)/'normal case'!D280)-D278)&lt;0.0000001,D278,(A279-C279)/'normal case'!D280)</f>
        <v>1.9802129779314939E-3</v>
      </c>
      <c r="E279" s="109">
        <f ca="1">IF(ABS(D279-(G279*('normal case'!T280/100))/'normal case'!D280-E278)&lt;0.00001,E278,D279-(G279*('normal case'!T280/100))/'normal case'!D280)</f>
        <v>24.508319724308052</v>
      </c>
      <c r="F279" s="110">
        <f ca="1">F278*(1+'normal case'!L279/100)</f>
        <v>236.43071109917946</v>
      </c>
      <c r="G279" s="108">
        <f ca="1">C279-A279+G278*(1+'normal case'!T279/100)</f>
        <v>-70718.294662306507</v>
      </c>
      <c r="H279" s="109">
        <f ca="1">IF(ABS(G279/'normal case'!D280-H278)&lt;0.0000001,H278,G279/'normal case'!D280)</f>
        <v>-700.1811348571531</v>
      </c>
    </row>
    <row r="280" spans="1:8">
      <c r="A280" s="108">
        <f ca="1">('main page'!$U$31/100)*'normal case'!D281</f>
        <v>20.200000011920931</v>
      </c>
      <c r="B280" s="109"/>
      <c r="C280" s="108">
        <f ca="1">'normal case'!AN281-'normal case'!AN280+IF(controls!$B$33=1,(1+(('main page'!$K$35/100)))*C279,'public finance'!C279)</f>
        <v>20</v>
      </c>
      <c r="D280" s="109">
        <f ca="1">IF(ABS(((A280-C280)/'normal case'!D281)-D279)&lt;0.0000001,D279,(A280-C280)/'normal case'!D281)</f>
        <v>1.9802129779314939E-3</v>
      </c>
      <c r="E280" s="109">
        <f ca="1">IF(ABS(D280-(G280*('normal case'!T281/100))/'normal case'!D281-E279)&lt;0.00001,E279,D280-(G280*('normal case'!T281/100))/'normal case'!D281)</f>
        <v>25.366110906835335</v>
      </c>
      <c r="F280" s="110">
        <f ca="1">F279*(1+'normal case'!L280/100)</f>
        <v>241.15932503931569</v>
      </c>
      <c r="G280" s="108">
        <f ca="1">C280-A280+G279*(1+'normal case'!T280/100)</f>
        <v>-73193.634954423454</v>
      </c>
      <c r="H280" s="109">
        <f ca="1">IF(ABS(G280/'normal case'!D281-H279)&lt;0.0000001,H279,G280/'normal case'!D281)</f>
        <v>-724.68945456661982</v>
      </c>
    </row>
    <row r="281" spans="1:8">
      <c r="A281" s="108">
        <f ca="1">('main page'!$U$31/100)*'normal case'!D282</f>
        <v>20.200000011920931</v>
      </c>
      <c r="B281" s="109"/>
      <c r="C281" s="108">
        <f ca="1">'normal case'!AN282-'normal case'!AN281+IF(controls!$B$33=1,(1+(('main page'!$K$35/100)))*C280,'public finance'!C280)</f>
        <v>20</v>
      </c>
      <c r="D281" s="109">
        <f ca="1">IF(ABS(((A281-C281)/'normal case'!D282)-D280)&lt;0.0000001,D280,(A281-C281)/'normal case'!D282)</f>
        <v>1.9802129779314939E-3</v>
      </c>
      <c r="E281" s="109">
        <f ca="1">IF(ABS(D281-(G281*('normal case'!T282/100))/'normal case'!D282-E280)&lt;0.00001,E280,D281-(G281*('normal case'!T282/100))/'normal case'!D282)</f>
        <v>26.253924780495439</v>
      </c>
      <c r="F281" s="110">
        <f ca="1">F280*(1+'normal case'!L281/100)</f>
        <v>245.98251125261768</v>
      </c>
      <c r="G281" s="108">
        <f ca="1">C281-A281+G280*(1+'normal case'!T281/100)</f>
        <v>-75755.612156026793</v>
      </c>
      <c r="H281" s="109">
        <f ca="1">IF(ABS(G281/'normal case'!D282-H280)&lt;0.0000001,H280,G281/'normal case'!D282)</f>
        <v>-750.05556545861384</v>
      </c>
    </row>
    <row r="282" spans="1:8">
      <c r="A282" s="108">
        <f ca="1">('main page'!$U$31/100)*'normal case'!D283</f>
        <v>20.200000011920931</v>
      </c>
      <c r="B282" s="109"/>
      <c r="C282" s="108">
        <f ca="1">'normal case'!AN283-'normal case'!AN282+IF(controls!$B$33=1,(1+(('main page'!$K$35/100)))*C281,'public finance'!C281)</f>
        <v>20</v>
      </c>
      <c r="D282" s="109">
        <f ca="1">IF(ABS(((A282-C282)/'normal case'!D283)-D281)&lt;0.0000001,D281,(A282-C282)/'normal case'!D283)</f>
        <v>1.9802129779314939E-3</v>
      </c>
      <c r="E282" s="109">
        <f ca="1">IF(ABS(D282-(G282*('normal case'!T283/100))/'normal case'!D283-E281)&lt;0.00001,E281,D282-(G282*('normal case'!T283/100))/'normal case'!D283)</f>
        <v>27.172812139469052</v>
      </c>
      <c r="F282" s="110">
        <f ca="1">F281*(1+'normal case'!L282/100)</f>
        <v>250.90216118443604</v>
      </c>
      <c r="G282" s="108">
        <f ca="1">C282-A282+G281*(1+'normal case'!T282/100)</f>
        <v>-78407.258558922709</v>
      </c>
      <c r="H282" s="109">
        <f ca="1">IF(ABS(G282/'normal case'!D283-H281)&lt;0.0000001,H281,G282/'normal case'!D283)</f>
        <v>-776.30949022426785</v>
      </c>
    </row>
    <row r="283" spans="1:8">
      <c r="A283" s="108">
        <f ca="1">('main page'!$U$31/100)*'normal case'!D284</f>
        <v>20.200000011920931</v>
      </c>
      <c r="B283" s="109"/>
      <c r="C283" s="108">
        <f ca="1">'normal case'!AN284-'normal case'!AN283+IF(controls!$B$33=1,(1+(('main page'!$K$35/100)))*C282,'public finance'!C282)</f>
        <v>20</v>
      </c>
      <c r="D283" s="109">
        <f ca="1">IF(ABS(((A283-C283)/'normal case'!D284)-D282)&lt;0.0000001,D282,(A283-C283)/'normal case'!D284)</f>
        <v>1.9802129779314939E-3</v>
      </c>
      <c r="E283" s="109">
        <f ca="1">IF(ABS(D283-(G283*('normal case'!T284/100))/'normal case'!D284-E282)&lt;0.00001,E282,D283-(G283*('normal case'!T284/100))/'normal case'!D284)</f>
        <v>28.123860555732893</v>
      </c>
      <c r="F283" s="110">
        <f ca="1">F282*(1+'normal case'!L283/100)</f>
        <v>255.92020410902609</v>
      </c>
      <c r="G283" s="108">
        <f ca="1">C283-A283+G282*(1+'normal case'!T283/100)</f>
        <v>-81151.712585129731</v>
      </c>
      <c r="H283" s="109">
        <f ca="1">IF(ABS(G283/'normal case'!D284-H282)&lt;0.0000001,H282,G283/'normal case'!D284)</f>
        <v>-803.48230234889559</v>
      </c>
    </row>
    <row r="284" spans="1:8">
      <c r="A284" s="108">
        <f ca="1">('main page'!$U$31/100)*'normal case'!D285</f>
        <v>20.200000011920931</v>
      </c>
      <c r="B284" s="109"/>
      <c r="C284" s="108">
        <f ca="1">'normal case'!AN285-'normal case'!AN284+IF(controls!$B$33=1,(1+(('main page'!$K$35/100)))*C283,'public finance'!C283)</f>
        <v>20</v>
      </c>
      <c r="D284" s="109">
        <f ca="1">IF(ABS(((A284-C284)/'normal case'!D285)-D283)&lt;0.0000001,D283,(A284-C284)/'normal case'!D285)</f>
        <v>1.9802129779314939E-3</v>
      </c>
      <c r="E284" s="109">
        <f ca="1">IF(ABS(D284-(G284*('normal case'!T285/100))/'normal case'!D285-E283)&lt;0.00001,E283,D284-(G284*('normal case'!T285/100))/'normal case'!D285)</f>
        <v>29.10819566628253</v>
      </c>
      <c r="F284" s="110">
        <f ca="1">F283*(1+'normal case'!L284/100)</f>
        <v>261.03860788612599</v>
      </c>
      <c r="G284" s="108">
        <f ca="1">C284-A284+G283*(1+'normal case'!T284/100)</f>
        <v>-83992.222501436088</v>
      </c>
      <c r="H284" s="109">
        <f ca="1">IF(ABS(G284/'normal case'!D285-H283)&lt;0.0000001,H283,G284/'normal case'!D285)</f>
        <v>-831.60616288978713</v>
      </c>
    </row>
    <row r="285" spans="1:8">
      <c r="A285" s="108">
        <f ca="1">('main page'!$U$31/100)*'normal case'!D286</f>
        <v>20.200000011920931</v>
      </c>
      <c r="B285" s="109"/>
      <c r="C285" s="108">
        <f ca="1">'normal case'!AN286-'normal case'!AN285+IF(controls!$B$33=1,(1+(('main page'!$K$35/100)))*C284,'public finance'!C284)</f>
        <v>20</v>
      </c>
      <c r="D285" s="109">
        <f ca="1">IF(ABS(((A285-C285)/'normal case'!D286)-D284)&lt;0.0000001,D284,(A285-C285)/'normal case'!D286)</f>
        <v>1.9802129779314939E-3</v>
      </c>
      <c r="E285" s="109">
        <f ca="1">IF(ABS(D285-(G285*('normal case'!T286/100))/'normal case'!D286-E284)&lt;0.00001,E284,D285-(G285*('normal case'!T286/100))/'normal case'!D286)</f>
        <v>30.126982505408055</v>
      </c>
      <c r="F285" s="110">
        <f ca="1">F284*(1+'normal case'!L285/100)</f>
        <v>266.25937973266628</v>
      </c>
      <c r="G285" s="108">
        <f ca="1">C285-A285+G284*(1+'normal case'!T285/100)</f>
        <v>-86932.150263966629</v>
      </c>
      <c r="H285" s="109">
        <f ca="1">IF(ABS(G285/'normal case'!D286-H284)&lt;0.0000001,H284,G285/'normal case'!D286)</f>
        <v>-860.71435854122831</v>
      </c>
    </row>
    <row r="286" spans="1:8">
      <c r="A286" s="108">
        <f ca="1">('main page'!$U$31/100)*'normal case'!D287</f>
        <v>20.200000011920931</v>
      </c>
      <c r="B286" s="109"/>
      <c r="C286" s="108">
        <f ca="1">'normal case'!AN287-'normal case'!AN286+IF(controls!$B$33=1,(1+(('main page'!$K$35/100)))*C285,'public finance'!C285)</f>
        <v>20</v>
      </c>
      <c r="D286" s="109">
        <f ca="1">IF(ABS(((A286-C286)/'normal case'!D287)-D285)&lt;0.0000001,D285,(A286-C286)/'normal case'!D287)</f>
        <v>1.9802129779314939E-3</v>
      </c>
      <c r="E286" s="109">
        <f ca="1">IF(ABS(D286-(G286*('normal case'!T287/100))/'normal case'!D287-E285)&lt;0.00001,E285,D286-(G286*('normal case'!T287/100))/'normal case'!D287)</f>
        <v>31.181426883599347</v>
      </c>
      <c r="F286" s="110">
        <f ca="1">F285*(1+'normal case'!L286/100)</f>
        <v>271.58456700991371</v>
      </c>
      <c r="G286" s="108">
        <f ca="1">C286-A286+G285*(1+'normal case'!T286/100)</f>
        <v>-89974.97549730957</v>
      </c>
      <c r="H286" s="109">
        <f ca="1">IF(ABS(G286/'normal case'!D287-H285)&lt;0.0000001,H285,G286/'normal case'!D287)</f>
        <v>-890.84134103179497</v>
      </c>
    </row>
    <row r="287" spans="1:8">
      <c r="A287" s="108">
        <f ca="1">('main page'!$U$31/100)*'normal case'!D288</f>
        <v>20.200000011920931</v>
      </c>
      <c r="B287" s="109"/>
      <c r="C287" s="108">
        <f ca="1">'normal case'!AN288-'normal case'!AN287+IF(controls!$B$33=1,(1+(('main page'!$K$35/100)))*C286,'public finance'!C286)</f>
        <v>20</v>
      </c>
      <c r="D287" s="109">
        <f ca="1">IF(ABS(((A287-C287)/'normal case'!D288)-D286)&lt;0.0000001,D286,(A287-C287)/'normal case'!D288)</f>
        <v>1.9802129779314939E-3</v>
      </c>
      <c r="E287" s="109">
        <f ca="1">IF(ABS(D287-(G287*('normal case'!T288/100))/'normal case'!D288-E286)&lt;0.00001,E286,D287-(G287*('normal case'!T288/100))/'normal case'!D288)</f>
        <v>32.27277681471309</v>
      </c>
      <c r="F287" s="110">
        <f ca="1">F286*(1+'normal case'!L287/100)</f>
        <v>277.01625802635795</v>
      </c>
      <c r="G287" s="108">
        <f ca="1">C287-A287+G286*(1+'normal case'!T287/100)</f>
        <v>-93124.299612912684</v>
      </c>
      <c r="H287" s="109">
        <f ca="1">IF(ABS(G287/'normal case'!D288-H286)&lt;0.0000001,H286,G287/'normal case'!D288)</f>
        <v>-922.02276790055294</v>
      </c>
    </row>
    <row r="288" spans="1:8">
      <c r="A288" s="108">
        <f ca="1">('main page'!$U$31/100)*'normal case'!D289</f>
        <v>20.200000011920931</v>
      </c>
      <c r="B288" s="109"/>
      <c r="C288" s="108">
        <f ca="1">'normal case'!AN289-'normal case'!AN288+IF(controls!$B$33=1,(1+(('main page'!$K$35/100)))*C287,'public finance'!C287)</f>
        <v>20</v>
      </c>
      <c r="D288" s="109">
        <f ca="1">IF(ABS(((A288-C288)/'normal case'!D289)-D287)&lt;0.0000001,D287,(A288-C288)/'normal case'!D289)</f>
        <v>1.9802129779314939E-3</v>
      </c>
      <c r="E288" s="109">
        <f ca="1">IF(ABS(D288-(G288*('normal case'!T289/100))/'normal case'!D289-E287)&lt;0.00001,E287,D288-(G288*('normal case'!T289/100))/'normal case'!D289)</f>
        <v>33.402323993090569</v>
      </c>
      <c r="F288" s="110">
        <f ca="1">F287*(1+'normal case'!L288/100)</f>
        <v>282.55658285665601</v>
      </c>
      <c r="G288" s="108">
        <f ca="1">C288-A288+G287*(1+'normal case'!T288/100)</f>
        <v>-96383.850071623339</v>
      </c>
      <c r="H288" s="109">
        <f ca="1">IF(ABS(G288/'normal case'!D289-H287)&lt;0.0000001,H287,G288/'normal case'!D289)</f>
        <v>-954.29554470042467</v>
      </c>
    </row>
    <row r="289" spans="1:8">
      <c r="A289" s="108">
        <f ca="1">('main page'!$U$31/100)*'normal case'!D290</f>
        <v>20.200000011920931</v>
      </c>
      <c r="B289" s="109"/>
      <c r="C289" s="108">
        <f ca="1">'normal case'!AN290-'normal case'!AN289+IF(controls!$B$33=1,(1+(('main page'!$K$35/100)))*C288,'public finance'!C288)</f>
        <v>20</v>
      </c>
      <c r="D289" s="109">
        <f ca="1">IF(ABS(((A289-C289)/'normal case'!D290)-D288)&lt;0.0000001,D288,(A289-C289)/'normal case'!D290)</f>
        <v>1.9802129779314939E-3</v>
      </c>
      <c r="E289" s="109">
        <f ca="1">IF(ABS(D289-(G289*('normal case'!T290/100))/'normal case'!D290-E288)&lt;0.00001,E288,D289-(G289*('normal case'!T290/100))/'normal case'!D290)</f>
        <v>34.571405322374623</v>
      </c>
      <c r="F289" s="110">
        <f ca="1">F288*(1+'normal case'!L289/100)</f>
        <v>288.20771417695545</v>
      </c>
      <c r="G289" s="108">
        <f ca="1">C289-A289+G288*(1+'normal case'!T289/100)</f>
        <v>-99757.484795417447</v>
      </c>
      <c r="H289" s="109">
        <f ca="1">IF(ABS(G289/'normal case'!D290-H288)&lt;0.0000001,H288,G289/'normal case'!D290)</f>
        <v>-987.6978686786739</v>
      </c>
    </row>
    <row r="290" spans="1:8">
      <c r="A290" s="108">
        <f ca="1">('main page'!$U$31/100)*'normal case'!D291</f>
        <v>20.200000011920931</v>
      </c>
      <c r="B290" s="109"/>
      <c r="C290" s="108">
        <f ca="1">'normal case'!AN291-'normal case'!AN290+IF(controls!$B$33=1,(1+(('main page'!$K$35/100)))*C289,'public finance'!C289)</f>
        <v>20</v>
      </c>
      <c r="D290" s="109">
        <f ca="1">IF(ABS(((A290-C290)/'normal case'!D291)-D289)&lt;0.0000001,D289,(A290-C290)/'normal case'!D291)</f>
        <v>1.9802129779314939E-3</v>
      </c>
      <c r="E290" s="109">
        <f ca="1">IF(ABS(D290-(G290*('normal case'!T291/100))/'normal case'!D291-E289)&lt;0.00001,E289,D290-(G290*('normal case'!T291/100))/'normal case'!D291)</f>
        <v>35.781404497835204</v>
      </c>
      <c r="F290" s="110">
        <f ca="1">F289*(1+'normal case'!L290/100)</f>
        <v>293.97186811692421</v>
      </c>
      <c r="G290" s="108">
        <f ca="1">C290-A290+G289*(1+'normal case'!T290/100)</f>
        <v>-103249.19673353892</v>
      </c>
      <c r="H290" s="109">
        <f ca="1">IF(ABS(G290/'normal case'!D291-H289)&lt;0.0000001,H289,G290/'normal case'!D291)</f>
        <v>-1022.2692739862072</v>
      </c>
    </row>
    <row r="291" spans="1:8">
      <c r="A291" s="108">
        <f ca="1">('main page'!$U$31/100)*'normal case'!D292</f>
        <v>20.200000011920931</v>
      </c>
      <c r="B291" s="109"/>
      <c r="C291" s="108">
        <f ca="1">'normal case'!AN292-'normal case'!AN291+IF(controls!$B$33=1,(1+(('main page'!$K$35/100)))*C290,'public finance'!C290)</f>
        <v>20</v>
      </c>
      <c r="D291" s="109">
        <f ca="1">IF(ABS(((A291-C291)/'normal case'!D292)-D290)&lt;0.0000001,D290,(A291-C291)/'normal case'!D292)</f>
        <v>1.9802129779314939E-3</v>
      </c>
      <c r="E291" s="109">
        <f ca="1">IF(ABS(D291-(G291*('normal case'!T292/100))/'normal case'!D292-E290)&lt;0.00001,E290,D291-(G291*('normal case'!T292/100))/'normal case'!D292)</f>
        <v>37.033753644076292</v>
      </c>
      <c r="F291" s="110">
        <f ca="1">F290*(1+'normal case'!L291/100)</f>
        <v>299.85130512882091</v>
      </c>
      <c r="G291" s="108">
        <f ca="1">C291-A291+G290*(1+'normal case'!T291/100)</f>
        <v>-106863.11858845403</v>
      </c>
      <c r="H291" s="109">
        <f ca="1">IF(ABS(G291/'normal case'!D292-H290)&lt;0.0000001,H290,G291/'normal case'!D292)</f>
        <v>-1058.0506784692009</v>
      </c>
    </row>
    <row r="292" spans="1:8">
      <c r="A292" s="108">
        <f ca="1">('main page'!$U$31/100)*'normal case'!D293</f>
        <v>20.200000011920931</v>
      </c>
      <c r="B292" s="109"/>
      <c r="C292" s="108">
        <f ca="1">'normal case'!AN293-'normal case'!AN292+IF(controls!$B$33=1,(1+(('main page'!$K$35/100)))*C291,'public finance'!C291)</f>
        <v>20</v>
      </c>
      <c r="D292" s="109">
        <f ca="1">IF(ABS(((A292-C292)/'normal case'!D293)-D291)&lt;0.0000001,D291,(A292-C292)/'normal case'!D293)</f>
        <v>1.9802129779314939E-3</v>
      </c>
      <c r="E292" s="109">
        <f ca="1">IF(ABS(D292-(G292*('normal case'!T293/100))/'normal case'!D293-E291)&lt;0.00001,E291,D292-(G292*('normal case'!T293/100))/'normal case'!D293)</f>
        <v>38.329935010062599</v>
      </c>
      <c r="F292" s="110">
        <f ca="1">F291*(1+'normal case'!L292/100)</f>
        <v>305.84833087394674</v>
      </c>
      <c r="G292" s="108">
        <f ca="1">C292-A292+G291*(1+'normal case'!T292/100)</f>
        <v>-110603.52770721415</v>
      </c>
      <c r="H292" s="109">
        <f ca="1">IF(ABS(G292/'normal case'!D293-H291)&lt;0.0000001,H291,G292/'normal case'!D293)</f>
        <v>-1095.0844320984359</v>
      </c>
    </row>
    <row r="293" spans="1:8">
      <c r="A293" s="108">
        <f ca="1">('main page'!$U$31/100)*'normal case'!D294</f>
        <v>20.200000011920931</v>
      </c>
      <c r="B293" s="109"/>
      <c r="C293" s="108">
        <f ca="1">'normal case'!AN294-'normal case'!AN293+IF(controls!$B$33=1,(1+(('main page'!$K$35/100)))*C292,'public finance'!C292)</f>
        <v>20</v>
      </c>
      <c r="D293" s="109">
        <f ca="1">IF(ABS(((A293-C293)/'normal case'!D294)-D292)&lt;0.0000001,D292,(A293-C293)/'normal case'!D294)</f>
        <v>1.9802129779314939E-3</v>
      </c>
      <c r="E293" s="109">
        <f ca="1">IF(ABS(D293-(G293*('normal case'!T294/100))/'normal case'!D294-E292)&lt;0.00001,E292,D293-(G293*('normal case'!T294/100))/'normal case'!D294)</f>
        <v>39.671482723472138</v>
      </c>
      <c r="F293" s="110">
        <f ca="1">F292*(1+'normal case'!L293/100)</f>
        <v>311.96529712682604</v>
      </c>
      <c r="G293" s="108">
        <f ca="1">C293-A293+G292*(1+'normal case'!T293/100)</f>
        <v>-114474.85114401614</v>
      </c>
      <c r="H293" s="109">
        <f ca="1">IF(ABS(G293/'normal case'!D294-H292)&lt;0.0000001,H292,G293/'normal case'!D294)</f>
        <v>-1133.4143670936571</v>
      </c>
    </row>
    <row r="294" spans="1:8">
      <c r="A294" s="108">
        <f ca="1">('main page'!$U$31/100)*'normal case'!D295</f>
        <v>20.200000011920931</v>
      </c>
      <c r="B294" s="109"/>
      <c r="C294" s="108">
        <f ca="1">'normal case'!AN295-'normal case'!AN294+IF(controls!$B$33=1,(1+(('main page'!$K$35/100)))*C293,'public finance'!C293)</f>
        <v>20</v>
      </c>
      <c r="D294" s="109">
        <f ca="1">IF(ABS(((A294-C294)/'normal case'!D295)-D293)&lt;0.0000001,D293,(A294-C294)/'normal case'!D295)</f>
        <v>1.9802129779314939E-3</v>
      </c>
      <c r="E294" s="109">
        <f ca="1">IF(ABS(D294-(G294*('normal case'!T295/100))/'normal case'!D295-E293)&lt;0.00001,E293,D294-(G294*('normal case'!T295/100))/'normal case'!D295)</f>
        <v>41.059984606451188</v>
      </c>
      <c r="F294" s="110">
        <f ca="1">F293*(1+'normal case'!L294/100)</f>
        <v>318.20460269747099</v>
      </c>
      <c r="G294" s="108">
        <f ca="1">C294-A294+G293*(1+'normal case'!T294/100)</f>
        <v>-118481.67089995246</v>
      </c>
      <c r="H294" s="109">
        <f ca="1">IF(ABS(G294/'normal case'!D295-H293)&lt;0.0000001,H293,G294/'normal case'!D295)</f>
        <v>-1173.0858498022881</v>
      </c>
    </row>
    <row r="295" spans="1:8">
      <c r="A295" s="108">
        <f ca="1">('main page'!$U$31/100)*'normal case'!D296</f>
        <v>20.200000011920931</v>
      </c>
      <c r="B295" s="109"/>
      <c r="C295" s="108">
        <f ca="1">'normal case'!AN296-'normal case'!AN295+IF(controls!$B$33=1,(1+(('main page'!$K$35/100)))*C294,'public finance'!C294)</f>
        <v>20</v>
      </c>
      <c r="D295" s="109">
        <f ca="1">IF(ABS(((A295-C295)/'normal case'!D296)-D294)&lt;0.0000001,D294,(A295-C295)/'normal case'!D296)</f>
        <v>1.9802129779314939E-3</v>
      </c>
      <c r="E295" s="109">
        <f ca="1">IF(ABS(D295-(G295*('normal case'!T296/100))/'normal case'!D296-E294)&lt;0.00001,E294,D295-(G295*('normal case'!T296/100))/'normal case'!D296)</f>
        <v>42.497084054920705</v>
      </c>
      <c r="F295" s="110">
        <f ca="1">F294*(1+'normal case'!L295/100)</f>
        <v>324.56869437209099</v>
      </c>
      <c r="G295" s="108">
        <f ca="1">C295-A295+G294*(1+'normal case'!T295/100)</f>
        <v>-122628.72934615241</v>
      </c>
      <c r="H295" s="109">
        <f ca="1">IF(ABS(G295/'normal case'!D296-H294)&lt;0.0000001,H294,G295/'normal case'!D296)</f>
        <v>-1214.1458343938978</v>
      </c>
    </row>
    <row r="296" spans="1:8">
      <c r="A296" s="108">
        <f ca="1">('main page'!$U$31/100)*'normal case'!D297</f>
        <v>20.200000011920931</v>
      </c>
      <c r="B296" s="109"/>
      <c r="C296" s="108">
        <f ca="1">'normal case'!AN297-'normal case'!AN296+IF(controls!$B$33=1,(1+(('main page'!$K$35/100)))*C295,'public finance'!C295)</f>
        <v>20</v>
      </c>
      <c r="D296" s="109">
        <f ca="1">IF(ABS(((A296-C296)/'normal case'!D297)-D295)&lt;0.0000001,D295,(A296-C296)/'normal case'!D297)</f>
        <v>1.9802129779314939E-3</v>
      </c>
      <c r="E296" s="109">
        <f ca="1">IF(ABS(D296-(G296*('normal case'!T297/100))/'normal case'!D297-E295)&lt;0.00001,E295,D296-(G296*('normal case'!T297/100))/'normal case'!D297)</f>
        <v>43.984481983658362</v>
      </c>
      <c r="F296" s="110">
        <f ca="1">F295*(1+'normal case'!L296/100)</f>
        <v>331.0600678726168</v>
      </c>
      <c r="G296" s="108">
        <f ca="1">C296-A296+G295*(1+'normal case'!T296/100)</f>
        <v>-126920.93483673345</v>
      </c>
      <c r="H296" s="109">
        <f ca="1">IF(ABS(G296/'normal case'!D297-H295)&lt;0.0000001,H295,G296/'normal case'!D297)</f>
        <v>-1256.6429184339772</v>
      </c>
    </row>
    <row r="297" spans="1:8">
      <c r="A297" s="108">
        <f ca="1">('main page'!$U$31/100)*'normal case'!D298</f>
        <v>20.200000011920931</v>
      </c>
      <c r="B297" s="109"/>
      <c r="C297" s="108">
        <f ca="1">'normal case'!AN298-'normal case'!AN297+IF(controls!$B$33=1,(1+(('main page'!$K$35/100)))*C296,'public finance'!C296)</f>
        <v>20</v>
      </c>
      <c r="D297" s="109">
        <f ca="1">IF(ABS(((A297-C297)/'normal case'!D298)-D296)&lt;0.0000001,D296,(A297-C297)/'normal case'!D298)</f>
        <v>1.9802129779314939E-3</v>
      </c>
      <c r="E297" s="109">
        <f ca="1">IF(ABS(D297-(G297*('normal case'!T298/100))/'normal case'!D298-E296)&lt;0.00001,E296,D297-(G297*('normal case'!T298/100))/'normal case'!D298)</f>
        <v>45.523938839458559</v>
      </c>
      <c r="F297" s="110">
        <f ca="1">F296*(1+'normal case'!L297/100)</f>
        <v>337.68126883541481</v>
      </c>
      <c r="G297" s="108">
        <f ca="1">C297-A297+G296*(1+'normal case'!T297/100)</f>
        <v>-131363.36751820563</v>
      </c>
      <c r="H297" s="109">
        <f ca="1">IF(ABS(G297/'normal case'!D298-H296)&lt;0.0000001,H296,G297/'normal case'!D298)</f>
        <v>-1300.6274004027941</v>
      </c>
    </row>
    <row r="298" spans="1:8">
      <c r="A298" s="108">
        <f ca="1">('main page'!$U$31/100)*'normal case'!D299</f>
        <v>20.200000011920931</v>
      </c>
      <c r="B298" s="109"/>
      <c r="C298" s="108">
        <f ca="1">'normal case'!AN299-'normal case'!AN298+IF(controls!$B$33=1,(1+(('main page'!$K$35/100)))*C297,'public finance'!C297)</f>
        <v>20</v>
      </c>
      <c r="D298" s="109">
        <f ca="1">IF(ABS(((A298-C298)/'normal case'!D299)-D297)&lt;0.0000001,D297,(A298-C298)/'normal case'!D299)</f>
        <v>1.9802129779314939E-3</v>
      </c>
      <c r="E298" s="109">
        <f ca="1">IF(ABS(D298-(G298*('normal case'!T299/100))/'normal case'!D299-E297)&lt;0.00001,E297,D298-(G298*('normal case'!T299/100))/'normal case'!D299)</f>
        <v>47.117276684752966</v>
      </c>
      <c r="F298" s="110">
        <f ca="1">F297*(1+'normal case'!L298/100)</f>
        <v>344.43489380957567</v>
      </c>
      <c r="G298" s="108">
        <f ca="1">C298-A298+G297*(1+'normal case'!T298/100)</f>
        <v>-135961.2853422054</v>
      </c>
      <c r="H298" s="109">
        <f ca="1">IF(ABS(G298/'normal case'!D299-H297)&lt;0.0000001,H297,G298/'normal case'!D299)</f>
        <v>-1346.1513392274112</v>
      </c>
    </row>
    <row r="299" spans="1:8">
      <c r="A299" s="108">
        <f ca="1">('main page'!$U$31/100)*'normal case'!D300</f>
        <v>20.200000011920931</v>
      </c>
      <c r="B299" s="109"/>
      <c r="C299" s="108">
        <f ca="1">'normal case'!AN300-'normal case'!AN299+IF(controls!$B$33=1,(1+(('main page'!$K$35/100)))*C298,'public finance'!C298)</f>
        <v>20</v>
      </c>
      <c r="D299" s="109">
        <f ca="1">IF(ABS(((A299-C299)/'normal case'!D300)-D298)&lt;0.0000001,D298,(A299-C299)/'normal case'!D300)</f>
        <v>1.9802129779314939E-3</v>
      </c>
      <c r="E299" s="109">
        <f ca="1">IF(ABS(D299-(G299*('normal case'!T300/100))/'normal case'!D300-E298)&lt;0.00001,E298,D299-(G299*('normal case'!T300/100))/'normal case'!D300)</f>
        <v>48.766381354157829</v>
      </c>
      <c r="F299" s="110">
        <f ca="1">F298*(1+'normal case'!L299/100)</f>
        <v>351.32359127516878</v>
      </c>
      <c r="G299" s="108">
        <f ca="1">C299-A299+G298*(1+'normal case'!T299/100)</f>
        <v>-140720.13028867487</v>
      </c>
      <c r="H299" s="109">
        <f ca="1">IF(ABS(G299/'normal case'!D300-H298)&lt;0.0000001,H298,G299/'normal case'!D300)</f>
        <v>-1393.2686158973227</v>
      </c>
    </row>
    <row r="300" spans="1:8">
      <c r="A300" s="108">
        <f ca="1">('main page'!$U$31/100)*'normal case'!D301</f>
        <v>20.200000011920931</v>
      </c>
      <c r="B300" s="109"/>
      <c r="C300" s="108">
        <f ca="1">'normal case'!AN301-'normal case'!AN300+IF(controls!$B$33=1,(1+(('main page'!$K$35/100)))*C299,'public finance'!C299)</f>
        <v>20</v>
      </c>
      <c r="D300" s="109">
        <f ca="1">IF(ABS(((A300-C300)/'normal case'!D301)-D299)&lt;0.0000001,D299,(A300-C300)/'normal case'!D301)</f>
        <v>1.9802129779314939E-3</v>
      </c>
      <c r="E300" s="109">
        <f ca="1">IF(ABS(D300-(G300*('normal case'!T301/100))/'normal case'!D301-E299)&lt;0.00001,E299,D300-(G300*('normal case'!T301/100))/'normal case'!D301)</f>
        <v>50.473204686500395</v>
      </c>
      <c r="F300" s="110">
        <f ca="1">F299*(1+'normal case'!L300/100)</f>
        <v>358.3500626818618</v>
      </c>
      <c r="G300" s="108">
        <f ca="1">C300-A300+G299*(1+'normal case'!T300/100)</f>
        <v>-145645.53480685255</v>
      </c>
      <c r="H300" s="109">
        <f ca="1">IF(ABS(G300/'normal case'!D301-H299)&lt;0.0000001,H299,G300/'normal case'!D301)</f>
        <v>-1442.0349972366394</v>
      </c>
    </row>
    <row r="301" spans="1:8">
      <c r="A301" s="108">
        <f ca="1">('main page'!$U$31/100)*'normal case'!D302</f>
        <v>20.200000011920931</v>
      </c>
      <c r="B301" s="109"/>
      <c r="C301" s="108">
        <f ca="1">'normal case'!AN302-'normal case'!AN301+IF(controls!$B$33=1,(1+(('main page'!$K$35/100)))*C300,'public finance'!C300)</f>
        <v>20</v>
      </c>
      <c r="D301" s="109">
        <f ca="1">IF(ABS(((A301-C301)/'normal case'!D302)-D300)&lt;0.0000001,D300,(A301-C301)/'normal case'!D302)</f>
        <v>1.9802129779314939E-3</v>
      </c>
      <c r="E301" s="109">
        <f ca="1">IF(ABS(D301-(G301*('normal case'!T302/100))/'normal case'!D302-E300)&lt;0.00001,E300,D301-(G301*('normal case'!T302/100))/'normal case'!D302)</f>
        <v>52.239766834966275</v>
      </c>
      <c r="F301" s="110">
        <f ca="1">F300*(1+'normal case'!L301/100)</f>
        <v>365.5170635083125</v>
      </c>
      <c r="G301" s="108">
        <f ca="1">C301-A301+G300*(1+'normal case'!T301/100)</f>
        <v>-150743.32848169855</v>
      </c>
      <c r="H301" s="109">
        <f ca="1">IF(ABS(G301/'normal case'!D302-H300)&lt;0.0000001,H300,G301/'normal case'!D302)</f>
        <v>-1492.5082019082984</v>
      </c>
    </row>
    <row r="302" spans="1:8">
      <c r="A302" s="108">
        <f ca="1">('main page'!$U$31/100)*'normal case'!D303</f>
        <v>20.200000011920931</v>
      </c>
      <c r="B302" s="109"/>
      <c r="C302" s="108">
        <f ca="1">'normal case'!AN303-'normal case'!AN302+IF(controls!$B$33=1,(1+(('main page'!$K$35/100)))*C301,'public finance'!C301)</f>
        <v>20</v>
      </c>
      <c r="D302" s="109">
        <f ca="1">IF(ABS(((A302-C302)/'normal case'!D303)-D301)&lt;0.0000001,D301,(A302-C302)/'normal case'!D303)</f>
        <v>1.9802129779314939E-3</v>
      </c>
      <c r="E302" s="109">
        <f ca="1">IF(ABS(D302-(G302*('normal case'!T303/100))/'normal case'!D303-E301)&lt;0.00001,E301,D302-(G302*('normal case'!T303/100))/'normal case'!D303)</f>
        <v>54.068158658101986</v>
      </c>
      <c r="F302" s="110">
        <f ca="1">F301*(1+'normal case'!L302/100)</f>
        <v>372.82740434274848</v>
      </c>
      <c r="G302" s="108">
        <f ca="1">C302-A302+G301*(1+'normal case'!T302/100)</f>
        <v>-156019.54493364491</v>
      </c>
      <c r="H302" s="109">
        <f ca="1">IF(ABS(G302/'normal case'!D303-H301)&lt;0.0000001,H301,G302/'normal case'!D303)</f>
        <v>-1544.7479687284233</v>
      </c>
    </row>
    <row r="303" spans="1:8">
      <c r="A303" s="108">
        <f ca="1">('main page'!$U$31/100)*'normal case'!D304</f>
        <v>20.200000011920931</v>
      </c>
      <c r="B303" s="109"/>
      <c r="C303" s="108">
        <f ca="1">'normal case'!AN304-'normal case'!AN303+IF(controls!$B$33=1,(1+(('main page'!$K$35/100)))*C302,'public finance'!C302)</f>
        <v>20</v>
      </c>
      <c r="D303" s="109">
        <f ca="1">IF(ABS(((A303-C303)/'normal case'!D304)-D302)&lt;0.0000001,D302,(A303-C303)/'normal case'!D304)</f>
        <v>1.9802129779314939E-3</v>
      </c>
      <c r="E303" s="109">
        <f ca="1">IF(ABS(D303-(G303*('normal case'!T304/100))/'normal case'!D304-E302)&lt;0.00001,E302,D303-(G303*('normal case'!T304/100))/'normal case'!D304)</f>
        <v>55.960544194502546</v>
      </c>
      <c r="F303" s="110">
        <f ca="1">F302*(1+'normal case'!L303/100)</f>
        <v>380.28395198515858</v>
      </c>
      <c r="G303" s="108">
        <f ca="1">C303-A303+G302*(1+'normal case'!T303/100)</f>
        <v>-161480.42895983695</v>
      </c>
      <c r="H303" s="109">
        <f ca="1">IF(ABS(G303/'normal case'!D304-H302)&lt;0.0000001,H302,G303/'normal case'!D304)</f>
        <v>-1598.8161273716839</v>
      </c>
    </row>
    <row r="304" spans="1:8">
      <c r="A304" s="108">
        <f ca="1">('main page'!$U$31/100)*'normal case'!D305</f>
        <v>20.200000011920931</v>
      </c>
      <c r="B304" s="109"/>
      <c r="C304" s="108">
        <f ca="1">'normal case'!AN305-'normal case'!AN304+IF(controls!$B$33=1,(1+(('main page'!$K$35/100)))*C303,'public finance'!C303)</f>
        <v>20</v>
      </c>
      <c r="D304" s="109">
        <f ca="1">IF(ABS(((A304-C304)/'normal case'!D305)-D303)&lt;0.0000001,D303,(A304-C304)/'normal case'!D305)</f>
        <v>1.9802129779314939E-3</v>
      </c>
      <c r="E304" s="109">
        <f ca="1">IF(ABS(D304-(G304*('normal case'!T305/100))/'normal case'!D305-E303)&lt;0.00001,E303,D304-(G304*('normal case'!T305/100))/'normal case'!D305)</f>
        <v>57.919163224113142</v>
      </c>
      <c r="F304" s="110">
        <f ca="1">F303*(1+'normal case'!L304/100)</f>
        <v>387.88963057152796</v>
      </c>
      <c r="G304" s="108">
        <f ca="1">C304-A304+G303*(1+'normal case'!T304/100)</f>
        <v>-167132.44392531825</v>
      </c>
      <c r="H304" s="109">
        <f ca="1">IF(ABS(G304/'normal case'!D305-H303)&lt;0.0000001,H303,G304/'normal case'!D305)</f>
        <v>-1654.7766715513453</v>
      </c>
    </row>
    <row r="305" spans="1:8">
      <c r="A305" s="108">
        <f ca="1">('main page'!$U$31/100)*'normal case'!D306</f>
        <v>20.200000011920931</v>
      </c>
      <c r="B305" s="109"/>
      <c r="C305" s="108">
        <f ca="1">'normal case'!AN306-'normal case'!AN305+IF(controls!$B$33=1,(1+(('main page'!$K$35/100)))*C304,'public finance'!C304)</f>
        <v>20</v>
      </c>
      <c r="D305" s="109">
        <f ca="1">IF(ABS(((A305-C305)/'normal case'!D306)-D304)&lt;0.0000001,D304,(A305-C305)/'normal case'!D306)</f>
        <v>1.9802129779314939E-3</v>
      </c>
      <c r="E305" s="109">
        <f ca="1">IF(ABS(D305-(G305*('normal case'!T306/100))/'normal case'!D306-E304)&lt;0.00001,E304,D305-(G305*('normal case'!T306/100))/'normal case'!D306)</f>
        <v>59.946333919176396</v>
      </c>
      <c r="F305" s="110">
        <f ca="1">F304*(1+'normal case'!L305/100)</f>
        <v>395.64742272055804</v>
      </c>
      <c r="G305" s="108">
        <f ca="1">C305-A305+G304*(1+'normal case'!T305/100)</f>
        <v>-172982.27941290694</v>
      </c>
      <c r="H305" s="109">
        <f ca="1">IF(ABS(G305/'normal case'!D306-H304)&lt;0.0000001,H304,G305/'normal case'!D306)</f>
        <v>-1712.6958347606169</v>
      </c>
    </row>
    <row r="306" spans="1:8">
      <c r="A306" s="108">
        <f ca="1">('main page'!$U$31/100)*'normal case'!D307</f>
        <v>20.200000011920931</v>
      </c>
      <c r="B306" s="109"/>
      <c r="C306" s="108">
        <f ca="1">'normal case'!AN307-'normal case'!AN306+IF(controls!$B$33=1,(1+(('main page'!$K$35/100)))*C305,'public finance'!C305)</f>
        <v>20</v>
      </c>
      <c r="D306" s="109">
        <f ca="1">IF(ABS(((A306-C306)/'normal case'!D307)-D305)&lt;0.0000001,D305,(A306-C306)/'normal case'!D307)</f>
        <v>1.9802129779314939E-3</v>
      </c>
      <c r="E306" s="109">
        <f ca="1">IF(ABS(D306-(G306*('normal case'!T307/100))/'normal case'!D307-E305)&lt;0.00001,E305,D306-(G306*('normal case'!T307/100))/'normal case'!D307)</f>
        <v>62.044455587962723</v>
      </c>
      <c r="F306" s="110">
        <f ca="1">F305*(1+'normal case'!L306/100)</f>
        <v>403.56037070332076</v>
      </c>
      <c r="G306" s="108">
        <f ca="1">C306-A306+G305*(1+'normal case'!T306/100)</f>
        <v>-179036.85914081786</v>
      </c>
      <c r="H306" s="109">
        <f ca="1">IF(ABS(G306/'normal case'!D307-H305)&lt;0.0000001,H305,G306/'normal case'!D307)</f>
        <v>-1772.6421686649521</v>
      </c>
    </row>
    <row r="307" spans="1:8">
      <c r="A307" s="108">
        <f ca="1">('main page'!$U$31/100)*'normal case'!D308</f>
        <v>20.200000011920931</v>
      </c>
      <c r="B307" s="109"/>
      <c r="C307" s="108">
        <f ca="1">'normal case'!AN308-'normal case'!AN307+IF(controls!$B$33=1,(1+(('main page'!$K$35/100)))*C306,'public finance'!C306)</f>
        <v>20</v>
      </c>
      <c r="D307" s="109">
        <f ca="1">IF(ABS(((A307-C307)/'normal case'!D308)-D306)&lt;0.0000001,D306,(A307-C307)/'normal case'!D308)</f>
        <v>1.9802129779314939E-3</v>
      </c>
      <c r="E307" s="109">
        <f ca="1">IF(ABS(D307-(G307*('normal case'!T308/100))/'normal case'!D308-E306)&lt;0.00001,E306,D307-(G307*('normal case'!T308/100))/'normal case'!D308)</f>
        <v>64.216011514531274</v>
      </c>
      <c r="F307" s="110">
        <f ca="1">F306*(1+'normal case'!L307/100)</f>
        <v>411.63157763630574</v>
      </c>
      <c r="G307" s="108">
        <f ca="1">C307-A307+G306*(1+'normal case'!T307/100)</f>
        <v>-185303.34915740124</v>
      </c>
      <c r="H307" s="109">
        <f ca="1">IF(ABS(G307/'normal case'!D308-H306)&lt;0.0000001,H306,G307/'normal case'!D308)</f>
        <v>-1834.6866242380734</v>
      </c>
    </row>
    <row r="308" spans="1:8">
      <c r="A308" s="108">
        <f ca="1">('main page'!$U$31/100)*'normal case'!D309</f>
        <v>20.200000011920931</v>
      </c>
      <c r="B308" s="109"/>
      <c r="C308" s="108">
        <f ca="1">'normal case'!AN309-'normal case'!AN308+IF(controls!$B$33=1,(1+(('main page'!$K$35/100)))*C307,'public finance'!C307)</f>
        <v>20</v>
      </c>
      <c r="D308" s="109">
        <f ca="1">IF(ABS(((A308-C308)/'normal case'!D309)-D307)&lt;0.0000001,D307,(A308-C308)/'normal case'!D309)</f>
        <v>1.9802129779314939E-3</v>
      </c>
      <c r="E308" s="109">
        <f ca="1">IF(ABS(D308-(G308*('normal case'!T309/100))/'normal case'!D309-E307)&lt;0.00001,E307,D308-(G308*('normal case'!T309/100))/'normal case'!D309)</f>
        <v>66.463571897882559</v>
      </c>
      <c r="F308" s="110">
        <f ca="1">F307*(1+'normal case'!L308/100)</f>
        <v>419.86420869832881</v>
      </c>
      <c r="G308" s="108">
        <f ca="1">C308-A308+G307*(1+'normal case'!T308/100)</f>
        <v>-191789.16632269751</v>
      </c>
      <c r="H308" s="109">
        <f ca="1">IF(ABS(G308/'normal case'!D309-H307)&lt;0.0000001,H307,G308/'normal case'!D309)</f>
        <v>-1898.9026357377634</v>
      </c>
    </row>
    <row r="309" spans="1:8">
      <c r="A309" s="108">
        <f ca="1">('main page'!$U$31/100)*'normal case'!D310</f>
        <v>20.200000011920931</v>
      </c>
      <c r="B309" s="109"/>
      <c r="C309" s="108">
        <f ca="1">'normal case'!AN310-'normal case'!AN309+IF(controls!$B$33=1,(1+(('main page'!$K$35/100)))*C308,'public finance'!C308)</f>
        <v>20</v>
      </c>
      <c r="D309" s="109">
        <f ca="1">IF(ABS(((A309-C309)/'normal case'!D310)-D308)&lt;0.0000001,D308,(A309-C309)/'normal case'!D310)</f>
        <v>1.9802129779314939E-3</v>
      </c>
      <c r="E309" s="109">
        <f ca="1">IF(ABS(D309-(G309*('normal case'!T310/100))/'normal case'!D310-E308)&lt;0.00001,E308,D309-(G309*('normal case'!T310/100))/'normal case'!D310)</f>
        <v>68.789796893981318</v>
      </c>
      <c r="F309" s="110">
        <f ca="1">F308*(1+'normal case'!L309/100)</f>
        <v>428.26149237177827</v>
      </c>
      <c r="G309" s="108">
        <f ca="1">C309-A309+G308*(1+'normal case'!T309/100)</f>
        <v>-198501.9870868462</v>
      </c>
      <c r="H309" s="109">
        <f ca="1">IF(ABS(G309/'normal case'!D310-H308)&lt;0.0000001,H308,G309/'normal case'!D310)</f>
        <v>-1965.3662076208045</v>
      </c>
    </row>
    <row r="310" spans="1:8">
      <c r="A310" s="108">
        <f ca="1">('main page'!$U$31/100)*'normal case'!D311</f>
        <v>20.200000011920931</v>
      </c>
      <c r="B310" s="109"/>
      <c r="C310" s="108">
        <f ca="1">'normal case'!AN311-'normal case'!AN310+IF(controls!$B$33=1,(1+(('main page'!$K$35/100)))*C309,'public finance'!C309)</f>
        <v>20</v>
      </c>
      <c r="D310" s="109">
        <f ca="1">IF(ABS(((A310-C310)/'normal case'!D311)-D309)&lt;0.0000001,D309,(A310-C310)/'normal case'!D311)</f>
        <v>1.9802129779314939E-3</v>
      </c>
      <c r="E310" s="109">
        <f ca="1">IF(ABS(D310-(G310*('normal case'!T311/100))/'normal case'!D311-E309)&lt;0.00001,E309,D310-(G310*('normal case'!T311/100))/'normal case'!D311)</f>
        <v>71.197439764250262</v>
      </c>
      <c r="F310" s="110">
        <f ca="1">F309*(1+'normal case'!L310/100)</f>
        <v>436.82672170868636</v>
      </c>
      <c r="G310" s="108">
        <f ca="1">C310-A310+G309*(1+'normal case'!T310/100)</f>
        <v>-205449.75657573954</v>
      </c>
      <c r="H310" s="109">
        <f ca="1">IF(ABS(G310/'normal case'!D311-H309)&lt;0.0000001,H309,G310/'normal case'!D311)</f>
        <v>-2034.1560044999444</v>
      </c>
    </row>
    <row r="311" spans="1:8">
      <c r="A311" s="108">
        <f ca="1">('main page'!$U$31/100)*'normal case'!D312</f>
        <v>20.200000011920931</v>
      </c>
      <c r="B311" s="109"/>
      <c r="C311" s="108">
        <f ca="1">'normal case'!AN312-'normal case'!AN311+IF(controls!$B$33=1,(1+(('main page'!$K$35/100)))*C310,'public finance'!C310)</f>
        <v>20</v>
      </c>
      <c r="D311" s="109">
        <f ca="1">IF(ABS(((A311-C311)/'normal case'!D312)-D310)&lt;0.0000001,D310,(A311-C311)/'normal case'!D312)</f>
        <v>1.9802129779314939E-3</v>
      </c>
      <c r="E311" s="109">
        <f ca="1">IF(ABS(D311-(G311*('normal case'!T312/100))/'normal case'!D312-E310)&lt;0.00001,E310,D311-(G311*('normal case'!T312/100))/'normal case'!D312)</f>
        <v>73.689350134261076</v>
      </c>
      <c r="F311" s="110">
        <f ca="1">F310*(1+'normal case'!L311/100)</f>
        <v>445.56325562212209</v>
      </c>
      <c r="G311" s="108">
        <f ca="1">C311-A311+G310*(1+'normal case'!T311/100)</f>
        <v>-212640.69799467354</v>
      </c>
      <c r="H311" s="109">
        <f ca="1">IF(ABS(G311/'normal case'!D312-H310)&lt;0.0000001,H310,G311/'normal case'!D312)</f>
        <v>-2105.3534442493533</v>
      </c>
    </row>
    <row r="312" spans="1:8">
      <c r="A312" s="108">
        <f ca="1">('main page'!$U$31/100)*'normal case'!D313</f>
        <v>20.200000011920931</v>
      </c>
      <c r="B312" s="109"/>
      <c r="C312" s="108">
        <f ca="1">'normal case'!AN313-'normal case'!AN312+IF(controls!$B$33=1,(1+(('main page'!$K$35/100)))*C311,'public finance'!C311)</f>
        <v>20</v>
      </c>
      <c r="D312" s="109">
        <f ca="1">IF(ABS(((A312-C312)/'normal case'!D313)-D311)&lt;0.0000001,D311,(A312-C312)/'normal case'!D313)</f>
        <v>1.9802129779314939E-3</v>
      </c>
      <c r="E312" s="109">
        <f ca="1">IF(ABS(D312-(G312*('normal case'!T313/100))/'normal case'!D313-E311)&lt;0.00001,E311,D312-(G312*('normal case'!T313/100))/'normal case'!D313)</f>
        <v>76.26847736647963</v>
      </c>
      <c r="F312" s="110">
        <f ca="1">F311*(1+'normal case'!L312/100)</f>
        <v>454.47452020341177</v>
      </c>
      <c r="G312" s="108">
        <f ca="1">C312-A312+G311*(1+'normal case'!T312/100)</f>
        <v>-220083.32236112715</v>
      </c>
      <c r="H312" s="109">
        <f ca="1">IF(ABS(G312/'normal case'!D313-H311)&lt;0.0000001,H311,G312/'normal case'!D313)</f>
        <v>-2179.0427943687732</v>
      </c>
    </row>
    <row r="313" spans="1:8">
      <c r="A313" s="108">
        <f ca="1">('main page'!$U$31/100)*'normal case'!D314</f>
        <v>20.200000011920931</v>
      </c>
      <c r="B313" s="109"/>
      <c r="C313" s="108">
        <f ca="1">'normal case'!AN314-'normal case'!AN313+IF(controls!$B$33=1,(1+(('main page'!$K$35/100)))*C312,'public finance'!C312)</f>
        <v>20</v>
      </c>
      <c r="D313" s="109">
        <f ca="1">IF(ABS(((A313-C313)/'normal case'!D314)-D312)&lt;0.0000001,D312,(A313-C313)/'normal case'!D314)</f>
        <v>1.9802129779314939E-3</v>
      </c>
      <c r="E313" s="109">
        <f ca="1">IF(ABS(D313-(G313*('normal case'!T314/100))/'normal case'!D314-E312)&lt;0.00001,E312,D313-(G313*('normal case'!T314/100))/'normal case'!D314)</f>
        <v>78.937874051057193</v>
      </c>
      <c r="F313" s="110">
        <f ca="1">F312*(1+'normal case'!L313/100)</f>
        <v>463.56401006570417</v>
      </c>
      <c r="G313" s="108">
        <f ca="1">C313-A313+G312*(1+'normal case'!T313/100)</f>
        <v>-227786.43857818856</v>
      </c>
      <c r="H313" s="109">
        <f ca="1">IF(ABS(G313/'normal case'!D314-H312)&lt;0.0000001,H312,G313/'normal case'!D314)</f>
        <v>-2255.3112717204112</v>
      </c>
    </row>
    <row r="314" spans="1:8">
      <c r="A314" s="108">
        <f ca="1">('main page'!$U$31/100)*'normal case'!D315</f>
        <v>20.200000011920931</v>
      </c>
      <c r="B314" s="109"/>
      <c r="C314" s="108">
        <f ca="1">'normal case'!AN315-'normal case'!AN314+IF(controls!$B$33=1,(1+(('main page'!$K$35/100)))*C313,'public finance'!C313)</f>
        <v>20</v>
      </c>
      <c r="D314" s="109">
        <f ca="1">IF(ABS(((A314-C314)/'normal case'!D315)-D313)&lt;0.0000001,D313,(A314-C314)/'normal case'!D315)</f>
        <v>1.9802129779314939E-3</v>
      </c>
      <c r="E314" s="109">
        <f ca="1">IF(ABS(D314-(G314*('normal case'!T315/100))/'normal case'!D315-E313)&lt;0.00001,E313,D314-(G314*('normal case'!T315/100))/'normal case'!D315)</f>
        <v>81.700699618799419</v>
      </c>
      <c r="F314" s="110">
        <f ca="1">F313*(1+'normal case'!L314/100)</f>
        <v>472.83528971440688</v>
      </c>
      <c r="G314" s="108">
        <f ca="1">C314-A314+G313*(1+'normal case'!T314/100)</f>
        <v>-235759.16386055143</v>
      </c>
      <c r="H314" s="109">
        <f ca="1">IF(ABS(G314/'normal case'!D315-H313)&lt;0.0000001,H313,G314/'normal case'!D315)</f>
        <v>-2334.2491457566271</v>
      </c>
    </row>
    <row r="315" spans="1:8">
      <c r="A315" s="108">
        <f ca="1">('main page'!$U$31/100)*'normal case'!D316</f>
        <v>20.200000011920931</v>
      </c>
      <c r="B315" s="109"/>
      <c r="C315" s="108">
        <f ca="1">'normal case'!AN316-'normal case'!AN315+IF(controls!$B$33=1,(1+(('main page'!$K$35/100)))*C314,'public finance'!C314)</f>
        <v>20</v>
      </c>
      <c r="D315" s="109">
        <f ca="1">IF(ABS(((A315-C315)/'normal case'!D316)-D314)&lt;0.0000001,D314,(A315-C315)/'normal case'!D316)</f>
        <v>1.9802129779314939E-3</v>
      </c>
      <c r="E315" s="109">
        <f ca="1">IF(ABS(D315-(G315*('normal case'!T316/100))/'normal case'!D316-E314)&lt;0.00001,E314,D315-(G315*('normal case'!T316/100))/'normal case'!D316)</f>
        <v>84.560224080589251</v>
      </c>
      <c r="F315" s="110">
        <f ca="1">F314*(1+'normal case'!L315/100)</f>
        <v>482.29199494503143</v>
      </c>
      <c r="G315" s="108">
        <f ca="1">C315-A315+G314*(1+'normal case'!T315/100)</f>
        <v>-244010.93452542095</v>
      </c>
      <c r="H315" s="109">
        <f ca="1">IF(ABS(G315/'normal case'!D316-H314)&lt;0.0000001,H314,G315/'normal case'!D316)</f>
        <v>-2415.9498453605852</v>
      </c>
    </row>
    <row r="316" spans="1:8">
      <c r="A316" s="108">
        <f ca="1">('main page'!$U$31/100)*'normal case'!D317</f>
        <v>20.200000011920931</v>
      </c>
      <c r="B316" s="109"/>
      <c r="C316" s="108">
        <f ca="1">'normal case'!AN317-'normal case'!AN316+IF(controls!$B$33=1,(1+(('main page'!$K$35/100)))*C315,'public finance'!C315)</f>
        <v>20</v>
      </c>
      <c r="D316" s="109">
        <f ca="1">IF(ABS(((A316-C316)/'normal case'!D317)-D315)&lt;0.0000001,D315,(A316-C316)/'normal case'!D317)</f>
        <v>1.9802129779314939E-3</v>
      </c>
      <c r="E316" s="109">
        <f ca="1">IF(ABS(D316-(G316*('normal case'!T317/100))/'normal case'!D317-E315)&lt;0.00001,E315,D316-(G316*('normal case'!T317/100))/'normal case'!D317)</f>
        <v>87.519831897689514</v>
      </c>
      <c r="F316" s="110">
        <f ca="1">F315*(1+'normal case'!L316/100)</f>
        <v>491.93783426899523</v>
      </c>
      <c r="G316" s="108">
        <f ca="1">C316-A316+G315*(1+'normal case'!T316/100)</f>
        <v>-252551.51716110166</v>
      </c>
      <c r="H316" s="109">
        <f ca="1">IF(ABS(G316/'normal case'!D317-H315)&lt;0.0000001,H315,G316/'normal case'!D317)</f>
        <v>-2500.5100694263333</v>
      </c>
    </row>
    <row r="317" spans="1:8">
      <c r="A317" s="108">
        <f ca="1">('main page'!$U$31/100)*'normal case'!D318</f>
        <v>20.200000011920931</v>
      </c>
      <c r="B317" s="109"/>
      <c r="C317" s="108">
        <f ca="1">'normal case'!AN318-'normal case'!AN317+IF(controls!$B$33=1,(1+(('main page'!$K$35/100)))*C316,'public finance'!C316)</f>
        <v>20</v>
      </c>
      <c r="D317" s="109">
        <f ca="1">IF(ABS(((A317-C317)/'normal case'!D318)-D316)&lt;0.0000001,D316,(A317-C317)/'normal case'!D318)</f>
        <v>1.9802129779314939E-3</v>
      </c>
      <c r="E317" s="109">
        <f ca="1">IF(ABS(D317-(G317*('normal case'!T318/100))/'normal case'!D318-E316)&lt;0.00001,E316,D317-(G317*('normal case'!T318/100))/'normal case'!D318)</f>
        <v>90.583025987506247</v>
      </c>
      <c r="F317" s="110">
        <f ca="1">F316*(1+'normal case'!L317/100)</f>
        <v>501.77659036793955</v>
      </c>
      <c r="G317" s="108">
        <f ca="1">C317-A317+G316*(1+'normal case'!T317/100)</f>
        <v>-261391.0201864859</v>
      </c>
      <c r="H317" s="109">
        <f ca="1">IF(ABS(G317/'normal case'!D318-H316)&lt;0.0000001,H316,G317/'normal case'!D318)</f>
        <v>-2588.0299013091812</v>
      </c>
    </row>
    <row r="318" spans="1:8">
      <c r="A318" s="108">
        <f ca="1">('main page'!$U$31/100)*'normal case'!D319</f>
        <v>20.200000011920931</v>
      </c>
      <c r="B318" s="109"/>
      <c r="C318" s="108">
        <f ca="1">'normal case'!AN319-'normal case'!AN318+IF(controls!$B$33=1,(1+(('main page'!$K$35/100)))*C317,'public finance'!C317)</f>
        <v>20</v>
      </c>
      <c r="D318" s="109">
        <f ca="1">IF(ABS(((A318-C318)/'normal case'!D319)-D317)&lt;0.0000001,D317,(A318-C318)/'normal case'!D319)</f>
        <v>1.9802129779314939E-3</v>
      </c>
      <c r="E318" s="109">
        <f ca="1">IF(ABS(D318-(G318*('normal case'!T319/100))/'normal case'!D319-E317)&lt;0.00001,E317,D318-(G318*('normal case'!T319/100))/'normal case'!D319)</f>
        <v>93.75343186955368</v>
      </c>
      <c r="F318" s="110">
        <f ca="1">F317*(1+'normal case'!L318/100)</f>
        <v>511.81212157713406</v>
      </c>
      <c r="G318" s="108">
        <f ca="1">C318-A318+G317*(1+'normal case'!T318/100)</f>
        <v>-270539.90581512422</v>
      </c>
      <c r="H318" s="109">
        <f ca="1">IF(ABS(G318/'normal case'!D319-H317)&lt;0.0000001,H317,G318/'normal case'!D319)</f>
        <v>-2678.6129272818462</v>
      </c>
    </row>
    <row r="319" spans="1:8">
      <c r="A319" s="108">
        <f ca="1">('main page'!$U$31/100)*'normal case'!D320</f>
        <v>20.200000011920931</v>
      </c>
      <c r="B319" s="109"/>
      <c r="C319" s="108">
        <f ca="1">'normal case'!AN320-'normal case'!AN319+IF(controls!$B$33=1,(1+(('main page'!$K$35/100)))*C318,'public finance'!C318)</f>
        <v>20</v>
      </c>
      <c r="D319" s="109">
        <f ca="1">IF(ABS(((A319-C319)/'normal case'!D320)-D318)&lt;0.0000001,D318,(A319-C319)/'normal case'!D320)</f>
        <v>1.9802129779314939E-3</v>
      </c>
      <c r="E319" s="109">
        <f ca="1">IF(ABS(D319-(G319*('normal case'!T320/100))/'normal case'!D320-E318)&lt;0.00001,E318,D319-(G319*('normal case'!T320/100))/'normal case'!D320)</f>
        <v>97.034801956527943</v>
      </c>
      <c r="F319" s="110">
        <f ca="1">F318*(1+'normal case'!L319/100)</f>
        <v>522.04836339854921</v>
      </c>
      <c r="G319" s="108">
        <f ca="1">C319-A319+G318*(1+'normal case'!T319/100)</f>
        <v>-280009.00243803835</v>
      </c>
      <c r="H319" s="109">
        <f ca="1">IF(ABS(G319/'normal case'!D320-H318)&lt;0.0000001,H318,G319/'normal case'!D320)</f>
        <v>-2772.3663591365589</v>
      </c>
    </row>
    <row r="320" spans="1:8">
      <c r="A320" s="108">
        <f ca="1">('main page'!$U$31/100)*'normal case'!D321</f>
        <v>20.200000011920931</v>
      </c>
      <c r="B320" s="109"/>
      <c r="C320" s="108">
        <f ca="1">'normal case'!AN321-'normal case'!AN320+IF(controls!$B$33=1,(1+(('main page'!$K$35/100)))*C319,'public finance'!C319)</f>
        <v>20</v>
      </c>
      <c r="D320" s="109">
        <f ca="1">IF(ABS(((A320-C320)/'normal case'!D321)-D319)&lt;0.0000001,D319,(A320-C320)/'normal case'!D321)</f>
        <v>1.9802129779314939E-3</v>
      </c>
      <c r="E320" s="109">
        <f ca="1">IF(ABS(D320-(G320*('normal case'!T321/100))/'normal case'!D321-E319)&lt;0.00001,E319,D320-(G320*('normal case'!T321/100))/'normal case'!D321)</f>
        <v>100.43101999556835</v>
      </c>
      <c r="F320" s="110">
        <f ca="1">F319*(1+'normal case'!L320/100)</f>
        <v>532.48933004419007</v>
      </c>
      <c r="G320" s="108">
        <f ca="1">C320-A320+G319*(1+'normal case'!T320/100)</f>
        <v>-289809.51743993245</v>
      </c>
      <c r="H320" s="109">
        <f ca="1">IF(ABS(G320/'normal case'!D321-H319)&lt;0.0000001,H319,G320/'normal case'!D321)</f>
        <v>-2869.4011610782454</v>
      </c>
    </row>
    <row r="321" spans="1:8">
      <c r="A321" s="108">
        <f ca="1">('main page'!$U$31/100)*'normal case'!D322</f>
        <v>20.200000011920931</v>
      </c>
      <c r="B321" s="109"/>
      <c r="C321" s="108">
        <f ca="1">'normal case'!AN322-'normal case'!AN321+IF(controls!$B$33=1,(1+(('main page'!$K$35/100)))*C320,'public finance'!C320)</f>
        <v>20</v>
      </c>
      <c r="D321" s="109">
        <f ca="1">IF(ABS(((A321-C321)/'normal case'!D322)-D320)&lt;0.0000001,D320,(A321-C321)/'normal case'!D322)</f>
        <v>1.9802129779314939E-3</v>
      </c>
      <c r="E321" s="109">
        <f ca="1">IF(ABS(D321-(G321*('normal case'!T322/100))/'normal case'!D322-E320)&lt;0.00001,E320,D321-(G321*('normal case'!T322/100))/'normal case'!D322)</f>
        <v>103.94610566496303</v>
      </c>
      <c r="F321" s="110">
        <f ca="1">F320*(1+'normal case'!L321/100)</f>
        <v>543.13911601029713</v>
      </c>
      <c r="G321" s="108">
        <f ca="1">C321-A321+G320*(1+'normal case'!T321/100)</f>
        <v>-299953.05046397203</v>
      </c>
      <c r="H321" s="109">
        <f ca="1">IF(ABS(G321/'normal case'!D322-H320)&lt;0.0000001,H320,G321/'normal case'!D322)</f>
        <v>-2969.8321810589728</v>
      </c>
    </row>
    <row r="322" spans="1:8">
      <c r="A322" s="108">
        <f ca="1">('main page'!$U$31/100)*'normal case'!D323</f>
        <v>20.200000011920931</v>
      </c>
      <c r="B322" s="109"/>
      <c r="C322" s="108">
        <f ca="1">'normal case'!AN323-'normal case'!AN322+IF(controls!$B$33=1,(1+(('main page'!$K$35/100)))*C321,'public finance'!C321)</f>
        <v>20</v>
      </c>
      <c r="D322" s="109">
        <f ca="1">IF(ABS(((A322-C322)/'normal case'!D323)-D321)&lt;0.0000001,D321,(A322-C322)/'normal case'!D323)</f>
        <v>1.9802129779314939E-3</v>
      </c>
      <c r="E322" s="109">
        <f ca="1">IF(ABS(D322-(G322*('normal case'!T323/100))/'normal case'!D323-E321)&lt;0.00001,E321,D322-(G322*('normal case'!T323/100))/'normal case'!D323)</f>
        <v>107.58421933173894</v>
      </c>
      <c r="F322" s="110">
        <f ca="1">F321*(1+'normal case'!L322/100)</f>
        <v>554.00189768303085</v>
      </c>
      <c r="G322" s="108">
        <f ca="1">C322-A322+G321*(1+'normal case'!T322/100)</f>
        <v>-310451.60714083002</v>
      </c>
      <c r="H322" s="109">
        <f ca="1">IF(ABS(G322/'normal case'!D323-H321)&lt;0.0000001,H321,G322/'normal case'!D323)</f>
        <v>-3073.7782867090946</v>
      </c>
    </row>
    <row r="323" spans="1:8">
      <c r="A323" s="108">
        <f ca="1">('main page'!$U$31/100)*'normal case'!D324</f>
        <v>20.200000011920931</v>
      </c>
      <c r="B323" s="109"/>
      <c r="C323" s="108">
        <f ca="1">'normal case'!AN324-'normal case'!AN323+IF(controls!$B$33=1,(1+(('main page'!$K$35/100)))*C322,'public finance'!C322)</f>
        <v>20</v>
      </c>
      <c r="D323" s="109">
        <f ca="1">IF(ABS(((A323-C323)/'normal case'!D324)-D322)&lt;0.0000001,D322,(A323-C323)/'normal case'!D324)</f>
        <v>1.9802129779314939E-3</v>
      </c>
      <c r="E323" s="109">
        <f ca="1">IF(ABS(D323-(G323*('normal case'!T324/100))/'normal case'!D324-E322)&lt;0.00001,E322,D323-(G323*('normal case'!T324/100))/'normal case'!D324)</f>
        <v>111.34966697576775</v>
      </c>
      <c r="F323" s="110">
        <f ca="1">F322*(1+'normal case'!L323/100)</f>
        <v>565.08193497626974</v>
      </c>
      <c r="G323" s="108">
        <f ca="1">C323-A323+G322*(1+'normal case'!T323/100)</f>
        <v>-321317.6132982492</v>
      </c>
      <c r="H323" s="109">
        <f ca="1">IF(ABS(G323/'normal case'!D324-H322)&lt;0.0000001,H322,G323/'normal case'!D324)</f>
        <v>-3181.3625060259924</v>
      </c>
    </row>
    <row r="324" spans="1:8">
      <c r="A324" s="108">
        <f ca="1">('main page'!$U$31/100)*'normal case'!D325</f>
        <v>20.200000011920931</v>
      </c>
      <c r="B324" s="109"/>
      <c r="C324" s="108">
        <f ca="1">'normal case'!AN325-'normal case'!AN324+IF(controls!$B$33=1,(1+(('main page'!$K$35/100)))*C323,'public finance'!C323)</f>
        <v>20</v>
      </c>
      <c r="D324" s="109">
        <f ca="1">IF(ABS(((A324-C324)/'normal case'!D325)-D323)&lt;0.0000001,D323,(A324-C324)/'normal case'!D325)</f>
        <v>1.9802129779314939E-3</v>
      </c>
      <c r="E324" s="109">
        <f ca="1">IF(ABS(D324-(G324*('normal case'!T325/100))/'normal case'!D325-E323)&lt;0.00001,E323,D324-(G324*('normal case'!T325/100))/'normal case'!D325)</f>
        <v>115.24690528621539</v>
      </c>
      <c r="F324" s="110">
        <f ca="1">F323*(1+'normal case'!L324/100)</f>
        <v>576.38357300216501</v>
      </c>
      <c r="G324" s="108">
        <f ca="1">C324-A324+G323*(1+'normal case'!T324/100)</f>
        <v>-332563.92966793972</v>
      </c>
      <c r="H324" s="109">
        <f ca="1">IF(ABS(G324/'normal case'!D325-H323)&lt;0.0000001,H323,G324/'normal case'!D325)</f>
        <v>-3292.7121729869186</v>
      </c>
    </row>
    <row r="325" spans="1:8">
      <c r="A325" s="108">
        <f ca="1">('main page'!$U$31/100)*'normal case'!D326</f>
        <v>20.200000011920931</v>
      </c>
      <c r="B325" s="109"/>
      <c r="C325" s="108">
        <f ca="1">'normal case'!AN326-'normal case'!AN325+IF(controls!$B$33=1,(1+(('main page'!$K$35/100)))*C324,'public finance'!C324)</f>
        <v>20</v>
      </c>
      <c r="D325" s="109">
        <f ca="1">IF(ABS(((A325-C325)/'normal case'!D326)-D324)&lt;0.0000001,D324,(A325-C325)/'normal case'!D326)</f>
        <v>1.9802129779314939E-3</v>
      </c>
      <c r="E325" s="109">
        <f ca="1">IF(ABS(D325-(G325*('normal case'!T326/100))/'normal case'!D326-E324)&lt;0.00001,E324,D325-(G325*('normal case'!T326/100))/'normal case'!D326)</f>
        <v>119.28054693636724</v>
      </c>
      <c r="F325" s="110">
        <f ca="1">F324*(1+'normal case'!L325/100)</f>
        <v>587.91124377510562</v>
      </c>
      <c r="G325" s="108">
        <f ca="1">C325-A325+G324*(1+'normal case'!T325/100)</f>
        <v>-344203.86710721778</v>
      </c>
      <c r="H325" s="109">
        <f ca="1">IF(ABS(G325/'normal case'!D326-H324)&lt;0.0000001,H324,G325/'normal case'!D326)</f>
        <v>-3407.9590782582932</v>
      </c>
    </row>
    <row r="326" spans="1:8">
      <c r="A326" s="108">
        <f ca="1">('main page'!$U$31/100)*'normal case'!D327</f>
        <v>20.200000011920931</v>
      </c>
      <c r="B326" s="109"/>
      <c r="C326" s="108">
        <f ca="1">'normal case'!AN327-'normal case'!AN326+IF(controls!$B$33=1,(1+(('main page'!$K$35/100)))*C325,'public finance'!C325)</f>
        <v>20</v>
      </c>
      <c r="D326" s="109">
        <f ca="1">IF(ABS(((A326-C326)/'normal case'!D327)-D325)&lt;0.0000001,D325,(A326-C326)/'normal case'!D327)</f>
        <v>1.9802129779314939E-3</v>
      </c>
      <c r="E326" s="109">
        <f ca="1">IF(ABS(D326-(G326*('normal case'!T327/100))/'normal case'!D327-E325)&lt;0.00001,E325,D326-(G326*('normal case'!T327/100))/'normal case'!D327)</f>
        <v>123.45536604307227</v>
      </c>
      <c r="F326" s="110">
        <f ca="1">F325*(1+'normal case'!L326/100)</f>
        <v>599.66946794976297</v>
      </c>
      <c r="G326" s="108">
        <f ca="1">C326-A326+G325*(1+'normal case'!T326/100)</f>
        <v>-356251.20235340158</v>
      </c>
      <c r="H326" s="109">
        <f ca="1">IF(ABS(G326/'normal case'!D327-H325)&lt;0.0000001,H325,G326/'normal case'!D327)</f>
        <v>-3527.2396251798191</v>
      </c>
    </row>
    <row r="327" spans="1:8">
      <c r="A327" s="108">
        <f ca="1">('main page'!$U$31/100)*'normal case'!D328</f>
        <v>20.200000011920931</v>
      </c>
      <c r="B327" s="109"/>
      <c r="C327" s="108">
        <f ca="1">'normal case'!AN328-'normal case'!AN327+IF(controls!$B$33=1,(1+(('main page'!$K$35/100)))*C326,'public finance'!C326)</f>
        <v>20</v>
      </c>
      <c r="D327" s="109">
        <f ca="1">IF(ABS(((A327-C327)/'normal case'!D328)-D326)&lt;0.0000001,D326,(A327-C327)/'normal case'!D328)</f>
        <v>1.9802129779314939E-3</v>
      </c>
      <c r="E327" s="109">
        <f ca="1">IF(ABS(D327-(G327*('normal case'!T328/100))/'normal case'!D328-E326)&lt;0.00001,E326,D327-(G327*('normal case'!T328/100))/'normal case'!D328)</f>
        <v>127.7763038172678</v>
      </c>
      <c r="F327" s="110">
        <f ca="1">F326*(1+'normal case'!L327/100)</f>
        <v>611.66285659389655</v>
      </c>
      <c r="G327" s="108">
        <f ca="1">C327-A327+G326*(1+'normal case'!T327/100)</f>
        <v>-368720.19432961143</v>
      </c>
      <c r="H327" s="109">
        <f ca="1">IF(ABS(G327/'normal case'!D328-H326)&lt;0.0000001,H326,G327/'normal case'!D328)</f>
        <v>-3650.6949912080499</v>
      </c>
    </row>
    <row r="328" spans="1:8">
      <c r="A328" s="108">
        <f ca="1">('main page'!$U$31/100)*'normal case'!D329</f>
        <v>20.200000011920931</v>
      </c>
      <c r="B328" s="109"/>
      <c r="C328" s="108">
        <f ca="1">'normal case'!AN329-'normal case'!AN328+IF(controls!$B$33=1,(1+(('main page'!$K$35/100)))*C327,'public finance'!C327)</f>
        <v>20</v>
      </c>
      <c r="D328" s="109">
        <f ca="1">IF(ABS(((A328-C328)/'normal case'!D329)-D327)&lt;0.0000001,D327,(A328-C328)/'normal case'!D329)</f>
        <v>1.9802129779314939E-3</v>
      </c>
      <c r="E328" s="109">
        <f ca="1">IF(ABS(D328-(G328*('normal case'!T329/100))/'normal case'!D329-E327)&lt;0.00001,E327,D328-(G328*('normal case'!T329/100))/'normal case'!D329)</f>
        <v>132.24847441227246</v>
      </c>
      <c r="F328" s="110">
        <f ca="1">F327*(1+'normal case'!L328/100)</f>
        <v>623.89611299661556</v>
      </c>
      <c r="G328" s="108">
        <f ca="1">C328-A328+G327*(1+'normal case'!T328/100)</f>
        <v>-381625.6010212726</v>
      </c>
      <c r="H328" s="109">
        <f ca="1">IF(ABS(G328/'normal case'!D329-H327)&lt;0.0000001,H327,G328/'normal case'!D329)</f>
        <v>-3778.4712950104768</v>
      </c>
    </row>
    <row r="329" spans="1:8">
      <c r="A329" s="108">
        <f ca="1">('main page'!$U$31/100)*'normal case'!D330</f>
        <v>20.200000011920931</v>
      </c>
      <c r="B329" s="109"/>
      <c r="C329" s="108">
        <f ca="1">'normal case'!AN330-'normal case'!AN329+IF(controls!$B$33=1,(1+(('main page'!$K$35/100)))*C328,'public finance'!C328)</f>
        <v>20</v>
      </c>
      <c r="D329" s="109">
        <f ca="1">IF(ABS(((A329-C329)/'normal case'!D330)-D328)&lt;0.0000001,D328,(A329-C329)/'normal case'!D330)</f>
        <v>1.9802129779314939E-3</v>
      </c>
      <c r="E329" s="109">
        <f ca="1">IF(ABS(D329-(G329*('normal case'!T330/100))/'normal case'!D330-E328)&lt;0.00001,E328,D329-(G329*('normal case'!T330/100))/'normal case'!D330)</f>
        <v>136.87717097676941</v>
      </c>
      <c r="F329" s="110">
        <f ca="1">F328*(1+'normal case'!L329/100)</f>
        <v>636.37403451280579</v>
      </c>
      <c r="G329" s="108">
        <f ca="1">C329-A329+G328*(1+'normal case'!T329/100)</f>
        <v>-394982.69694329577</v>
      </c>
      <c r="H329" s="109">
        <f ca="1">IF(ABS(G329/'normal case'!D330-H328)&lt;0.0000001,H328,G329/'normal case'!D330)</f>
        <v>-3910.7197694079082</v>
      </c>
    </row>
    <row r="330" spans="1:8">
      <c r="A330" s="108">
        <f ca="1">('main page'!$U$31/100)*'normal case'!D331</f>
        <v>20.200000011920931</v>
      </c>
      <c r="B330" s="109"/>
      <c r="C330" s="108">
        <f ca="1">'normal case'!AN331-'normal case'!AN330+IF(controls!$B$33=1,(1+(('main page'!$K$35/100)))*C329,'public finance'!C329)</f>
        <v>20</v>
      </c>
      <c r="D330" s="109">
        <f ca="1">IF(ABS(((A330-C330)/'normal case'!D331)-D329)&lt;0.0000001,D329,(A330-C330)/'normal case'!D331)</f>
        <v>1.9802129779314939E-3</v>
      </c>
      <c r="E330" s="109">
        <f ca="1">IF(ABS(D330-(G330*('normal case'!T331/100))/'normal case'!D331-E329)&lt;0.00001,E329,D330-(G330*('normal case'!T331/100))/'normal case'!D331)</f>
        <v>141.66787191964431</v>
      </c>
      <c r="F330" s="110">
        <f ca="1">F329*(1+'normal case'!L330/100)</f>
        <v>649.101514444445</v>
      </c>
      <c r="G330" s="108">
        <f ca="1">C330-A330+G329*(1+'normal case'!T330/100)</f>
        <v>-408807.29121860903</v>
      </c>
      <c r="H330" s="109">
        <f ca="1">IF(ABS(G330/'normal case'!D331-H329)&lt;0.0000001,H329,G330/'normal case'!D331)</f>
        <v>-4047.5969403698359</v>
      </c>
    </row>
    <row r="331" spans="1:8">
      <c r="A331" s="108">
        <f ca="1">('main page'!$U$31/100)*'normal case'!D332</f>
        <v>20.200000011920931</v>
      </c>
      <c r="B331" s="109"/>
      <c r="C331" s="108">
        <f ca="1">'normal case'!AN332-'normal case'!AN331+IF(controls!$B$33=1,(1+(('main page'!$K$35/100)))*C330,'public finance'!C330)</f>
        <v>20</v>
      </c>
      <c r="D331" s="109">
        <f ca="1">IF(ABS(((A331-C331)/'normal case'!D332)-D330)&lt;0.0000001,D330,(A331-C331)/'normal case'!D332)</f>
        <v>1.9802129779314939E-3</v>
      </c>
      <c r="E331" s="109">
        <f ca="1">IF(ABS(D331-(G331*('normal case'!T332/100))/'normal case'!D332-E330)&lt;0.00001,E330,D331-(G331*('normal case'!T332/100))/'normal case'!D332)</f>
        <v>146.62624739409213</v>
      </c>
      <c r="F331" s="110">
        <f ca="1">F330*(1+'normal case'!L331/100)</f>
        <v>662.08354395954461</v>
      </c>
      <c r="G331" s="108">
        <f ca="1">C331-A331+G330*(1+'normal case'!T331/100)</f>
        <v>-423115.74628943822</v>
      </c>
      <c r="H331" s="109">
        <f ca="1">IF(ABS(G331/'normal case'!D332-H330)&lt;0.0000001,H330,G331/'normal case'!D332)</f>
        <v>-4189.2648122746396</v>
      </c>
    </row>
    <row r="332" spans="1:8">
      <c r="A332" s="108">
        <f ca="1">('main page'!$U$31/100)*'normal case'!D333</f>
        <v>20.200000011920931</v>
      </c>
      <c r="B332" s="109"/>
      <c r="C332" s="108">
        <f ca="1">'normal case'!AN333-'normal case'!AN332+IF(controls!$B$33=1,(1+(('main page'!$K$35/100)))*C331,'public finance'!C331)</f>
        <v>20</v>
      </c>
      <c r="D332" s="109">
        <f ca="1">IF(ABS(((A332-C332)/'normal case'!D333)-D331)&lt;0.0000001,D331,(A332-C332)/'normal case'!D333)</f>
        <v>1.9802129779314939E-3</v>
      </c>
      <c r="E332" s="109">
        <f ca="1">IF(ABS(D332-(G332*('normal case'!T333/100))/'normal case'!D333-E331)&lt;0.00001,E331,D332-(G332*('normal case'!T333/100))/'normal case'!D333)</f>
        <v>151.7581660086679</v>
      </c>
      <c r="F332" s="110">
        <f ca="1">F331*(1+'normal case'!L332/100)</f>
        <v>675.32521404947045</v>
      </c>
      <c r="G332" s="108">
        <f ca="1">C332-A332+G331*(1+'normal case'!T332/100)</f>
        <v>-437924.99728348217</v>
      </c>
      <c r="H332" s="109">
        <f ca="1">IF(ABS(G332/'normal case'!D333-H331)&lt;0.0000001,H331,G332/'normal case'!D333)</f>
        <v>-4335.8910596538899</v>
      </c>
    </row>
    <row r="333" spans="1:8">
      <c r="A333" s="108">
        <f ca="1">('main page'!$U$31/100)*'normal case'!D334</f>
        <v>20.200000011920931</v>
      </c>
      <c r="B333" s="109"/>
      <c r="C333" s="108">
        <f ca="1">'normal case'!AN334-'normal case'!AN333+IF(controls!$B$33=1,(1+(('main page'!$K$35/100)))*C332,'public finance'!C332)</f>
        <v>20</v>
      </c>
      <c r="D333" s="109">
        <f ca="1">IF(ABS(((A333-C333)/'normal case'!D334)-D332)&lt;0.0000001,D332,(A333-C333)/'normal case'!D334)</f>
        <v>1.9802129779314939E-3</v>
      </c>
      <c r="E333" s="109">
        <f ca="1">IF(ABS(D333-(G333*('normal case'!T334/100))/'normal case'!D334-E332)&lt;0.00001,E332,D333-(G333*('normal case'!T334/100))/'normal case'!D334)</f>
        <v>157.06970177322435</v>
      </c>
      <c r="F333" s="110">
        <f ca="1">F332*(1+'normal case'!L333/100)</f>
        <v>688.83171752540954</v>
      </c>
      <c r="G333" s="108">
        <f ca="1">C333-A333+G332*(1+'normal case'!T333/100)</f>
        <v>-453252.57205790415</v>
      </c>
      <c r="H333" s="109">
        <f ca="1">IF(ABS(G333/'normal case'!D334-H332)&lt;0.0000001,H332,G333/'normal case'!D334)</f>
        <v>-4487.6492256477168</v>
      </c>
    </row>
    <row r="334" spans="1:8">
      <c r="A334" s="108">
        <f ca="1">('main page'!$U$31/100)*'normal case'!D335</f>
        <v>20.200000011920931</v>
      </c>
      <c r="B334" s="109"/>
      <c r="C334" s="108">
        <f ca="1">'normal case'!AN335-'normal case'!AN334+IF(controls!$B$33=1,(1+(('main page'!$K$35/100)))*C333,'public finance'!C333)</f>
        <v>20</v>
      </c>
      <c r="D334" s="109">
        <f ca="1">IF(ABS(((A334-C334)/'normal case'!D335)-D333)&lt;0.0000001,D333,(A334-C334)/'normal case'!D335)</f>
        <v>1.9802129779314939E-3</v>
      </c>
      <c r="E334" s="109">
        <f ca="1">IF(ABS(D334-(G334*('normal case'!T335/100))/'normal case'!D335-E333)&lt;0.00001,E333,D334-(G334*('normal case'!T335/100))/'normal case'!D335)</f>
        <v>162.56714128795733</v>
      </c>
      <c r="F334" s="110">
        <f ca="1">F333*(1+'normal case'!L334/100)</f>
        <v>702.60835105476633</v>
      </c>
      <c r="G334" s="108">
        <f ca="1">C334-A334+G333*(1+'normal case'!T334/100)</f>
        <v>-469116.61194486293</v>
      </c>
      <c r="H334" s="109">
        <f ca="1">IF(ABS(G334/'normal case'!D335-H333)&lt;0.0000001,H333,G334/'normal case'!D335)</f>
        <v>-4644.7189274061002</v>
      </c>
    </row>
    <row r="335" spans="1:8">
      <c r="A335" s="108">
        <f ca="1">('main page'!$U$31/100)*'normal case'!D336</f>
        <v>20.200000011920931</v>
      </c>
      <c r="B335" s="109"/>
      <c r="C335" s="108">
        <f ca="1">'normal case'!AN336-'normal case'!AN335+IF(controls!$B$33=1,(1+(('main page'!$K$35/100)))*C334,'public finance'!C334)</f>
        <v>20</v>
      </c>
      <c r="D335" s="109">
        <f ca="1">IF(ABS(((A335-C335)/'normal case'!D336)-D334)&lt;0.0000001,D334,(A335-C335)/'normal case'!D336)</f>
        <v>1.9802129779314939E-3</v>
      </c>
      <c r="E335" s="109">
        <f ca="1">IF(ABS(D335-(G335*('normal case'!T336/100))/'normal case'!D336-E334)&lt;0.00001,E334,D335-(G335*('normal case'!T336/100))/'normal case'!D336)</f>
        <v>168.25699118406763</v>
      </c>
      <c r="F335" s="110">
        <f ca="1">F334*(1+'normal case'!L335/100)</f>
        <v>716.6605172382873</v>
      </c>
      <c r="G335" s="108">
        <f ca="1">C335-A335+G334*(1+'normal case'!T335/100)</f>
        <v>-485535.89322313742</v>
      </c>
      <c r="H335" s="109">
        <f ca="1">IF(ABS(G335/'normal case'!D336-H334)&lt;0.0000001,H334,G335/'normal case'!D336)</f>
        <v>-4807.2860686792164</v>
      </c>
    </row>
    <row r="336" spans="1:8">
      <c r="A336" s="108">
        <f ca="1">('main page'!$U$31/100)*'normal case'!D337</f>
        <v>20.200000011920931</v>
      </c>
      <c r="B336" s="109"/>
      <c r="C336" s="108">
        <f ca="1">'normal case'!AN337-'normal case'!AN336+IF(controls!$B$33=1,(1+(('main page'!$K$35/100)))*C335,'public finance'!C335)</f>
        <v>20</v>
      </c>
      <c r="D336" s="109">
        <f ca="1">IF(ABS(((A336-C336)/'normal case'!D337)-D335)&lt;0.0000001,D335,(A336-C336)/'normal case'!D337)</f>
        <v>1.9802129779314939E-3</v>
      </c>
      <c r="E336" s="109">
        <f ca="1">IF(ABS(D336-(G336*('normal case'!T337/100))/'normal case'!D337-E335)&lt;0.00001,E335,D336-(G336*('normal case'!T337/100))/'normal case'!D337)</f>
        <v>174.14598582484606</v>
      </c>
      <c r="F336" s="110">
        <f ca="1">F335*(1+'normal case'!L336/100)</f>
        <v>730.99372672872721</v>
      </c>
      <c r="G336" s="108">
        <f ca="1">C336-A336+G335*(1+'normal case'!T336/100)</f>
        <v>-502529.84934125817</v>
      </c>
      <c r="H336" s="109">
        <f ca="1">IF(ABS(G336/'normal case'!D337-H335)&lt;0.0000001,H335,G336/'normal case'!D337)</f>
        <v>-4975.5430598484427</v>
      </c>
    </row>
    <row r="337" spans="1:8">
      <c r="A337" s="108">
        <f ca="1">('main page'!$U$31/100)*'normal case'!D338</f>
        <v>20.200000011920931</v>
      </c>
      <c r="B337" s="109"/>
      <c r="C337" s="108">
        <f ca="1">'normal case'!AN338-'normal case'!AN337+IF(controls!$B$33=1,(1+(('main page'!$K$35/100)))*C336,'public finance'!C336)</f>
        <v>20</v>
      </c>
      <c r="D337" s="109">
        <f ca="1">IF(ABS(((A337-C337)/'normal case'!D338)-D336)&lt;0.0000001,D336,(A337-C337)/'normal case'!D338)</f>
        <v>1.9802129779314939E-3</v>
      </c>
      <c r="E337" s="109">
        <f ca="1">IF(ABS(D337-(G337*('normal case'!T338/100))/'normal case'!D338-E336)&lt;0.00001,E336,D337-(G337*('normal case'!T338/100))/'normal case'!D338)</f>
        <v>180.2410952762967</v>
      </c>
      <c r="F337" s="110">
        <f ca="1">F336*(1+'normal case'!L337/100)</f>
        <v>745.61360039188935</v>
      </c>
      <c r="G337" s="108">
        <f ca="1">C337-A337+G336*(1+'normal case'!T337/100)</f>
        <v>-520118.59391844861</v>
      </c>
      <c r="H337" s="109">
        <f ca="1">IF(ABS(G337/'normal case'!D338-H336)&lt;0.0000001,H336,G337/'normal case'!D338)</f>
        <v>-5149.6890456584479</v>
      </c>
    </row>
    <row r="338" spans="1:8">
      <c r="A338" s="108">
        <f ca="1">('main page'!$U$31/100)*'normal case'!D339</f>
        <v>20.200000011920931</v>
      </c>
      <c r="B338" s="109"/>
      <c r="C338" s="108">
        <f ca="1">'normal case'!AN339-'normal case'!AN338+IF(controls!$B$33=1,(1+(('main page'!$K$35/100)))*C337,'public finance'!C337)</f>
        <v>20</v>
      </c>
      <c r="D338" s="109">
        <f ca="1">IF(ABS(((A338-C338)/'normal case'!D339)-D337)&lt;0.0000001,D337,(A338-C338)/'normal case'!D339)</f>
        <v>1.9802129779314939E-3</v>
      </c>
      <c r="E338" s="109">
        <f ca="1">IF(ABS(D338-(G338*('normal case'!T339/100))/'normal case'!D339-E337)&lt;0.00001,E337,D338-(G338*('normal case'!T339/100))/'normal case'!D339)</f>
        <v>186.5495335567316</v>
      </c>
      <c r="F338" s="110">
        <f ca="1">F337*(1+'normal case'!L338/100)</f>
        <v>760.52587151088653</v>
      </c>
      <c r="G338" s="108">
        <f ca="1">C338-A338+G337*(1+'normal case'!T338/100)</f>
        <v>-538322.94455059886</v>
      </c>
      <c r="H338" s="109">
        <f ca="1">IF(ABS(G338/'normal case'!D339-H337)&lt;0.0000001,H337,G338/'normal case'!D339)</f>
        <v>-5329.9301409199034</v>
      </c>
    </row>
    <row r="339" spans="1:8">
      <c r="A339" s="108">
        <f ca="1">('main page'!$U$31/100)*'normal case'!D340</f>
        <v>20.200000011920931</v>
      </c>
      <c r="B339" s="109"/>
      <c r="C339" s="108">
        <f ca="1">'normal case'!AN340-'normal case'!AN339+IF(controls!$B$33=1,(1+(('main page'!$K$35/100)))*C338,'public finance'!C338)</f>
        <v>20</v>
      </c>
      <c r="D339" s="109">
        <f ca="1">IF(ABS(((A339-C339)/'normal case'!D340)-D338)&lt;0.0000001,D338,(A339-C339)/'normal case'!D340)</f>
        <v>1.9802129779314939E-3</v>
      </c>
      <c r="E339" s="109">
        <f ca="1">IF(ABS(D339-(G339*('normal case'!T340/100))/'normal case'!D340-E338)&lt;0.00001,E338,D339-(G339*('normal case'!T340/100))/'normal case'!D340)</f>
        <v>193.07876717510166</v>
      </c>
      <c r="F339" s="110">
        <f ca="1">F338*(1+'normal case'!L339/100)</f>
        <v>775.73638803448682</v>
      </c>
      <c r="G339" s="108">
        <f ca="1">C339-A339+G338*(1+'normal case'!T339/100)</f>
        <v>-557164.44744944898</v>
      </c>
      <c r="H339" s="109">
        <f ca="1">IF(ABS(G339/'normal case'!D340-H338)&lt;0.0000001,H338,G339/'normal case'!D340)</f>
        <v>-5516.4796744617934</v>
      </c>
    </row>
    <row r="340" spans="1:8">
      <c r="A340" s="108">
        <f ca="1">('main page'!$U$31/100)*'normal case'!D341</f>
        <v>20.200000011920931</v>
      </c>
      <c r="B340" s="109"/>
      <c r="C340" s="108">
        <f ca="1">'normal case'!AN341-'normal case'!AN340+IF(controls!$B$33=1,(1+(('main page'!$K$35/100)))*C339,'public finance'!C339)</f>
        <v>20</v>
      </c>
      <c r="D340" s="109">
        <f ca="1">IF(ABS(((A340-C340)/'normal case'!D341)-D339)&lt;0.0000001,D339,(A340-C340)/'normal case'!D341)</f>
        <v>1.9802129779314939E-3</v>
      </c>
      <c r="E340" s="109">
        <f ca="1">IF(ABS(D340-(G340*('normal case'!T341/100))/'normal case'!D341-E339)&lt;0.00001,E339,D340-(G340*('normal case'!T341/100))/'normal case'!D341)</f>
        <v>199.83652396816888</v>
      </c>
      <c r="F340" s="110">
        <f ca="1">F339*(1+'normal case'!L340/100)</f>
        <v>791.2511148704267</v>
      </c>
      <c r="G340" s="108">
        <f ca="1">C340-A340+G339*(1+'normal case'!T340/100)</f>
        <v>-576665.40294414375</v>
      </c>
      <c r="H340" s="109">
        <f ca="1">IF(ABS(G340/'normal case'!D341-H339)&lt;0.0000001,H339,G340/'normal case'!D341)</f>
        <v>-5709.5584416220545</v>
      </c>
    </row>
    <row r="341" spans="1:8">
      <c r="A341" s="108">
        <f ca="1">('main page'!$U$31/100)*'normal case'!D342</f>
        <v>20.200000011920931</v>
      </c>
      <c r="B341" s="109"/>
      <c r="C341" s="108">
        <f ca="1">'normal case'!AN342-'normal case'!AN341+IF(controls!$B$33=1,(1+(('main page'!$K$35/100)))*C340,'public finance'!C340)</f>
        <v>20</v>
      </c>
      <c r="D341" s="109">
        <f ca="1">IF(ABS(((A341-C341)/'normal case'!D342)-D340)&lt;0.0000001,D340,(A341-C341)/'normal case'!D342)</f>
        <v>1.9802129779314939E-3</v>
      </c>
      <c r="E341" s="109">
        <f ca="1">IF(ABS(D341-(G341*('normal case'!T342/100))/'normal case'!D342-E340)&lt;0.00001,E340,D341-(G341*('normal case'!T342/100))/'normal case'!D342)</f>
        <v>206.8308022469794</v>
      </c>
      <c r="F341" s="110">
        <f ca="1">F340*(1+'normal case'!L341/100)</f>
        <v>807.07613622459041</v>
      </c>
      <c r="G341" s="108">
        <f ca="1">C341-A341+G340*(1+'normal case'!T341/100)</f>
        <v>-596848.89187534107</v>
      </c>
      <c r="H341" s="109">
        <f ca="1">IF(ABS(G341/'normal case'!D342-H340)&lt;0.0000001,H340,G341/'normal case'!D342)</f>
        <v>-5909.3949655753831</v>
      </c>
    </row>
    <row r="342" spans="1:8">
      <c r="A342" s="108">
        <f ca="1">('main page'!$U$31/100)*'normal case'!D343</f>
        <v>20.200000011920931</v>
      </c>
      <c r="B342" s="109"/>
      <c r="C342" s="108">
        <f ca="1">'normal case'!AN343-'normal case'!AN342+IF(controls!$B$33=1,(1+(('main page'!$K$35/100)))*C341,'public finance'!C341)</f>
        <v>20</v>
      </c>
      <c r="D342" s="109">
        <f ca="1">IF(ABS(((A342-C342)/'normal case'!D343)-D341)&lt;0.0000001,D341,(A342-C342)/'normal case'!D343)</f>
        <v>1.9802129779314939E-3</v>
      </c>
      <c r="E342" s="109">
        <f ca="1">IF(ABS(D342-(G342*('normal case'!T343/100))/'normal case'!D343-E341)&lt;0.00001,E341,D342-(G342*('normal case'!T343/100))/'normal case'!D343)</f>
        <v>214.06988026346389</v>
      </c>
      <c r="F342" s="110">
        <f ca="1">F341*(1+'normal case'!L342/100)</f>
        <v>823.21765798697254</v>
      </c>
      <c r="G342" s="108">
        <f ca="1">C342-A342+G341*(1+'normal case'!T342/100)</f>
        <v>-617738.80291311513</v>
      </c>
      <c r="H342" s="109">
        <f ca="1">IF(ABS(G342/'normal case'!D343-H341)&lt;0.0000001,H341,G342/'normal case'!D343)</f>
        <v>-6116.2257678075212</v>
      </c>
    </row>
    <row r="343" spans="1:8">
      <c r="A343" s="108">
        <f ca="1">('main page'!$U$31/100)*'normal case'!D344</f>
        <v>20.200000011920931</v>
      </c>
      <c r="B343" s="109"/>
      <c r="C343" s="108">
        <f ca="1">'normal case'!AN344-'normal case'!AN343+IF(controls!$B$33=1,(1+(('main page'!$K$35/100)))*C342,'public finance'!C342)</f>
        <v>20</v>
      </c>
      <c r="D343" s="109">
        <f ca="1">IF(ABS(((A343-C343)/'normal case'!D344)-D342)&lt;0.0000001,D342,(A343-C343)/'normal case'!D344)</f>
        <v>1.9802129779314939E-3</v>
      </c>
      <c r="E343" s="109">
        <f ca="1">IF(ABS(D343-(G343*('normal case'!T344/100))/'normal case'!D344-E342)&lt;0.00001,E342,D343-(G343*('normal case'!T344/100))/'normal case'!D344)</f>
        <v>221.56232600836788</v>
      </c>
      <c r="F343" s="110">
        <f ca="1">F342*(1+'normal case'!L343/100)</f>
        <v>839.68201016536011</v>
      </c>
      <c r="G343" s="108">
        <f ca="1">C343-A343+G342*(1+'normal case'!T343/100)</f>
        <v>-639359.86083098559</v>
      </c>
      <c r="H343" s="109">
        <f ca="1">IF(ABS(G343/'normal case'!D344-H342)&lt;0.0000001,H342,G343/'normal case'!D344)</f>
        <v>-6330.2956480561443</v>
      </c>
    </row>
    <row r="344" spans="1:8">
      <c r="A344" s="108">
        <f ca="1">('main page'!$U$31/100)*'normal case'!D345</f>
        <v>20.200000011920931</v>
      </c>
      <c r="B344" s="109"/>
      <c r="C344" s="108">
        <f ca="1">'normal case'!AN345-'normal case'!AN344+IF(controls!$B$33=1,(1+(('main page'!$K$35/100)))*C343,'public finance'!C343)</f>
        <v>20</v>
      </c>
      <c r="D344" s="109">
        <f ca="1">IF(ABS(((A344-C344)/'normal case'!D345)-D343)&lt;0.0000001,D343,(A344-C344)/'normal case'!D345)</f>
        <v>1.9802129779314939E-3</v>
      </c>
      <c r="E344" s="109">
        <f ca="1">IF(ABS(D344-(G344*('normal case'!T345/100))/'normal case'!D345-E343)&lt;0.00001,E343,D344-(G344*('normal case'!T345/100))/'normal case'!D345)</f>
        <v>229.31700735211061</v>
      </c>
      <c r="F344" s="110">
        <f ca="1">F343*(1+'normal case'!L344/100)</f>
        <v>856.47564936768845</v>
      </c>
      <c r="G344" s="108">
        <f ca="1">C344-A344+G343*(1+'normal case'!T344/100)</f>
        <v>-661737.6557695379</v>
      </c>
      <c r="H344" s="109">
        <f ca="1">IF(ABS(G344/'normal case'!D345-H343)&lt;0.0000001,H343,G344/'normal case'!D345)</f>
        <v>-6551.8579740496707</v>
      </c>
    </row>
    <row r="345" spans="1:8">
      <c r="A345" s="108">
        <f ca="1">('main page'!$U$31/100)*'normal case'!D346</f>
        <v>20.200000011920931</v>
      </c>
      <c r="B345" s="109"/>
      <c r="C345" s="108">
        <f ca="1">'normal case'!AN346-'normal case'!AN345+IF(controls!$B$33=1,(1+(('main page'!$K$35/100)))*C344,'public finance'!C344)</f>
        <v>20</v>
      </c>
      <c r="D345" s="109">
        <f ca="1">IF(ABS(((A345-C345)/'normal case'!D346)-D344)&lt;0.0000001,D344,(A345-C345)/'normal case'!D346)</f>
        <v>1.9802129779314939E-3</v>
      </c>
      <c r="E345" s="109">
        <f ca="1">IF(ABS(D345-(G345*('normal case'!T346/100))/'normal case'!D346-E344)&lt;0.00001,E344,D345-(G345*('normal case'!T346/100))/'normal case'!D346)</f>
        <v>237.34310254057323</v>
      </c>
      <c r="F345" s="110">
        <f ca="1">F344*(1+'normal case'!L345/100)</f>
        <v>873.60516133404371</v>
      </c>
      <c r="G345" s="108">
        <f ca="1">C345-A345+G344*(1+'normal case'!T345/100)</f>
        <v>-684898.67352427042</v>
      </c>
      <c r="H345" s="109">
        <f ca="1">IF(ABS(G345/'normal case'!D346-H344)&lt;0.0000001,H344,G345/'normal case'!D346)</f>
        <v>-6781.1749813869392</v>
      </c>
    </row>
    <row r="346" spans="1:8">
      <c r="A346" s="108">
        <f ca="1">('main page'!$U$31/100)*'normal case'!D347</f>
        <v>20.200000011920931</v>
      </c>
      <c r="B346" s="109"/>
      <c r="C346" s="108">
        <f ca="1">'normal case'!AN347-'normal case'!AN346+IF(controls!$B$33=1,(1+(('main page'!$K$35/100)))*C345,'public finance'!C345)</f>
        <v>20</v>
      </c>
      <c r="D346" s="109">
        <f ca="1">IF(ABS(((A346-C346)/'normal case'!D347)-D345)&lt;0.0000001,D345,(A346-C346)/'normal case'!D347)</f>
        <v>1.9802129779314939E-3</v>
      </c>
      <c r="E346" s="109">
        <f ca="1">IF(ABS(D346-(G346*('normal case'!T347/100))/'normal case'!D347-E345)&lt;0.00001,E345,D346-(G346*('normal case'!T347/100))/'normal case'!D347)</f>
        <v>245.6501110582401</v>
      </c>
      <c r="F346" s="110">
        <f ca="1">F345*(1+'normal case'!L346/100)</f>
        <v>891.07726351930614</v>
      </c>
      <c r="G346" s="108">
        <f ca="1">C346-A346+G345*(1+'normal case'!T346/100)</f>
        <v>-708870.32689351612</v>
      </c>
      <c r="H346" s="109">
        <f ca="1">IF(ABS(G346/'normal case'!D347-H345)&lt;0.0000001,H345,G346/'normal case'!D347)</f>
        <v>-7018.5180839126715</v>
      </c>
    </row>
    <row r="347" spans="1:8">
      <c r="A347" s="108">
        <f ca="1">('main page'!$U$31/100)*'normal case'!D348</f>
        <v>20.200000011920931</v>
      </c>
      <c r="B347" s="109"/>
      <c r="C347" s="108">
        <f ca="1">'normal case'!AN348-'normal case'!AN347+IF(controls!$B$33=1,(1+(('main page'!$K$35/100)))*C346,'public finance'!C346)</f>
        <v>20</v>
      </c>
      <c r="D347" s="109">
        <f ca="1">IF(ABS(((A347-C347)/'normal case'!D348)-D346)&lt;0.0000001,D346,(A347-C347)/'normal case'!D348)</f>
        <v>1.9802129779314939E-3</v>
      </c>
      <c r="E347" s="109">
        <f ca="1">IF(ABS(D347-(G347*('normal case'!T348/100))/'normal case'!D348-E346)&lt;0.00001,E346,D347-(G347*('normal case'!T348/100))/'normal case'!D348)</f>
        <v>254.24786487154964</v>
      </c>
      <c r="F347" s="110">
        <f ca="1">F346*(1+'normal case'!L347/100)</f>
        <v>908.89880772744539</v>
      </c>
      <c r="G347" s="108">
        <f ca="1">C347-A347+G346*(1+'normal case'!T347/100)</f>
        <v>-733680.98812354135</v>
      </c>
      <c r="H347" s="109">
        <f ca="1">IF(ABS(G347/'normal case'!D348-H346)&lt;0.0000001,H346,G347/'normal case'!D348)</f>
        <v>-7264.1681949560707</v>
      </c>
    </row>
    <row r="348" spans="1:8">
      <c r="A348" s="108">
        <f ca="1">('main page'!$U$31/100)*'normal case'!D349</f>
        <v>20.200000011920931</v>
      </c>
      <c r="B348" s="109"/>
      <c r="C348" s="108">
        <f ca="1">'normal case'!AN349-'normal case'!AN348+IF(controls!$B$33=1,(1+(('main page'!$K$35/100)))*C347,'public finance'!C347)</f>
        <v>20</v>
      </c>
      <c r="D348" s="109">
        <f ca="1">IF(ABS(((A348-C348)/'normal case'!D349)-D347)&lt;0.0000001,D347,(A348-C348)/'normal case'!D349)</f>
        <v>1.9802129779314939E-3</v>
      </c>
      <c r="E348" s="109">
        <f ca="1">IF(ABS(D348-(G348*('normal case'!T349/100))/'normal case'!D349-E347)&lt;0.00001,E347,D348-(G348*('normal case'!T349/100))/'normal case'!D349)</f>
        <v>263.14654006576262</v>
      </c>
      <c r="F348" s="110">
        <f ca="1">F347*(1+'normal case'!L348/100)</f>
        <v>927.07678279850256</v>
      </c>
      <c r="G348" s="108">
        <f ca="1">C348-A348+G347*(1+'normal case'!T348/100)</f>
        <v>-759360.02248922328</v>
      </c>
      <c r="H348" s="109">
        <f ca="1">IF(ABS(G348/'normal case'!D349-H347)&lt;0.0000001,H347,G348/'normal case'!D349)</f>
        <v>-7518.4160598127801</v>
      </c>
    </row>
    <row r="349" spans="1:8">
      <c r="A349" s="108">
        <f ca="1">('main page'!$U$31/100)*'normal case'!D350</f>
        <v>20.200000011920931</v>
      </c>
      <c r="B349" s="109"/>
      <c r="C349" s="108">
        <f ca="1">'normal case'!AN350-'normal case'!AN349+IF(controls!$B$33=1,(1+(('main page'!$K$35/100)))*C348,'public finance'!C348)</f>
        <v>20</v>
      </c>
      <c r="D349" s="109">
        <f ca="1">IF(ABS(((A349-C349)/'normal case'!D350)-D348)&lt;0.0000001,D348,(A349-C349)/'normal case'!D350)</f>
        <v>1.9802129779314939E-3</v>
      </c>
      <c r="E349" s="109">
        <f ca="1">IF(ABS(D349-(G349*('normal case'!T350/100))/'normal case'!D350-E348)&lt;0.00001,E348,D349-(G349*('normal case'!T350/100))/'normal case'!D350)</f>
        <v>272.35666888912112</v>
      </c>
      <c r="F349" s="110">
        <f ca="1">F348*(1+'normal case'!L349/100)</f>
        <v>945.61831734931104</v>
      </c>
      <c r="G349" s="108">
        <f ca="1">C349-A349+G348*(1+'normal case'!T349/100)</f>
        <v>-785937.82305005111</v>
      </c>
      <c r="H349" s="109">
        <f ca="1">IF(ABS(G349/'normal case'!D350-H348)&lt;0.0000001,H348,G349/'normal case'!D350)</f>
        <v>-7781.5625998637015</v>
      </c>
    </row>
    <row r="350" spans="1:8">
      <c r="A350" s="108">
        <f ca="1">('main page'!$U$31/100)*'normal case'!D351</f>
        <v>20.200000011920931</v>
      </c>
      <c r="B350" s="109"/>
      <c r="C350" s="108">
        <f ca="1">'normal case'!AN351-'normal case'!AN350+IF(controls!$B$33=1,(1+(('main page'!$K$35/100)))*C349,'public finance'!C349)</f>
        <v>20</v>
      </c>
      <c r="D350" s="109">
        <f ca="1">IF(ABS(((A350-C350)/'normal case'!D351)-D349)&lt;0.0000001,D349,(A350-C350)/'normal case'!D351)</f>
        <v>1.9802129779314939E-3</v>
      </c>
      <c r="E350" s="109">
        <f ca="1">IF(ABS(D350-(G350*('normal case'!T351/100))/'normal case'!D351-E349)&lt;0.00001,E349,D350-(G350*('normal case'!T351/100))/'normal case'!D351)</f>
        <v>281.88915221855228</v>
      </c>
      <c r="F350" s="110">
        <f ca="1">F349*(1+'normal case'!L350/100)</f>
        <v>964.53068256903248</v>
      </c>
      <c r="G350" s="108">
        <f ca="1">C350-A350+G349*(1+'normal case'!T350/100)</f>
        <v>-813445.84662258707</v>
      </c>
      <c r="H350" s="109">
        <f ca="1">IF(ABS(G350/'normal case'!D351-H349)&lt;0.0000001,H349,G350/'normal case'!D351)</f>
        <v>-8053.9192687379809</v>
      </c>
    </row>
    <row r="351" spans="1:8">
      <c r="A351" s="108">
        <f ca="1">('main page'!$U$31/100)*'normal case'!D352</f>
        <v>20.200000011920931</v>
      </c>
      <c r="B351" s="109"/>
      <c r="C351" s="108">
        <f ca="1">'normal case'!AN352-'normal case'!AN351+IF(controls!$B$33=1,(1+(('main page'!$K$35/100)))*C350,'public finance'!C350)</f>
        <v>20</v>
      </c>
      <c r="D351" s="109">
        <f ca="1">IF(ABS(((A351-C351)/'normal case'!D352)-D350)&lt;0.0000001,D350,(A351-C351)/'normal case'!D352)</f>
        <v>1.9802129779314939E-3</v>
      </c>
      <c r="E351" s="109">
        <f ca="1">IF(ABS(D351-(G351*('normal case'!T352/100))/'normal case'!D352-E350)&lt;0.00001,E350,D351-(G351*('normal case'!T352/100))/'normal case'!D352)</f>
        <v>291.75527246167269</v>
      </c>
      <c r="F351" s="110">
        <f ca="1">F350*(1+'normal case'!L351/100)</f>
        <v>983.82129507060301</v>
      </c>
      <c r="G351" s="108">
        <f ca="1">C351-A351+G350*(1+'normal case'!T351/100)</f>
        <v>-841916.65101196384</v>
      </c>
      <c r="H351" s="109">
        <f ca="1">IF(ABS(G351/'normal case'!D352-H350)&lt;0.0000001,H350,G351/'normal case'!D352)</f>
        <v>-8335.808420941692</v>
      </c>
    </row>
    <row r="352" spans="1:8">
      <c r="A352" s="108">
        <f ca="1">('main page'!$U$31/100)*'normal case'!D353</f>
        <v>20.200000011920931</v>
      </c>
      <c r="B352" s="109"/>
      <c r="C352" s="108">
        <f ca="1">'normal case'!AN353-'normal case'!AN352+IF(controls!$B$33=1,(1+(('main page'!$K$35/100)))*C351,'public finance'!C351)</f>
        <v>20</v>
      </c>
      <c r="D352" s="109">
        <f ca="1">IF(ABS(((A352-C352)/'normal case'!D353)-D351)&lt;0.0000001,D351,(A352-C352)/'normal case'!D353)</f>
        <v>1.9802129779314939E-3</v>
      </c>
      <c r="E352" s="109">
        <f ca="1">IF(ABS(D352-(G352*('normal case'!T353/100))/'normal case'!D353-E351)&lt;0.00001,E351,D352-(G352*('normal case'!T353/100))/'normal case'!D353)</f>
        <v>301.96670691036189</v>
      </c>
      <c r="F352" s="110">
        <f ca="1">F351*(1+'normal case'!L352/100)</f>
        <v>1003.4977197992088</v>
      </c>
      <c r="G352" s="108">
        <f ca="1">C352-A352+G351*(1+'normal case'!T352/100)</f>
        <v>-871383.93354648375</v>
      </c>
      <c r="H352" s="109">
        <f ca="1">IF(ABS(G352/'normal case'!D353-H351)&lt;0.0000001,H351,G352/'normal case'!D353)</f>
        <v>-8627.5636933885235</v>
      </c>
    </row>
    <row r="353" spans="1:8">
      <c r="A353" s="108">
        <f ca="1">('main page'!$U$31/100)*'normal case'!D354</f>
        <v>20.200000011920931</v>
      </c>
      <c r="B353" s="109"/>
      <c r="C353" s="108">
        <f ca="1">'normal case'!AN354-'normal case'!AN353+IF(controls!$B$33=1,(1+(('main page'!$K$35/100)))*C352,'public finance'!C352)</f>
        <v>20</v>
      </c>
      <c r="D353" s="109">
        <f ca="1">IF(ABS(((A353-C353)/'normal case'!D354)-D352)&lt;0.0000001,D352,(A353-C353)/'normal case'!D354)</f>
        <v>1.9802129779314939E-3</v>
      </c>
      <c r="E353" s="109">
        <f ca="1">IF(ABS(D353-(G353*('normal case'!T354/100))/'normal case'!D354-E352)&lt;0.00001,E352,D353-(G353*('normal case'!T354/100))/'normal case'!D354)</f>
        <v>312.53554156171208</v>
      </c>
      <c r="F353" s="110">
        <f ca="1">F352*(1+'normal case'!L353/100)</f>
        <v>1023.5676729989304</v>
      </c>
      <c r="G353" s="108">
        <f ca="1">C353-A353+G352*(1+'normal case'!T353/100)</f>
        <v>-901882.57096092997</v>
      </c>
      <c r="H353" s="109">
        <f ca="1">IF(ABS(G353/'normal case'!D354-H352)&lt;0.0000001,H352,G353/'normal case'!D354)</f>
        <v>-8929.5304002840439</v>
      </c>
    </row>
    <row r="354" spans="1:8">
      <c r="A354" s="108">
        <f ca="1">('main page'!$U$31/100)*'normal case'!D355</f>
        <v>20.200000011920931</v>
      </c>
      <c r="B354" s="109"/>
      <c r="C354" s="108">
        <f ca="1">'normal case'!AN355-'normal case'!AN354+IF(controls!$B$33=1,(1+(('main page'!$K$35/100)))*C353,'public finance'!C353)</f>
        <v>20</v>
      </c>
      <c r="D354" s="109">
        <f ca="1">IF(ABS(((A354-C354)/'normal case'!D355)-D353)&lt;0.0000001,D353,(A354-C354)/'normal case'!D355)</f>
        <v>1.9802129779314939E-3</v>
      </c>
      <c r="E354" s="109">
        <f ca="1">IF(ABS(D354-(G354*('normal case'!T355/100))/'normal case'!D355-E353)&lt;0.00001,E353,D354-(G354*('normal case'!T355/100))/'normal case'!D355)</f>
        <v>323.47428542270967</v>
      </c>
      <c r="F354" s="110">
        <f ca="1">F353*(1+'normal case'!L354/100)</f>
        <v>1044.0390252387213</v>
      </c>
      <c r="G354" s="108">
        <f ca="1">C354-A354+G353*(1+'normal case'!T354/100)</f>
        <v>-933448.66067579249</v>
      </c>
      <c r="H354" s="109">
        <f ca="1">IF(ABS(G354/'normal case'!D355-H353)&lt;0.0000001,H353,G354/'normal case'!D355)</f>
        <v>-9242.0659418309151</v>
      </c>
    </row>
    <row r="355" spans="1:8">
      <c r="A355" s="108">
        <f ca="1">('main page'!$U$31/100)*'normal case'!D356</f>
        <v>20.200000011920931</v>
      </c>
      <c r="B355" s="109"/>
      <c r="C355" s="108">
        <f ca="1">'normal case'!AN356-'normal case'!AN355+IF(controls!$B$33=1,(1+(('main page'!$K$35/100)))*C354,'public finance'!C354)</f>
        <v>20</v>
      </c>
      <c r="D355" s="109">
        <f ca="1">IF(ABS(((A355-C355)/'normal case'!D356)-D354)&lt;0.0000001,D354,(A355-C355)/'normal case'!D356)</f>
        <v>1.9802129779314939E-3</v>
      </c>
      <c r="E355" s="109">
        <f ca="1">IF(ABS(D355-(G355*('normal case'!T356/100))/'normal case'!D356-E354)&lt;0.00001,E354,D355-(G355*('normal case'!T356/100))/'normal case'!D356)</f>
        <v>334.79588531558221</v>
      </c>
      <c r="F355" s="110">
        <f ca="1">F354*(1+'normal case'!L355/100)</f>
        <v>1064.9198044989041</v>
      </c>
      <c r="G355" s="108">
        <f ca="1">C355-A355+G354*(1+'normal case'!T355/100)</f>
        <v>-966119.56352126773</v>
      </c>
      <c r="H355" s="109">
        <f ca="1">IF(ABS(G355/'normal case'!D356-H354)&lt;0.0000001,H354,G355/'normal case'!D356)</f>
        <v>-9565.5402272387837</v>
      </c>
    </row>
    <row r="356" spans="1:8">
      <c r="A356" s="108">
        <f ca="1">('main page'!$U$31/100)*'normal case'!D357</f>
        <v>20.200000011920931</v>
      </c>
      <c r="B356" s="109"/>
      <c r="C356" s="108">
        <f ca="1">'normal case'!AN357-'normal case'!AN356+IF(controls!$B$33=1,(1+(('main page'!$K$35/100)))*C355,'public finance'!C355)</f>
        <v>20</v>
      </c>
      <c r="D356" s="109">
        <f ca="1">IF(ABS(((A356-C356)/'normal case'!D357)-D355)&lt;0.0000001,D355,(A356-C356)/'normal case'!D357)</f>
        <v>1.9802129779314939E-3</v>
      </c>
      <c r="E356" s="109">
        <f ca="1">IF(ABS(D356-(G356*('normal case'!T357/100))/'normal case'!D357-E355)&lt;0.00001,E355,D356-(G356*('normal case'!T357/100))/'normal case'!D357)</f>
        <v>346.51374120133124</v>
      </c>
      <c r="F356" s="110">
        <f ca="1">F355*(1+'normal case'!L356/100)</f>
        <v>1086.218199319399</v>
      </c>
      <c r="G356" s="108">
        <f ca="1">C356-A356+G355*(1+'normal case'!T356/100)</f>
        <v>-999933.94795659801</v>
      </c>
      <c r="H356" s="109">
        <f ca="1">IF(ABS(G356/'normal case'!D357-H355)&lt;0.0000001,H355,G356/'normal case'!D357)</f>
        <v>-9900.336112539524</v>
      </c>
    </row>
    <row r="357" spans="1:8">
      <c r="A357" s="108">
        <f ca="1">('main page'!$U$31/100)*'normal case'!D358</f>
        <v>20.200000011920931</v>
      </c>
      <c r="B357" s="109"/>
      <c r="C357" s="108">
        <f ca="1">'normal case'!AN358-'normal case'!AN357+IF(controls!$B$33=1,(1+(('main page'!$K$35/100)))*C356,'public finance'!C356)</f>
        <v>20</v>
      </c>
      <c r="D357" s="109">
        <f ca="1">IF(ABS(((A357-C357)/'normal case'!D358)-D356)&lt;0.0000001,D356,(A357-C357)/'normal case'!D358)</f>
        <v>1.9802129779314939E-3</v>
      </c>
      <c r="E357" s="109">
        <f ca="1">IF(ABS(D357-(G357*('normal case'!T358/100))/'normal case'!D358-E356)&lt;0.00001,E356,D357-(G357*('normal case'!T358/100))/'normal case'!D358)</f>
        <v>358.64172203958924</v>
      </c>
      <c r="F357" s="110">
        <f ca="1">F356*(1+'normal case'!L357/100)</f>
        <v>1107.9425620109141</v>
      </c>
      <c r="G357" s="108">
        <f ca="1">C357-A357+G356*(1+'normal case'!T357/100)</f>
        <v>-1034931.8358370874</v>
      </c>
      <c r="H357" s="109">
        <f ca="1">IF(ABS(G357/'normal case'!D358-H356)&lt;0.0000001,H356,G357/'normal case'!D358)</f>
        <v>-10246.849853726015</v>
      </c>
    </row>
    <row r="358" spans="1:8">
      <c r="A358" s="108">
        <f ca="1">('main page'!$U$31/100)*'normal case'!D359</f>
        <v>20.200000011920931</v>
      </c>
      <c r="B358" s="109"/>
      <c r="C358" s="108">
        <f ca="1">'normal case'!AN359-'normal case'!AN358+IF(controls!$B$33=1,(1+(('main page'!$K$35/100)))*C357,'public finance'!C357)</f>
        <v>20</v>
      </c>
      <c r="D358" s="109">
        <f ca="1">IF(ABS(((A358-C358)/'normal case'!D359)-D357)&lt;0.0000001,D357,(A358-C358)/'normal case'!D359)</f>
        <v>1.9802129779314939E-3</v>
      </c>
      <c r="E358" s="109">
        <f ca="1">IF(ABS(D358-(G358*('normal case'!T359/100))/'normal case'!D359-E357)&lt;0.00001,E357,D358-(G358*('normal case'!T359/100))/'normal case'!D359)</f>
        <v>371.19418220357181</v>
      </c>
      <c r="F358" s="110">
        <f ca="1">F357*(1+'normal case'!L358/100)</f>
        <v>1130.101411930362</v>
      </c>
      <c r="G358" s="108">
        <f ca="1">C358-A358+G357*(1+'normal case'!T358/100)</f>
        <v>-1071154.6497829636</v>
      </c>
      <c r="H358" s="109">
        <f ca="1">IF(ABS(G358/'normal case'!D359-H357)&lt;0.0000001,H357,G358/'normal case'!D359)</f>
        <v>-10605.491575750762</v>
      </c>
    </row>
    <row r="359" spans="1:8">
      <c r="A359" s="108">
        <f ca="1">('main page'!$U$31/100)*'normal case'!D360</f>
        <v>20.200000011920931</v>
      </c>
      <c r="B359" s="109"/>
      <c r="C359" s="108">
        <f ca="1">'normal case'!AN360-'normal case'!AN359+IF(controls!$B$33=1,(1+(('main page'!$K$35/100)))*C358,'public finance'!C358)</f>
        <v>20</v>
      </c>
      <c r="D359" s="109">
        <f ca="1">IF(ABS(((A359-C359)/'normal case'!D360)-D358)&lt;0.0000001,D358,(A359-C359)/'normal case'!D360)</f>
        <v>1.9802129779314939E-3</v>
      </c>
      <c r="E359" s="109">
        <f ca="1">IF(ABS(D359-(G359*('normal case'!T360/100))/'normal case'!D360-E358)&lt;0.00001,E358,D359-(G359*('normal case'!T360/100))/'normal case'!D360)</f>
        <v>384.18597846955294</v>
      </c>
      <c r="F359" s="110">
        <f ca="1">F358*(1+'normal case'!L359/100)</f>
        <v>1152.7034388217835</v>
      </c>
      <c r="G359" s="108">
        <f ca="1">C359-A359+G358*(1+'normal case'!T359/100)</f>
        <v>-1108645.2622061502</v>
      </c>
      <c r="H359" s="109">
        <f ca="1">IF(ABS(G359/'normal case'!D360-H358)&lt;0.0000001,H358,G359/'normal case'!D360)</f>
        <v>-10976.685757939493</v>
      </c>
    </row>
    <row r="360" spans="1:8">
      <c r="A360" s="108">
        <f ca="1">('main page'!$U$31/100)*'normal case'!D361</f>
        <v>20.200000011920931</v>
      </c>
      <c r="B360" s="109"/>
      <c r="C360" s="108">
        <f ca="1">'normal case'!AN361-'normal case'!AN360+IF(controls!$B$33=1,(1+(('main page'!$K$35/100)))*C359,'public finance'!C359)</f>
        <v>20</v>
      </c>
      <c r="D360" s="109">
        <f ca="1">IF(ABS(((A360-C360)/'normal case'!D361)-D359)&lt;0.0000001,D359,(A360-C360)/'normal case'!D361)</f>
        <v>1.9802129779314939E-3</v>
      </c>
      <c r="E360" s="109">
        <f ca="1">IF(ABS(D360-(G360*('normal case'!T361/100))/'normal case'!D361-E359)&lt;0.00001,E359,D360-(G360*('normal case'!T361/100))/'normal case'!D361)</f>
        <v>397.63248760097144</v>
      </c>
      <c r="F360" s="110">
        <f ca="1">F359*(1+'normal case'!L360/100)</f>
        <v>1175.7575062240896</v>
      </c>
      <c r="G360" s="108">
        <f ca="1">C360-A360+G359*(1+'normal case'!T360/100)</f>
        <v>-1147448.0460529753</v>
      </c>
      <c r="H360" s="109">
        <f ca="1">IF(ABS(G360/'normal case'!D361-H359)&lt;0.0000001,H359,G360/'normal case'!D361)</f>
        <v>-11360.871736394205</v>
      </c>
    </row>
    <row r="361" spans="1:8">
      <c r="A361" s="108">
        <f ca="1">('main page'!$U$31/100)*'normal case'!D362</f>
        <v>20.200000011920931</v>
      </c>
      <c r="B361" s="109"/>
      <c r="C361" s="108">
        <f ca="1">'normal case'!AN362-'normal case'!AN361+IF(controls!$B$33=1,(1+(('main page'!$K$35/100)))*C360,'public finance'!C360)</f>
        <v>20</v>
      </c>
      <c r="D361" s="109">
        <f ca="1">IF(ABS(((A361-C361)/'normal case'!D362)-D360)&lt;0.0000001,D360,(A361-C361)/'normal case'!D362)</f>
        <v>1.9802129779314939E-3</v>
      </c>
      <c r="E361" s="109">
        <f ca="1">IF(ABS(D361-(G361*('normal case'!T362/100))/'normal case'!D362-E360)&lt;0.00001,E360,D361-(G361*('normal case'!T362/100))/'normal case'!D362)</f>
        <v>411.54962454798226</v>
      </c>
      <c r="F361" s="110">
        <f ca="1">F360*(1+'normal case'!L361/100)</f>
        <v>1199.2726549469594</v>
      </c>
      <c r="G361" s="108">
        <f ca="1">C361-A361+G360*(1+'normal case'!T361/100)</f>
        <v>-1187608.927322875</v>
      </c>
      <c r="H361" s="109">
        <f ca="1">IF(ABS(G361/'normal case'!D362-H360)&lt;0.0000001,H360,G361/'normal case'!D362)</f>
        <v>-11758.504223980332</v>
      </c>
    </row>
    <row r="362" spans="1:8">
      <c r="A362" s="108">
        <f ca="1">('main page'!$U$31/100)*'normal case'!D363</f>
        <v>20.200000011920931</v>
      </c>
      <c r="B362" s="109"/>
      <c r="C362" s="108">
        <f ca="1">'normal case'!AN363-'normal case'!AN362+IF(controls!$B$33=1,(1+(('main page'!$K$35/100)))*C361,'public finance'!C361)</f>
        <v>20</v>
      </c>
      <c r="D362" s="109">
        <f ca="1">IF(ABS(((A362-C362)/'normal case'!D363)-D361)&lt;0.0000001,D361,(A362-C362)/'normal case'!D363)</f>
        <v>1.9802129779314939E-3</v>
      </c>
      <c r="E362" s="109">
        <f ca="1">IF(ABS(D362-(G362*('normal case'!T363/100))/'normal case'!D363-E361)&lt;0.00001,E361,D362-(G362*('normal case'!T363/100))/'normal case'!D363)</f>
        <v>425.95386128399076</v>
      </c>
      <c r="F362" s="110">
        <f ca="1">F361*(1+'normal case'!L362/100)</f>
        <v>1223.2581066162543</v>
      </c>
      <c r="G362" s="108">
        <f ca="1">C362-A362+G361*(1+'normal case'!T362/100)</f>
        <v>-1229175.4394252524</v>
      </c>
      <c r="H362" s="109">
        <f ca="1">IF(ABS(G362/'normal case'!D363-H361)&lt;0.0000001,H361,G362/'normal case'!D363)</f>
        <v>-12170.053848513471</v>
      </c>
    </row>
    <row r="363" spans="1:8">
      <c r="A363" s="108">
        <f ca="1">('main page'!$U$31/100)*'normal case'!D364</f>
        <v>20.200000011920931</v>
      </c>
      <c r="B363" s="109"/>
      <c r="C363" s="108">
        <f ca="1">'normal case'!AN364-'normal case'!AN363+IF(controls!$B$33=1,(1+(('main page'!$K$35/100)))*C362,'public finance'!C362)</f>
        <v>20</v>
      </c>
      <c r="D363" s="109">
        <f ca="1">IF(ABS(((A363-C363)/'normal case'!D364)-D362)&lt;0.0000001,D362,(A363-C363)/'normal case'!D364)</f>
        <v>1.9802129779314939E-3</v>
      </c>
      <c r="E363" s="109">
        <f ca="1">IF(ABS(D363-(G363*('normal case'!T364/100))/'normal case'!D364-E362)&lt;0.00001,E362,D363-(G363*('normal case'!T364/100))/'normal case'!D364)</f>
        <v>440.86224630146683</v>
      </c>
      <c r="F363" s="110">
        <f ca="1">F362*(1+'normal case'!L363/100)</f>
        <v>1247.7232672903422</v>
      </c>
      <c r="G363" s="108">
        <f ca="1">C363-A363+G362*(1+'normal case'!T363/100)</f>
        <v>-1272196.7794388251</v>
      </c>
      <c r="H363" s="109">
        <f ca="1">IF(ABS(G363/'normal case'!D364-H362)&lt;0.0000001,H362,G363/'normal case'!D364)</f>
        <v>-12596.00770978262</v>
      </c>
    </row>
    <row r="364" spans="1:8">
      <c r="A364" s="108">
        <f ca="1">('main page'!$U$31/100)*'normal case'!D365</f>
        <v>20.200000011920931</v>
      </c>
      <c r="B364" s="109"/>
      <c r="C364" s="108">
        <f ca="1">'normal case'!AN365-'normal case'!AN364+IF(controls!$B$33=1,(1+(('main page'!$K$35/100)))*C363,'public finance'!C363)</f>
        <v>20</v>
      </c>
      <c r="D364" s="109">
        <f ca="1">IF(ABS(((A364-C364)/'normal case'!D365)-D363)&lt;0.0000001,D363,(A364-C364)/'normal case'!D365)</f>
        <v>1.9802129779314939E-3</v>
      </c>
      <c r="E364" s="109">
        <f ca="1">IF(ABS(D364-(G364*('normal case'!T365/100))/'normal case'!D365-E363)&lt;0.00001,E363,D364-(G364*('normal case'!T365/100))/'normal case'!D365)</f>
        <v>456.29242479011151</v>
      </c>
      <c r="F364" s="110">
        <f ca="1">F363*(1+'normal case'!L364/100)</f>
        <v>1272.6777311487469</v>
      </c>
      <c r="G364" s="108">
        <f ca="1">C364-A364+G363*(1+'normal case'!T364/100)</f>
        <v>-1316723.8663400516</v>
      </c>
      <c r="H364" s="109">
        <f ca="1">IF(ABS(G364/'normal case'!D365-H363)&lt;0.0000001,H363,G364/'normal case'!D365)</f>
        <v>-13036.869956069244</v>
      </c>
    </row>
    <row r="365" spans="1:8">
      <c r="A365" s="108">
        <f ca="1">('main page'!$U$31/100)*'normal case'!D366</f>
        <v>20.200000011920931</v>
      </c>
      <c r="B365" s="109"/>
      <c r="C365" s="108">
        <f ca="1">'normal case'!AN366-'normal case'!AN365+IF(controls!$B$33=1,(1+(('main page'!$K$35/100)))*C364,'public finance'!C364)</f>
        <v>20</v>
      </c>
      <c r="D365" s="109">
        <f ca="1">IF(ABS(((A365-C365)/'normal case'!D366)-D364)&lt;0.0000001,D364,(A365-C365)/'normal case'!D366)</f>
        <v>1.9802129779314939E-3</v>
      </c>
      <c r="E365" s="109">
        <f ca="1">IF(ABS(D365-(G365*('normal case'!T366/100))/'normal case'!D366-E364)&lt;0.00001,E364,D365-(G365*('normal case'!T366/100))/'normal case'!D366)</f>
        <v>472.26265952126016</v>
      </c>
      <c r="F365" s="110">
        <f ca="1">F364*(1+'normal case'!L365/100)</f>
        <v>1298.1312842545719</v>
      </c>
      <c r="G365" s="108">
        <f ca="1">C365-A365+G364*(1+'normal case'!T365/100)</f>
        <v>-1362809.4012695509</v>
      </c>
      <c r="H365" s="109">
        <f ca="1">IF(ABS(G365/'normal case'!D366-H364)&lt;0.0000001,H364,G365/'normal case'!D366)</f>
        <v>-13493.162380844513</v>
      </c>
    </row>
    <row r="366" spans="1:8">
      <c r="A366" s="108">
        <f ca="1">('main page'!$U$31/100)*'normal case'!D367</f>
        <v>20.200000011920931</v>
      </c>
      <c r="B366" s="109"/>
      <c r="C366" s="108">
        <f ca="1">'normal case'!AN367-'normal case'!AN366+IF(controls!$B$33=1,(1+(('main page'!$K$35/100)))*C365,'public finance'!C365)</f>
        <v>20</v>
      </c>
      <c r="D366" s="109">
        <f ca="1">IF(ABS(((A366-C366)/'normal case'!D367)-D365)&lt;0.0000001,D365,(A366-C366)/'normal case'!D367)</f>
        <v>1.9802129779314939E-3</v>
      </c>
      <c r="E366" s="109">
        <f ca="1">IF(ABS(D366-(G366*('normal case'!T367/100))/'normal case'!D367-E365)&lt;0.00001,E365,D366-(G366*('normal case'!T367/100))/'normal case'!D367)</f>
        <v>488.79185246323954</v>
      </c>
      <c r="F366" s="110">
        <f ca="1">F365*(1+'normal case'!L366/100)</f>
        <v>1324.0939083921703</v>
      </c>
      <c r="G366" s="108">
        <f ca="1">C366-A366+G365*(1+'normal case'!T366/100)</f>
        <v>-1410507.9299078481</v>
      </c>
      <c r="H366" s="109">
        <f ca="1">IF(ABS(G366/'normal case'!D367-H365)&lt;0.0000001,H365,G366/'normal case'!D367)</f>
        <v>-13965.42504035093</v>
      </c>
    </row>
    <row r="367" spans="1:8">
      <c r="A367" s="108">
        <f ca="1">('main page'!$U$31/100)*'normal case'!D368</f>
        <v>20.200000011920931</v>
      </c>
      <c r="B367" s="109"/>
      <c r="C367" s="108">
        <f ca="1">'normal case'!AN368-'normal case'!AN367+IF(controls!$B$33=1,(1+(('main page'!$K$35/100)))*C366,'public finance'!C366)</f>
        <v>20</v>
      </c>
      <c r="D367" s="109">
        <f ca="1">IF(ABS(((A367-C367)/'normal case'!D368)-D366)&lt;0.0000001,D366,(A367-C367)/'normal case'!D368)</f>
        <v>1.9802129779314939E-3</v>
      </c>
      <c r="E367" s="109">
        <f ca="1">IF(ABS(D367-(G367*('normal case'!T368/100))/'normal case'!D368-E366)&lt;0.00001,E366,D367-(G367*('normal case'!T368/100))/'normal case'!D368)</f>
        <v>505.89956715326207</v>
      </c>
      <c r="F367" s="110">
        <f ca="1">F366*(1+'normal case'!L367/100)</f>
        <v>1350.5757849815709</v>
      </c>
      <c r="G367" s="108">
        <f ca="1">C367-A367+G366*(1+'normal case'!T367/100)</f>
        <v>-1459875.9070342705</v>
      </c>
      <c r="H367" s="109">
        <f ca="1">IF(ABS(G367/'normal case'!D368-H366)&lt;0.0000001,H366,G367/'normal case'!D368)</f>
        <v>-14454.216892799326</v>
      </c>
    </row>
    <row r="368" spans="1:8">
      <c r="A368" s="108">
        <f ca="1">('main page'!$U$31/100)*'normal case'!D369</f>
        <v>20.200000011920931</v>
      </c>
      <c r="B368" s="109"/>
      <c r="C368" s="108">
        <f ca="1">'normal case'!AN369-'normal case'!AN368+IF(controls!$B$33=1,(1+(('main page'!$K$35/100)))*C367,'public finance'!C367)</f>
        <v>20</v>
      </c>
      <c r="D368" s="109">
        <f ca="1">IF(ABS(((A368-C368)/'normal case'!D369)-D367)&lt;0.0000001,D367,(A368-C368)/'normal case'!D369)</f>
        <v>1.9802129779314939E-3</v>
      </c>
      <c r="E368" s="109">
        <f ca="1">IF(ABS(D368-(G368*('normal case'!T369/100))/'normal case'!D369-E367)&lt;0.00001,E367,D368-(G368*('normal case'!T369/100))/'normal case'!D369)</f>
        <v>523.60605185233703</v>
      </c>
      <c r="F368" s="110">
        <f ca="1">F367*(1+'normal case'!L368/100)</f>
        <v>1377.5872990711905</v>
      </c>
      <c r="G368" s="108">
        <f ca="1">C368-A368+G367*(1+'normal case'!T368/100)</f>
        <v>-1510971.7633454048</v>
      </c>
      <c r="H368" s="109">
        <f ca="1">IF(ABS(G368/'normal case'!D369-H367)&lt;0.0000001,H367,G368/'normal case'!D369)</f>
        <v>-14960.116459937746</v>
      </c>
    </row>
    <row r="369" spans="1:8">
      <c r="A369" s="108">
        <f ca="1">('main page'!$U$31/100)*'normal case'!D370</f>
        <v>20.200000011920931</v>
      </c>
      <c r="B369" s="109"/>
      <c r="C369" s="108">
        <f ca="1">'normal case'!AN370-'normal case'!AN369+IF(controls!$B$33=1,(1+(('main page'!$K$35/100)))*C368,'public finance'!C368)</f>
        <v>20</v>
      </c>
      <c r="D369" s="109">
        <f ca="1">IF(ABS(((A369-C369)/'normal case'!D370)-D368)&lt;0.0000001,D368,(A369-C369)/'normal case'!D370)</f>
        <v>1.9802129779314939E-3</v>
      </c>
      <c r="E369" s="109">
        <f ca="1">IF(ABS(D369-(G369*('normal case'!T370/100))/'normal case'!D370-E368)&lt;0.00001,E368,D369-(G369*('normal case'!T370/100))/'normal case'!D370)</f>
        <v>541.93226351060252</v>
      </c>
      <c r="F369" s="110">
        <f ca="1">F368*(1+'normal case'!L369/100)</f>
        <v>1405.1390434104023</v>
      </c>
      <c r="G369" s="108">
        <f ca="1">C369-A369+G368*(1+'normal case'!T369/100)</f>
        <v>-1563855.9746122011</v>
      </c>
      <c r="H369" s="109">
        <f ca="1">IF(ABS(G369/'normal case'!D370-H368)&lt;0.0000001,H368,G369/'normal case'!D370)</f>
        <v>-15483.72251177524</v>
      </c>
    </row>
    <row r="370" spans="1:8">
      <c r="A370" s="108">
        <f ca="1">('main page'!$U$31/100)*'normal case'!D371</f>
        <v>20.200000011920931</v>
      </c>
      <c r="B370" s="109"/>
      <c r="C370" s="108">
        <f ca="1">'normal case'!AN371-'normal case'!AN370+IF(controls!$B$33=1,(1+(('main page'!$K$35/100)))*C369,'public finance'!C369)</f>
        <v>20</v>
      </c>
      <c r="D370" s="109">
        <f ca="1">IF(ABS(((A370-C370)/'normal case'!D371)-D369)&lt;0.0000001,D369,(A370-C370)/'normal case'!D371)</f>
        <v>1.9802129779314939E-3</v>
      </c>
      <c r="E370" s="109">
        <f ca="1">IF(ABS(D370-(G370*('normal case'!T371/100))/'normal case'!D371-E369)&lt;0.00001,E369,D370-(G370*('normal case'!T371/100))/'normal case'!D371)</f>
        <v>560.89989257144578</v>
      </c>
      <c r="F370" s="110">
        <f ca="1">F369*(1+'normal case'!L370/100)</f>
        <v>1433.2418226035543</v>
      </c>
      <c r="G370" s="108">
        <f ca="1">C370-A370+G369*(1+'normal case'!T370/100)</f>
        <v>-1618591.1332575746</v>
      </c>
      <c r="H370" s="109">
        <f ca="1">IF(ABS(G370/'normal case'!D371-H369)&lt;0.0000001,H369,G370/'normal case'!D371)</f>
        <v>-16025.654775271001</v>
      </c>
    </row>
    <row r="371" spans="1:8">
      <c r="A371" s="108">
        <f ca="1">('main page'!$U$31/100)*'normal case'!D372</f>
        <v>20.200000011920931</v>
      </c>
      <c r="B371" s="109"/>
      <c r="C371" s="108">
        <f ca="1">'normal case'!AN372-'normal case'!AN371+IF(controls!$B$33=1,(1+(('main page'!$K$35/100)))*C370,'public finance'!C370)</f>
        <v>20</v>
      </c>
      <c r="D371" s="109">
        <f ca="1">IF(ABS(((A371-C371)/'normal case'!D372)-D370)&lt;0.0000001,D370,(A371-C371)/'normal case'!D372)</f>
        <v>1.9802129779314939E-3</v>
      </c>
      <c r="E371" s="109">
        <f ca="1">IF(ABS(D371-(G371*('normal case'!T372/100))/'normal case'!D372-E370)&lt;0.00001,E370,D371-(G371*('normal case'!T372/100))/'normal case'!D372)</f>
        <v>580.53138864376569</v>
      </c>
      <c r="F371" s="110">
        <f ca="1">F370*(1+'normal case'!L371/100)</f>
        <v>1461.9066573470679</v>
      </c>
      <c r="G371" s="108">
        <f ca="1">C371-A371+G370*(1+'normal case'!T371/100)</f>
        <v>-1675242.0224392237</v>
      </c>
      <c r="H371" s="109">
        <f ca="1">IF(ABS(G371/'normal case'!D372-H370)&lt;0.0000001,H370,G371/'normal case'!D372)</f>
        <v>-16586.554667827604</v>
      </c>
    </row>
    <row r="372" spans="1:8">
      <c r="A372" s="108">
        <f ca="1">('main page'!$U$31/100)*'normal case'!D373</f>
        <v>20.200000011920931</v>
      </c>
      <c r="B372" s="109"/>
      <c r="C372" s="108">
        <f ca="1">'normal case'!AN373-'normal case'!AN372+IF(controls!$B$33=1,(1+(('main page'!$K$35/100)))*C371,'public finance'!C371)</f>
        <v>20</v>
      </c>
      <c r="D372" s="109">
        <f ca="1">IF(ABS(((A372-C372)/'normal case'!D373)-D371)&lt;0.0000001,D371,(A372-C372)/'normal case'!D373)</f>
        <v>1.9802129779314939E-3</v>
      </c>
      <c r="E372" s="109">
        <f ca="1">IF(ABS(D372-(G372*('normal case'!T373/100))/'normal case'!D373-E371)&lt;0.00001,E371,D372-(G372*('normal case'!T373/100))/'normal case'!D373)</f>
        <v>600.84998707276623</v>
      </c>
      <c r="F372" s="110">
        <f ca="1">F371*(1+'normal case'!L372/100)</f>
        <v>1491.1447887512809</v>
      </c>
      <c r="G372" s="108">
        <f ca="1">C372-A372+G371*(1+'normal case'!T372/100)</f>
        <v>-1733875.6927253474</v>
      </c>
      <c r="H372" s="109">
        <f ca="1">IF(ABS(G372/'normal case'!D373-H371)&lt;0.0000001,H371,G372/'normal case'!D373)</f>
        <v>-17167.086056456526</v>
      </c>
    </row>
    <row r="373" spans="1:8">
      <c r="A373" s="108">
        <f ca="1">('main page'!$U$31/100)*'normal case'!D374</f>
        <v>20.200000011920931</v>
      </c>
      <c r="B373" s="109"/>
      <c r="C373" s="108">
        <f ca="1">'normal case'!AN374-'normal case'!AN373+IF(controls!$B$33=1,(1+(('main page'!$K$35/100)))*C372,'public finance'!C372)</f>
        <v>20</v>
      </c>
      <c r="D373" s="109">
        <f ca="1">IF(ABS(((A373-C373)/'normal case'!D374)-D372)&lt;0.0000001,D372,(A373-C373)/'normal case'!D374)</f>
        <v>1.9802129779314939E-3</v>
      </c>
      <c r="E373" s="109">
        <f ca="1">IF(ABS(D373-(G373*('normal case'!T374/100))/'normal case'!D374-E372)&lt;0.00001,E372,D373-(G373*('normal case'!T374/100))/'normal case'!D374)</f>
        <v>621.87973644072622</v>
      </c>
      <c r="F373" s="110">
        <f ca="1">F372*(1+'normal case'!L373/100)</f>
        <v>1520.9676827487235</v>
      </c>
      <c r="G373" s="108">
        <f ca="1">C373-A373+G372*(1+'normal case'!T373/100)</f>
        <v>-1794561.5414540111</v>
      </c>
      <c r="H373" s="109">
        <f ca="1">IF(ABS(G373/'normal case'!D374-H372)&lt;0.0000001,H372,G373/'normal case'!D374)</f>
        <v>-17767.936043514452</v>
      </c>
    </row>
    <row r="374" spans="1:8">
      <c r="A374" s="108">
        <f ca="1">('main page'!$U$31/100)*'normal case'!D375</f>
        <v>20.200000011920931</v>
      </c>
      <c r="B374" s="109"/>
      <c r="C374" s="108">
        <f ca="1">'normal case'!AN375-'normal case'!AN374+IF(controls!$B$33=1,(1+(('main page'!$K$35/100)))*C373,'public finance'!C373)</f>
        <v>20</v>
      </c>
      <c r="D374" s="109">
        <f ca="1">IF(ABS(((A374-C374)/'normal case'!D375)-D373)&lt;0.0000001,D373,(A374-C374)/'normal case'!D375)</f>
        <v>1.9802129779314939E-3</v>
      </c>
      <c r="E374" s="109">
        <f ca="1">IF(ABS(D374-(G374*('normal case'!T375/100))/'normal case'!D375-E373)&lt;0.00001,E373,D374-(G374*('normal case'!T375/100))/'normal case'!D375)</f>
        <v>643.64552703029756</v>
      </c>
      <c r="F374" s="110">
        <f ca="1">F373*(1+'normal case'!L374/100)</f>
        <v>1551.3870345905632</v>
      </c>
      <c r="G374" s="108">
        <f ca="1">C374-A374+G373*(1+'normal case'!T374/100)</f>
        <v>-1857371.3948700922</v>
      </c>
      <c r="H374" s="109">
        <f ca="1">IF(ABS(G374/'normal case'!D375-H373)&lt;0.0000001,H373,G374/'normal case'!D375)</f>
        <v>-18389.815779940334</v>
      </c>
    </row>
    <row r="375" spans="1:8">
      <c r="A375" s="108">
        <f ca="1">('main page'!$U$31/100)*'normal case'!D376</f>
        <v>20.200000011920931</v>
      </c>
      <c r="B375" s="109"/>
      <c r="C375" s="108">
        <f ca="1">'normal case'!AN376-'normal case'!AN375+IF(controls!$B$33=1,(1+(('main page'!$K$35/100)))*C374,'public finance'!C374)</f>
        <v>20</v>
      </c>
      <c r="D375" s="109">
        <f ca="1">IF(ABS(((A375-C375)/'normal case'!D376)-D374)&lt;0.0000001,D374,(A375-C375)/'normal case'!D376)</f>
        <v>1.9802129779314939E-3</v>
      </c>
      <c r="E375" s="109">
        <f ca="1">IF(ABS(D375-(G375*('normal case'!T376/100))/'normal case'!D376-E374)&lt;0.00001,E374,D375-(G375*('normal case'!T376/100))/'normal case'!D376)</f>
        <v>666.17312028401716</v>
      </c>
      <c r="F375" s="110">
        <f ca="1">F374*(1+'normal case'!L375/100)</f>
        <v>1582.414773432977</v>
      </c>
      <c r="G375" s="108">
        <f ca="1">C375-A375+G374*(1+'normal case'!T375/100)</f>
        <v>-1922379.5931370175</v>
      </c>
      <c r="H375" s="109">
        <f ca="1">IF(ABS(G375/'normal case'!D376-H374)&lt;0.0000001,H374,G375/'normal case'!D376)</f>
        <v>-19033.461306955789</v>
      </c>
    </row>
    <row r="376" spans="1:8">
      <c r="A376" s="108">
        <f ca="1">('main page'!$U$31/100)*'normal case'!D377</f>
        <v>20.200000011920931</v>
      </c>
      <c r="B376" s="109"/>
      <c r="C376" s="108">
        <f ca="1">'normal case'!AN377-'normal case'!AN376+IF(controls!$B$33=1,(1+(('main page'!$K$35/100)))*C375,'public finance'!C375)</f>
        <v>20</v>
      </c>
      <c r="D376" s="109">
        <f ca="1">IF(ABS(((A376-C376)/'normal case'!D377)-D375)&lt;0.0000001,D375,(A376-C376)/'normal case'!D377)</f>
        <v>1.9802129779314939E-3</v>
      </c>
      <c r="E376" s="109">
        <f ca="1">IF(ABS(D376-(G376*('normal case'!T377/100))/'normal case'!D377-E375)&lt;0.00001,E375,D376-(G376*('normal case'!T377/100))/'normal case'!D377)</f>
        <v>689.48917929490324</v>
      </c>
      <c r="F376" s="110">
        <f ca="1">F375*(1+'normal case'!L376/100)</f>
        <v>1614.0630670152511</v>
      </c>
      <c r="G376" s="108">
        <f ca="1">C376-A376+G375*(1+'normal case'!T376/100)</f>
        <v>-1989663.0783239112</v>
      </c>
      <c r="H376" s="109">
        <f ca="1">IF(ABS(G376/'normal case'!D377-H375)&lt;0.0000001,H375,G376/'normal case'!D377)</f>
        <v>-19699.634427224966</v>
      </c>
    </row>
    <row r="377" spans="1:8">
      <c r="A377" s="108">
        <f ca="1">('main page'!$U$31/100)*'normal case'!D378</f>
        <v>20.200000011920931</v>
      </c>
      <c r="B377" s="109"/>
      <c r="C377" s="108">
        <f ca="1">'normal case'!AN378-'normal case'!AN377+IF(controls!$B$33=1,(1+(('main page'!$K$35/100)))*C376,'public finance'!C376)</f>
        <v>20</v>
      </c>
      <c r="D377" s="109">
        <f ca="1">IF(ABS(((A377-C377)/'normal case'!D378)-D376)&lt;0.0000001,D376,(A377-C377)/'normal case'!D378)</f>
        <v>1.9802129779314939E-3</v>
      </c>
      <c r="E377" s="109">
        <f ca="1">IF(ABS(D377-(G377*('normal case'!T378/100))/'normal case'!D378-E376)&lt;0.00001,E376,D377-(G377*('normal case'!T378/100))/'normal case'!D378)</f>
        <v>713.6213003642215</v>
      </c>
      <c r="F377" s="110">
        <f ca="1">F376*(1+'normal case'!L377/100)</f>
        <v>1646.3443264314431</v>
      </c>
      <c r="G377" s="108">
        <f ca="1">C377-A377+G376*(1+'normal case'!T377/100)</f>
        <v>-2059301.485472294</v>
      </c>
      <c r="H377" s="109">
        <f ca="1">IF(ABS(G377/'normal case'!D378-H376)&lt;0.0000001,H376,G377/'normal case'!D378)</f>
        <v>-20389.123606505025</v>
      </c>
    </row>
    <row r="378" spans="1:8">
      <c r="A378" s="108">
        <f ca="1">('main page'!$U$31/100)*'normal case'!D379</f>
        <v>20.200000011920931</v>
      </c>
      <c r="B378" s="109"/>
      <c r="C378" s="108">
        <f ca="1">'normal case'!AN379-'normal case'!AN378+IF(controls!$B$33=1,(1+(('main page'!$K$35/100)))*C377,'public finance'!C377)</f>
        <v>20</v>
      </c>
      <c r="D378" s="109">
        <f ca="1">IF(ABS(((A378-C378)/'normal case'!D379)-D377)&lt;0.0000001,D377,(A378-C378)/'normal case'!D379)</f>
        <v>1.9802129779314939E-3</v>
      </c>
      <c r="E378" s="109">
        <f ca="1">IF(ABS(D378-(G378*('normal case'!T379/100))/'normal case'!D379-E377)&lt;0.00001,E377,D378-(G378*('normal case'!T379/100))/'normal case'!D379)</f>
        <v>738.59804566377409</v>
      </c>
      <c r="F378" s="110">
        <f ca="1">F377*(1+'normal case'!L378/100)</f>
        <v>1679.2712109974766</v>
      </c>
      <c r="G378" s="108">
        <f ca="1">C378-A378+G377*(1+'normal case'!T378/100)</f>
        <v>-2131377.2368501164</v>
      </c>
      <c r="H378" s="109">
        <f ca="1">IF(ABS(G378/'normal case'!D379-H377)&lt;0.0000001,H377,G378/'normal case'!D379)</f>
        <v>-21102.744906854405</v>
      </c>
    </row>
    <row r="379" spans="1:8">
      <c r="A379" s="108">
        <f ca="1">('main page'!$U$31/100)*'normal case'!D380</f>
        <v>20.200000011920931</v>
      </c>
      <c r="B379" s="109"/>
      <c r="C379" s="108">
        <f ca="1">'normal case'!AN380-'normal case'!AN379+IF(controls!$B$33=1,(1+(('main page'!$K$35/100)))*C378,'public finance'!C378)</f>
        <v>20</v>
      </c>
      <c r="D379" s="109">
        <f ca="1">IF(ABS(((A379-C379)/'normal case'!D380)-D378)&lt;0.0000001,D378,(A379-C379)/'normal case'!D380)</f>
        <v>1.9802129779314939E-3</v>
      </c>
      <c r="E379" s="109">
        <f ca="1">IF(ABS(D379-(G379*('normal case'!T380/100))/'normal case'!D380-E378)&lt;0.00001,E378,D379-(G379*('normal case'!T380/100))/'normal case'!D380)</f>
        <v>764.44897704136724</v>
      </c>
      <c r="F379" s="110">
        <f ca="1">F378*(1+'normal case'!L379/100)</f>
        <v>1712.856633215579</v>
      </c>
      <c r="G379" s="108">
        <f ca="1">C379-A379+G378*(1+'normal case'!T379/100)</f>
        <v>-2205975.6395046823</v>
      </c>
      <c r="H379" s="109">
        <f ca="1">IF(ABS(G379/'normal case'!D380-H378)&lt;0.0000001,H378,G379/'normal case'!D380)</f>
        <v>-21841.342952503335</v>
      </c>
    </row>
    <row r="380" spans="1:8">
      <c r="A380" s="108">
        <f ca="1">('main page'!$U$31/100)*'normal case'!D381</f>
        <v>20.200000011920931</v>
      </c>
      <c r="B380" s="109"/>
      <c r="C380" s="108">
        <f ca="1">'normal case'!AN381-'normal case'!AN380+IF(controls!$B$33=1,(1+(('main page'!$K$35/100)))*C379,'public finance'!C379)</f>
        <v>20</v>
      </c>
      <c r="D380" s="109">
        <f ca="1">IF(ABS(((A380-C380)/'normal case'!D381)-D379)&lt;0.0000001,D379,(A380-C380)/'normal case'!D381)</f>
        <v>1.9802129779314939E-3</v>
      </c>
      <c r="E380" s="109">
        <f ca="1">IF(ABS(D380-(G380*('normal case'!T381/100))/'normal case'!D381-E379)&lt;0.00001,E379,D380-(G380*('normal case'!T381/100))/'normal case'!D381)</f>
        <v>791.20469100947207</v>
      </c>
      <c r="F380" s="110">
        <f ca="1">F379*(1+'normal case'!L380/100)</f>
        <v>1747.1137638380064</v>
      </c>
      <c r="G380" s="108">
        <f ca="1">C380-A380+G379*(1+'normal case'!T380/100)</f>
        <v>-2283184.9862299259</v>
      </c>
      <c r="H380" s="109">
        <f ca="1">IF(ABS(G380/'normal case'!D381-H379)&lt;0.0000001,H379,G380/'normal case'!D381)</f>
        <v>-22605.79192952986</v>
      </c>
    </row>
    <row r="381" spans="1:8">
      <c r="A381" s="108">
        <f ca="1">('main page'!$U$31/100)*'normal case'!D382</f>
        <v>20.200000011920931</v>
      </c>
      <c r="B381" s="109"/>
      <c r="C381" s="108">
        <f ca="1">'normal case'!AN382-'normal case'!AN381+IF(controls!$B$33=1,(1+(('main page'!$K$35/100)))*C380,'public finance'!C380)</f>
        <v>20</v>
      </c>
      <c r="D381" s="109">
        <f ca="1">IF(ABS(((A381-C381)/'normal case'!D382)-D380)&lt;0.0000001,D380,(A381-C381)/'normal case'!D382)</f>
        <v>1.9802129779314939E-3</v>
      </c>
      <c r="E381" s="109">
        <f ca="1">IF(ABS(D381-(G381*('normal case'!T382/100))/'normal case'!D382-E380)&lt;0.00001,E380,D381-(G381*('normal case'!T382/100))/'normal case'!D382)</f>
        <v>818.89685495848664</v>
      </c>
      <c r="F381" s="110">
        <f ca="1">F380*(1+'normal case'!L381/100)</f>
        <v>1782.0560370320447</v>
      </c>
      <c r="G381" s="108">
        <f ca="1">C381-A381+G380*(1+'normal case'!T381/100)</f>
        <v>-2363096.6600675429</v>
      </c>
      <c r="H381" s="109">
        <f ca="1">IF(ABS(G381/'normal case'!D382-H380)&lt;0.0000001,H380,G381/'normal case'!D382)</f>
        <v>-23396.996620524489</v>
      </c>
    </row>
    <row r="382" spans="1:8">
      <c r="A382" s="108">
        <f ca="1">('main page'!$U$31/100)*'normal case'!D383</f>
        <v>20.200000011920931</v>
      </c>
      <c r="B382" s="109"/>
      <c r="C382" s="108">
        <f ca="1">'normal case'!AN383-'normal case'!AN382+IF(controls!$B$33=1,(1+(('main page'!$K$35/100)))*C381,'public finance'!C381)</f>
        <v>20</v>
      </c>
      <c r="D382" s="109">
        <f ca="1">IF(ABS(((A382-C382)/'normal case'!D383)-D381)&lt;0.0000001,D381,(A382-C382)/'normal case'!D383)</f>
        <v>1.9802129779314939E-3</v>
      </c>
      <c r="E382" s="109">
        <f ca="1">IF(ABS(D382-(G382*('normal case'!T383/100))/'normal case'!D383-E381)&lt;0.00001,E381,D382-(G382*('normal case'!T383/100))/'normal case'!D383)</f>
        <v>847.55824463746399</v>
      </c>
      <c r="F382" s="110">
        <f ca="1">F381*(1+'normal case'!L382/100)</f>
        <v>1817.6971556483093</v>
      </c>
      <c r="G382" s="108">
        <f ca="1">C382-A382+G381*(1+'normal case'!T382/100)</f>
        <v>-2445805.2424656609</v>
      </c>
      <c r="H382" s="109">
        <f ca="1">IF(ABS(G382/'normal case'!D383-H381)&lt;0.0000001,H381,G382/'normal case'!D383)</f>
        <v>-24215.893475468132</v>
      </c>
    </row>
    <row r="383" spans="1:8">
      <c r="A383" s="108">
        <f ca="1">('main page'!$U$31/100)*'normal case'!D384</f>
        <v>20.200000011920931</v>
      </c>
      <c r="B383" s="109"/>
      <c r="C383" s="108">
        <f ca="1">'normal case'!AN384-'normal case'!AN383+IF(controls!$B$33=1,(1+(('main page'!$K$35/100)))*C382,'public finance'!C382)</f>
        <v>20</v>
      </c>
      <c r="D383" s="109">
        <f ca="1">IF(ABS(((A383-C383)/'normal case'!D384)-D382)&lt;0.0000001,D382,(A383-C383)/'normal case'!D384)</f>
        <v>1.9802129779314939E-3</v>
      </c>
      <c r="E383" s="109">
        <f ca="1">IF(ABS(D383-(G383*('normal case'!T384/100))/'normal case'!D384-E382)&lt;0.00001,E382,D383-(G383*('normal case'!T384/100))/'normal case'!D384)</f>
        <v>877.22278294666364</v>
      </c>
      <c r="F383" s="110">
        <f ca="1">F382*(1+'normal case'!L383/100)</f>
        <v>1854.0510965944118</v>
      </c>
      <c r="G383" s="108">
        <f ca="1">C383-A383+G382*(1+'normal case'!T383/100)</f>
        <v>-2531408.6252230639</v>
      </c>
      <c r="H383" s="109">
        <f ca="1">IF(ABS(G383/'normal case'!D384-H382)&lt;0.0000001,H382,G383/'normal case'!D384)</f>
        <v>-25063.45172009075</v>
      </c>
    </row>
    <row r="384" spans="1:8">
      <c r="A384" s="108">
        <f ca="1">('main page'!$U$31/100)*'normal case'!D385</f>
        <v>20.200000011920931</v>
      </c>
      <c r="B384" s="109"/>
      <c r="C384" s="108">
        <f ca="1">'normal case'!AN385-'normal case'!AN384+IF(controls!$B$33=1,(1+(('main page'!$K$35/100)))*C383,'public finance'!C383)</f>
        <v>20</v>
      </c>
      <c r="D384" s="109">
        <f ca="1">IF(ABS(((A384-C384)/'normal case'!D385)-D383)&lt;0.0000001,D383,(A384-C384)/'normal case'!D385)</f>
        <v>1.9802129779314939E-3</v>
      </c>
      <c r="E384" s="109">
        <f ca="1">IF(ABS(D384-(G384*('normal case'!T385/100))/'normal case'!D385-E383)&lt;0.00001,E383,D384-(G384*('normal case'!T385/100))/'normal case'!D385)</f>
        <v>907.92558008784465</v>
      </c>
      <c r="F384" s="110">
        <f ca="1">F383*(1+'normal case'!L384/100)</f>
        <v>1891.132116316099</v>
      </c>
      <c r="G384" s="108">
        <f ca="1">C384-A384+G383*(1+'normal case'!T384/100)</f>
        <v>-2620008.1263514645</v>
      </c>
      <c r="H384" s="109">
        <f ca="1">IF(ABS(G384/'normal case'!D385-H383)&lt;0.0000001,H383,G384/'normal case'!D385)</f>
        <v>-25940.674503022572</v>
      </c>
    </row>
    <row r="385" spans="1:8">
      <c r="A385" s="108">
        <f ca="1">('main page'!$U$31/100)*'normal case'!D386</f>
        <v>20.200000011920931</v>
      </c>
      <c r="B385" s="109"/>
      <c r="C385" s="108">
        <f ca="1">'normal case'!AN386-'normal case'!AN385+IF(controls!$B$33=1,(1+(('main page'!$K$35/100)))*C384,'public finance'!C384)</f>
        <v>20</v>
      </c>
      <c r="D385" s="109">
        <f ca="1">IF(ABS(((A385-C385)/'normal case'!D386)-D384)&lt;0.0000001,D384,(A385-C385)/'normal case'!D386)</f>
        <v>1.9802129779314939E-3</v>
      </c>
      <c r="E385" s="109">
        <f ca="1">IF(ABS(D385-(G385*('normal case'!T386/100))/'normal case'!D386-E384)&lt;0.00001,E384,D385-(G385*('normal case'!T386/100))/'normal case'!D386)</f>
        <v>939.70297511981687</v>
      </c>
      <c r="F385" s="110">
        <f ca="1">F384*(1+'normal case'!L385/100)</f>
        <v>1928.9547563880158</v>
      </c>
      <c r="G385" s="108">
        <f ca="1">C385-A385+G384*(1+'normal case'!T385/100)</f>
        <v>-2711708.6099929544</v>
      </c>
      <c r="H385" s="109">
        <f ca="1">IF(ABS(G385/'normal case'!D386-H384)&lt;0.0000001,H384,G385/'normal case'!D386)</f>
        <v>-26848.600083095575</v>
      </c>
    </row>
    <row r="386" spans="1:8">
      <c r="A386" s="108">
        <f ca="1">('main page'!$U$31/100)*'normal case'!D387</f>
        <v>20.200000011920931</v>
      </c>
      <c r="B386" s="109"/>
      <c r="C386" s="108">
        <f ca="1">'normal case'!AN387-'normal case'!AN386+IF(controls!$B$33=1,(1+(('main page'!$K$35/100)))*C385,'public finance'!C385)</f>
        <v>20</v>
      </c>
      <c r="D386" s="109">
        <f ca="1">IF(ABS(((A386-C386)/'normal case'!D387)-D385)&lt;0.0000001,D385,(A386-C386)/'normal case'!D387)</f>
        <v>1.9802129779314939E-3</v>
      </c>
      <c r="E386" s="109">
        <f ca="1">IF(ABS(D386-(G386*('normal case'!T387/100))/'normal case'!D387-E385)&lt;0.00001,E385,D386-(G386*('normal case'!T387/100))/'normal case'!D387)</f>
        <v>972.59257896843758</v>
      </c>
      <c r="F386" s="110">
        <f ca="1">F385*(1+'normal case'!L386/100)</f>
        <v>1967.533849216283</v>
      </c>
      <c r="G386" s="108">
        <f ca="1">C386-A386+G385*(1+'normal case'!T386/100)</f>
        <v>-2806618.6105345674</v>
      </c>
      <c r="H386" s="109">
        <f ca="1">IF(ABS(G386/'normal case'!D387-H385)&lt;0.0000001,H385,G386/'normal case'!D387)</f>
        <v>-27788.303058200549</v>
      </c>
    </row>
    <row r="387" spans="1:8">
      <c r="A387" s="108">
        <f ca="1">('main page'!$U$31/100)*'normal case'!D388</f>
        <v>20.200000011920931</v>
      </c>
      <c r="B387" s="109"/>
      <c r="C387" s="108">
        <f ca="1">'normal case'!AN388-'normal case'!AN387+IF(controls!$B$33=1,(1+(('main page'!$K$35/100)))*C386,'public finance'!C386)</f>
        <v>20</v>
      </c>
      <c r="D387" s="109">
        <f ca="1">IF(ABS(((A387-C387)/'normal case'!D388)-D386)&lt;0.0000001,D386,(A387-C387)/'normal case'!D388)</f>
        <v>1.9802129779314939E-3</v>
      </c>
      <c r="E387" s="109">
        <f ca="1">IF(ABS(D387-(G387*('normal case'!T388/100))/'normal case'!D388-E386)&lt;0.00001,E386,D387-(G387*('normal case'!T388/100))/'normal case'!D388)</f>
        <v>1006.6333189419582</v>
      </c>
      <c r="F387" s="110">
        <f ca="1">F386*(1+'normal case'!L387/100)</f>
        <v>2006.8845238551255</v>
      </c>
      <c r="G387" s="108">
        <f ca="1">C387-A387+G386*(1+'normal case'!T387/100)</f>
        <v>-2904850.4610668514</v>
      </c>
      <c r="H387" s="109">
        <f ca="1">IF(ABS(G387/'normal case'!D388-H386)&lt;0.0000001,H386,G387/'normal case'!D388)</f>
        <v>-28760.895637154143</v>
      </c>
    </row>
    <row r="388" spans="1:8">
      <c r="A388" s="108">
        <f ca="1">('main page'!$U$31/100)*'normal case'!D389</f>
        <v>20.200000011920931</v>
      </c>
      <c r="B388" s="109"/>
      <c r="C388" s="108">
        <f ca="1">'normal case'!AN389-'normal case'!AN388+IF(controls!$B$33=1,(1+(('main page'!$K$35/100)))*C387,'public finance'!C387)</f>
        <v>20</v>
      </c>
      <c r="D388" s="109">
        <f ca="1">IF(ABS(((A388-C388)/'normal case'!D389)-D387)&lt;0.0000001,D387,(A388-C388)/'normal case'!D389)</f>
        <v>1.9802129779314939E-3</v>
      </c>
      <c r="E388" s="109">
        <f ca="1">IF(ABS(D388-(G388*('normal case'!T389/100))/'normal case'!D389-E387)&lt;0.00001,E387,D388-(G388*('normal case'!T389/100))/'normal case'!D389)</f>
        <v>1041.8654848044073</v>
      </c>
      <c r="F388" s="110">
        <f ca="1">F387*(1+'normal case'!L388/100)</f>
        <v>2047.0222119398354</v>
      </c>
      <c r="G388" s="108">
        <f ca="1">C388-A388+G387*(1+'normal case'!T388/100)</f>
        <v>-3006520.4263384901</v>
      </c>
      <c r="H388" s="109">
        <f ca="1">IF(ABS(G388/'normal case'!D389-H387)&lt;0.0000001,H387,G388/'normal case'!D389)</f>
        <v>-29767.52895608126</v>
      </c>
    </row>
    <row r="389" spans="1:8">
      <c r="A389" s="108">
        <f ca="1">('main page'!$U$31/100)*'normal case'!D390</f>
        <v>20.200000011920931</v>
      </c>
      <c r="B389" s="109"/>
      <c r="C389" s="108">
        <f ca="1">'normal case'!AN390-'normal case'!AN389+IF(controls!$B$33=1,(1+(('main page'!$K$35/100)))*C388,'public finance'!C388)</f>
        <v>20</v>
      </c>
      <c r="D389" s="109">
        <f ca="1">IF(ABS(((A389-C389)/'normal case'!D390)-D388)&lt;0.0000001,D388,(A389-C389)/'normal case'!D390)</f>
        <v>1.9802129779314939E-3</v>
      </c>
      <c r="E389" s="109">
        <f ca="1">IF(ABS(D389-(G389*('normal case'!T390/100))/'normal case'!D390-E388)&lt;0.00001,E388,D389-(G389*('normal case'!T390/100))/'normal case'!D390)</f>
        <v>1078.3307764615417</v>
      </c>
      <c r="F389" s="110">
        <f ca="1">F388*(1+'normal case'!L389/100)</f>
        <v>2087.9626537383915</v>
      </c>
      <c r="G389" s="108">
        <f ca="1">C389-A389+G388*(1+'normal case'!T389/100)</f>
        <v>-3111748.840364336</v>
      </c>
      <c r="H389" s="109">
        <f ca="1">IF(ABS(G389/'normal case'!D390-H388)&lt;0.0000001,H388,G389/'normal case'!D390)</f>
        <v>-30809.394440870823</v>
      </c>
    </row>
    <row r="390" spans="1:8">
      <c r="A390" s="108">
        <f ca="1">('main page'!$U$31/100)*'normal case'!D391</f>
        <v>20.200000011920931</v>
      </c>
      <c r="B390" s="109"/>
      <c r="C390" s="108">
        <f ca="1">'normal case'!AN391-'normal case'!AN390+IF(controls!$B$33=1,(1+(('main page'!$K$35/100)))*C389,'public finance'!C389)</f>
        <v>20</v>
      </c>
      <c r="D390" s="109">
        <f ca="1">IF(ABS(((A390-C390)/'normal case'!D391)-D389)&lt;0.0000001,D389,(A390-C390)/'normal case'!D391)</f>
        <v>1.9802129779314939E-3</v>
      </c>
      <c r="E390" s="109">
        <f ca="1">IF(ABS(D390-(G390*('normal case'!T391/100))/'normal case'!D391-E389)&lt;0.00001,E389,D390-(G390*('normal case'!T391/100))/'normal case'!D391)</f>
        <v>1116.0723533158086</v>
      </c>
      <c r="F390" s="110">
        <f ca="1">F389*(1+'normal case'!L390/100)</f>
        <v>2129.7219043241139</v>
      </c>
      <c r="G390" s="108">
        <f ca="1">C390-A390+G389*(1+'normal case'!T390/100)</f>
        <v>-3220660.2488497263</v>
      </c>
      <c r="H390" s="109">
        <f ca="1">IF(ABS(G390/'normal case'!D391-H389)&lt;0.0000001,H389,G390/'normal case'!D391)</f>
        <v>-31887.725217317522</v>
      </c>
    </row>
    <row r="391" spans="1:8">
      <c r="A391" s="108">
        <f ca="1">('main page'!$U$31/100)*'normal case'!D392</f>
        <v>20.200000011920931</v>
      </c>
      <c r="B391" s="109"/>
      <c r="C391" s="108">
        <f ca="1">'normal case'!AN392-'normal case'!AN391+IF(controls!$B$33=1,(1+(('main page'!$K$35/100)))*C390,'public finance'!C390)</f>
        <v>20</v>
      </c>
      <c r="D391" s="109">
        <f ca="1">IF(ABS(((A391-C391)/'normal case'!D392)-D390)&lt;0.0000001,D390,(A391-C391)/'normal case'!D392)</f>
        <v>1.9802129779314939E-3</v>
      </c>
      <c r="E391" s="109">
        <f ca="1">IF(ABS(D391-(G391*('normal case'!T392/100))/'normal case'!D392-E390)&lt;0.00001,E390,D391-(G391*('normal case'!T392/100))/'normal case'!D392)</f>
        <v>1155.1348853487268</v>
      </c>
      <c r="F391" s="110">
        <f ca="1">F390*(1+'normal case'!L391/100)</f>
        <v>2172.3163398717697</v>
      </c>
      <c r="G391" s="108">
        <f ca="1">C391-A391+G390*(1+'normal case'!T391/100)</f>
        <v>-3333383.5565996468</v>
      </c>
      <c r="H391" s="109">
        <f ca="1">IF(ABS(G391/'normal case'!D392-H390)&lt;0.0000001,H390,G391/'normal case'!D392)</f>
        <v>-33003.797570618488</v>
      </c>
    </row>
    <row r="392" spans="1:8">
      <c r="A392" s="108">
        <f ca="1">('main page'!$U$31/100)*'normal case'!D393</f>
        <v>20.200000011920931</v>
      </c>
      <c r="B392" s="109"/>
      <c r="C392" s="108">
        <f ca="1">'normal case'!AN393-'normal case'!AN392+IF(controls!$B$33=1,(1+(('main page'!$K$35/100)))*C391,'public finance'!C391)</f>
        <v>20</v>
      </c>
      <c r="D392" s="109">
        <f ca="1">IF(ABS(((A392-C392)/'normal case'!D393)-D391)&lt;0.0000001,D391,(A392-C392)/'normal case'!D393)</f>
        <v>1.9802129779314939E-3</v>
      </c>
      <c r="E392" s="109">
        <f ca="1">IF(ABS(D392-(G392*('normal case'!T393/100))/'normal case'!D393-E391)&lt;0.00001,E391,D392-(G392*('normal case'!T393/100))/'normal case'!D393)</f>
        <v>1195.5646059911558</v>
      </c>
      <c r="F392" s="110">
        <f ca="1">F391*(1+'normal case'!L392/100)</f>
        <v>2215.7626640796025</v>
      </c>
      <c r="G392" s="108">
        <f ca="1">C392-A392+G391*(1+'normal case'!T392/100)</f>
        <v>-3450052.1800872204</v>
      </c>
      <c r="H392" s="109">
        <f ca="1">IF(ABS(G392/'normal case'!D393-H391)&lt;0.0000001,H391,G392/'normal case'!D393)</f>
        <v>-34158.932455952367</v>
      </c>
    </row>
    <row r="393" spans="1:8">
      <c r="A393" s="108">
        <f ca="1">('main page'!$U$31/100)*'normal case'!D394</f>
        <v>20.200000011920931</v>
      </c>
      <c r="B393" s="109"/>
      <c r="C393" s="108">
        <f ca="1">'normal case'!AN394-'normal case'!AN393+IF(controls!$B$33=1,(1+(('main page'!$K$35/100)))*C392,'public finance'!C392)</f>
        <v>20</v>
      </c>
      <c r="D393" s="109">
        <f ca="1">IF(ABS(((A393-C393)/'normal case'!D394)-D392)&lt;0.0000001,D392,(A393-C393)/'normal case'!D394)</f>
        <v>1.9802129779314939E-3</v>
      </c>
      <c r="E393" s="109">
        <f ca="1">IF(ABS(D393-(G393*('normal case'!T394/100))/'normal case'!D394-E392)&lt;0.00001,E392,D393-(G393*('normal case'!T394/100))/'normal case'!D394)</f>
        <v>1237.4093668440207</v>
      </c>
      <c r="F393" s="110">
        <f ca="1">F392*(1+'normal case'!L393/100)</f>
        <v>2260.0779147197995</v>
      </c>
      <c r="G393" s="108">
        <f ca="1">C393-A393+G392*(1+'normal case'!T393/100)</f>
        <v>-3570804.205362089</v>
      </c>
      <c r="H393" s="109">
        <f ca="1">IF(ABS(G393/'normal case'!D394-H392)&lt;0.0000001,H392,G393/'normal case'!D394)</f>
        <v>-35354.497061928683</v>
      </c>
    </row>
    <row r="394" spans="1:8">
      <c r="A394" s="108">
        <f ca="1">('main page'!$U$31/100)*'normal case'!D395</f>
        <v>20.200000011920931</v>
      </c>
      <c r="B394" s="109"/>
      <c r="C394" s="108">
        <f ca="1">'normal case'!AN395-'normal case'!AN394+IF(controls!$B$33=1,(1+(('main page'!$K$35/100)))*C393,'public finance'!C393)</f>
        <v>20</v>
      </c>
      <c r="D394" s="109">
        <f ca="1">IF(ABS(((A394-C394)/'normal case'!D395)-D393)&lt;0.0000001,D393,(A394-C394)/'normal case'!D395)</f>
        <v>1.9802129779314939E-3</v>
      </c>
      <c r="E394" s="109">
        <f ca="1">IF(ABS(D394-(G394*('normal case'!T395/100))/'normal case'!D395-E393)&lt;0.00001,E393,D394-(G394*('normal case'!T395/100))/'normal case'!D395)</f>
        <v>1280.7186943142651</v>
      </c>
      <c r="F394" s="110">
        <f ca="1">F393*(1+'normal case'!L394/100)</f>
        <v>2305.2794703199729</v>
      </c>
      <c r="G394" s="108">
        <f ca="1">C394-A394+G393*(1+'normal case'!T394/100)</f>
        <v>-3695782.5514855911</v>
      </c>
      <c r="H394" s="109">
        <f ca="1">IF(ABS(G394/'normal case'!D395-H393)&lt;0.0000001,H393,G394/'normal case'!D395)</f>
        <v>-36591.906428757859</v>
      </c>
    </row>
    <row r="395" spans="1:8">
      <c r="A395" s="108">
        <f ca="1">('main page'!$U$31/100)*'normal case'!D396</f>
        <v>20.200000011920931</v>
      </c>
      <c r="B395" s="109"/>
      <c r="C395" s="108">
        <f ca="1">'normal case'!AN396-'normal case'!AN395+IF(controls!$B$33=1,(1+(('main page'!$K$35/100)))*C394,'public finance'!C394)</f>
        <v>20</v>
      </c>
      <c r="D395" s="109">
        <f ca="1">IF(ABS(((A395-C395)/'normal case'!D396)-D394)&lt;0.0000001,D394,(A395-C395)/'normal case'!D396)</f>
        <v>1.9802129779314939E-3</v>
      </c>
      <c r="E395" s="109">
        <f ca="1">IF(ABS(D395-(G395*('normal case'!T396/100))/'normal case'!D396-E394)&lt;0.00001,E394,D395-(G395*('normal case'!T396/100))/'normal case'!D396)</f>
        <v>1325.543848233061</v>
      </c>
      <c r="F395" s="110">
        <f ca="1">F394*(1+'normal case'!L395/100)</f>
        <v>2351.3850569782653</v>
      </c>
      <c r="G395" s="108">
        <f ca="1">C395-A395+G394*(1+'normal case'!T395/100)</f>
        <v>-3825135.1396861696</v>
      </c>
      <c r="H395" s="109">
        <f ca="1">IF(ABS(G395/'normal case'!D396-H394)&lt;0.0000001,H394,G395/'normal case'!D396)</f>
        <v>-37872.625123057282</v>
      </c>
    </row>
    <row r="396" spans="1:8">
      <c r="A396" s="108">
        <f ca="1">('main page'!$U$31/100)*'normal case'!D397</f>
        <v>20.200000011920931</v>
      </c>
      <c r="B396" s="109"/>
      <c r="C396" s="108">
        <f ca="1">'normal case'!AN397-'normal case'!AN396+IF(controls!$B$33=1,(1+(('main page'!$K$35/100)))*C395,'public finance'!C395)</f>
        <v>20</v>
      </c>
      <c r="D396" s="109">
        <f ca="1">IF(ABS(((A396-C396)/'normal case'!D397)-D395)&lt;0.0000001,D395,(A396-C396)/'normal case'!D397)</f>
        <v>1.9802129779314939E-3</v>
      </c>
      <c r="E396" s="109">
        <f ca="1">IF(ABS(D396-(G396*('normal case'!T397/100))/'normal case'!D397-E395)&lt;0.00001,E395,D396-(G396*('normal case'!T397/100))/'normal case'!D397)</f>
        <v>1371.9378825256558</v>
      </c>
      <c r="F396" s="110">
        <f ca="1">F395*(1+'normal case'!L396/100)</f>
        <v>2398.4127553147614</v>
      </c>
      <c r="G396" s="108">
        <f ca="1">C396-A396+G395*(1+'normal case'!T396/100)</f>
        <v>-3959015.0684352182</v>
      </c>
      <c r="H396" s="109">
        <f ca="1">IF(ABS(G396/'normal case'!D397-H395)&lt;0.0000001,H395,G396/'normal case'!D397)</f>
        <v>-39198.168971275496</v>
      </c>
    </row>
    <row r="397" spans="1:8">
      <c r="A397" s="108">
        <f ca="1">('main page'!$U$31/100)*'normal case'!D398</f>
        <v>20.200000011920931</v>
      </c>
      <c r="B397" s="109"/>
      <c r="C397" s="108">
        <f ca="1">'normal case'!AN398-'normal case'!AN397+IF(controls!$B$33=1,(1+(('main page'!$K$35/100)))*C396,'public finance'!C396)</f>
        <v>20</v>
      </c>
      <c r="D397" s="109">
        <f ca="1">IF(ABS(((A397-C397)/'normal case'!D398)-D396)&lt;0.0000001,D396,(A397-C397)/'normal case'!D398)</f>
        <v>1.9802129779314939E-3</v>
      </c>
      <c r="E397" s="109">
        <f ca="1">IF(ABS(D397-(G397*('normal case'!T398/100))/'normal case'!D398-E396)&lt;0.00001,E396,D397-(G397*('normal case'!T398/100))/'normal case'!D398)</f>
        <v>1419.9557080046648</v>
      </c>
      <c r="F397" s="110">
        <f ca="1">F396*(1+'normal case'!L397/100)</f>
        <v>2446.3810075619258</v>
      </c>
      <c r="G397" s="108">
        <f ca="1">C397-A397+G396*(1+'normal case'!T397/100)</f>
        <v>-4097580.794650584</v>
      </c>
      <c r="H397" s="109">
        <f ca="1">IF(ABS(G397/'normal case'!D398-H396)&lt;0.0000001,H396,G397/'normal case'!D398)</f>
        <v>-40570.10685378631</v>
      </c>
    </row>
    <row r="398" spans="1:8">
      <c r="A398" s="108">
        <f ca="1">('main page'!$U$31/100)*'normal case'!D399</f>
        <v>20.200000011920931</v>
      </c>
      <c r="B398" s="109"/>
      <c r="C398" s="108">
        <f ca="1">'normal case'!AN399-'normal case'!AN398+IF(controls!$B$33=1,(1+(('main page'!$K$35/100)))*C397,'public finance'!C397)</f>
        <v>20</v>
      </c>
      <c r="D398" s="109">
        <f ca="1">IF(ABS(((A398-C398)/'normal case'!D399)-D397)&lt;0.0000001,D397,(A398-C398)/'normal case'!D399)</f>
        <v>1.9802129779314939E-3</v>
      </c>
      <c r="E398" s="109">
        <f ca="1">IF(ABS(D398-(G398*('normal case'!T399/100))/'normal case'!D399-E397)&lt;0.00001,E397,D398-(G398*('normal case'!T399/100))/'normal case'!D399)</f>
        <v>1469.6541573611291</v>
      </c>
      <c r="F398" s="110">
        <f ca="1">F397*(1+'normal case'!L398/100)</f>
        <v>2495.3086247968508</v>
      </c>
      <c r="G398" s="108">
        <f ca="1">C398-A398+G397*(1+'normal case'!T398/100)</f>
        <v>-4240996.3212421928</v>
      </c>
      <c r="H398" s="109">
        <f ca="1">IF(ABS(G398/'normal case'!D399-H397)&lt;0.0000001,H397,G398/'normal case'!D399)</f>
        <v>-41990.06256177614</v>
      </c>
    </row>
    <row r="399" spans="1:8">
      <c r="A399" s="108">
        <f ca="1">('main page'!$U$31/100)*'normal case'!D400</f>
        <v>20.200000011920931</v>
      </c>
      <c r="B399" s="109"/>
      <c r="C399" s="108">
        <f ca="1">'normal case'!AN400-'normal case'!AN399+IF(controls!$B$33=1,(1+(('main page'!$K$35/100)))*C398,'public finance'!C398)</f>
        <v>20</v>
      </c>
      <c r="D399" s="109">
        <f ca="1">IF(ABS(((A399-C399)/'normal case'!D400)-D398)&lt;0.0000001,D398,(A399-C399)/'normal case'!D400)</f>
        <v>1.9802129779314939E-3</v>
      </c>
      <c r="E399" s="109">
        <f ca="1">IF(ABS(D399-(G399*('normal case'!T400/100))/'normal case'!D400-E398)&lt;0.00001,E398,D399-(G399*('normal case'!T400/100))/'normal case'!D400)</f>
        <v>1521.0920524302583</v>
      </c>
      <c r="F399" s="110">
        <f ca="1">F398*(1+'normal case'!L399/100)</f>
        <v>2545.2147943181485</v>
      </c>
      <c r="G399" s="108">
        <f ca="1">C399-A399+G398*(1+'normal case'!T399/100)</f>
        <v>-4389431.3912217664</v>
      </c>
      <c r="H399" s="109">
        <f ca="1">IF(ABS(G399/'normal case'!D400-H398)&lt;0.0000001,H398,G399/'normal case'!D400)</f>
        <v>-43459.716719122429</v>
      </c>
    </row>
    <row r="400" spans="1:8">
      <c r="A400" s="108">
        <f ca="1">('main page'!$U$31/100)*'normal case'!D401</f>
        <v>20.200000011920931</v>
      </c>
      <c r="B400" s="109"/>
      <c r="C400" s="108">
        <f ca="1">'normal case'!AN401-'normal case'!AN400+IF(controls!$B$33=1,(1+(('main page'!$K$35/100)))*C399,'public finance'!C399)</f>
        <v>20</v>
      </c>
      <c r="D400" s="109">
        <f ca="1">IF(ABS(((A400-C400)/'normal case'!D401)-D399)&lt;0.0000001,D399,(A400-C400)/'normal case'!D401)</f>
        <v>1.9802129779314939E-3</v>
      </c>
      <c r="E400" s="109">
        <f ca="1">IF(ABS(D400-(G400*('normal case'!T401/100))/'normal case'!D401-E399)&lt;0.00001,E399,D400-(G400*('normal case'!T401/100))/'normal case'!D401)</f>
        <v>1574.3302738114771</v>
      </c>
      <c r="F400" s="110">
        <f ca="1">F399*(1+'normal case'!L400/100)</f>
        <v>2596.1190871703793</v>
      </c>
      <c r="G400" s="108">
        <f ca="1">C400-A400+G399*(1+'normal case'!T400/100)</f>
        <v>-4543061.6886063879</v>
      </c>
      <c r="H400" s="109">
        <f ca="1">IF(ABS(G400/'normal case'!D401-H399)&lt;0.0000001,H399,G400/'normal case'!D401)</f>
        <v>-44980.80877153785</v>
      </c>
    </row>
    <row r="401" spans="1:8">
      <c r="A401" s="108">
        <f ca="1">('main page'!$U$31/100)*'normal case'!D402</f>
        <v>20.200000011920931</v>
      </c>
      <c r="B401" s="109"/>
      <c r="C401" s="108">
        <f ca="1">'normal case'!AN402-'normal case'!AN401+IF(controls!$B$33=1,(1+(('main page'!$K$35/100)))*C400,'public finance'!C400)</f>
        <v>20</v>
      </c>
      <c r="D401" s="109">
        <f ca="1">IF(ABS(((A401-C401)/'normal case'!D402)-D400)&lt;0.0000001,D400,(A401-C401)/'normal case'!D402)</f>
        <v>1.9802129779314939E-3</v>
      </c>
      <c r="E401" s="109">
        <f ca="1">IF(ABS(D401-(G401*('normal case'!T402/100))/'normal case'!D402-E400)&lt;0.00001,E400,D401-(G401*('normal case'!T402/100))/'normal case'!D402)</f>
        <v>1629.4318329251726</v>
      </c>
      <c r="F401" s="110">
        <f ca="1">F400*(1+'normal case'!L401/100)</f>
        <v>2648.041465818972</v>
      </c>
      <c r="G401" s="108">
        <f ca="1">C401-A401+G400*(1+'normal case'!T401/100)</f>
        <v>-4702069.0463536857</v>
      </c>
      <c r="H401" s="109">
        <f ca="1">IF(ABS(G401/'normal case'!D402-H400)&lt;0.0000001,H400,G401/'normal case'!D402)</f>
        <v>-46555.139045334487</v>
      </c>
    </row>
    <row r="402" spans="1:8">
      <c r="A402" s="108">
        <f ca="1">('main page'!$U$31/100)*'normal case'!D403</f>
        <v>20.200000011920931</v>
      </c>
      <c r="B402" s="109"/>
      <c r="C402" s="108">
        <f ca="1">'normal case'!AN403-'normal case'!AN402+IF(controls!$B$33=1,(1+(('main page'!$K$35/100)))*C401,'public finance'!C401)</f>
        <v>20</v>
      </c>
      <c r="D402" s="109">
        <f ca="1">IF(ABS(((A402-C402)/'normal case'!D403)-D401)&lt;0.0000001,D401,(A402-C402)/'normal case'!D403)</f>
        <v>1.9802129779314939E-3</v>
      </c>
      <c r="E402" s="109">
        <f ca="1">IF(ABS(D402-(G402*('normal case'!T403/100))/'normal case'!D403-E401)&lt;0.00001,E401,D402-(G402*('normal case'!T403/100))/'normal case'!D403)</f>
        <v>1686.4619465914259</v>
      </c>
      <c r="F402" s="110">
        <f ca="1">F401*(1+'normal case'!L402/100)</f>
        <v>2701.0022919786402</v>
      </c>
      <c r="G402" s="108">
        <f ca="1">C402-A402+G401*(1+'normal case'!T402/100)</f>
        <v>-4866641.6615747511</v>
      </c>
      <c r="H402" s="109">
        <f ca="1">IF(ABS(G402/'normal case'!D403-H401)&lt;0.0000001,H401,G402/'normal case'!D403)</f>
        <v>-48184.57087824482</v>
      </c>
    </row>
    <row r="403" spans="1:8">
      <c r="A403" s="108">
        <f ca="1">('main page'!$U$31/100)*'normal case'!D404</f>
        <v>20.200000011920931</v>
      </c>
      <c r="B403" s="109"/>
      <c r="C403" s="108">
        <f ca="1">'normal case'!AN404-'normal case'!AN403+IF(controls!$B$33=1,(1+(('main page'!$K$35/100)))*C402,'public finance'!C402)</f>
        <v>20</v>
      </c>
      <c r="D403" s="109">
        <f ca="1">IF(ABS(((A403-C403)/'normal case'!D404)-D402)&lt;0.0000001,D402,(A403-C403)/'normal case'!D404)</f>
        <v>1.9802129779314939E-3</v>
      </c>
      <c r="E403" s="109">
        <f ca="1">IF(ABS(D403-(G403*('normal case'!T404/100))/'normal case'!D404-E402)&lt;0.00001,E402,D403-(G403*('normal case'!T404/100))/'normal case'!D404)</f>
        <v>1745.4881142190015</v>
      </c>
      <c r="F403" s="110">
        <f ca="1">F402*(1+'normal case'!L403/100)</f>
        <v>2755.0223345983673</v>
      </c>
      <c r="G403" s="108">
        <f ca="1">C403-A403+G402*(1+'normal case'!T403/100)</f>
        <v>-5036974.3182795076</v>
      </c>
      <c r="H403" s="109">
        <f ca="1">IF(ABS(G403/'normal case'!D404-H402)&lt;0.0000001,H402,G403/'normal case'!D404)</f>
        <v>-49871.032824821406</v>
      </c>
    </row>
    <row r="404" spans="1:8">
      <c r="A404" s="108">
        <f ca="1">('main page'!$U$31/100)*'normal case'!D405</f>
        <v>20.200000011920931</v>
      </c>
      <c r="B404" s="109"/>
      <c r="C404" s="108">
        <f ca="1">'normal case'!AN405-'normal case'!AN404+IF(controls!$B$33=1,(1+(('main page'!$K$35/100)))*C403,'public finance'!C403)</f>
        <v>20</v>
      </c>
      <c r="D404" s="109">
        <f ca="1">IF(ABS(((A404-C404)/'normal case'!D405)-D403)&lt;0.0000001,D403,(A404-C404)/'normal case'!D405)</f>
        <v>1.9802129779314939E-3</v>
      </c>
      <c r="E404" s="109">
        <f ca="1">IF(ABS(D404-(G404*('normal case'!T405/100))/'normal case'!D405-E403)&lt;0.00001,E403,D404-(G404*('normal case'!T405/100))/'normal case'!D405)</f>
        <v>1806.580197695951</v>
      </c>
      <c r="F404" s="110">
        <f ca="1">F403*(1+'normal case'!L404/100)</f>
        <v>2810.1227780060922</v>
      </c>
      <c r="G404" s="108">
        <f ca="1">C404-A404+G403*(1+'normal case'!T404/100)</f>
        <v>-5213268.6179181673</v>
      </c>
      <c r="H404" s="109">
        <f ca="1">IF(ABS(G404/'normal case'!D405-H403)&lt;0.0000001,H403,G404/'normal case'!D405)</f>
        <v>-51616.52093902557</v>
      </c>
    </row>
    <row r="405" spans="1:8">
      <c r="A405" s="108">
        <f ca="1">('main page'!$U$31/100)*'normal case'!D406</f>
        <v>20.200000011920931</v>
      </c>
      <c r="B405" s="109"/>
      <c r="C405" s="108">
        <f ca="1">'normal case'!AN406-'normal case'!AN405+IF(controls!$B$33=1,(1+(('main page'!$K$35/100)))*C404,'public finance'!C404)</f>
        <v>20</v>
      </c>
      <c r="D405" s="109">
        <f ca="1">IF(ABS(((A405-C405)/'normal case'!D406)-D404)&lt;0.0000001,D404,(A405-C405)/'normal case'!D406)</f>
        <v>1.9802129779314939E-3</v>
      </c>
      <c r="E405" s="109">
        <f ca="1">IF(ABS(D405-(G405*('normal case'!T406/100))/'normal case'!D406-E404)&lt;0.00001,E404,D405-(G405*('normal case'!T406/100))/'normal case'!D406)</f>
        <v>1869.8105040763871</v>
      </c>
      <c r="F405" s="110">
        <f ca="1">F404*(1+'normal case'!L405/100)</f>
        <v>2866.3252302162869</v>
      </c>
      <c r="G405" s="108">
        <f ca="1">C405-A405+G404*(1+'normal case'!T405/100)</f>
        <v>-5395733.2179916399</v>
      </c>
      <c r="H405" s="109">
        <f ca="1">IF(ABS(G405/'normal case'!D406-H404)&lt;0.0000001,H404,G405/'normal case'!D406)</f>
        <v>-53423.101136706682</v>
      </c>
    </row>
    <row r="406" spans="1:8">
      <c r="A406" s="108">
        <f ca="1">('main page'!$U$31/100)*'normal case'!D407</f>
        <v>20.200000011920931</v>
      </c>
      <c r="B406" s="109"/>
      <c r="C406" s="108">
        <f ca="1">'normal case'!AN407-'normal case'!AN406+IF(controls!$B$33=1,(1+(('main page'!$K$35/100)))*C405,'public finance'!C405)</f>
        <v>20</v>
      </c>
      <c r="D406" s="109">
        <f ca="1">IF(ABS(((A406-C406)/'normal case'!D407)-D405)&lt;0.0000001,D405,(A406-C406)/'normal case'!D407)</f>
        <v>1.9802129779314939E-3</v>
      </c>
      <c r="E406" s="109">
        <f ca="1">IF(ABS(D406-(G406*('normal case'!T407/100))/'normal case'!D407-E405)&lt;0.00001,E405,D406-(G406*('normal case'!T407/100))/'normal case'!D407)</f>
        <v>1935.2538711612942</v>
      </c>
      <c r="F406" s="110">
        <f ca="1">F405*(1+'normal case'!L406/100)</f>
        <v>2923.6517314036869</v>
      </c>
      <c r="G406" s="108">
        <f ca="1">C406-A406+G405*(1+'normal case'!T406/100)</f>
        <v>-5584584.0790133057</v>
      </c>
      <c r="H406" s="109">
        <f ca="1">IF(ABS(G406/'normal case'!D407-H405)&lt;0.0000001,H405,G406/'normal case'!D407)</f>
        <v>-55292.91164076823</v>
      </c>
    </row>
    <row r="407" spans="1:8">
      <c r="A407" s="108">
        <f ca="1">('main page'!$U$31/100)*'normal case'!D408</f>
        <v>20.200000011920931</v>
      </c>
      <c r="B407" s="109"/>
      <c r="C407" s="108">
        <f ca="1">'normal case'!AN408-'normal case'!AN407+IF(controls!$B$33=1,(1+(('main page'!$K$35/100)))*C406,'public finance'!C406)</f>
        <v>20</v>
      </c>
      <c r="D407" s="109">
        <f ca="1">IF(ABS(((A407-C407)/'normal case'!D408)-D406)&lt;0.0000001,D406,(A407-C407)/'normal case'!D408)</f>
        <v>1.9802129779314939E-3</v>
      </c>
      <c r="E407" s="109">
        <f ca="1">IF(ABS(D407-(G407*('normal case'!T408/100))/'normal case'!D408-E406)&lt;0.00001,E406,D407-(G407*('normal case'!T408/100))/'normal case'!D408)</f>
        <v>2002.98775607467</v>
      </c>
      <c r="F407" s="110">
        <f ca="1">F406*(1+'normal case'!L407/100)</f>
        <v>2982.1247625464962</v>
      </c>
      <c r="G407" s="108">
        <f ca="1">C407-A407+G406*(1+'normal case'!T407/100)</f>
        <v>-5780044.7201144481</v>
      </c>
      <c r="H407" s="109">
        <f ca="1">IF(ABS(G407/'normal case'!D408-H406)&lt;0.0000001,H406,G407/'normal case'!D408)</f>
        <v>-57228.165511914689</v>
      </c>
    </row>
    <row r="408" spans="1:8">
      <c r="A408" s="108">
        <f ca="1">('main page'!$U$31/100)*'normal case'!D409</f>
        <v>20.200000011920931</v>
      </c>
      <c r="B408" s="109"/>
      <c r="C408" s="108">
        <f ca="1">'normal case'!AN409-'normal case'!AN408+IF(controls!$B$33=1,(1+(('main page'!$K$35/100)))*C407,'public finance'!C407)</f>
        <v>20</v>
      </c>
      <c r="D408" s="109">
        <f ca="1">IF(ABS(((A408-C408)/'normal case'!D409)-D407)&lt;0.0000001,D407,(A408-C408)/'normal case'!D409)</f>
        <v>1.9802129779314939E-3</v>
      </c>
      <c r="E408" s="109">
        <f ca="1">IF(ABS(D408-(G408*('normal case'!T409/100))/'normal case'!D409-E407)&lt;0.00001,E407,D408-(G408*('normal case'!T409/100))/'normal case'!D409)</f>
        <v>2073.0923269398272</v>
      </c>
      <c r="F408" s="110">
        <f ca="1">F407*(1+'normal case'!L408/100)</f>
        <v>3041.7672542424566</v>
      </c>
      <c r="G408" s="108">
        <f ca="1">C408-A408+G407*(1+'normal case'!T408/100)</f>
        <v>-5982346.4835958788</v>
      </c>
      <c r="H408" s="109">
        <f ca="1">IF(ABS(G408/'normal case'!D409-H407)&lt;0.0000001,H407,G408/'normal case'!D409)</f>
        <v>-59231.153267974521</v>
      </c>
    </row>
    <row r="409" spans="1:8">
      <c r="A409" s="108">
        <f ca="1">('main page'!$U$31/100)*'normal case'!D410</f>
        <v>20.200000011920931</v>
      </c>
      <c r="B409" s="109"/>
      <c r="C409" s="108">
        <f ca="1">'normal case'!AN410-'normal case'!AN409+IF(controls!$B$33=1,(1+(('main page'!$K$35/100)))*C408,'public finance'!C408)</f>
        <v>20</v>
      </c>
      <c r="D409" s="109">
        <f ca="1">IF(ABS(((A409-C409)/'normal case'!D410)-D408)&lt;0.0000001,D408,(A409-C409)/'normal case'!D410)</f>
        <v>1.9802129779314939E-3</v>
      </c>
      <c r="E409" s="109">
        <f ca="1">IF(ABS(D409-(G409*('normal case'!T410/100))/'normal case'!D410-E408)&lt;0.00001,E408,D409-(G409*('normal case'!T410/100))/'normal case'!D410)</f>
        <v>2145.650557764372</v>
      </c>
      <c r="F409" s="110">
        <f ca="1">F408*(1+'normal case'!L409/100)</f>
        <v>3102.6025957012366</v>
      </c>
      <c r="G409" s="108">
        <f ca="1">C409-A409+G408*(1+'normal case'!T409/100)</f>
        <v>-6191728.8087388687</v>
      </c>
      <c r="H409" s="109">
        <f ca="1">IF(ABS(G409/'normal case'!D410-H408)&lt;0.0000001,H408,G409/'normal case'!D410)</f>
        <v>-61304.245594899512</v>
      </c>
    </row>
    <row r="410" spans="1:8">
      <c r="A410" s="108">
        <f ca="1">('main page'!$U$31/100)*'normal case'!D411</f>
        <v>20.200000011920931</v>
      </c>
      <c r="B410" s="109"/>
      <c r="C410" s="108">
        <f ca="1">'normal case'!AN411-'normal case'!AN410+IF(controls!$B$33=1,(1+(('main page'!$K$35/100)))*C409,'public finance'!C409)</f>
        <v>20</v>
      </c>
      <c r="D410" s="109">
        <f ca="1">IF(ABS(((A410-C410)/'normal case'!D411)-D409)&lt;0.0000001,D409,(A410-C410)/'normal case'!D411)</f>
        <v>1.9802129779314939E-3</v>
      </c>
      <c r="E410" s="109">
        <f ca="1">IF(ABS(D410-(G410*('normal case'!T411/100))/'normal case'!D411-E409)&lt;0.00001,E409,D410-(G410*('normal case'!T411/100))/'normal case'!D411)</f>
        <v>2220.7483266461518</v>
      </c>
      <c r="F410" s="110">
        <f ca="1">F409*(1+'normal case'!L410/100)</f>
        <v>3164.6546439166709</v>
      </c>
      <c r="G410" s="108">
        <f ca="1">C410-A410+G409*(1+'normal case'!T410/100)</f>
        <v>-6408439.515199462</v>
      </c>
      <c r="H410" s="109">
        <f ca="1">IF(ABS(G410/'normal case'!D411-H409)&lt;0.0000001,H409,G410/'normal case'!D411)</f>
        <v>-63449.896152649046</v>
      </c>
    </row>
    <row r="411" spans="1:8">
      <c r="A411" s="108">
        <f ca="1">('main page'!$U$31/100)*'normal case'!D412</f>
        <v>20.200000011920931</v>
      </c>
      <c r="B411" s="109"/>
      <c r="C411" s="108">
        <f ca="1">'normal case'!AN412-'normal case'!AN411+IF(controls!$B$33=1,(1+(('main page'!$K$35/100)))*C410,'public finance'!C410)</f>
        <v>20</v>
      </c>
      <c r="D411" s="109">
        <f ca="1">IF(ABS(((A411-C411)/'normal case'!D412)-D410)&lt;0.0000001,D410,(A411-C411)/'normal case'!D412)</f>
        <v>1.9802129779314939E-3</v>
      </c>
      <c r="E411" s="109">
        <f ca="1">IF(ABS(D411-(G411*('normal case'!T412/100))/'normal case'!D412-E410)&lt;0.00001,E410,D411-(G411*('normal case'!T412/100))/'normal case'!D412)</f>
        <v>2298.4745174164132</v>
      </c>
      <c r="F411" s="110">
        <f ca="1">F410*(1+'normal case'!L411/100)</f>
        <v>3227.9477330224422</v>
      </c>
      <c r="G411" s="108">
        <f ca="1">C411-A411+G410*(1+'normal case'!T411/100)</f>
        <v>-6632735.0963215912</v>
      </c>
      <c r="H411" s="109">
        <f ca="1">IF(ABS(G411/'normal case'!D412-H410)&lt;0.0000001,H410,G411/'normal case'!D412)</f>
        <v>-65670.644479280352</v>
      </c>
    </row>
    <row r="412" spans="1:8">
      <c r="A412" s="108">
        <f ca="1">('main page'!$U$31/100)*'normal case'!D413</f>
        <v>20.200000011920931</v>
      </c>
      <c r="B412" s="109"/>
      <c r="C412" s="108">
        <f ca="1">'normal case'!AN413-'normal case'!AN412+IF(controls!$B$33=1,(1+(('main page'!$K$35/100)))*C411,'public finance'!C411)</f>
        <v>20</v>
      </c>
      <c r="D412" s="109">
        <f ca="1">IF(ABS(((A412-C412)/'normal case'!D413)-D411)&lt;0.0000001,D411,(A412-C412)/'normal case'!D413)</f>
        <v>1.9802129779314939E-3</v>
      </c>
      <c r="E412" s="109">
        <f ca="1">IF(ABS(D412-(G412*('normal case'!T413/100))/'normal case'!D413-E411)&lt;0.00001,E411,D412-(G412*('normal case'!T413/100))/'normal case'!D413)</f>
        <v>2378.9211248404695</v>
      </c>
      <c r="F412" s="110">
        <f ca="1">F411*(1+'normal case'!L412/100)</f>
        <v>3292.5066838348775</v>
      </c>
      <c r="G412" s="108">
        <f ca="1">C412-A412+G411*(1+'normal case'!T412/100)</f>
        <v>-6864881.0227161497</v>
      </c>
      <c r="H412" s="109">
        <f ca="1">IF(ABS(G412/'normal case'!D413-H411)&lt;0.0000001,H411,G412/'normal case'!D413)</f>
        <v>-67969.118996681922</v>
      </c>
    </row>
    <row r="413" spans="1:8">
      <c r="A413" s="108">
        <f ca="1">('main page'!$U$31/100)*'normal case'!D414</f>
        <v>20.200000011920931</v>
      </c>
      <c r="B413" s="109"/>
      <c r="C413" s="108">
        <f ca="1">'normal case'!AN414-'normal case'!AN413+IF(controls!$B$33=1,(1+(('main page'!$K$35/100)))*C412,'public finance'!C412)</f>
        <v>20</v>
      </c>
      <c r="D413" s="109">
        <f ca="1">IF(ABS(((A413-C413)/'normal case'!D414)-D412)&lt;0.0000001,D412,(A413-C413)/'normal case'!D414)</f>
        <v>1.9802129779314939E-3</v>
      </c>
      <c r="E413" s="109">
        <f ca="1">IF(ABS(D413-(G413*('normal case'!T414/100))/'normal case'!D414-E412)&lt;0.00001,E412,D413-(G413*('normal case'!T414/100))/'normal case'!D414)</f>
        <v>2462.1833635003927</v>
      </c>
      <c r="F413" s="110">
        <f ca="1">F412*(1+'normal case'!L413/100)</f>
        <v>3358.3568135866012</v>
      </c>
      <c r="G413" s="108">
        <f ca="1">C413-A413+G412*(1+'normal case'!T413/100)</f>
        <v>-7105152.0564653333</v>
      </c>
      <c r="H413" s="109">
        <f ca="1">IF(ABS(G413/'normal case'!D414-H412)&lt;0.0000001,H412,G413/'normal case'!D414)</f>
        <v>-70348.040121507554</v>
      </c>
    </row>
    <row r="414" spans="1:8">
      <c r="A414" s="108">
        <f ca="1">('main page'!$U$31/100)*'normal case'!D415</f>
        <v>20.200000011920931</v>
      </c>
      <c r="B414" s="109"/>
      <c r="C414" s="108">
        <f ca="1">'normal case'!AN415-'normal case'!AN414+IF(controls!$B$33=1,(1+(('main page'!$K$35/100)))*C413,'public finance'!C413)</f>
        <v>20</v>
      </c>
      <c r="D414" s="109">
        <f ca="1">IF(ABS(((A414-C414)/'normal case'!D415)-D413)&lt;0.0000001,D413,(A414-C414)/'normal case'!D415)</f>
        <v>1.9802129779314939E-3</v>
      </c>
      <c r="E414" s="109">
        <f ca="1">IF(ABS(D414-(G414*('normal case'!T415/100))/'normal case'!D415-E413)&lt;0.00001,E413,D414-(G414*('normal case'!T415/100))/'normal case'!D415)</f>
        <v>2548.3597804885994</v>
      </c>
      <c r="F414" s="110">
        <f ca="1">F413*(1+'normal case'!L414/100)</f>
        <v>3425.5239458548599</v>
      </c>
      <c r="G414" s="108">
        <f ca="1">C414-A414+G413*(1+'normal case'!T414/100)</f>
        <v>-7353832.5763241323</v>
      </c>
      <c r="H414" s="109">
        <f ca="1">IF(ABS(G414/'normal case'!D415-H413)&lt;0.0000001,H413,G414/'normal case'!D415)</f>
        <v>-72810.223484993112</v>
      </c>
    </row>
    <row r="415" spans="1:8">
      <c r="A415" s="108">
        <f ca="1">('main page'!$U$31/100)*'normal case'!D416</f>
        <v>20.200000011920931</v>
      </c>
      <c r="B415" s="109"/>
      <c r="C415" s="108">
        <f ca="1">'normal case'!AN416-'normal case'!AN415+IF(controls!$B$33=1,(1+(('main page'!$K$35/100)))*C414,'public finance'!C414)</f>
        <v>20</v>
      </c>
      <c r="D415" s="109">
        <f ca="1">IF(ABS(((A415-C415)/'normal case'!D416)-D414)&lt;0.0000001,D414,(A415-C415)/'normal case'!D416)</f>
        <v>1.9802129779314939E-3</v>
      </c>
      <c r="E415" s="109">
        <f ca="1">IF(ABS(D415-(G415*('normal case'!T416/100))/'normal case'!D416-E414)&lt;0.00001,E414,D415-(G415*('normal case'!T416/100))/'normal case'!D416)</f>
        <v>2637.5523720457113</v>
      </c>
      <c r="F415" s="110">
        <f ca="1">F414*(1+'normal case'!L415/100)</f>
        <v>3494.0344206884147</v>
      </c>
      <c r="G415" s="108">
        <f ca="1">C415-A415+G414*(1+'normal case'!T415/100)</f>
        <v>-7611216.9143038765</v>
      </c>
      <c r="H415" s="109">
        <f ca="1">IF(ABS(G415/'normal case'!D416-H414)&lt;0.0000001,H414,G415/'normal case'!D416)</f>
        <v>-75358.583265466877</v>
      </c>
    </row>
    <row r="416" spans="1:8">
      <c r="A416" s="108">
        <f ca="1">('main page'!$U$31/100)*'normal case'!D417</f>
        <v>20.200000011920931</v>
      </c>
      <c r="B416" s="109"/>
      <c r="C416" s="108">
        <f ca="1">'normal case'!AN417-'normal case'!AN416+IF(controls!$B$33=1,(1+(('main page'!$K$35/100)))*C415,'public finance'!C415)</f>
        <v>20</v>
      </c>
      <c r="D416" s="109">
        <f ca="1">IF(ABS(((A416-C416)/'normal case'!D417)-D415)&lt;0.0000001,D415,(A416-C416)/'normal case'!D417)</f>
        <v>1.9802129779314939E-3</v>
      </c>
      <c r="E416" s="109">
        <f ca="1">IF(ABS(D416-(G416*('normal case'!T417/100))/'normal case'!D417-E415)&lt;0.00001,E415,D416-(G416*('normal case'!T417/100))/'normal case'!D417)</f>
        <v>2729.8667042807392</v>
      </c>
      <c r="F416" s="110">
        <f ca="1">F415*(1+'normal case'!L416/100)</f>
        <v>3563.9151049369693</v>
      </c>
      <c r="G416" s="108">
        <f ca="1">C416-A416+G415*(1+'normal case'!T416/100)</f>
        <v>-7877609.7040362051</v>
      </c>
      <c r="H416" s="109">
        <f ca="1">IF(ABS(G416/'normal case'!D417-H415)&lt;0.0000001,H415,G416/'normal case'!D417)</f>
        <v>-77996.135637497748</v>
      </c>
    </row>
    <row r="417" spans="1:8">
      <c r="A417" s="108">
        <f ca="1">('main page'!$U$31/100)*'normal case'!D418</f>
        <v>20.200000011920931</v>
      </c>
      <c r="B417" s="109"/>
      <c r="C417" s="108">
        <f ca="1">'normal case'!AN418-'normal case'!AN417+IF(controls!$B$33=1,(1+(('main page'!$K$35/100)))*C416,'public finance'!C416)</f>
        <v>20</v>
      </c>
      <c r="D417" s="109">
        <f ca="1">IF(ABS(((A417-C417)/'normal case'!D418)-D416)&lt;0.0000001,D416,(A417-C417)/'normal case'!D418)</f>
        <v>1.9802129779314939E-3</v>
      </c>
      <c r="E417" s="109">
        <f ca="1">IF(ABS(D417-(G417*('normal case'!T418/100))/'normal case'!D418-E416)&lt;0.00001,E416,D417-(G417*('normal case'!T418/100))/'normal case'!D418)</f>
        <v>2825.4120381164821</v>
      </c>
      <c r="F417" s="110">
        <f ca="1">F416*(1+'normal case'!L417/100)</f>
        <v>3635.1934027871912</v>
      </c>
      <c r="G417" s="108">
        <f ca="1">C417-A417+G416*(1+'normal case'!T417/100)</f>
        <v>-8153326.2413297733</v>
      </c>
      <c r="H417" s="109">
        <f ca="1">IF(ABS(G417/'normal case'!D418-H416)&lt;0.0000001,H416,G417/'normal case'!D418)</f>
        <v>-80726.002341763655</v>
      </c>
    </row>
    <row r="418" spans="1:8">
      <c r="A418" s="108">
        <f ca="1">('main page'!$U$31/100)*'normal case'!D419</f>
        <v>20.200000011920931</v>
      </c>
      <c r="B418" s="109"/>
      <c r="C418" s="108">
        <f ca="1">'normal case'!AN419-'normal case'!AN418+IF(controls!$B$33=1,(1+(('main page'!$K$35/100)))*C417,'public finance'!C417)</f>
        <v>20</v>
      </c>
      <c r="D418" s="109">
        <f ca="1">IF(ABS(((A418-C418)/'normal case'!D419)-D417)&lt;0.0000001,D417,(A418-C418)/'normal case'!D419)</f>
        <v>1.9802129779314939E-3</v>
      </c>
      <c r="E418" s="109">
        <f ca="1">IF(ABS(D418-(G418*('normal case'!T419/100))/'normal case'!D419-E417)&lt;0.00001,E417,D418-(G418*('normal case'!T419/100))/'normal case'!D419)</f>
        <v>2924.3014586080017</v>
      </c>
      <c r="F418" s="110">
        <f ca="1">F417*(1+'normal case'!L418/100)</f>
        <v>3707.897266509447</v>
      </c>
      <c r="G418" s="108">
        <f ca="1">C418-A418+G417*(1+'normal case'!T418/100)</f>
        <v>-8438692.8573464472</v>
      </c>
      <c r="H418" s="109">
        <f ca="1">IF(ABS(G418/'normal case'!D419-H417)&lt;0.0000001,H417,G418/'normal case'!D419)</f>
        <v>-83551.414379865295</v>
      </c>
    </row>
    <row r="419" spans="1:8">
      <c r="A419" s="108">
        <f ca="1">('main page'!$U$31/100)*'normal case'!D420</f>
        <v>20.200000011920931</v>
      </c>
      <c r="B419" s="109"/>
      <c r="C419" s="108">
        <f ca="1">'normal case'!AN420-'normal case'!AN419+IF(controls!$B$33=1,(1+(('main page'!$K$35/100)))*C418,'public finance'!C418)</f>
        <v>20</v>
      </c>
      <c r="D419" s="109">
        <f ca="1">IF(ABS(((A419-C419)/'normal case'!D420)-D418)&lt;0.0000001,D418,(A419-C419)/'normal case'!D420)</f>
        <v>1.9802129779314939E-3</v>
      </c>
      <c r="E419" s="109">
        <f ca="1">IF(ABS(D419-(G419*('normal case'!T420/100))/'normal case'!D420-E418)&lt;0.00001,E418,D419-(G419*('normal case'!T420/100))/'normal case'!D420)</f>
        <v>3026.6520087872527</v>
      </c>
      <c r="F419" s="110">
        <f ca="1">F418*(1+'normal case'!L419/100)</f>
        <v>3782.0552074194779</v>
      </c>
      <c r="G419" s="108">
        <f ca="1">C419-A419+G418*(1+'normal case'!T419/100)</f>
        <v>-8734047.3048386592</v>
      </c>
      <c r="H419" s="109">
        <f ca="1">IF(ABS(G419/'normal case'!D420-H418)&lt;0.0000001,H418,G419/'normal case'!D420)</f>
        <v>-86475.715838458462</v>
      </c>
    </row>
    <row r="420" spans="1:8">
      <c r="A420" s="108">
        <f ca="1">('main page'!$U$31/100)*'normal case'!D421</f>
        <v>20.200000011920931</v>
      </c>
      <c r="B420" s="109"/>
      <c r="C420" s="108">
        <f ca="1">'normal case'!AN421-'normal case'!AN420+IF(controls!$B$33=1,(1+(('main page'!$K$35/100)))*C419,'public finance'!C419)</f>
        <v>20</v>
      </c>
      <c r="D420" s="109">
        <f ca="1">IF(ABS(((A420-C420)/'normal case'!D421)-D419)&lt;0.0000001,D419,(A420-C420)/'normal case'!D421)</f>
        <v>1.9802129779314939E-3</v>
      </c>
      <c r="E420" s="109">
        <f ca="1">IF(ABS(D420-(G420*('normal case'!T421/100))/'normal case'!D421-E419)&lt;0.00001,E419,D420-(G420*('normal case'!T421/100))/'normal case'!D421)</f>
        <v>3132.5848281922745</v>
      </c>
      <c r="F420" s="110">
        <f ca="1">F419*(1+'normal case'!L420/100)</f>
        <v>3857.6963070593065</v>
      </c>
      <c r="G420" s="108">
        <f ca="1">C420-A420+G419*(1+'normal case'!T420/100)</f>
        <v>-9039739.1579050757</v>
      </c>
      <c r="H420" s="109">
        <f ca="1">IF(ABS(G420/'normal case'!D421-H419)&lt;0.0000001,H419,G420/'normal case'!D421)</f>
        <v>-89502.367847230882</v>
      </c>
    </row>
    <row r="421" spans="1:8">
      <c r="A421" s="108">
        <f ca="1">('main page'!$U$31/100)*'normal case'!D422</f>
        <v>20.200000011920931</v>
      </c>
      <c r="B421" s="109"/>
      <c r="C421" s="108">
        <f ca="1">'normal case'!AN422-'normal case'!AN421+IF(controls!$B$33=1,(1+(('main page'!$K$35/100)))*C420,'public finance'!C420)</f>
        <v>20</v>
      </c>
      <c r="D421" s="109">
        <f ca="1">IF(ABS(((A421-C421)/'normal case'!D422)-D420)&lt;0.0000001,D420,(A421-C421)/'normal case'!D422)</f>
        <v>1.9802129779314939E-3</v>
      </c>
      <c r="E421" s="109">
        <f ca="1">IF(ABS(D421-(G421*('normal case'!T422/100))/'normal case'!D422-E420)&lt;0.00001,E420,D421-(G421*('normal case'!T422/100))/'normal case'!D422)</f>
        <v>3242.2252962449015</v>
      </c>
      <c r="F421" s="110">
        <f ca="1">F420*(1+'normal case'!L421/100)</f>
        <v>3934.8502286017606</v>
      </c>
      <c r="G421" s="108">
        <f ca="1">C421-A421+G420*(1+'normal case'!T421/100)</f>
        <v>-9356130.2257377133</v>
      </c>
      <c r="H421" s="109">
        <f ca="1">IF(ABS(G421/'normal case'!D422-H420)&lt;0.0000001,H420,G421/'normal case'!D422)</f>
        <v>-92634.95267540832</v>
      </c>
    </row>
    <row r="422" spans="1:8">
      <c r="A422" s="108">
        <f ca="1">('main page'!$U$31/100)*'normal case'!D423</f>
        <v>20.200000011920931</v>
      </c>
      <c r="B422" s="109"/>
      <c r="C422" s="108">
        <f ca="1">'normal case'!AN423-'normal case'!AN422+IF(controls!$B$33=1,(1+(('main page'!$K$35/100)))*C421,'public finance'!C421)</f>
        <v>20</v>
      </c>
      <c r="D422" s="109">
        <f ca="1">IF(ABS(((A422-C422)/'normal case'!D423)-D421)&lt;0.0000001,D421,(A422-C422)/'normal case'!D423)</f>
        <v>1.9802129779314939E-3</v>
      </c>
      <c r="E422" s="109">
        <f ca="1">IF(ABS(D422-(G422*('normal case'!T423/100))/'normal case'!D423-E421)&lt;0.00001,E421,D422-(G422*('normal case'!T423/100))/'normal case'!D423)</f>
        <v>3355.7031806466957</v>
      </c>
      <c r="F422" s="110">
        <f ca="1">F421*(1+'normal case'!L422/100)</f>
        <v>4013.5472284830889</v>
      </c>
      <c r="G422" s="108">
        <f ca="1">C422-A422+G421*(1+'normal case'!T422/100)</f>
        <v>-9683594.9808502011</v>
      </c>
      <c r="H422" s="109">
        <f ca="1">IF(ABS(G422/'normal case'!D423-H421)&lt;0.0000001,H421,G422/'normal case'!D423)</f>
        <v>-95877.177971638375</v>
      </c>
    </row>
    <row r="423" spans="1:8">
      <c r="A423" s="108">
        <f ca="1">('main page'!$U$31/100)*'normal case'!D424</f>
        <v>20.200000011920931</v>
      </c>
      <c r="B423" s="109"/>
      <c r="C423" s="108">
        <f ca="1">'normal case'!AN424-'normal case'!AN423+IF(controls!$B$33=1,(1+(('main page'!$K$35/100)))*C422,'public finance'!C422)</f>
        <v>20</v>
      </c>
      <c r="D423" s="109">
        <f ca="1">IF(ABS(((A423-C423)/'normal case'!D424)-D422)&lt;0.0000001,D422,(A423-C423)/'normal case'!D424)</f>
        <v>1.9802129779314939E-3</v>
      </c>
      <c r="E423" s="109">
        <f ca="1">IF(ABS(D423-(G423*('normal case'!T424/100))/'normal case'!D424-E422)&lt;0.00001,E422,D423-(G423*('normal case'!T424/100))/'normal case'!D424)</f>
        <v>3473.1527909687329</v>
      </c>
      <c r="F423" s="110">
        <f ca="1">F422*(1+'normal case'!L423/100)</f>
        <v>4093.8181682682298</v>
      </c>
      <c r="G423" s="108">
        <f ca="1">C423-A423+G422*(1+'normal case'!T423/100)</f>
        <v>-10022521.002294034</v>
      </c>
      <c r="H423" s="109">
        <f ca="1">IF(ABS(G423/'normal case'!D424-H422)&lt;0.0000001,H422,G423/'normal case'!D424)</f>
        <v>-99232.881152270231</v>
      </c>
    </row>
    <row r="424" spans="1:8">
      <c r="A424" s="108">
        <f ca="1">('main page'!$U$31/100)*'normal case'!D425</f>
        <v>20.200000011920931</v>
      </c>
      <c r="B424" s="109"/>
      <c r="C424" s="108">
        <f ca="1">'normal case'!AN425-'normal case'!AN424+IF(controls!$B$33=1,(1+(('main page'!$K$35/100)))*C423,'public finance'!C423)</f>
        <v>20</v>
      </c>
      <c r="D424" s="109">
        <f ca="1">IF(ABS(((A424-C424)/'normal case'!D425)-D423)&lt;0.0000001,D423,(A424-C424)/'normal case'!D425)</f>
        <v>1.9802129779314939E-3</v>
      </c>
      <c r="E424" s="109">
        <f ca="1">IF(ABS(D424-(G424*('normal case'!T425/100))/'normal case'!D425-E423)&lt;0.00001,E423,D424-(G424*('normal case'!T425/100))/'normal case'!D425)</f>
        <v>3594.7131376170391</v>
      </c>
      <c r="F424" s="110">
        <f ca="1">F423*(1+'normal case'!L424/100)</f>
        <v>4175.6945267533829</v>
      </c>
      <c r="G424" s="108">
        <f ca="1">C424-A424+G423*(1+'normal case'!T424/100)</f>
        <v>-10373309.434387393</v>
      </c>
      <c r="H424" s="109">
        <f ca="1">IF(ABS(G424/'normal case'!D425-H423)&lt;0.0000001,H423,G424/'normal case'!D425)</f>
        <v>-102706.03394322413</v>
      </c>
    </row>
    <row r="425" spans="1:8">
      <c r="A425" s="108">
        <f ca="1">('main page'!$U$31/100)*'normal case'!D426</f>
        <v>20.200000011920931</v>
      </c>
      <c r="B425" s="109"/>
      <c r="C425" s="108">
        <f ca="1">'normal case'!AN426-'normal case'!AN425+IF(controls!$B$33=1,(1+(('main page'!$K$35/100)))*C424,'public finance'!C424)</f>
        <v>20</v>
      </c>
      <c r="D425" s="109">
        <f ca="1">IF(ABS(((A425-C425)/'normal case'!D426)-D424)&lt;0.0000001,D424,(A425-C425)/'normal case'!D426)</f>
        <v>1.9802129779314939E-3</v>
      </c>
      <c r="E425" s="109">
        <f ca="1">IF(ABS(D425-(G425*('normal case'!T426/100))/'normal case'!D426-E424)&lt;0.00001,E424,D425-(G425*('normal case'!T426/100))/'normal case'!D426)</f>
        <v>3720.5280963618084</v>
      </c>
      <c r="F425" s="110">
        <f ca="1">F424*(1+'normal case'!L425/100)</f>
        <v>4259.2084123106351</v>
      </c>
      <c r="G425" s="108">
        <f ca="1">C425-A425+G424*(1+'normal case'!T425/100)</f>
        <v>-10736375.461499477</v>
      </c>
      <c r="H425" s="109">
        <f ca="1">IF(ABS(G425/'normal case'!D426-H424)&lt;0.0000001,H424,G425/'normal case'!D426)</f>
        <v>-106300.74708082632</v>
      </c>
    </row>
    <row r="426" spans="1:8">
      <c r="A426" s="108">
        <f ca="1">('main page'!$U$31/100)*'normal case'!D427</f>
        <v>20.200000011920931</v>
      </c>
      <c r="B426" s="109"/>
      <c r="C426" s="108">
        <f ca="1">'normal case'!AN427-'normal case'!AN426+IF(controls!$B$33=1,(1+(('main page'!$K$35/100)))*C425,'public finance'!C425)</f>
        <v>20</v>
      </c>
      <c r="D426" s="109">
        <f ca="1">IF(ABS(((A426-C426)/'normal case'!D427)-D425)&lt;0.0000001,D425,(A426-C426)/'normal case'!D427)</f>
        <v>1.9802129779314939E-3</v>
      </c>
      <c r="E426" s="109">
        <f ca="1">IF(ABS(D426-(G426*('normal case'!T427/100))/'normal case'!D427-E425)&lt;0.00001,E425,D426-(G426*('normal case'!T427/100))/'normal case'!D427)</f>
        <v>3850.7465786251478</v>
      </c>
      <c r="F426" s="110">
        <f ca="1">F425*(1+'normal case'!L426/100)</f>
        <v>4344.3925754794764</v>
      </c>
      <c r="G426" s="108">
        <f ca="1">C426-A426+G425*(1+'normal case'!T426/100)</f>
        <v>-11112148.799452281</v>
      </c>
      <c r="H426" s="109">
        <f ca="1">IF(ABS(G426/'normal case'!D427-H425)&lt;0.0000001,H425,G426/'normal case'!D427)</f>
        <v>-110021.27517717329</v>
      </c>
    </row>
    <row r="427" spans="1:8">
      <c r="A427" s="108">
        <f ca="1">('main page'!$U$31/100)*'normal case'!D428</f>
        <v>20.200000011920931</v>
      </c>
      <c r="B427" s="109"/>
      <c r="C427" s="108">
        <f ca="1">'normal case'!AN428-'normal case'!AN427+IF(controls!$B$33=1,(1+(('main page'!$K$35/100)))*C426,'public finance'!C426)</f>
        <v>20</v>
      </c>
      <c r="D427" s="109">
        <f ca="1">IF(ABS(((A427-C427)/'normal case'!D428)-D426)&lt;0.0000001,D426,(A427-C427)/'normal case'!D428)</f>
        <v>1.9802129779314939E-3</v>
      </c>
      <c r="E427" s="109">
        <f ca="1">IF(ABS(D427-(G427*('normal case'!T428/100))/'normal case'!D428-E426)&lt;0.00001,E426,D427-(G427*('normal case'!T428/100))/'normal case'!D428)</f>
        <v>3985.5227077288969</v>
      </c>
      <c r="F427" s="110">
        <f ca="1">F426*(1+'normal case'!L427/100)</f>
        <v>4431.2804218101464</v>
      </c>
      <c r="G427" s="108">
        <f ca="1">C427-A427+G426*(1+'normal case'!T427/100)</f>
        <v>-11501074.204121444</v>
      </c>
      <c r="H427" s="109">
        <f ca="1">IF(ABS(G427/'normal case'!D428-H426)&lt;0.0000001,H426,G427/'normal case'!D428)</f>
        <v>-113872.0217557836</v>
      </c>
    </row>
    <row r="428" spans="1:8">
      <c r="A428" s="108">
        <f ca="1">('main page'!$U$31/100)*'normal case'!D429</f>
        <v>20.200000011920931</v>
      </c>
      <c r="B428" s="109"/>
      <c r="C428" s="108">
        <f ca="1">'normal case'!AN429-'normal case'!AN428+IF(controls!$B$33=1,(1+(('main page'!$K$35/100)))*C427,'public finance'!C427)</f>
        <v>20</v>
      </c>
      <c r="D428" s="109">
        <f ca="1">IF(ABS(((A428-C428)/'normal case'!D429)-D427)&lt;0.0000001,D427,(A428-C428)/'normal case'!D429)</f>
        <v>1.9802129779314939E-3</v>
      </c>
      <c r="E428" s="109">
        <f ca="1">IF(ABS(D428-(G428*('normal case'!T429/100))/'normal case'!D429-E427)&lt;0.00001,E427,D428-(G428*('normal case'!T429/100))/'normal case'!D429)</f>
        <v>4125.0160013111108</v>
      </c>
      <c r="F428" s="110">
        <f ca="1">F427*(1+'normal case'!L428/100)</f>
        <v>4519.9060249638515</v>
      </c>
      <c r="G428" s="108">
        <f ca="1">C428-A428+G427*(1+'normal case'!T428/100)</f>
        <v>-11903611.997838119</v>
      </c>
      <c r="H428" s="109">
        <f ca="1">IF(ABS(G428/'normal case'!D429-H427)&lt;0.0000001,H427,G428/'normal case'!D429)</f>
        <v>-117857.54446349764</v>
      </c>
    </row>
    <row r="429" spans="1:8">
      <c r="A429" s="108">
        <f ca="1">('main page'!$U$31/100)*'normal case'!D430</f>
        <v>20.200000011920931</v>
      </c>
      <c r="B429" s="109"/>
      <c r="C429" s="108">
        <f ca="1">'normal case'!AN430-'normal case'!AN429+IF(controls!$B$33=1,(1+(('main page'!$K$35/100)))*C428,'public finance'!C428)</f>
        <v>20</v>
      </c>
      <c r="D429" s="109">
        <f ca="1">IF(ABS(((A429-C429)/'normal case'!D430)-D428)&lt;0.0000001,D428,(A429-C429)/'normal case'!D430)</f>
        <v>1.9802129779314939E-3</v>
      </c>
      <c r="E429" s="109">
        <f ca="1">IF(ABS(D429-(G429*('normal case'!T430/100))/'normal case'!D430-E428)&lt;0.00001,E428,D429-(G429*('normal case'!T430/100))/'normal case'!D430)</f>
        <v>4269.3915601271292</v>
      </c>
      <c r="F429" s="110">
        <f ca="1">F428*(1+'normal case'!L429/100)</f>
        <v>4610.3041400749808</v>
      </c>
      <c r="G429" s="108">
        <f ca="1">C429-A429+G428*(1+'normal case'!T429/100)</f>
        <v>-12320238.614214912</v>
      </c>
      <c r="H429" s="109">
        <f ca="1">IF(ABS(G429/'normal case'!D430-H428)&lt;0.0000001,H428,G429/'normal case'!D430)</f>
        <v>-121982.5604647939</v>
      </c>
    </row>
    <row r="430" spans="1:8">
      <c r="A430" s="108">
        <f ca="1">('main page'!$U$31/100)*'normal case'!D431</f>
        <v>20.200000011920931</v>
      </c>
      <c r="B430" s="109"/>
      <c r="C430" s="108">
        <f ca="1">'normal case'!AN431-'normal case'!AN430+IF(controls!$B$33=1,(1+(('main page'!$K$35/100)))*C429,'public finance'!C429)</f>
        <v>20</v>
      </c>
      <c r="D430" s="109">
        <f ca="1">IF(ABS(((A430-C430)/'normal case'!D431)-D429)&lt;0.0000001,D429,(A430-C430)/'normal case'!D431)</f>
        <v>1.9802129779314939E-3</v>
      </c>
      <c r="E430" s="109">
        <f ca="1">IF(ABS(D430-(G430*('normal case'!T431/100))/'normal case'!D431-E429)&lt;0.00001,E429,D430-(G430*('normal case'!T431/100))/'normal case'!D431)</f>
        <v>4418.8202634586814</v>
      </c>
      <c r="F430" s="110">
        <f ca="1">F429*(1+'normal case'!L430/100)</f>
        <v>4702.5102173805699</v>
      </c>
      <c r="G430" s="108">
        <f ca="1">C430-A430+G429*(1+'normal case'!T430/100)</f>
        <v>-12751447.162040729</v>
      </c>
      <c r="H430" s="109">
        <f ca="1">IF(ABS(G430/'normal case'!D431-H429)&lt;0.0000001,H429,G430/'normal case'!D431)</f>
        <v>-126251.9520249062</v>
      </c>
    </row>
    <row r="431" spans="1:8">
      <c r="A431" s="108">
        <f ca="1">('main page'!$U$31/100)*'normal case'!D432</f>
        <v>20.200000011920931</v>
      </c>
      <c r="B431" s="109"/>
      <c r="C431" s="108">
        <f ca="1">'normal case'!AN432-'normal case'!AN431+IF(controls!$B$33=1,(1+(('main page'!$K$35/100)))*C430,'public finance'!C430)</f>
        <v>20</v>
      </c>
      <c r="D431" s="109">
        <f ca="1">IF(ABS(((A431-C431)/'normal case'!D432)-D430)&lt;0.0000001,D430,(A431-C431)/'normal case'!D432)</f>
        <v>1.9802129779314939E-3</v>
      </c>
      <c r="E431" s="109">
        <f ca="1">IF(ABS(D431-(G431*('normal case'!T432/100))/'normal case'!D432-E430)&lt;0.00001,E430,D431-(G431*('normal case'!T432/100))/'normal case'!D432)</f>
        <v>4573.4789713623049</v>
      </c>
      <c r="F431" s="110">
        <f ca="1">F430*(1+'normal case'!L431/100)</f>
        <v>4796.5604161223528</v>
      </c>
      <c r="G431" s="108">
        <f ca="1">C431-A431+G430*(1+'normal case'!T431/100)</f>
        <v>-13197748.008911939</v>
      </c>
      <c r="H431" s="109">
        <f ca="1">IF(ABS(G431/'normal case'!D432-H430)&lt;0.0000001,H430,G431/'normal case'!D432)</f>
        <v>-130670.77228835004</v>
      </c>
    </row>
    <row r="432" spans="1:8">
      <c r="A432" s="108">
        <f ca="1">('main page'!$U$31/100)*'normal case'!D433</f>
        <v>20.200000011920931</v>
      </c>
      <c r="B432" s="109"/>
      <c r="C432" s="108">
        <f ca="1">'normal case'!AN433-'normal case'!AN432+IF(controls!$B$33=1,(1+(('main page'!$K$35/100)))*C431,'public finance'!C431)</f>
        <v>20</v>
      </c>
      <c r="D432" s="109">
        <f ca="1">IF(ABS(((A432-C432)/'normal case'!D433)-D431)&lt;0.0000001,D431,(A432-C432)/'normal case'!D433)</f>
        <v>1.9802129779314939E-3</v>
      </c>
      <c r="E432" s="109">
        <f ca="1">IF(ABS(D432-(G432*('normal case'!T433/100))/'normal case'!D433-E431)&lt;0.00001,E431,D432-(G432*('normal case'!T433/100))/'normal case'!D433)</f>
        <v>4733.5507339964634</v>
      </c>
      <c r="F432" s="110">
        <f ca="1">F431*(1+'normal case'!L432/100)</f>
        <v>4892.4916187268545</v>
      </c>
      <c r="G432" s="108">
        <f ca="1">C432-A432+G431*(1+'normal case'!T432/100)</f>
        <v>-13659669.385290634</v>
      </c>
      <c r="H432" s="109">
        <f ca="1">IF(ABS(G432/'normal case'!D433-H431)&lt;0.0000001,H431,G432/'normal case'!D433)</f>
        <v>-135244.25125969751</v>
      </c>
    </row>
    <row r="433" spans="1:8">
      <c r="A433" s="108">
        <f ca="1">('main page'!$U$31/100)*'normal case'!D434</f>
        <v>20.200000011920931</v>
      </c>
      <c r="B433" s="109"/>
      <c r="C433" s="108">
        <f ca="1">'normal case'!AN434-'normal case'!AN433+IF(controls!$B$33=1,(1+(('main page'!$K$35/100)))*C432,'public finance'!C432)</f>
        <v>20</v>
      </c>
      <c r="D433" s="109">
        <f ca="1">IF(ABS(((A433-C433)/'normal case'!D434)-D432)&lt;0.0000001,D432,(A433-C433)/'normal case'!D434)</f>
        <v>1.9802129779314939E-3</v>
      </c>
      <c r="E433" s="109">
        <f ca="1">IF(ABS(D433-(G433*('normal case'!T434/100))/'normal case'!D434-E432)&lt;0.00001,E432,D433-(G433*('normal case'!T434/100))/'normal case'!D434)</f>
        <v>4899.2250082751125</v>
      </c>
      <c r="F433" s="110">
        <f ca="1">F432*(1+'normal case'!L433/100)</f>
        <v>4990.3414452690877</v>
      </c>
      <c r="G433" s="108">
        <f ca="1">C433-A433+G432*(1+'normal case'!T433/100)</f>
        <v>-14137758.00970492</v>
      </c>
      <c r="H433" s="109">
        <f ca="1">IF(ABS(G433/'normal case'!D434-H432)&lt;0.0000001,H432,G433/'normal case'!D434)</f>
        <v>-139977.80199367914</v>
      </c>
    </row>
    <row r="434" spans="1:8">
      <c r="A434" s="108">
        <f ca="1">('main page'!$U$31/100)*'normal case'!D435</f>
        <v>20.200000011920931</v>
      </c>
      <c r="B434" s="109"/>
      <c r="C434" s="108">
        <f ca="1">'normal case'!AN435-'normal case'!AN434+IF(controls!$B$33=1,(1+(('main page'!$K$35/100)))*C433,'public finance'!C433)</f>
        <v>20</v>
      </c>
      <c r="D434" s="109">
        <f ca="1">IF(ABS(((A434-C434)/'normal case'!D435)-D433)&lt;0.0000001,D433,(A434-C434)/'normal case'!D435)</f>
        <v>1.9802129779314939E-3</v>
      </c>
      <c r="E434" s="109">
        <f ca="1">IF(ABS(D434-(G434*('normal case'!T435/100))/'normal case'!D435-E433)&lt;0.00001,E433,D434-(G434*('normal case'!T435/100))/'normal case'!D435)</f>
        <v>5070.6978821041394</v>
      </c>
      <c r="F434" s="110">
        <f ca="1">F433*(1+'normal case'!L434/100)</f>
        <v>5090.1482682255191</v>
      </c>
      <c r="G434" s="108">
        <f ca="1">C434-A434+G433*(1+'normal case'!T434/100)</f>
        <v>-14632579.735831223</v>
      </c>
      <c r="H434" s="109">
        <f ca="1">IF(ABS(G434/'normal case'!D435-H433)&lt;0.0000001,H433,G434/'normal case'!D435)</f>
        <v>-144877.02700193939</v>
      </c>
    </row>
    <row r="435" spans="1:8">
      <c r="A435" s="108">
        <f ca="1">('main page'!$U$31/100)*'normal case'!D436</f>
        <v>20.200000011920931</v>
      </c>
      <c r="B435" s="109"/>
      <c r="C435" s="108">
        <f ca="1">'normal case'!AN436-'normal case'!AN435+IF(controls!$B$33=1,(1+(('main page'!$K$35/100)))*C434,'public finance'!C434)</f>
        <v>20</v>
      </c>
      <c r="D435" s="109">
        <f ca="1">IF(ABS(((A435-C435)/'normal case'!D436)-D434)&lt;0.0000001,D434,(A435-C435)/'normal case'!D436)</f>
        <v>1.9802129779314939E-3</v>
      </c>
      <c r="E435" s="109">
        <f ca="1">IF(ABS(D435-(G435*('normal case'!T436/100))/'normal case'!D436-E434)&lt;0.00001,E434,D435-(G435*('normal case'!T436/100))/'normal case'!D436)</f>
        <v>5248.1723064660791</v>
      </c>
      <c r="F435" s="110">
        <f ca="1">F434*(1+'normal case'!L435/100)</f>
        <v>5191.9512275221005</v>
      </c>
      <c r="G435" s="108">
        <f ca="1">C435-A435+G434*(1+'normal case'!T435/100)</f>
        <v>-15144720.22222448</v>
      </c>
      <c r="H435" s="109">
        <f ca="1">IF(ABS(G435/'normal case'!D436-H434)&lt;0.0000001,H434,G435/'normal case'!D436)</f>
        <v>-149947.72488402869</v>
      </c>
    </row>
    <row r="436" spans="1:8">
      <c r="A436" s="108">
        <f ca="1">('main page'!$U$31/100)*'normal case'!D437</f>
        <v>20.200000011920931</v>
      </c>
      <c r="B436" s="109"/>
      <c r="C436" s="108">
        <f ca="1">'normal case'!AN437-'normal case'!AN436+IF(controls!$B$33=1,(1+(('main page'!$K$35/100)))*C435,'public finance'!C435)</f>
        <v>20</v>
      </c>
      <c r="D436" s="109">
        <f ca="1">IF(ABS(((A436-C436)/'normal case'!D437)-D435)&lt;0.0000001,D435,(A436-C436)/'normal case'!D437)</f>
        <v>1.9802129779314939E-3</v>
      </c>
      <c r="E436" s="109">
        <f ca="1">IF(ABS(D436-(G436*('normal case'!T437/100))/'normal case'!D437-E435)&lt;0.00001,E435,D436-(G436*('normal case'!T437/100))/'normal case'!D437)</f>
        <v>5431.858335627795</v>
      </c>
      <c r="F436" s="110">
        <f ca="1">F435*(1+'normal case'!L436/100)</f>
        <v>5295.7902458832541</v>
      </c>
      <c r="G436" s="108">
        <f ca="1">C436-A436+G435*(1+'normal case'!T436/100)</f>
        <v>-15674785.62548887</v>
      </c>
      <c r="H436" s="109">
        <f ca="1">IF(ABS(G436/'normal case'!D437-H435)&lt;0.0000001,H435,G436/'normal case'!D437)</f>
        <v>-155195.89719047994</v>
      </c>
    </row>
    <row r="437" spans="1:8">
      <c r="A437" s="108">
        <f ca="1">('main page'!$U$31/100)*'normal case'!D438</f>
        <v>20.200000011920931</v>
      </c>
      <c r="B437" s="109"/>
      <c r="C437" s="108">
        <f ca="1">'normal case'!AN438-'normal case'!AN437+IF(controls!$B$33=1,(1+(('main page'!$K$35/100)))*C436,'public finance'!C436)</f>
        <v>20</v>
      </c>
      <c r="D437" s="109">
        <f ca="1">IF(ABS(((A437-C437)/'normal case'!D438)-D436)&lt;0.0000001,D436,(A437-C437)/'normal case'!D438)</f>
        <v>1.9802129779314939E-3</v>
      </c>
      <c r="E437" s="109">
        <f ca="1">IF(ABS(D437-(G437*('normal case'!T438/100))/'normal case'!D438-E436)&lt;0.00001,E436,D437-(G437*('normal case'!T438/100))/'normal case'!D438)</f>
        <v>5621.9733757554286</v>
      </c>
      <c r="F437" s="110">
        <f ca="1">F436*(1+'normal case'!L437/100)</f>
        <v>5401.7060444878452</v>
      </c>
      <c r="G437" s="108">
        <f ca="1">C437-A437+G436*(1+'normal case'!T437/100)</f>
        <v>-16223403.317709543</v>
      </c>
      <c r="H437" s="109">
        <f ca="1">IF(ABS(G437/'normal case'!D438-H436)&lt;0.0000001,H436,G437/'normal case'!D438)</f>
        <v>-160627.75552609289</v>
      </c>
    </row>
    <row r="438" spans="1:8">
      <c r="A438" s="108">
        <f ca="1">('main page'!$U$31/100)*'normal case'!D439</f>
        <v>20.200000011920931</v>
      </c>
      <c r="B438" s="109"/>
      <c r="C438" s="108">
        <f ca="1">'normal case'!AN439-'normal case'!AN438+IF(controls!$B$33=1,(1+(('main page'!$K$35/100)))*C437,'public finance'!C437)</f>
        <v>20</v>
      </c>
      <c r="D438" s="109">
        <f ca="1">IF(ABS(((A438-C438)/'normal case'!D439)-D437)&lt;0.0000001,D437,(A438-C438)/'normal case'!D439)</f>
        <v>1.9802129779314939E-3</v>
      </c>
      <c r="E438" s="109">
        <f ca="1">IF(ABS(D438-(G438*('normal case'!T439/100))/'normal case'!D439-E437)&lt;0.00001,E437,D438-(G438*('normal case'!T439/100))/'normal case'!D439)</f>
        <v>5818.7424422308695</v>
      </c>
      <c r="F438" s="110">
        <f ca="1">F437*(1+'normal case'!L438/100)</f>
        <v>5509.7401589382671</v>
      </c>
      <c r="G438" s="108">
        <f ca="1">C438-A438+G437*(1+'normal case'!T438/100)</f>
        <v>-16791222.628994435</v>
      </c>
      <c r="H438" s="109">
        <f ca="1">IF(ABS(G438/'normal case'!D439-H437)&lt;0.0000001,H437,G438/'normal case'!D439)</f>
        <v>-166249.72890183344</v>
      </c>
    </row>
    <row r="439" spans="1:8">
      <c r="A439" s="108">
        <f ca="1">('main page'!$U$31/100)*'normal case'!D440</f>
        <v>20.200000011920931</v>
      </c>
      <c r="B439" s="109"/>
      <c r="C439" s="108">
        <f ca="1">'normal case'!AN440-'normal case'!AN439+IF(controls!$B$33=1,(1+(('main page'!$K$35/100)))*C438,'public finance'!C438)</f>
        <v>20</v>
      </c>
      <c r="D439" s="109">
        <f ca="1">IF(ABS(((A439-C439)/'normal case'!D440)-D438)&lt;0.0000001,D438,(A439-C439)/'normal case'!D440)</f>
        <v>1.9802129779314939E-3</v>
      </c>
      <c r="E439" s="109">
        <f ca="1">IF(ABS(D439-(G439*('normal case'!T440/100))/'normal case'!D440-E438)&lt;0.00001,E438,D439-(G439*('normal case'!T440/100))/'normal case'!D440)</f>
        <v>6022.3984259743102</v>
      </c>
      <c r="F439" s="110">
        <f ca="1">F438*(1+'normal case'!L439/100)</f>
        <v>5619.9349555489107</v>
      </c>
      <c r="G439" s="108">
        <f ca="1">C439-A439+G438*(1+'normal case'!T439/100)</f>
        <v>-17378915.616005078</v>
      </c>
      <c r="H439" s="109">
        <f ca="1">IF(ABS(G439/'normal case'!D440-H438)&lt;0.0000001,H438,G439/'normal case'!D440)</f>
        <v>-172068.4713440495</v>
      </c>
    </row>
    <row r="440" spans="1:8">
      <c r="A440" s="108">
        <f ca="1">('main page'!$U$31/100)*'normal case'!D441</f>
        <v>20.200000011920931</v>
      </c>
      <c r="B440" s="109"/>
      <c r="C440" s="108">
        <f ca="1">'normal case'!AN441-'normal case'!AN440+IF(controls!$B$33=1,(1+(('main page'!$K$35/100)))*C439,'public finance'!C439)</f>
        <v>20</v>
      </c>
      <c r="D440" s="109">
        <f ca="1">IF(ABS(((A440-C440)/'normal case'!D441)-D439)&lt;0.0000001,D439,(A440-C440)/'normal case'!D441)</f>
        <v>1.9802129779314939E-3</v>
      </c>
      <c r="E440" s="109">
        <f ca="1">IF(ABS(D440-(G440*('normal case'!T441/100))/'normal case'!D441-E439)&lt;0.00001,E439,D440-(G440*('normal case'!T441/100))/'normal case'!D441)</f>
        <v>6233.1823690880756</v>
      </c>
      <c r="F440" s="110">
        <f ca="1">F439*(1+'normal case'!L440/100)</f>
        <v>5732.333647960405</v>
      </c>
      <c r="G440" s="108">
        <f ca="1">C440-A440+G439*(1+'normal case'!T440/100)</f>
        <v>-17987177.857385945</v>
      </c>
      <c r="H440" s="109">
        <f ca="1">IF(ABS(G440/'normal case'!D441-H439)&lt;0.0000001,H439,G440/'normal case'!D441)</f>
        <v>-178090.86977000893</v>
      </c>
    </row>
    <row r="441" spans="1:8">
      <c r="A441" s="108">
        <f ca="1">('main page'!$U$31/100)*'normal case'!D442</f>
        <v>20.200000011920931</v>
      </c>
      <c r="B441" s="109"/>
      <c r="C441" s="108">
        <f ca="1">'normal case'!AN442-'normal case'!AN441+IF(controls!$B$33=1,(1+(('main page'!$K$35/100)))*C440,'public finance'!C440)</f>
        <v>20</v>
      </c>
      <c r="D441" s="109">
        <f ca="1">IF(ABS(((A441-C441)/'normal case'!D442)-D440)&lt;0.0000001,D440,(A441-C441)/'normal case'!D442)</f>
        <v>1.9802129779314939E-3</v>
      </c>
      <c r="E441" s="109">
        <f ca="1">IF(ABS(D441-(G441*('normal case'!T442/100))/'normal case'!D442-E440)&lt;0.00001,E440,D441-(G441*('normal case'!T442/100))/'normal case'!D442)</f>
        <v>6451.3437501480057</v>
      </c>
      <c r="F441" s="110">
        <f ca="1">F440*(1+'normal case'!L441/100)</f>
        <v>5846.9803140861395</v>
      </c>
      <c r="G441" s="108">
        <f ca="1">C441-A441+G440*(1+'normal case'!T441/100)</f>
        <v>-18616729.277033865</v>
      </c>
      <c r="H441" s="109">
        <f ca="1">IF(ABS(G441/'normal case'!D442-H440)&lt;0.0000001,H440,G441/'normal case'!D442)</f>
        <v>-184324.05213908214</v>
      </c>
    </row>
    <row r="442" spans="1:8">
      <c r="A442" s="108">
        <f ca="1">('main page'!$U$31/100)*'normal case'!D443</f>
        <v>20.200000011920931</v>
      </c>
      <c r="B442" s="109"/>
      <c r="C442" s="108">
        <f ca="1">'normal case'!AN443-'normal case'!AN442+IF(controls!$B$33=1,(1+(('main page'!$K$35/100)))*C441,'public finance'!C441)</f>
        <v>20</v>
      </c>
      <c r="D442" s="109">
        <f ca="1">IF(ABS(((A442-C442)/'normal case'!D443)-D441)&lt;0.0000001,D441,(A442-C442)/'normal case'!D443)</f>
        <v>1.9802129779314939E-3</v>
      </c>
      <c r="E442" s="109">
        <f ca="1">IF(ABS(D442-(G442*('normal case'!T443/100))/'normal case'!D443-E441)&lt;0.00001,E441,D442-(G442*('normal case'!T443/100))/'normal case'!D443)</f>
        <v>6677.1407794800143</v>
      </c>
      <c r="F442" s="110">
        <f ca="1">F441*(1+'normal case'!L442/100)</f>
        <v>5963.919913397719</v>
      </c>
      <c r="G442" s="108">
        <f ca="1">C442-A442+G441*(1+'normal case'!T442/100)</f>
        <v>-19268314.996181842</v>
      </c>
      <c r="H442" s="109">
        <f ca="1">IF(ABS(G442/'normal case'!D443-H441)&lt;0.0000001,H441,G442/'normal case'!D443)</f>
        <v>-190775.39588921526</v>
      </c>
    </row>
    <row r="443" spans="1:8">
      <c r="A443" s="108">
        <f ca="1">('main page'!$U$31/100)*'normal case'!D444</f>
        <v>20.200000011920931</v>
      </c>
      <c r="B443" s="109"/>
      <c r="C443" s="108">
        <f ca="1">'normal case'!AN444-'normal case'!AN443+IF(controls!$B$33=1,(1+(('main page'!$K$35/100)))*C442,'public finance'!C442)</f>
        <v>20</v>
      </c>
      <c r="D443" s="109">
        <f ca="1">IF(ABS(((A443-C443)/'normal case'!D444)-D442)&lt;0.0000001,D442,(A443-C443)/'normal case'!D444)</f>
        <v>1.9802129779314939E-3</v>
      </c>
      <c r="E443" s="109">
        <f ca="1">IF(ABS(D443-(G443*('normal case'!T444/100))/'normal case'!D444-E442)&lt;0.00001,E442,D443-(G443*('normal case'!T444/100))/'normal case'!D444)</f>
        <v>6910.8407047713526</v>
      </c>
      <c r="F443" s="110">
        <f ca="1">F442*(1+'normal case'!L443/100)</f>
        <v>6083.1983045561274</v>
      </c>
      <c r="G443" s="108">
        <f ca="1">C443-A443+G442*(1+'normal case'!T443/100)</f>
        <v>-19942706.215305813</v>
      </c>
      <c r="H443" s="109">
        <f ca="1">IF(ABS(G443/'normal case'!D444-H442)&lt;0.0000001,H442,G443/'normal case'!D444)</f>
        <v>-197452.53666868043</v>
      </c>
    </row>
    <row r="444" spans="1:8">
      <c r="A444" s="108">
        <f ca="1">('main page'!$U$31/100)*'normal case'!D445</f>
        <v>20.200000011920931</v>
      </c>
      <c r="B444" s="109"/>
      <c r="C444" s="108">
        <f ca="1">'normal case'!AN445-'normal case'!AN444+IF(controls!$B$33=1,(1+(('main page'!$K$35/100)))*C443,'public finance'!C443)</f>
        <v>20</v>
      </c>
      <c r="D444" s="109">
        <f ca="1">IF(ABS(((A444-C444)/'normal case'!D445)-D443)&lt;0.0000001,D443,(A444-C444)/'normal case'!D445)</f>
        <v>1.9802129779314939E-3</v>
      </c>
      <c r="E444" s="109">
        <f ca="1">IF(ABS(D444-(G444*('normal case'!T445/100))/'normal case'!D445-E443)&lt;0.00001,E443,D444-(G444*('normal case'!T445/100))/'normal case'!D445)</f>
        <v>7152.7201273782384</v>
      </c>
      <c r="F444" s="110">
        <f ca="1">F443*(1+'normal case'!L444/100)</f>
        <v>6204.8622633955129</v>
      </c>
      <c r="G444" s="108">
        <f ca="1">C444-A444+G443*(1+'normal case'!T444/100)</f>
        <v>-20640701.126898136</v>
      </c>
      <c r="H444" s="109">
        <f ca="1">IF(ABS(G444/'normal case'!D445-H443)&lt;0.0000001,H443,G444/'normal case'!D445)</f>
        <v>-204363.37737343693</v>
      </c>
    </row>
    <row r="445" spans="1:8">
      <c r="A445" s="108">
        <f ca="1">('main page'!$U$31/100)*'normal case'!D446</f>
        <v>20.200000011920931</v>
      </c>
      <c r="B445" s="109"/>
      <c r="C445" s="108">
        <f ca="1">'normal case'!AN446-'normal case'!AN445+IF(controls!$B$33=1,(1+(('main page'!$K$35/100)))*C444,'public finance'!C444)</f>
        <v>20</v>
      </c>
      <c r="D445" s="109">
        <f ca="1">IF(ABS(((A445-C445)/'normal case'!D446)-D444)&lt;0.0000001,D444,(A445-C445)/'normal case'!D446)</f>
        <v>1.9802129779314939E-3</v>
      </c>
      <c r="E445" s="109">
        <f ca="1">IF(ABS(D445-(G445*('normal case'!T446/100))/'normal case'!D446-E444)&lt;0.00001,E444,D445-(G445*('normal case'!T446/100))/'normal case'!D446)</f>
        <v>7403.06532970428</v>
      </c>
      <c r="F445" s="110">
        <f ca="1">F444*(1+'normal case'!L445/100)</f>
        <v>6328.9595012666514</v>
      </c>
      <c r="G445" s="108">
        <f ca="1">C445-A445+G444*(1+'normal case'!T445/100)</f>
        <v>-21363125.860188171</v>
      </c>
      <c r="H445" s="109">
        <f ca="1">IF(ABS(G445/'normal case'!D446-H444)&lt;0.0000001,H444,G445/'normal case'!D446)</f>
        <v>-211516.0975008003</v>
      </c>
    </row>
    <row r="446" spans="1:8">
      <c r="A446" s="108">
        <f ca="1">('main page'!$U$31/100)*'normal case'!D447</f>
        <v>20.200000011920931</v>
      </c>
      <c r="B446" s="109"/>
      <c r="C446" s="108">
        <f ca="1">'normal case'!AN447-'normal case'!AN446+IF(controls!$B$33=1,(1+(('main page'!$K$35/100)))*C445,'public finance'!C445)</f>
        <v>20</v>
      </c>
      <c r="D446" s="109">
        <f ca="1">IF(ABS(((A446-C446)/'normal case'!D447)-D445)&lt;0.0000001,D445,(A446-C446)/'normal case'!D447)</f>
        <v>1.9802129779314939E-3</v>
      </c>
      <c r="E446" s="109">
        <f ca="1">IF(ABS(D446-(G446*('normal case'!T447/100))/'normal case'!D447-E445)&lt;0.00001,E445,D446-(G446*('normal case'!T447/100))/'normal case'!D447)</f>
        <v>7662.1726140371247</v>
      </c>
      <c r="F446" s="110">
        <f ca="1">F445*(1+'normal case'!L446/100)</f>
        <v>6455.538683747277</v>
      </c>
      <c r="G446" s="108">
        <f ca="1">C446-A446+G445*(1+'normal case'!T446/100)</f>
        <v>-22110835.45892806</v>
      </c>
      <c r="H446" s="109">
        <f ca="1">IF(ABS(G446/'normal case'!D447-H445)&lt;0.0000001,H445,G446/'normal case'!D447)</f>
        <v>-218919.16283048972</v>
      </c>
    </row>
    <row r="447" spans="1:8">
      <c r="A447" s="108">
        <f ca="1">('main page'!$U$31/100)*'normal case'!D448</f>
        <v>20.200000011920931</v>
      </c>
      <c r="B447" s="109"/>
      <c r="C447" s="108">
        <f ca="1">'normal case'!AN448-'normal case'!AN447+IF(controls!$B$33=1,(1+(('main page'!$K$35/100)))*C446,'public finance'!C446)</f>
        <v>20</v>
      </c>
      <c r="D447" s="109">
        <f ca="1">IF(ABS(((A447-C447)/'normal case'!D448)-D446)&lt;0.0000001,D446,(A447-C447)/'normal case'!D448)</f>
        <v>1.9802129779314939E-3</v>
      </c>
      <c r="E447" s="109">
        <f ca="1">IF(ABS(D447-(G447*('normal case'!T448/100))/'normal case'!D448-E446)&lt;0.00001,E446,D447-(G447*('normal case'!T448/100))/'normal case'!D448)</f>
        <v>7930.3486532443967</v>
      </c>
      <c r="F447" s="110">
        <f ca="1">F446*(1+'normal case'!L447/100)</f>
        <v>6584.6494497266212</v>
      </c>
      <c r="G447" s="108">
        <f ca="1">C447-A447+G446*(1+'normal case'!T447/100)</f>
        <v>-22884714.893401008</v>
      </c>
      <c r="H447" s="109">
        <f ca="1">IF(ABS(G447/'normal case'!D448-H446)&lt;0.0000001,H446,G447/'normal case'!D448)</f>
        <v>-226581.33544451196</v>
      </c>
    </row>
    <row r="448" spans="1:8">
      <c r="A448" s="108">
        <f ca="1">('main page'!$U$31/100)*'normal case'!D449</f>
        <v>20.200000011920931</v>
      </c>
      <c r="B448" s="109"/>
      <c r="C448" s="108">
        <f ca="1">'normal case'!AN449-'normal case'!AN448+IF(controls!$B$33=1,(1+(('main page'!$K$35/100)))*C447,'public finance'!C447)</f>
        <v>20</v>
      </c>
      <c r="D448" s="109">
        <f ca="1">IF(ABS(((A448-C448)/'normal case'!D449)-D447)&lt;0.0000001,D447,(A448-C448)/'normal case'!D449)</f>
        <v>1.9802129779314939E-3</v>
      </c>
      <c r="E448" s="109">
        <f ca="1">IF(ABS(D448-(G448*('normal case'!T449/100))/'normal case'!D449-E447)&lt;0.00001,E447,D448-(G448*('normal case'!T449/100))/'normal case'!D449)</f>
        <v>8207.9108537440025</v>
      </c>
      <c r="F448" s="110">
        <f ca="1">F447*(1+'normal case'!L448/100)</f>
        <v>6716.3424308716403</v>
      </c>
      <c r="G448" s="108">
        <f ca="1">C448-A448+G447*(1+'normal case'!T448/100)</f>
        <v>-23685680.107849877</v>
      </c>
      <c r="H448" s="109">
        <f ca="1">IF(ABS(G448/'normal case'!D449-H447)&lt;0.0000001,H447,G448/'normal case'!D449)</f>
        <v>-234511.6840977415</v>
      </c>
    </row>
    <row r="449" spans="1:8">
      <c r="A449" s="108">
        <f ca="1">('main page'!$U$31/100)*'normal case'!D450</f>
        <v>20.200000011920931</v>
      </c>
      <c r="B449" s="109"/>
      <c r="C449" s="108">
        <f ca="1">'normal case'!AN450-'normal case'!AN449+IF(controls!$B$33=1,(1+(('main page'!$K$35/100)))*C448,'public finance'!C448)</f>
        <v>20</v>
      </c>
      <c r="D449" s="109">
        <f ca="1">IF(ABS(((A449-C449)/'normal case'!D450)-D448)&lt;0.0000001,D448,(A449-C449)/'normal case'!D450)</f>
        <v>1.9802129779314939E-3</v>
      </c>
      <c r="E449" s="109">
        <f ca="1">IF(ABS(D449-(G449*('normal case'!T450/100))/'normal case'!D450-E448)&lt;0.00001,E448,D449-(G449*('normal case'!T450/100))/'normal case'!D450)</f>
        <v>8495.1877311783755</v>
      </c>
      <c r="F449" s="110">
        <f ca="1">F448*(1+'normal case'!L449/100)</f>
        <v>6850.6692714825695</v>
      </c>
      <c r="G449" s="108">
        <f ca="1">C449-A449+G448*(1+'normal case'!T449/100)</f>
        <v>-24514679.104565751</v>
      </c>
      <c r="H449" s="109">
        <f ca="1">IF(ABS(G449/'normal case'!D450-H448)&lt;0.0000001,H448,G449/'normal case'!D450)</f>
        <v>-242719.59495147064</v>
      </c>
    </row>
    <row r="450" spans="1:8">
      <c r="A450" s="108">
        <f ca="1">('main page'!$U$31/100)*'normal case'!D451</f>
        <v>20.200000011920931</v>
      </c>
      <c r="B450" s="109"/>
      <c r="C450" s="108">
        <f ca="1">'normal case'!AN451-'normal case'!AN450+IF(controls!$B$33=1,(1+(('main page'!$K$35/100)))*C449,'public finance'!C449)</f>
        <v>20</v>
      </c>
      <c r="D450" s="109">
        <f ca="1">IF(ABS(((A450-C450)/'normal case'!D451)-D449)&lt;0.0000001,D449,(A450-C450)/'normal case'!D451)</f>
        <v>1.9802129779314939E-3</v>
      </c>
      <c r="E450" s="109">
        <f ca="1">IF(ABS(D450-(G450*('normal case'!T451/100))/'normal case'!D451-E449)&lt;0.00001,E449,D450-(G450*('normal case'!T451/100))/'normal case'!D451)</f>
        <v>8792.5192992373341</v>
      </c>
      <c r="F450" s="110">
        <f ca="1">F449*(1+'normal case'!L450/100)</f>
        <v>6987.6826487455874</v>
      </c>
      <c r="G450" s="108">
        <f ca="1">C450-A450+G449*(1+'normal case'!T450/100)</f>
        <v>-25372693.065919619</v>
      </c>
      <c r="H450" s="109">
        <f ca="1">IF(ABS(G450/'normal case'!D451-H449)&lt;0.0000001,H449,G450/'normal case'!D451)</f>
        <v>-251214.78268263416</v>
      </c>
    </row>
    <row r="451" spans="1:8">
      <c r="A451" s="108">
        <f ca="1">('main page'!$U$31/100)*'normal case'!D452</f>
        <v>20.200000011920931</v>
      </c>
      <c r="B451" s="109"/>
      <c r="C451" s="108">
        <f ca="1">'normal case'!AN452-'normal case'!AN451+IF(controls!$B$33=1,(1+(('main page'!$K$35/100)))*C450,'public finance'!C450)</f>
        <v>20</v>
      </c>
      <c r="D451" s="109">
        <f ca="1">IF(ABS(((A451-C451)/'normal case'!D452)-D450)&lt;0.0000001,D450,(A451-C451)/'normal case'!D452)</f>
        <v>1.9802129779314939E-3</v>
      </c>
      <c r="E451" s="109">
        <f ca="1">IF(ABS(D451-(G451*('normal case'!T452/100))/'normal case'!D452-E450)&lt;0.00001,E450,D451-(G451*('normal case'!T452/100))/'normal case'!D452)</f>
        <v>9100.2574720897464</v>
      </c>
      <c r="F451" s="110">
        <f ca="1">F450*(1+'normal case'!L451/100)</f>
        <v>7127.4362933905322</v>
      </c>
      <c r="G451" s="108">
        <f ca="1">C451-A451+G450*(1+'normal case'!T451/100)</f>
        <v>-26260737.515665162</v>
      </c>
      <c r="H451" s="109">
        <f ca="1">IF(ABS(G451/'normal case'!D452-H450)&lt;0.0000001,H450,G451/'normal case'!D452)</f>
        <v>-260007.30198185664</v>
      </c>
    </row>
    <row r="452" spans="1:8">
      <c r="A452" s="108">
        <f ca="1">('main page'!$U$31/100)*'normal case'!D453</f>
        <v>20.200000011920931</v>
      </c>
      <c r="B452" s="109"/>
      <c r="C452" s="108">
        <f ca="1">'normal case'!AN453-'normal case'!AN452+IF(controls!$B$33=1,(1+(('main page'!$K$35/100)))*C451,'public finance'!C451)</f>
        <v>20</v>
      </c>
      <c r="D452" s="109">
        <f ca="1">IF(ABS(((A452-C452)/'normal case'!D453)-D451)&lt;0.0000001,D451,(A452-C452)/'normal case'!D453)</f>
        <v>1.9802129779314939E-3</v>
      </c>
      <c r="E452" s="109">
        <f ca="1">IF(ABS(D452-(G452*('normal case'!T453/100))/'normal case'!D453-E451)&lt;0.00001,E451,D452-(G452*('normal case'!T453/100))/'normal case'!D453)</f>
        <v>9418.7664809002799</v>
      </c>
      <c r="F452" s="110">
        <f ca="1">F451*(1+'normal case'!L452/100)</f>
        <v>7269.9850107617767</v>
      </c>
      <c r="G452" s="108">
        <f ca="1">C452-A452+G451*(1+'normal case'!T452/100)</f>
        <v>-27179863.520887144</v>
      </c>
      <c r="H452" s="109">
        <f ca="1">IF(ABS(G452/'normal case'!D453-H451)&lt;0.0000001,H451,G452/'normal case'!D453)</f>
        <v>-269107.55945393152</v>
      </c>
    </row>
    <row r="453" spans="1:8">
      <c r="A453" s="108">
        <f ca="1">('main page'!$U$31/100)*'normal case'!D454</f>
        <v>20.200000011920931</v>
      </c>
      <c r="B453" s="109"/>
      <c r="C453" s="108">
        <f ca="1">'normal case'!AN454-'normal case'!AN453+IF(controls!$B$33=1,(1+(('main page'!$K$35/100)))*C452,'public finance'!C452)</f>
        <v>20</v>
      </c>
      <c r="D453" s="109">
        <f ca="1">IF(ABS(((A453-C453)/'normal case'!D454)-D452)&lt;0.0000001,D452,(A453-C453)/'normal case'!D454)</f>
        <v>1.9802129779314939E-3</v>
      </c>
      <c r="E453" s="109">
        <f ca="1">IF(ABS(D453-(G453*('normal case'!T454/100))/'normal case'!D454-E452)&lt;0.00001,E452,D453-(G453*('normal case'!T454/100))/'normal case'!D454)</f>
        <v>9748.4233049242575</v>
      </c>
      <c r="F453" s="110">
        <f ca="1">F452*(1+'normal case'!L453/100)</f>
        <v>7415.3847023105154</v>
      </c>
      <c r="G453" s="108">
        <f ca="1">C453-A453+G452*(1+'normal case'!T453/100)</f>
        <v>-28131158.936017971</v>
      </c>
      <c r="H453" s="109">
        <f ca="1">IF(ABS(G453/'normal case'!D454-H452)&lt;0.0000001,H452,G453/'normal case'!D454)</f>
        <v>-278526.32593481691</v>
      </c>
    </row>
    <row r="454" spans="1:8">
      <c r="A454" s="108">
        <f ca="1">('main page'!$U$31/100)*'normal case'!D455</f>
        <v>20.200000011920931</v>
      </c>
      <c r="B454" s="109"/>
      <c r="C454" s="108">
        <f ca="1">'normal case'!AN455-'normal case'!AN454+IF(controls!$B$33=1,(1+(('main page'!$K$35/100)))*C453,'public finance'!C453)</f>
        <v>20</v>
      </c>
      <c r="D454" s="109">
        <f ca="1">IF(ABS(((A454-C454)/'normal case'!D455)-D453)&lt;0.0000001,D453,(A454-C454)/'normal case'!D455)</f>
        <v>1.9802129779314939E-3</v>
      </c>
      <c r="E454" s="109">
        <f ca="1">IF(ABS(D454-(G454*('normal case'!T455/100))/'normal case'!D455-E453)&lt;0.00001,E453,D454-(G454*('normal case'!T455/100))/'normal case'!D455)</f>
        <v>10089.618117690829</v>
      </c>
      <c r="F454" s="110">
        <f ca="1">F453*(1+'normal case'!L454/100)</f>
        <v>7563.6923875168986</v>
      </c>
      <c r="G454" s="108">
        <f ca="1">C454-A454+G453*(1+'normal case'!T454/100)</f>
        <v>-29115749.690394871</v>
      </c>
      <c r="H454" s="109">
        <f ca="1">IF(ABS(G454/'normal case'!D455-H453)&lt;0.0000001,H453,G454/'normal case'!D455)</f>
        <v>-288274.74923972628</v>
      </c>
    </row>
    <row r="455" spans="1:8">
      <c r="A455" s="108">
        <f ca="1">('main page'!$U$31/100)*'normal case'!D456</f>
        <v>20.200000011920931</v>
      </c>
      <c r="B455" s="109"/>
      <c r="C455" s="108">
        <f ca="1">'normal case'!AN456-'normal case'!AN455+IF(controls!$B$33=1,(1+(('main page'!$K$35/100)))*C454,'public finance'!C454)</f>
        <v>20</v>
      </c>
      <c r="D455" s="109">
        <f ca="1">IF(ABS(((A455-C455)/'normal case'!D456)-D454)&lt;0.0000001,D454,(A455-C455)/'normal case'!D456)</f>
        <v>1.9802129779314939E-3</v>
      </c>
      <c r="E455" s="109">
        <f ca="1">IF(ABS(D455-(G455*('normal case'!T456/100))/'normal case'!D456-E454)&lt;0.00001,E454,D455-(G455*('normal case'!T456/100))/'normal case'!D456)</f>
        <v>10442.754748802547</v>
      </c>
      <c r="F455" s="110">
        <f ca="1">F454*(1+'normal case'!L455/100)</f>
        <v>7714.9662262506126</v>
      </c>
      <c r="G455" s="108">
        <f ca="1">C455-A455+G454*(1+'normal case'!T455/100)</f>
        <v>-30134801.120881531</v>
      </c>
      <c r="H455" s="109">
        <f ca="1">IF(ABS(G455/'normal case'!D456-H454)&lt;0.0000001,H454,G455/'normal case'!D456)</f>
        <v>-298364.36735740228</v>
      </c>
    </row>
    <row r="456" spans="1:8">
      <c r="A456" s="108">
        <f ca="1">('main page'!$U$31/100)*'normal case'!D457</f>
        <v>20.200000011920931</v>
      </c>
      <c r="B456" s="109"/>
      <c r="C456" s="108">
        <f ca="1">'normal case'!AN457-'normal case'!AN456+IF(controls!$B$33=1,(1+(('main page'!$K$35/100)))*C455,'public finance'!C455)</f>
        <v>20</v>
      </c>
      <c r="D456" s="109">
        <f ca="1">IF(ABS(((A456-C456)/'normal case'!D457)-D455)&lt;0.0000001,D455,(A456-C456)/'normal case'!D457)</f>
        <v>1.9802129779314939E-3</v>
      </c>
      <c r="E456" s="109">
        <f ca="1">IF(ABS(D456-(G456*('normal case'!T457/100))/'normal case'!D457-E455)&lt;0.00001,E455,D456-(G456*('normal case'!T457/100))/'normal case'!D457)</f>
        <v>10808.251161897933</v>
      </c>
      <c r="F456" s="110">
        <f ca="1">F455*(1+'normal case'!L456/100)</f>
        <v>7869.2655415786685</v>
      </c>
      <c r="G456" s="108">
        <f ca="1">C456-A456+G455*(1+'normal case'!T456/100)</f>
        <v>-31189519.351131525</v>
      </c>
      <c r="H456" s="109">
        <f ca="1">IF(ABS(G456/'normal case'!D457-H455)&lt;0.0000001,H455,G456/'normal case'!D457)</f>
        <v>-308807.12210618996</v>
      </c>
    </row>
    <row r="457" spans="1:8">
      <c r="A457" s="108">
        <f ca="1">('main page'!$U$31/100)*'normal case'!D458</f>
        <v>20.200000011920931</v>
      </c>
      <c r="B457" s="109"/>
      <c r="C457" s="108">
        <f ca="1">'normal case'!AN458-'normal case'!AN457+IF(controls!$B$33=1,(1+(('main page'!$K$35/100)))*C456,'public finance'!C456)</f>
        <v>20</v>
      </c>
      <c r="D457" s="109">
        <f ca="1">IF(ABS(((A457-C457)/'normal case'!D458)-D456)&lt;0.0000001,D456,(A457-C457)/'normal case'!D458)</f>
        <v>1.9802129779314939E-3</v>
      </c>
      <c r="E457" s="109">
        <f ca="1">IF(ABS(D457-(G457*('normal case'!T458/100))/'normal case'!D458-E456)&lt;0.00001,E456,D457-(G457*('normal case'!T458/100))/'normal case'!D458)</f>
        <v>11186.53994934273</v>
      </c>
      <c r="F457" s="110">
        <f ca="1">F456*(1+'normal case'!L457/100)</f>
        <v>8026.650843029347</v>
      </c>
      <c r="G457" s="108">
        <f ca="1">C457-A457+G456*(1+'normal case'!T457/100)</f>
        <v>-32281152.719125938</v>
      </c>
      <c r="H457" s="109">
        <f ca="1">IF(ABS(G457/'normal case'!D458-H456)&lt;0.0000001,H456,G457/'normal case'!D458)</f>
        <v>-319615.37326807302</v>
      </c>
    </row>
    <row r="458" spans="1:8">
      <c r="A458" s="108">
        <f ca="1">('main page'!$U$31/100)*'normal case'!D459</f>
        <v>20.200000011920931</v>
      </c>
      <c r="B458" s="109"/>
      <c r="C458" s="108">
        <f ca="1">'normal case'!AN459-'normal case'!AN458+IF(controls!$B$33=1,(1+(('main page'!$K$35/100)))*C457,'public finance'!C457)</f>
        <v>20</v>
      </c>
      <c r="D458" s="109">
        <f ca="1">IF(ABS(((A458-C458)/'normal case'!D459)-D457)&lt;0.0000001,D457,(A458-C458)/'normal case'!D459)</f>
        <v>1.9802129779314939E-3</v>
      </c>
      <c r="E458" s="109">
        <f ca="1">IF(ABS(D458-(G458*('normal case'!T459/100))/'normal case'!D459-E457)&lt;0.00001,E457,D458-(G458*('normal case'!T459/100))/'normal case'!D459)</f>
        <v>11578.068844235358</v>
      </c>
      <c r="F458" s="110">
        <f ca="1">F457*(1+'normal case'!L458/100)</f>
        <v>8187.1838503214212</v>
      </c>
      <c r="G458" s="108">
        <f ca="1">C458-A458+G457*(1+'normal case'!T458/100)</f>
        <v>-33410993.254674822</v>
      </c>
      <c r="H458" s="109">
        <f ca="1">IF(ABS(G458/'normal case'!D459-H457)&lt;0.0000001,H457,G458/'normal case'!D459)</f>
        <v>-330801.9132174009</v>
      </c>
    </row>
    <row r="459" spans="1:8">
      <c r="A459" s="108">
        <f ca="1">('main page'!$U$31/100)*'normal case'!D460</f>
        <v>20.200000011920931</v>
      </c>
      <c r="B459" s="109"/>
      <c r="C459" s="108">
        <f ca="1">'normal case'!AN460-'normal case'!AN459+IF(controls!$B$33=1,(1+(('main page'!$K$35/100)))*C458,'public finance'!C458)</f>
        <v>20</v>
      </c>
      <c r="D459" s="109">
        <f ca="1">IF(ABS(((A459-C459)/'normal case'!D460)-D458)&lt;0.0000001,D458,(A459-C459)/'normal case'!D460)</f>
        <v>1.9802129779314939E-3</v>
      </c>
      <c r="E459" s="109">
        <f ca="1">IF(ABS(D459-(G459*('normal case'!T460/100))/'normal case'!D460-E458)&lt;0.00001,E458,D459-(G459*('normal case'!T460/100))/'normal case'!D460)</f>
        <v>11983.301250332541</v>
      </c>
      <c r="F459" s="110">
        <f ca="1">F458*(1+'normal case'!L459/100)</f>
        <v>8350.9275175679668</v>
      </c>
      <c r="G459" s="108">
        <f ca="1">C459-A459+G458*(1+'normal case'!T459/100)</f>
        <v>-34580378.208631195</v>
      </c>
      <c r="H459" s="109">
        <f ca="1">IF(ABS(G459/'normal case'!D460-H458)&lt;0.0000001,H458,G459/'normal case'!D460)</f>
        <v>-342379.98206162138</v>
      </c>
    </row>
    <row r="460" spans="1:8">
      <c r="A460" s="108">
        <f ca="1">('main page'!$U$31/100)*'normal case'!D461</f>
        <v>20.200000011920931</v>
      </c>
      <c r="B460" s="109"/>
      <c r="C460" s="108">
        <f ca="1">'normal case'!AN461-'normal case'!AN460+IF(controls!$B$33=1,(1+(('main page'!$K$35/100)))*C459,'public finance'!C459)</f>
        <v>20</v>
      </c>
      <c r="D460" s="109">
        <f ca="1">IF(ABS(((A460-C460)/'normal case'!D461)-D459)&lt;0.0000001,D459,(A460-C460)/'normal case'!D461)</f>
        <v>1.9802129779314939E-3</v>
      </c>
      <c r="E460" s="109">
        <f ca="1">IF(ABS(D460-(G460*('normal case'!T461/100))/'normal case'!D461-E459)&lt;0.00001,E459,D460-(G460*('normal case'!T461/100))/'normal case'!D461)</f>
        <v>12402.716790522356</v>
      </c>
      <c r="F460" s="110">
        <f ca="1">F459*(1+'normal case'!L460/100)</f>
        <v>8517.9460579642455</v>
      </c>
      <c r="G460" s="108">
        <f ca="1">C460-A460+G459*(1+'normal case'!T460/100)</f>
        <v>-35790691.635627538</v>
      </c>
      <c r="H460" s="109">
        <f ca="1">IF(ABS(G460/'normal case'!D461-H459)&lt;0.0000001,H459,G460/'normal case'!D461)</f>
        <v>-354363.28331193904</v>
      </c>
    </row>
    <row r="461" spans="1:8">
      <c r="A461" s="108">
        <f ca="1">('main page'!$U$31/100)*'normal case'!D462</f>
        <v>20.200000011920931</v>
      </c>
      <c r="B461" s="109"/>
      <c r="C461" s="108">
        <f ca="1">'normal case'!AN462-'normal case'!AN461+IF(controls!$B$33=1,(1+(('main page'!$K$35/100)))*C460,'public finance'!C460)</f>
        <v>20</v>
      </c>
      <c r="D461" s="109">
        <f ca="1">IF(ABS(((A461-C461)/'normal case'!D462)-D460)&lt;0.0000001,D460,(A461-C461)/'normal case'!D462)</f>
        <v>1.9802129779314939E-3</v>
      </c>
      <c r="E461" s="109">
        <f ca="1">IF(ABS(D461-(G461*('normal case'!T462/100))/'normal case'!D462-E460)&lt;0.00001,E460,D461-(G461*('normal case'!T462/100))/'normal case'!D462)</f>
        <v>12836.811874493822</v>
      </c>
      <c r="F461" s="110">
        <f ca="1">F460*(1+'normal case'!L461/100)</f>
        <v>8688.3049689693471</v>
      </c>
      <c r="G461" s="108">
        <f ca="1">C461-A461+G460*(1+'normal case'!T461/100)</f>
        <v>-37043366.032208055</v>
      </c>
      <c r="H461" s="109">
        <f ca="1">IF(ABS(G461/'normal case'!D462-H460)&lt;0.0000001,H460,G461/'normal case'!D462)</f>
        <v>-366766.00010244653</v>
      </c>
    </row>
    <row r="462" spans="1:8">
      <c r="A462" s="108">
        <f ca="1">('main page'!$U$31/100)*'normal case'!D463</f>
        <v>20.200000011920931</v>
      </c>
      <c r="B462" s="109"/>
      <c r="C462" s="108">
        <f ca="1">'normal case'!AN463-'normal case'!AN462+IF(controls!$B$33=1,(1+(('main page'!$K$35/100)))*C461,'public finance'!C461)</f>
        <v>20</v>
      </c>
      <c r="D462" s="109">
        <f ca="1">IF(ABS(((A462-C462)/'normal case'!D463)-D461)&lt;0.0000001,D461,(A462-C462)/'normal case'!D463)</f>
        <v>1.9802129779314939E-3</v>
      </c>
      <c r="E462" s="109">
        <f ca="1">IF(ABS(D462-(G462*('normal case'!T463/100))/'normal case'!D463-E461)&lt;0.00001,E461,D462-(G462*('normal case'!T463/100))/'normal case'!D463)</f>
        <v>13286.100286274917</v>
      </c>
      <c r="F462" s="110">
        <f ca="1">F461*(1+'normal case'!L462/100)</f>
        <v>8862.0710579914685</v>
      </c>
      <c r="G462" s="108">
        <f ca="1">C462-A462+G461*(1+'normal case'!T462/100)</f>
        <v>-38339884.032295562</v>
      </c>
      <c r="H462" s="109">
        <f ca="1">IF(ABS(G462/'normal case'!D463-H461)&lt;0.0000001,H461,G462/'normal case'!D463)</f>
        <v>-379602.81197692547</v>
      </c>
    </row>
    <row r="463" spans="1:8">
      <c r="A463" s="108">
        <f ca="1">('main page'!$U$31/100)*'normal case'!D464</f>
        <v>20.200000011920931</v>
      </c>
      <c r="B463" s="109"/>
      <c r="C463" s="108">
        <f ca="1">'normal case'!AN464-'normal case'!AN463+IF(controls!$B$33=1,(1+(('main page'!$K$35/100)))*C462,'public finance'!C462)</f>
        <v>20</v>
      </c>
      <c r="D463" s="109">
        <f ca="1">IF(ABS(((A463-C463)/'normal case'!D464)-D462)&lt;0.0000001,D462,(A463-C463)/'normal case'!D464)</f>
        <v>1.9802129779314939E-3</v>
      </c>
      <c r="E463" s="109">
        <f ca="1">IF(ABS(D463-(G463*('normal case'!T464/100))/'normal case'!D464-E462)&lt;0.00001,E462,D463-(G463*('normal case'!T464/100))/'normal case'!D464)</f>
        <v>13751.11379233445</v>
      </c>
      <c r="F463" s="110">
        <f ca="1">F462*(1+'normal case'!L463/100)</f>
        <v>9039.3124685868861</v>
      </c>
      <c r="G463" s="108">
        <f ca="1">C463-A463+G462*(1+'normal case'!T463/100)</f>
        <v>-39681780.16199974</v>
      </c>
      <c r="H463" s="109">
        <f ca="1">IF(ABS(G463/'normal case'!D464-H462)&lt;0.0000001,H462,G463/'normal case'!D464)</f>
        <v>-392888.91226318548</v>
      </c>
    </row>
    <row r="464" spans="1:8">
      <c r="A464" s="108">
        <f ca="1">('main page'!$U$31/100)*'normal case'!D465</f>
        <v>20.200000011920931</v>
      </c>
      <c r="B464" s="109"/>
      <c r="C464" s="108">
        <f ca="1">'normal case'!AN465-'normal case'!AN464+IF(controls!$B$33=1,(1+(('main page'!$K$35/100)))*C463,'public finance'!C463)</f>
        <v>20</v>
      </c>
      <c r="D464" s="109">
        <f ca="1">IF(ABS(((A464-C464)/'normal case'!D465)-D463)&lt;0.0000001,D463,(A464-C464)/'normal case'!D465)</f>
        <v>1.9802129779314939E-3</v>
      </c>
      <c r="E464" s="109">
        <f ca="1">IF(ABS(D464-(G464*('normal case'!T465/100))/'normal case'!D465-E463)&lt;0.00001,E463,D464-(G464*('normal case'!T465/100))/'normal case'!D465)</f>
        <v>14232.402770967483</v>
      </c>
      <c r="F464" s="110">
        <f ca="1">F463*(1+'normal case'!L464/100)</f>
        <v>9220.098707182924</v>
      </c>
      <c r="G464" s="108">
        <f ca="1">C464-A464+G463*(1+'normal case'!T464/100)</f>
        <v>-41070642.655843645</v>
      </c>
      <c r="H464" s="109">
        <f ca="1">IF(ABS(G464/'normal case'!D465-H463)&lt;0.0000001,H463,G464/'normal case'!D465)</f>
        <v>-406640.02605550503</v>
      </c>
    </row>
    <row r="465" spans="1:8">
      <c r="A465" s="108">
        <f ca="1">('main page'!$U$31/100)*'normal case'!D466</f>
        <v>20.200000011920931</v>
      </c>
      <c r="B465" s="109"/>
      <c r="C465" s="108">
        <f ca="1">'normal case'!AN466-'normal case'!AN465+IF(controls!$B$33=1,(1+(('main page'!$K$35/100)))*C464,'public finance'!C464)</f>
        <v>20</v>
      </c>
      <c r="D465" s="109">
        <f ca="1">IF(ABS(((A465-C465)/'normal case'!D466)-D464)&lt;0.0000001,D464,(A465-C465)/'normal case'!D466)</f>
        <v>1.9802129779314939E-3</v>
      </c>
      <c r="E465" s="109">
        <f ca="1">IF(ABS(D465-(G465*('normal case'!T466/100))/'normal case'!D466-E464)&lt;0.00001,E464,D465-(G465*('normal case'!T466/100))/'normal case'!D466)</f>
        <v>14730.53686370924</v>
      </c>
      <c r="F465" s="110">
        <f ca="1">F464*(1+'normal case'!L465/100)</f>
        <v>9404.5006703353683</v>
      </c>
      <c r="G465" s="108">
        <f ca="1">C465-A465+G464*(1+'normal case'!T465/100)</f>
        <v>-42508115.336558178</v>
      </c>
      <c r="H465" s="109">
        <f ca="1">IF(ABS(G465/'normal case'!D466-H464)&lt;0.0000001,H464,G465/'normal case'!D466)</f>
        <v>-420872.4288264577</v>
      </c>
    </row>
    <row r="466" spans="1:8">
      <c r="A466" s="108">
        <f ca="1">('main page'!$U$31/100)*'normal case'!D467</f>
        <v>20.200000011920931</v>
      </c>
      <c r="B466" s="109"/>
      <c r="C466" s="108">
        <f ca="1">'normal case'!AN467-'normal case'!AN466+IF(controls!$B$33=1,(1+(('main page'!$K$35/100)))*C465,'public finance'!C465)</f>
        <v>20</v>
      </c>
      <c r="D466" s="109">
        <f ca="1">IF(ABS(((A466-C466)/'normal case'!D467)-D465)&lt;0.0000001,D465,(A466-C466)/'normal case'!D467)</f>
        <v>1.9802129779314939E-3</v>
      </c>
      <c r="E466" s="109">
        <f ca="1">IF(ABS(D466-(G466*('normal case'!T467/100))/'normal case'!D467-E465)&lt;0.00001,E465,D466-(G466*('normal case'!T467/100))/'normal case'!D467)</f>
        <v>15246.105649548499</v>
      </c>
      <c r="F466" s="110">
        <f ca="1">F465*(1+'normal case'!L466/100)</f>
        <v>9592.5906725310379</v>
      </c>
      <c r="G466" s="108">
        <f ca="1">C466-A466+G465*(1+'normal case'!T466/100)</f>
        <v>-43995899.560669318</v>
      </c>
      <c r="H466" s="109">
        <f ca="1">IF(ABS(G466/'normal case'!D467-H465)&lt;0.0000001,H465,G466/'normal case'!D467)</f>
        <v>-435602.96569015208</v>
      </c>
    </row>
    <row r="467" spans="1:8">
      <c r="A467" s="108">
        <f ca="1">('main page'!$U$31/100)*'normal case'!D468</f>
        <v>20.200000011920931</v>
      </c>
      <c r="B467" s="109"/>
      <c r="C467" s="108">
        <f ca="1">'normal case'!AN468-'normal case'!AN467+IF(controls!$B$33=1,(1+(('main page'!$K$35/100)))*C466,'public finance'!C466)</f>
        <v>20</v>
      </c>
      <c r="D467" s="109">
        <f ca="1">IF(ABS(((A467-C467)/'normal case'!D468)-D466)&lt;0.0000001,D466,(A467-C467)/'normal case'!D468)</f>
        <v>1.9802129779314939E-3</v>
      </c>
      <c r="E467" s="109">
        <f ca="1">IF(ABS(D467-(G467*('normal case'!T468/100))/'normal case'!D468-E466)&lt;0.00001,E466,D467-(G467*('normal case'!T468/100))/'normal case'!D468)</f>
        <v>15779.719342738485</v>
      </c>
      <c r="F467" s="110">
        <f ca="1">F466*(1+'normal case'!L467/100)</f>
        <v>9784.4424745464003</v>
      </c>
      <c r="G467" s="108">
        <f ca="1">C467-A467+G466*(1+'normal case'!T467/100)</f>
        <v>-45535756.232180953</v>
      </c>
      <c r="H467" s="109">
        <f ca="1">IF(ABS(G467/'normal case'!D468-H466)&lt;0.0000001,H466,G467/'normal case'!D468)</f>
        <v>-450849.0713396857</v>
      </c>
    </row>
    <row r="468" spans="1:8">
      <c r="A468" s="108">
        <f ca="1">('main page'!$U$31/100)*'normal case'!D469</f>
        <v>20.200000011920931</v>
      </c>
      <c r="B468" s="109"/>
      <c r="C468" s="108">
        <f ca="1">'normal case'!AN469-'normal case'!AN468+IF(controls!$B$33=1,(1+(('main page'!$K$35/100)))*C467,'public finance'!C467)</f>
        <v>20</v>
      </c>
      <c r="D468" s="109">
        <f ca="1">IF(ABS(((A468-C468)/'normal case'!D469)-D467)&lt;0.0000001,D467,(A468-C468)/'normal case'!D469)</f>
        <v>1.9802129779314939E-3</v>
      </c>
      <c r="E468" s="109">
        <f ca="1">IF(ABS(D468-(G468*('normal case'!T469/100))/'normal case'!D469-E467)&lt;0.00001,E467,D468-(G468*('normal case'!T469/100))/'normal case'!D469)</f>
        <v>16332.009515031088</v>
      </c>
      <c r="F468" s="110">
        <f ca="1">F467*(1+'normal case'!L468/100)</f>
        <v>9980.1313123733635</v>
      </c>
      <c r="G468" s="108">
        <f ca="1">C468-A468+G467*(1+'normal case'!T468/100)</f>
        <v>-47129507.886736587</v>
      </c>
      <c r="H468" s="109">
        <f ca="1">IF(ABS(G468/'normal case'!D469-H467)&lt;0.0000001,H467,G468/'normal case'!D469)</f>
        <v>-466628.79068240937</v>
      </c>
    </row>
    <row r="469" spans="1:8">
      <c r="A469" s="108">
        <f ca="1">('main page'!$U$31/100)*'normal case'!D470</f>
        <v>20.200000011920931</v>
      </c>
      <c r="B469" s="109"/>
      <c r="C469" s="108">
        <f ca="1">'normal case'!AN470-'normal case'!AN469+IF(controls!$B$33=1,(1+(('main page'!$K$35/100)))*C468,'public finance'!C468)</f>
        <v>20</v>
      </c>
      <c r="D469" s="109">
        <f ca="1">IF(ABS(((A469-C469)/'normal case'!D470)-D468)&lt;0.0000001,D468,(A469-C469)/'normal case'!D470)</f>
        <v>1.9802129779314939E-3</v>
      </c>
      <c r="E469" s="109">
        <f ca="1">IF(ABS(D469-(G469*('normal case'!T470/100))/'normal case'!D470-E468)&lt;0.00001,E468,D469-(G469*('normal case'!T470/100))/'normal case'!D470)</f>
        <v>16903.629843189341</v>
      </c>
      <c r="F469" s="110">
        <f ca="1">F468*(1+'normal case'!L469/100)</f>
        <v>10179.733926723588</v>
      </c>
      <c r="G469" s="108">
        <f ca="1">C469-A469+G468*(1+'normal case'!T469/100)</f>
        <v>-48779040.84872669</v>
      </c>
      <c r="H469" s="109">
        <f ca="1">IF(ABS(G469/'normal case'!D470-H468)&lt;0.0000001,H468,G469/'normal case'!D470)</f>
        <v>-482960.80019742559</v>
      </c>
    </row>
    <row r="470" spans="1:8">
      <c r="A470" s="108">
        <f ca="1">('main page'!$U$31/100)*'normal case'!D471</f>
        <v>20.200000011920931</v>
      </c>
      <c r="B470" s="109"/>
      <c r="C470" s="108">
        <f ca="1">'normal case'!AN471-'normal case'!AN470+IF(controls!$B$33=1,(1+(('main page'!$K$35/100)))*C469,'public finance'!C469)</f>
        <v>20</v>
      </c>
      <c r="D470" s="109">
        <f ca="1">IF(ABS(((A470-C470)/'normal case'!D471)-D469)&lt;0.0000001,D469,(A470-C470)/'normal case'!D471)</f>
        <v>1.9802129779314939E-3</v>
      </c>
      <c r="E470" s="109">
        <f ca="1">IF(ABS(D470-(G470*('normal case'!T471/100))/'normal case'!D471-E469)&lt;0.00001,E469,D470-(G470*('normal case'!T471/100))/'normal case'!D471)</f>
        <v>17495.256882662772</v>
      </c>
      <c r="F470" s="110">
        <f ca="1">F469*(1+'normal case'!L470/100)</f>
        <v>10383.328593122871</v>
      </c>
      <c r="G470" s="108">
        <f ca="1">C470-A470+G469*(1+'normal case'!T470/100)</f>
        <v>-50486307.463894844</v>
      </c>
      <c r="H470" s="109">
        <f ca="1">IF(ABS(G470/'normal case'!D471-H469)&lt;0.0000001,H469,G470/'normal case'!D471)</f>
        <v>-499864.43004060001</v>
      </c>
    </row>
    <row r="471" spans="1:8">
      <c r="A471" s="108">
        <f ca="1">('main page'!$U$31/100)*'normal case'!D472</f>
        <v>20.200000011920931</v>
      </c>
      <c r="B471" s="109"/>
      <c r="C471" s="108">
        <f ca="1">'normal case'!AN472-'normal case'!AN471+IF(controls!$B$33=1,(1+(('main page'!$K$35/100)))*C470,'public finance'!C470)</f>
        <v>20</v>
      </c>
      <c r="D471" s="109">
        <f ca="1">IF(ABS(((A471-C471)/'normal case'!D472)-D470)&lt;0.0000001,D470,(A471-C471)/'normal case'!D472)</f>
        <v>1.9802129779314939E-3</v>
      </c>
      <c r="E471" s="109">
        <f ca="1">IF(ABS(D471-(G471*('normal case'!T472/100))/'normal case'!D472-E470)&lt;0.00001,E470,D471-(G471*('normal case'!T472/100))/'normal case'!D472)</f>
        <v>18107.590868341456</v>
      </c>
      <c r="F471" s="110">
        <f ca="1">F470*(1+'normal case'!L471/100)</f>
        <v>10590.995152607436</v>
      </c>
      <c r="G471" s="108">
        <f ca="1">C471-A471+G470*(1+'normal case'!T471/100)</f>
        <v>-52253328.410085082</v>
      </c>
      <c r="H471" s="109">
        <f ca="1">IF(ABS(G471/'normal case'!D472-H470)&lt;0.0000001,H470,G471/'normal case'!D472)</f>
        <v>-517359.68692324794</v>
      </c>
    </row>
    <row r="472" spans="1:8">
      <c r="A472" s="108">
        <f ca="1">('main page'!$U$31/100)*'normal case'!D473</f>
        <v>20.200000011920931</v>
      </c>
      <c r="B472" s="109"/>
      <c r="C472" s="108">
        <f ca="1">'normal case'!AN473-'normal case'!AN472+IF(controls!$B$33=1,(1+(('main page'!$K$35/100)))*C471,'public finance'!C471)</f>
        <v>20</v>
      </c>
      <c r="D472" s="109">
        <f ca="1">IF(ABS(((A472-C472)/'normal case'!D473)-D471)&lt;0.0000001,D471,(A472-C472)/'normal case'!D473)</f>
        <v>1.9802129779314939E-3</v>
      </c>
      <c r="E472" s="109">
        <f ca="1">IF(ABS(D472-(G472*('normal case'!T473/100))/'normal case'!D473-E471)&lt;0.00001,E471,D472-(G472*('normal case'!T473/100))/'normal case'!D473)</f>
        <v>18741.356543336406</v>
      </c>
      <c r="F472" s="110">
        <f ca="1">F471*(1+'normal case'!L472/100)</f>
        <v>10802.815043034136</v>
      </c>
      <c r="G472" s="108">
        <f ca="1">C472-A472+G471*(1+'normal case'!T472/100)</f>
        <v>-54082195.088865362</v>
      </c>
      <c r="H472" s="109">
        <f ca="1">IF(ABS(G472/'normal case'!D473-H471)&lt;0.0000001,H471,G472/'normal case'!D473)</f>
        <v>-535467.27779157448</v>
      </c>
    </row>
    <row r="473" spans="1:8">
      <c r="A473" s="108">
        <f ca="1">('main page'!$U$31/100)*'normal case'!D474</f>
        <v>20.200000011920931</v>
      </c>
      <c r="B473" s="109"/>
      <c r="C473" s="108">
        <f ca="1">'normal case'!AN474-'normal case'!AN473+IF(controls!$B$33=1,(1+(('main page'!$K$35/100)))*C472,'public finance'!C472)</f>
        <v>20</v>
      </c>
      <c r="D473" s="109">
        <f ca="1">IF(ABS(((A473-C473)/'normal case'!D474)-D472)&lt;0.0000001,D472,(A473-C473)/'normal case'!D474)</f>
        <v>1.9802129779314939E-3</v>
      </c>
      <c r="E473" s="109">
        <f ca="1">IF(ABS(D473-(G473*('normal case'!T474/100))/'normal case'!D474-E472)&lt;0.00001,E472,D473-(G473*('normal case'!T474/100))/'normal case'!D474)</f>
        <v>19397.304016767299</v>
      </c>
      <c r="F473" s="110">
        <f ca="1">F472*(1+'normal case'!L473/100)</f>
        <v>11018.87133101686</v>
      </c>
      <c r="G473" s="108">
        <f ca="1">C473-A473+G472*(1+'normal case'!T473/100)</f>
        <v>-55975072.100857906</v>
      </c>
      <c r="H473" s="109">
        <f ca="1">IF(ABS(G473/'normal case'!D474-H472)&lt;0.0000001,H472,G473/'normal case'!D474)</f>
        <v>-554208.63433489599</v>
      </c>
    </row>
    <row r="474" spans="1:8">
      <c r="A474" s="108">
        <f ca="1">('main page'!$U$31/100)*'normal case'!D475</f>
        <v>20.200000011920931</v>
      </c>
      <c r="B474" s="109"/>
      <c r="C474" s="108">
        <f ca="1">'normal case'!AN475-'normal case'!AN474+IF(controls!$B$33=1,(1+(('main page'!$K$35/100)))*C473,'public finance'!C473)</f>
        <v>20</v>
      </c>
      <c r="D474" s="109">
        <f ca="1">IF(ABS(((A474-C474)/'normal case'!D475)-D473)&lt;0.0000001,D473,(A474-C474)/'normal case'!D475)</f>
        <v>1.9802129779314939E-3</v>
      </c>
      <c r="E474" s="109">
        <f ca="1">IF(ABS(D474-(G474*('normal case'!T475/100))/'normal case'!D475-E473)&lt;0.00001,E473,D474-(G474*('normal case'!T475/100))/'normal case'!D475)</f>
        <v>20076.209651572786</v>
      </c>
      <c r="F474" s="110">
        <f ca="1">F473*(1+'normal case'!L474/100)</f>
        <v>11239.24874450168</v>
      </c>
      <c r="G474" s="108">
        <f ca="1">C474-A474+G473*(1+'normal case'!T474/100)</f>
        <v>-57934199.807706073</v>
      </c>
      <c r="H474" s="109">
        <f ca="1">IF(ABS(G474/'normal case'!D475-H473)&lt;0.0000001,H473,G474/'normal case'!D475)</f>
        <v>-573605.93835164851</v>
      </c>
    </row>
    <row r="475" spans="1:8">
      <c r="A475" s="108">
        <f ca="1">('main page'!$U$31/100)*'normal case'!D476</f>
        <v>20.200000011920931</v>
      </c>
      <c r="B475" s="109"/>
      <c r="C475" s="108">
        <f ca="1">'normal case'!AN476-'normal case'!AN475+IF(controls!$B$33=1,(1+(('main page'!$K$35/100)))*C474,'public finance'!C474)</f>
        <v>20</v>
      </c>
      <c r="D475" s="109">
        <f ca="1">IF(ABS(((A475-C475)/'normal case'!D476)-D474)&lt;0.0000001,D474,(A475-C475)/'normal case'!D476)</f>
        <v>1.9802129779314939E-3</v>
      </c>
      <c r="E475" s="109">
        <f ca="1">IF(ABS(D475-(G475*('normal case'!T476/100))/'normal case'!D476-E474)&lt;0.00001,E474,D475-(G475*('normal case'!T476/100))/'normal case'!D476)</f>
        <v>20778.876983394137</v>
      </c>
      <c r="F475" s="110">
        <f ca="1">F474*(1+'normal case'!L475/100)</f>
        <v>11464.033705993485</v>
      </c>
      <c r="G475" s="108">
        <f ca="1">C475-A475+G474*(1+'normal case'!T475/100)</f>
        <v>-59961896.983710058</v>
      </c>
      <c r="H475" s="109">
        <f ca="1">IF(ABS(G475/'normal case'!D476-H474)&lt;0.0000001,H474,G475/'normal case'!D476)</f>
        <v>-593682.14800320636</v>
      </c>
    </row>
    <row r="476" spans="1:8">
      <c r="A476" s="108">
        <f ca="1">('main page'!$U$31/100)*'normal case'!D477</f>
        <v>20.200000011920931</v>
      </c>
      <c r="B476" s="109"/>
      <c r="C476" s="108">
        <f ca="1">'normal case'!AN477-'normal case'!AN476+IF(controls!$B$33=1,(1+(('main page'!$K$35/100)))*C475,'public finance'!C475)</f>
        <v>20</v>
      </c>
      <c r="D476" s="109">
        <f ca="1">IF(ABS(((A476-C476)/'normal case'!D477)-D475)&lt;0.0000001,D475,(A476-C476)/'normal case'!D477)</f>
        <v>1.9802129779314939E-3</v>
      </c>
      <c r="E476" s="109">
        <f ca="1">IF(ABS(D476-(G476*('normal case'!T477/100))/'normal case'!D477-E475)&lt;0.00001,E475,D476-(G476*('normal case'!T477/100))/'normal case'!D477)</f>
        <v>21506.137671619825</v>
      </c>
      <c r="F476" s="110">
        <f ca="1">F475*(1+'normal case'!L476/100)</f>
        <v>11693.314366447161</v>
      </c>
      <c r="G476" s="108">
        <f ca="1">C476-A476+G475*(1+'normal case'!T476/100)</f>
        <v>-62060563.560269885</v>
      </c>
      <c r="H476" s="109">
        <f ca="1">IF(ABS(G476/'normal case'!D477-H475)&lt;0.0000001,H475,G476/'normal case'!D477)</f>
        <v>-614461.02498658572</v>
      </c>
    </row>
    <row r="477" spans="1:8">
      <c r="A477" s="108">
        <f ca="1">('main page'!$U$31/100)*'normal case'!D478</f>
        <v>20.200000011920931</v>
      </c>
      <c r="B477" s="109"/>
      <c r="C477" s="108">
        <f ca="1">'normal case'!AN478-'normal case'!AN477+IF(controls!$B$33=1,(1+(('main page'!$K$35/100)))*C476,'public finance'!C476)</f>
        <v>20</v>
      </c>
      <c r="D477" s="109">
        <f ca="1">IF(ABS(((A477-C477)/'normal case'!D478)-D476)&lt;0.0000001,D476,(A477-C477)/'normal case'!D478)</f>
        <v>1.9802129779314939E-3</v>
      </c>
      <c r="E477" s="109">
        <f ca="1">IF(ABS(D477-(G477*('normal case'!T478/100))/'normal case'!D478-E476)&lt;0.00001,E476,D477-(G477*('normal case'!T478/100))/'normal case'!D478)</f>
        <v>22258.85248371667</v>
      </c>
      <c r="F477" s="110">
        <f ca="1">F476*(1+'normal case'!L477/100)</f>
        <v>11927.180639836588</v>
      </c>
      <c r="G477" s="108">
        <f ca="1">C477-A477+G476*(1+'normal case'!T477/100)</f>
        <v>-64232683.466383852</v>
      </c>
      <c r="H477" s="109">
        <f ca="1">IF(ABS(G477/'normal case'!D478-H476)&lt;0.0000001,H476,G477/'normal case'!D478)</f>
        <v>-635967.1626581907</v>
      </c>
    </row>
    <row r="478" spans="1:8">
      <c r="A478" s="108">
        <f ca="1">('main page'!$U$31/100)*'normal case'!D479</f>
        <v>20.200000011920931</v>
      </c>
      <c r="B478" s="109"/>
      <c r="C478" s="108">
        <f ca="1">'normal case'!AN479-'normal case'!AN478+IF(controls!$B$33=1,(1+(('main page'!$K$35/100)))*C477,'public finance'!C477)</f>
        <v>20</v>
      </c>
      <c r="D478" s="109">
        <f ca="1">IF(ABS(((A478-C478)/'normal case'!D479)-D477)&lt;0.0000001,D477,(A478-C478)/'normal case'!D479)</f>
        <v>1.9802129779314939E-3</v>
      </c>
      <c r="E478" s="109">
        <f ca="1">IF(ABS(D478-(G478*('normal case'!T479/100))/'normal case'!D479-E477)&lt;0.00001,E477,D478-(G478*('normal case'!T479/100))/'normal case'!D479)</f>
        <v>23037.912314012581</v>
      </c>
      <c r="F478" s="110">
        <f ca="1">F477*(1+'normal case'!L478/100)</f>
        <v>12165.724238415012</v>
      </c>
      <c r="G478" s="108">
        <f ca="1">C478-A478+G477*(1+'normal case'!T478/100)</f>
        <v>-66480827.568564467</v>
      </c>
      <c r="H478" s="109">
        <f ca="1">IF(ABS(G478/'normal case'!D479-H477)&lt;0.0000001,H477,G478/'normal case'!D479)</f>
        <v>-658226.01514189248</v>
      </c>
    </row>
    <row r="479" spans="1:8">
      <c r="A479" s="108">
        <f ca="1">('main page'!$U$31/100)*'normal case'!D480</f>
        <v>20.200000011920931</v>
      </c>
      <c r="B479" s="109"/>
      <c r="C479" s="108">
        <f ca="1">'normal case'!AN480-'normal case'!AN479+IF(controls!$B$33=1,(1+(('main page'!$K$35/100)))*C478,'public finance'!C478)</f>
        <v>20</v>
      </c>
      <c r="D479" s="109">
        <f ca="1">IF(ABS(((A479-C479)/'normal case'!D480)-D478)&lt;0.0000001,D478,(A479-C479)/'normal case'!D480)</f>
        <v>1.9802129779314939E-3</v>
      </c>
      <c r="E479" s="109">
        <f ca="1">IF(ABS(D479-(G479*('normal case'!T480/100))/'normal case'!D480-E478)&lt;0.00001,E478,D479-(G479*('normal case'!T480/100))/'normal case'!D480)</f>
        <v>23844.239238136663</v>
      </c>
      <c r="F479" s="110">
        <f ca="1">F478*(1+'normal case'!L479/100)</f>
        <v>12409.03870868064</v>
      </c>
      <c r="G479" s="108">
        <f ca="1">C479-A479+G478*(1+'normal case'!T479/100)</f>
        <v>-68807656.713651404</v>
      </c>
      <c r="H479" s="109">
        <f ca="1">IF(ABS(G479/'normal case'!D480-H478)&lt;0.0000001,H478,G479/'normal case'!D480)</f>
        <v>-681263.92745589023</v>
      </c>
    </row>
    <row r="480" spans="1:8">
      <c r="A480" s="108">
        <f ca="1">('main page'!$U$31/100)*'normal case'!D481</f>
        <v>20.200000011920931</v>
      </c>
      <c r="B480" s="109"/>
      <c r="C480" s="108">
        <f ca="1">'normal case'!AN481-'normal case'!AN480+IF(controls!$B$33=1,(1+(('main page'!$K$35/100)))*C479,'public finance'!C479)</f>
        <v>20</v>
      </c>
      <c r="D480" s="109">
        <f ca="1">IF(ABS(((A480-C480)/'normal case'!D481)-D479)&lt;0.0000001,D479,(A480-C480)/'normal case'!D481)</f>
        <v>1.9802129779314939E-3</v>
      </c>
      <c r="E480" s="109">
        <f ca="1">IF(ABS(D480-(G480*('normal case'!T481/100))/'normal case'!D481-E479)&lt;0.00001,E479,D480-(G480*('normal case'!T481/100))/'normal case'!D481)</f>
        <v>24678.787604364796</v>
      </c>
      <c r="F480" s="110">
        <f ca="1">F479*(1+'normal case'!L480/100)</f>
        <v>12657.219468061527</v>
      </c>
      <c r="G480" s="108">
        <f ca="1">C480-A480+G479*(1+'normal case'!T480/100)</f>
        <v>-71215924.878122941</v>
      </c>
      <c r="H480" s="109">
        <f ca="1">IF(ABS(G480/'normal case'!D481-H479)&lt;0.0000001,H479,G480/'normal case'!D481)</f>
        <v>-705108.16669401212</v>
      </c>
    </row>
    <row r="481" spans="1:8">
      <c r="A481" s="108">
        <f ca="1">('main page'!$U$31/100)*'normal case'!D482</f>
        <v>20.200000011920931</v>
      </c>
      <c r="B481" s="109"/>
      <c r="C481" s="108">
        <f ca="1">'normal case'!AN482-'normal case'!AN481+IF(controls!$B$33=1,(1+(('main page'!$K$35/100)))*C480,'public finance'!C480)</f>
        <v>20</v>
      </c>
      <c r="D481" s="109">
        <f ca="1">IF(ABS(((A481-C481)/'normal case'!D482)-D480)&lt;0.0000001,D480,(A481-C481)/'normal case'!D482)</f>
        <v>1.9802129779314939E-3</v>
      </c>
      <c r="E481" s="109">
        <f ca="1">IF(ABS(D481-(G481*('normal case'!T482/100))/'normal case'!D482-E480)&lt;0.00001,E480,D481-(G481*('normal case'!T482/100))/'normal case'!D482)</f>
        <v>25542.545163162191</v>
      </c>
      <c r="F481" s="110">
        <f ca="1">F480*(1+'normal case'!L481/100)</f>
        <v>12910.363842334176</v>
      </c>
      <c r="G481" s="108">
        <f ca="1">C481-A481+G480*(1+'normal case'!T481/100)</f>
        <v>-73708482.427633256</v>
      </c>
      <c r="H481" s="109">
        <f ca="1">IF(ABS(G481/'normal case'!D482-H480)&lt;0.0000001,H480,G481/'normal case'!D482)</f>
        <v>-729786.95429836202</v>
      </c>
    </row>
    <row r="482" spans="1:8">
      <c r="A482" s="108">
        <f ca="1">('main page'!$U$31/100)*'normal case'!D483</f>
        <v>20.200000011920931</v>
      </c>
      <c r="B482" s="109"/>
      <c r="C482" s="108">
        <f ca="1">'normal case'!AN483-'normal case'!AN482+IF(controls!$B$33=1,(1+(('main page'!$K$35/100)))*C481,'public finance'!C481)</f>
        <v>20</v>
      </c>
      <c r="D482" s="109">
        <f ca="1">IF(ABS(((A482-C482)/'normal case'!D483)-D481)&lt;0.0000001,D481,(A482-C482)/'normal case'!D483)</f>
        <v>1.9802129779314939E-3</v>
      </c>
      <c r="E482" s="109">
        <f ca="1">IF(ABS(D482-(G482*('normal case'!T483/100))/'normal case'!D483-E481)&lt;0.00001,E481,D482-(G482*('normal case'!T483/100))/'normal case'!D483)</f>
        <v>26436.534236260079</v>
      </c>
      <c r="F482" s="110">
        <f ca="1">F481*(1+'normal case'!L482/100)</f>
        <v>13168.571103790508</v>
      </c>
      <c r="G482" s="108">
        <f ca="1">C482-A482+G481*(1+'normal case'!T482/100)</f>
        <v>-76288279.490633592</v>
      </c>
      <c r="H482" s="109">
        <f ca="1">IF(ABS(G482/'normal case'!D483-H481)&lt;0.0000001,H481,G482/'normal case'!D483)</f>
        <v>-755329.4994615094</v>
      </c>
    </row>
    <row r="483" spans="1:8">
      <c r="A483" s="108">
        <f ca="1">('main page'!$U$31/100)*'normal case'!D484</f>
        <v>20.200000011920931</v>
      </c>
      <c r="B483" s="109"/>
      <c r="C483" s="108">
        <f ca="1">'normal case'!AN484-'normal case'!AN483+IF(controls!$B$33=1,(1+(('main page'!$K$35/100)))*C482,'public finance'!C482)</f>
        <v>20</v>
      </c>
      <c r="D483" s="109">
        <f ca="1">IF(ABS(((A483-C483)/'normal case'!D484)-D482)&lt;0.0000001,D482,(A483-C483)/'normal case'!D484)</f>
        <v>1.9802129779314939E-3</v>
      </c>
      <c r="E483" s="109">
        <f ca="1">IF(ABS(D483-(G483*('normal case'!T484/100))/'normal case'!D484-E482)&lt;0.00001,E482,D483-(G483*('normal case'!T484/100))/'normal case'!D484)</f>
        <v>27361.812926649956</v>
      </c>
      <c r="F483" s="110">
        <f ca="1">F482*(1+'normal case'!L483/100)</f>
        <v>13431.942510168159</v>
      </c>
      <c r="G483" s="108">
        <f ca="1">C483-A483+G482*(1+'normal case'!T483/100)</f>
        <v>-78958369.450070098</v>
      </c>
      <c r="H483" s="109">
        <f ca="1">IF(ABS(G483/'normal case'!D484-H482)&lt;0.0000001,H482,G483/'normal case'!D484)</f>
        <v>-781766.03369775461</v>
      </c>
    </row>
    <row r="484" spans="1:8">
      <c r="A484" s="108">
        <f ca="1">('main page'!$U$31/100)*'normal case'!D485</f>
        <v>20.200000011920931</v>
      </c>
      <c r="B484" s="109"/>
      <c r="C484" s="108">
        <f ca="1">'normal case'!AN485-'normal case'!AN484+IF(controls!$B$33=1,(1+(('main page'!$K$35/100)))*C483,'public finance'!C483)</f>
        <v>20</v>
      </c>
      <c r="D484" s="109">
        <f ca="1">IF(ABS(((A484-C484)/'normal case'!D485)-D483)&lt;0.0000001,D483,(A484-C484)/'normal case'!D485)</f>
        <v>1.9802129779314939E-3</v>
      </c>
      <c r="E484" s="109">
        <f ca="1">IF(ABS(D484-(G484*('normal case'!T485/100))/'normal case'!D485-E483)&lt;0.00001,E483,D484-(G484*('normal case'!T485/100))/'normal case'!D485)</f>
        <v>28319.476370927732</v>
      </c>
      <c r="F484" s="110">
        <f ca="1">F483*(1+'normal case'!L484/100)</f>
        <v>13700.5813443594</v>
      </c>
      <c r="G484" s="108">
        <f ca="1">C484-A484+G483*(1+'normal case'!T484/100)</f>
        <v>-81721912.557291135</v>
      </c>
      <c r="H484" s="109">
        <f ca="1">IF(ABS(G484/'normal case'!D485-H483)&lt;0.0000001,H483,G484/'normal case'!D485)</f>
        <v>-809127.84662438964</v>
      </c>
    </row>
    <row r="485" spans="1:8">
      <c r="A485" s="108">
        <f ca="1">('main page'!$U$31/100)*'normal case'!D486</f>
        <v>20.200000011920931</v>
      </c>
      <c r="B485" s="109"/>
      <c r="C485" s="108">
        <f ca="1">'normal case'!AN486-'normal case'!AN485+IF(controls!$B$33=1,(1+(('main page'!$K$35/100)))*C484,'public finance'!C484)</f>
        <v>20</v>
      </c>
      <c r="D485" s="109">
        <f ca="1">IF(ABS(((A485-C485)/'normal case'!D486)-D484)&lt;0.0000001,D484,(A485-C485)/'normal case'!D486)</f>
        <v>1.9802129779314939E-3</v>
      </c>
      <c r="E485" s="109">
        <f ca="1">IF(ABS(D485-(G485*('normal case'!T486/100))/'normal case'!D486-E484)&lt;0.00001,E484,D485-(G485*('normal case'!T486/100))/'normal case'!D486)</f>
        <v>29310.658035469824</v>
      </c>
      <c r="F485" s="110">
        <f ca="1">F484*(1+'normal case'!L485/100)</f>
        <v>13974.592954914222</v>
      </c>
      <c r="G485" s="108">
        <f ca="1">C485-A485+G484*(1+'normal case'!T485/100)</f>
        <v>-84582179.672441319</v>
      </c>
      <c r="H485" s="109">
        <f ca="1">IF(ABS(G485/'normal case'!D486-H484)&lt;0.0000001,H484,G485/'normal case'!D486)</f>
        <v>-837447.32299530262</v>
      </c>
    </row>
    <row r="486" spans="1:8">
      <c r="A486" s="108">
        <f ca="1">('main page'!$U$31/100)*'normal case'!D487</f>
        <v>20.200000011920931</v>
      </c>
      <c r="B486" s="109"/>
      <c r="C486" s="108">
        <f ca="1">'normal case'!AN487-'normal case'!AN486+IF(controls!$B$33=1,(1+(('main page'!$K$35/100)))*C485,'public finance'!C485)</f>
        <v>20</v>
      </c>
      <c r="D486" s="109">
        <f ca="1">IF(ABS(((A486-C486)/'normal case'!D487)-D485)&lt;0.0000001,D485,(A486-C486)/'normal case'!D487)</f>
        <v>1.9802129779314939E-3</v>
      </c>
      <c r="E486" s="109">
        <f ca="1">IF(ABS(D486-(G486*('normal case'!T487/100))/'normal case'!D487-E485)&lt;0.00001,E485,D486-(G486*('normal case'!T487/100))/'normal case'!D487)</f>
        <v>30336.531057975491</v>
      </c>
      <c r="F486" s="110">
        <f ca="1">F485*(1+'normal case'!L486/100)</f>
        <v>14254.084797353495</v>
      </c>
      <c r="G486" s="108">
        <f ca="1">C486-A486+G485*(1+'normal case'!T486/100)</f>
        <v>-87542556.135769323</v>
      </c>
      <c r="H486" s="109">
        <f ca="1">IF(ABS(G486/'normal case'!D487-H485)&lt;0.0000001,H485,G486/'normal case'!D487)</f>
        <v>-866757.98103075766</v>
      </c>
    </row>
    <row r="487" spans="1:8">
      <c r="A487" s="108">
        <f ca="1">('main page'!$U$31/100)*'normal case'!D488</f>
        <v>20.200000011920931</v>
      </c>
      <c r="B487" s="109"/>
      <c r="C487" s="108">
        <f ca="1">'normal case'!AN488-'normal case'!AN487+IF(controls!$B$33=1,(1+(('main page'!$K$35/100)))*C486,'public finance'!C486)</f>
        <v>20</v>
      </c>
      <c r="D487" s="109">
        <f ca="1">IF(ABS(((A487-C487)/'normal case'!D488)-D486)&lt;0.0000001,D486,(A487-C487)/'normal case'!D488)</f>
        <v>1.9802129779314939E-3</v>
      </c>
      <c r="E487" s="109">
        <f ca="1">IF(ABS(D487-(G487*('normal case'!T488/100))/'normal case'!D488-E486)&lt;0.00001,E486,D487-(G487*('normal case'!T488/100))/'normal case'!D488)</f>
        <v>31398.309635963127</v>
      </c>
      <c r="F487" s="110">
        <f ca="1">F486*(1+'normal case'!L487/100)</f>
        <v>14539.166476308372</v>
      </c>
      <c r="G487" s="108">
        <f ca="1">C487-A487+G486*(1+'normal case'!T487/100)</f>
        <v>-90606545.774431556</v>
      </c>
      <c r="H487" s="109">
        <f ca="1">IF(ABS(G487/'normal case'!D488-H486)&lt;0.0000001,H486,G487/'normal case'!D488)</f>
        <v>-897094.51208871836</v>
      </c>
    </row>
    <row r="488" spans="1:8">
      <c r="A488" s="108">
        <f ca="1">('main page'!$U$31/100)*'normal case'!D489</f>
        <v>20.200000011920931</v>
      </c>
      <c r="B488" s="109"/>
      <c r="C488" s="108">
        <f ca="1">'normal case'!AN489-'normal case'!AN488+IF(controls!$B$33=1,(1+(('main page'!$K$35/100)))*C487,'public finance'!C487)</f>
        <v>20</v>
      </c>
      <c r="D488" s="109">
        <f ca="1">IF(ABS(((A488-C488)/'normal case'!D489)-D487)&lt;0.0000001,D487,(A488-C488)/'normal case'!D489)</f>
        <v>1.9802129779314939E-3</v>
      </c>
      <c r="E488" s="109">
        <f ca="1">IF(ABS(D488-(G488*('normal case'!T489/100))/'normal case'!D489-E487)&lt;0.00001,E487,D488-(G488*('normal case'!T489/100))/'normal case'!D489)</f>
        <v>32497.250463863897</v>
      </c>
      <c r="F488" s="110">
        <f ca="1">F487*(1+'normal case'!L488/100)</f>
        <v>14829.949788502503</v>
      </c>
      <c r="G488" s="108">
        <f ca="1">C488-A488+G487*(1+'normal case'!T488/100)</f>
        <v>-93777775.049533829</v>
      </c>
      <c r="H488" s="109">
        <f ca="1">IF(ABS(G488/'normal case'!D489-H487)&lt;0.0000001,H487,G488/'normal case'!D489)</f>
        <v>-928492.82172466675</v>
      </c>
    </row>
    <row r="489" spans="1:8">
      <c r="A489" s="108">
        <f ca="1">('main page'!$U$31/100)*'normal case'!D490</f>
        <v>20.200000011920931</v>
      </c>
      <c r="B489" s="109"/>
      <c r="C489" s="108">
        <f ca="1">'normal case'!AN490-'normal case'!AN489+IF(controls!$B$33=1,(1+(('main page'!$K$35/100)))*C488,'public finance'!C488)</f>
        <v>20</v>
      </c>
      <c r="D489" s="109">
        <f ca="1">IF(ABS(((A489-C489)/'normal case'!D490)-D488)&lt;0.0000001,D488,(A489-C489)/'normal case'!D490)</f>
        <v>1.9802129779314939E-3</v>
      </c>
      <c r="E489" s="109">
        <f ca="1">IF(ABS(D489-(G489*('normal case'!T490/100))/'normal case'!D490-E488)&lt;0.00001,E488,D489-(G489*('normal case'!T490/100))/'normal case'!D490)</f>
        <v>33634.654220413671</v>
      </c>
      <c r="F489" s="110">
        <f ca="1">F488*(1+'normal case'!L489/100)</f>
        <v>15126.548766593876</v>
      </c>
      <c r="G489" s="108">
        <f ca="1">C489-A489+G488*(1+'normal case'!T489/100)</f>
        <v>-97059997.348319575</v>
      </c>
      <c r="H489" s="109">
        <f ca="1">IF(ABS(G489/'normal case'!D490-H488)&lt;0.0000001,H488,G489/'normal case'!D490)</f>
        <v>-960990.07218851591</v>
      </c>
    </row>
    <row r="490" spans="1:8">
      <c r="A490" s="108">
        <f ca="1">('main page'!$U$31/100)*'normal case'!D491</f>
        <v>20.200000011920931</v>
      </c>
      <c r="B490" s="109"/>
      <c r="C490" s="108">
        <f ca="1">'normal case'!AN491-'normal case'!AN490+IF(controls!$B$33=1,(1+(('main page'!$K$35/100)))*C489,'public finance'!C489)</f>
        <v>20</v>
      </c>
      <c r="D490" s="109">
        <f ca="1">IF(ABS(((A490-C490)/'normal case'!D491)-D489)&lt;0.0000001,D489,(A490-C490)/'normal case'!D491)</f>
        <v>1.9802129779314939E-3</v>
      </c>
      <c r="E490" s="109">
        <f ca="1">IF(ABS(D490-(G490*('normal case'!T491/100))/'normal case'!D491-E489)&lt;0.00001,E489,D490-(G490*('normal case'!T491/100))/'normal case'!D491)</f>
        <v>34811.867108103732</v>
      </c>
      <c r="F490" s="110">
        <f ca="1">F489*(1+'normal case'!L490/100)</f>
        <v>15429.079723893503</v>
      </c>
      <c r="G490" s="108">
        <f ca="1">C490-A490+G489*(1+'normal case'!T490/100)</f>
        <v>-100457097.42658465</v>
      </c>
      <c r="H490" s="109">
        <f ca="1">IF(ABS(G490/'normal case'!D491-H489)&lt;0.0000001,H489,G490/'normal case'!D491)</f>
        <v>-994624.72640891478</v>
      </c>
    </row>
    <row r="491" spans="1:8">
      <c r="A491" s="108">
        <f ca="1">('main page'!$U$31/100)*'normal case'!D492</f>
        <v>20.200000011920931</v>
      </c>
      <c r="B491" s="109"/>
      <c r="C491" s="108">
        <f ca="1">'normal case'!AN492-'normal case'!AN491+IF(controls!$B$33=1,(1+(('main page'!$K$35/100)))*C490,'public finance'!C490)</f>
        <v>20</v>
      </c>
      <c r="D491" s="109">
        <f ca="1">IF(ABS(((A491-C491)/'normal case'!D492)-D490)&lt;0.0000001,D490,(A491-C491)/'normal case'!D492)</f>
        <v>1.9802129779314939E-3</v>
      </c>
      <c r="E491" s="109">
        <f ca="1">IF(ABS(D491-(G491*('normal case'!T492/100))/'normal case'!D492-E490)&lt;0.00001,E490,D491-(G491*('normal case'!T492/100))/'normal case'!D492)</f>
        <v>36030.282446512094</v>
      </c>
      <c r="F491" s="110">
        <f ca="1">F490*(1+'normal case'!L491/100)</f>
        <v>15737.661299978477</v>
      </c>
      <c r="G491" s="108">
        <f ca="1">C491-A491+G490*(1+'normal case'!T491/100)</f>
        <v>-103973096.00657658</v>
      </c>
      <c r="H491" s="109">
        <f ca="1">IF(ABS(G491/'normal case'!D492-H490)&lt;0.0000001,H490,G491/'normal case'!D492)</f>
        <v>-1029436.5935170038</v>
      </c>
    </row>
    <row r="492" spans="1:8">
      <c r="A492" s="108">
        <f ca="1">('main page'!$U$31/100)*'normal case'!D493</f>
        <v>20.200000011920931</v>
      </c>
      <c r="B492" s="109"/>
      <c r="C492" s="108">
        <f ca="1">'normal case'!AN493-'normal case'!AN492+IF(controls!$B$33=1,(1+(('main page'!$K$35/100)))*C491,'public finance'!C491)</f>
        <v>20</v>
      </c>
      <c r="D492" s="109">
        <f ca="1">IF(ABS(((A492-C492)/'normal case'!D493)-D491)&lt;0.0000001,D491,(A492-C492)/'normal case'!D493)</f>
        <v>1.9802129779314939E-3</v>
      </c>
      <c r="E492" s="109">
        <f ca="1">IF(ABS(D492-(G492*('normal case'!T493/100))/'normal case'!D493-E491)&lt;0.00001,E491,D492-(G492*('normal case'!T493/100))/'normal case'!D493)</f>
        <v>37291.342321401644</v>
      </c>
      <c r="F492" s="110">
        <f ca="1">F491*(1+'normal case'!L492/100)</f>
        <v>16052.414507217294</v>
      </c>
      <c r="G492" s="108">
        <f ca="1">C492-A492+G491*(1+'normal case'!T492/100)</f>
        <v>-107612154.53582038</v>
      </c>
      <c r="H492" s="109">
        <f ca="1">IF(ABS(G492/'normal case'!D493-H491)&lt;0.0000001,H491,G492/'normal case'!D493)</f>
        <v>-1065466.8759635009</v>
      </c>
    </row>
    <row r="493" spans="1:8">
      <c r="A493" s="108">
        <f ca="1">('main page'!$U$31/100)*'normal case'!D494</f>
        <v>20.200000011920931</v>
      </c>
      <c r="B493" s="109"/>
      <c r="C493" s="108">
        <f ca="1">'normal case'!AN494-'normal case'!AN493+IF(controls!$B$33=1,(1+(('main page'!$K$35/100)))*C492,'public finance'!C492)</f>
        <v>20</v>
      </c>
      <c r="D493" s="109">
        <f ca="1">IF(ABS(((A493-C493)/'normal case'!D494)-D492)&lt;0.0000001,D492,(A493-C493)/'normal case'!D494)</f>
        <v>1.9802129779314939E-3</v>
      </c>
      <c r="E493" s="109">
        <f ca="1">IF(ABS(D493-(G493*('normal case'!T494/100))/'normal case'!D494-E492)&lt;0.00001,E492,D493-(G493*('normal case'!T494/100))/'normal case'!D494)</f>
        <v>38596.539291536494</v>
      </c>
      <c r="F493" s="110">
        <f ca="1">F492*(1+'normal case'!L493/100)</f>
        <v>16373.462778225672</v>
      </c>
      <c r="G493" s="108">
        <f ca="1">C493-A493+G492*(1+'normal case'!T493/100)</f>
        <v>-111378580.11250319</v>
      </c>
      <c r="H493" s="109">
        <f ca="1">IF(ABS(G493/'normal case'!D494-H492)&lt;0.0000001,H492,G493/'normal case'!D494)</f>
        <v>-1102758.218284888</v>
      </c>
    </row>
    <row r="494" spans="1:8">
      <c r="A494" s="108">
        <f ca="1">('main page'!$U$31/100)*'normal case'!D495</f>
        <v>20.200000011920931</v>
      </c>
      <c r="B494" s="109"/>
      <c r="C494" s="108">
        <f ca="1">'normal case'!AN495-'normal case'!AN494+IF(controls!$B$33=1,(1+(('main page'!$K$35/100)))*C493,'public finance'!C493)</f>
        <v>20</v>
      </c>
      <c r="D494" s="109">
        <f ca="1">IF(ABS(((A494-C494)/'normal case'!D495)-D493)&lt;0.0000001,D493,(A494-C494)/'normal case'!D495)</f>
        <v>1.9802129779314939E-3</v>
      </c>
      <c r="E494" s="109">
        <f ca="1">IF(ABS(D494-(G494*('normal case'!T495/100))/'normal case'!D495-E493)&lt;0.00001,E493,D494-(G494*('normal case'!T495/100))/'normal case'!D495)</f>
        <v>39947.418155237086</v>
      </c>
      <c r="F494" s="110">
        <f ca="1">F493*(1+'normal case'!L494/100)</f>
        <v>16700.932014271497</v>
      </c>
      <c r="G494" s="108">
        <f ca="1">C494-A494+G493*(1+'normal case'!T494/100)</f>
        <v>-115276830.58324741</v>
      </c>
      <c r="H494" s="109">
        <f ca="1">IF(ABS(G494/'normal case'!D495-H493)&lt;0.0000001,H493,G494/'normal case'!D495)</f>
        <v>-1141354.7575764095</v>
      </c>
    </row>
    <row r="495" spans="1:8">
      <c r="A495" s="108">
        <f ca="1">('main page'!$U$31/100)*'normal case'!D496</f>
        <v>20.200000011920931</v>
      </c>
      <c r="B495" s="109"/>
      <c r="C495" s="108">
        <f ca="1">'normal case'!AN496-'normal case'!AN495+IF(controls!$B$33=1,(1+(('main page'!$K$35/100)))*C494,'public finance'!C494)</f>
        <v>20</v>
      </c>
      <c r="D495" s="109">
        <f ca="1">IF(ABS(((A495-C495)/'normal case'!D496)-D494)&lt;0.0000001,D494,(A495-C495)/'normal case'!D496)</f>
        <v>1.9802129779314939E-3</v>
      </c>
      <c r="E495" s="109">
        <f ca="1">IF(ABS(D495-(G495*('normal case'!T496/100))/'normal case'!D496-E494)&lt;0.00001,E494,D495-(G495*('normal case'!T496/100))/'normal case'!D496)</f>
        <v>41345.577778764615</v>
      </c>
      <c r="F495" s="110">
        <f ca="1">F494*(1+'normal case'!L495/100)</f>
        <v>17034.950634647867</v>
      </c>
      <c r="G495" s="108">
        <f ca="1">C495-A495+G494*(1+'normal case'!T495/100)</f>
        <v>-119311519.81930591</v>
      </c>
      <c r="H495" s="109">
        <f ca="1">IF(ABS(G495/'normal case'!D496-H494)&lt;0.0000001,H494,G495/'normal case'!D496)</f>
        <v>-1181302.1757316319</v>
      </c>
    </row>
    <row r="496" spans="1:8">
      <c r="A496" s="108">
        <f ca="1">('main page'!$U$31/100)*'normal case'!D497</f>
        <v>20.200000011920931</v>
      </c>
      <c r="B496" s="109"/>
      <c r="C496" s="108">
        <f ca="1">'normal case'!AN497-'normal case'!AN496+IF(controls!$B$33=1,(1+(('main page'!$K$35/100)))*C495,'public finance'!C495)</f>
        <v>20</v>
      </c>
      <c r="D496" s="109">
        <f ca="1">IF(ABS(((A496-C496)/'normal case'!D497)-D495)&lt;0.0000001,D495,(A496-C496)/'normal case'!D497)</f>
        <v>1.9802129779314939E-3</v>
      </c>
      <c r="E496" s="109">
        <f ca="1">IF(ABS(D496-(G496*('normal case'!T497/100))/'normal case'!D497-E495)&lt;0.00001,E495,D496-(G496*('normal case'!T497/100))/'normal case'!D497)</f>
        <v>42792.672988698905</v>
      </c>
      <c r="F496" s="110">
        <f ca="1">F495*(1+'normal case'!L496/100)</f>
        <v>17375.649627033581</v>
      </c>
      <c r="G496" s="108">
        <f ca="1">C496-A496+G495*(1+'normal case'!T496/100)</f>
        <v>-123487423.17742403</v>
      </c>
      <c r="H496" s="109">
        <f ca="1">IF(ABS(G496/'normal case'!D497-H495)&lt;0.0000001,H495,G496/'normal case'!D497)</f>
        <v>-1222647.7535103816</v>
      </c>
    </row>
    <row r="497" spans="1:8">
      <c r="A497" s="108">
        <f ca="1">('main page'!$U$31/100)*'normal case'!D498</f>
        <v>20.200000011920931</v>
      </c>
      <c r="B497" s="109"/>
      <c r="C497" s="108">
        <f ca="1">'normal case'!AN498-'normal case'!AN497+IF(controls!$B$33=1,(1+(('main page'!$K$35/100)))*C496,'public finance'!C496)</f>
        <v>20</v>
      </c>
      <c r="D497" s="109">
        <f ca="1">IF(ABS(((A497-C497)/'normal case'!D498)-D496)&lt;0.0000001,D496,(A497-C497)/'normal case'!D498)</f>
        <v>1.9802129779314939E-3</v>
      </c>
      <c r="E497" s="109">
        <f ca="1">IF(ABS(D497-(G497*('normal case'!T498/100))/'normal case'!D498-E496)&lt;0.00001,E496,D497-(G497*('normal case'!T498/100))/'normal case'!D498)</f>
        <v>44290.416530549635</v>
      </c>
      <c r="F497" s="110">
        <f ca="1">F496*(1+'normal case'!L497/100)</f>
        <v>17723.162598860865</v>
      </c>
      <c r="G497" s="108">
        <f ca="1">C497-A497+G496*(1+'normal case'!T497/100)</f>
        <v>-127809483.15183176</v>
      </c>
      <c r="H497" s="109">
        <f ca="1">IF(ABS(G497/'normal case'!D498-H496)&lt;0.0000001,H496,G497/'normal case'!D498)</f>
        <v>-1265440.4264990657</v>
      </c>
    </row>
    <row r="498" spans="1:8">
      <c r="A498" s="108">
        <f ca="1">('main page'!$U$31/100)*'normal case'!D499</f>
        <v>20.200000011920931</v>
      </c>
      <c r="B498" s="109"/>
      <c r="C498" s="108">
        <f ca="1">'normal case'!AN499-'normal case'!AN498+IF(controls!$B$33=1,(1+(('main page'!$K$35/100)))*C497,'public finance'!C497)</f>
        <v>20</v>
      </c>
      <c r="D498" s="109">
        <f ca="1">IF(ABS(((A498-C498)/'normal case'!D499)-D497)&lt;0.0000001,D497,(A498-C498)/'normal case'!D499)</f>
        <v>1.9802129779314939E-3</v>
      </c>
      <c r="E498" s="109">
        <f ca="1">IF(ABS(D498-(G498*('normal case'!T499/100))/'normal case'!D499-E497)&lt;0.00001,E497,D498-(G498*('normal case'!T499/100))/'normal case'!D499)</f>
        <v>45840.581095918787</v>
      </c>
      <c r="F498" s="110">
        <f ca="1">F497*(1+'normal case'!L498/100)</f>
        <v>18077.625829710425</v>
      </c>
      <c r="G498" s="108">
        <f ca="1">C498-A498+G497*(1+'normal case'!T498/100)</f>
        <v>-132282815.22405569</v>
      </c>
      <c r="H498" s="109">
        <f ca="1">IF(ABS(G498/'normal case'!D499-H497)&lt;0.0000001,H497,G498/'normal case'!D499)</f>
        <v>-1309730.8430296006</v>
      </c>
    </row>
    <row r="499" spans="1:8">
      <c r="A499" s="108">
        <f ca="1">('main page'!$U$31/100)*'normal case'!D500</f>
        <v>20.200000011920931</v>
      </c>
      <c r="B499" s="109"/>
      <c r="C499" s="108">
        <f ca="1">'normal case'!AN500-'normal case'!AN499+IF(controls!$B$33=1,(1+(('main page'!$K$35/100)))*C498,'public finance'!C498)</f>
        <v>20</v>
      </c>
      <c r="D499" s="109">
        <f ca="1">IF(ABS(((A499-C499)/'normal case'!D500)-D498)&lt;0.0000001,D498,(A499-C499)/'normal case'!D500)</f>
        <v>1.9802129779314939E-3</v>
      </c>
      <c r="E499" s="109">
        <f ca="1">IF(ABS(D499-(G499*('normal case'!T500/100))/'normal case'!D500-E498)&lt;0.00001,E498,D499-(G499*('normal case'!T500/100))/'normal case'!D500)</f>
        <v>47445.001420613866</v>
      </c>
      <c r="F499" s="110">
        <f ca="1">F498*(1+'normal case'!L499/100)</f>
        <v>18439.178324754426</v>
      </c>
      <c r="G499" s="108">
        <f ca="1">C499-A499+G498*(1+'normal case'!T499/100)</f>
        <v>-136912713.9174743</v>
      </c>
      <c r="H499" s="109">
        <f ca="1">IF(ABS(G499/'normal case'!D500-H498)&lt;0.0000001,H498,G499/'normal case'!D500)</f>
        <v>-1355571.4241255044</v>
      </c>
    </row>
    <row r="500" spans="1:8">
      <c r="A500" s="108">
        <f ca="1">('main page'!$U$31/100)*'normal case'!D501</f>
        <v>20.200000011920931</v>
      </c>
      <c r="B500" s="109"/>
      <c r="C500" s="108">
        <f ca="1">'normal case'!AN501-'normal case'!AN500+IF(controls!$B$33=1,(1+(('main page'!$K$35/100)))*C499,'public finance'!C499)</f>
        <v>20</v>
      </c>
      <c r="D500" s="109">
        <f ca="1">IF(ABS(((A500-C500)/'normal case'!D501)-D499)&lt;0.0000001,D499,(A500-C500)/'normal case'!D501)</f>
        <v>1.9802129779314939E-3</v>
      </c>
      <c r="E500" s="109">
        <f ca="1">IF(ABS(D500-(G500*('normal case'!T501/100))/'normal case'!D501-E499)&lt;0.00001,E499,D500-(G500*('normal case'!T501/100))/'normal case'!D501)</f>
        <v>49105.576456195122</v>
      </c>
      <c r="F500" s="110">
        <f ca="1">F499*(1+'normal case'!L500/100)</f>
        <v>18807.961869268303</v>
      </c>
      <c r="G500" s="108">
        <f ca="1">C500-A500+G499*(1+'normal case'!T500/100)</f>
        <v>-141704659.06378275</v>
      </c>
      <c r="H500" s="109">
        <f ca="1">IF(ABS(G500/'normal case'!D501-H499)&lt;0.0000001,H499,G500/'normal case'!D501)</f>
        <v>-1403016.4255461036</v>
      </c>
    </row>
    <row r="501" spans="1:8">
      <c r="A501" s="108">
        <f ca="1">('main page'!$U$31/100)*'normal case'!D502</f>
        <v>20.200000011920931</v>
      </c>
      <c r="B501" s="109"/>
      <c r="C501" s="108">
        <f ca="1">'normal case'!AN502-'normal case'!AN501+IF(controls!$B$33=1,(1+(('main page'!$K$35/100)))*C500,'public finance'!C500)</f>
        <v>20</v>
      </c>
      <c r="D501" s="109">
        <f ca="1">IF(ABS(((A501-C501)/'normal case'!D502)-D500)&lt;0.0000001,D500,(A501-C501)/'normal case'!D502)</f>
        <v>1.9802129779314939E-3</v>
      </c>
      <c r="E501" s="109">
        <f ca="1">IF(ABS(D501-(G501*('normal case'!T502/100))/'normal case'!D502-E500)&lt;0.00001,E500,D501-(G501*('normal case'!T502/100))/'normal case'!D502)</f>
        <v>1.5474468974321178E-3</v>
      </c>
      <c r="F501" s="110">
        <f ca="1">F500*(1+'normal case'!L501/100)</f>
        <v>19184.121084232833</v>
      </c>
      <c r="G501" s="108">
        <f ca="1">C501-A501+G500*(1+'normal case'!T501/100)</f>
        <v>-146664322.28878388</v>
      </c>
      <c r="H501" s="109">
        <f ca="1">IF(ABS(G501/'normal case'!D502-H500)&lt;0.0000001,H500,G501/'normal case'!D502)</f>
        <v>-1452122.0020022837</v>
      </c>
    </row>
  </sheetData>
  <sheetProtection selectLockedCells="1"/>
  <phoneticPr fontId="3" type="noConversion"/>
  <pageMargins left="0.75" right="0.75" top="1" bottom="1" header="0" footer="0"/>
  <pageSetup paperSize="9" orientation="portrait" horizontalDpi="4294967295"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4"/>
  <dimension ref="A1:IV86"/>
  <sheetViews>
    <sheetView showGridLines="0" showRowColHeaders="0" zoomScale="73" zoomScaleNormal="73" workbookViewId="0">
      <selection activeCell="G9" sqref="G9"/>
    </sheetView>
  </sheetViews>
  <sheetFormatPr defaultColWidth="10.90625" defaultRowHeight="12.5"/>
  <cols>
    <col min="1" max="1" width="23.1796875" customWidth="1"/>
    <col min="2" max="2" width="4.26953125" customWidth="1"/>
    <col min="3" max="3" width="3.7265625" customWidth="1"/>
    <col min="4" max="4" width="4" customWidth="1"/>
  </cols>
  <sheetData>
    <row r="1" spans="1:256" s="115" customFormat="1">
      <c r="A1" s="139"/>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15" customForma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15" customFormat="1">
      <c r="A3" s="139"/>
      <c r="B3" s="139"/>
      <c r="C3" s="139"/>
      <c r="D3" s="139"/>
      <c r="E3" s="139"/>
      <c r="F3" s="139"/>
      <c r="G3" s="139"/>
      <c r="H3" s="139"/>
      <c r="I3" s="139"/>
      <c r="J3" s="139"/>
      <c r="K3" s="139"/>
      <c r="L3" s="139"/>
      <c r="M3" s="139"/>
      <c r="N3" s="139"/>
      <c r="O3" s="139"/>
      <c r="P3" s="139"/>
      <c r="Q3" s="139"/>
      <c r="R3" s="139"/>
      <c r="S3" s="139"/>
      <c r="T3" s="139"/>
      <c r="U3" s="139"/>
      <c r="V3" s="139"/>
      <c r="W3" s="139"/>
      <c r="X3" s="139"/>
      <c r="Y3" s="139"/>
      <c r="Z3" s="139"/>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15" customFormat="1">
      <c r="A4" s="139"/>
      <c r="B4" s="139"/>
      <c r="C4" s="139"/>
      <c r="D4" s="139"/>
      <c r="E4" s="139"/>
      <c r="F4" s="139"/>
      <c r="G4" s="139"/>
      <c r="H4" s="139"/>
      <c r="I4" s="139"/>
      <c r="J4" s="139"/>
      <c r="K4" s="139"/>
      <c r="L4" s="139"/>
      <c r="M4" s="139"/>
      <c r="N4" s="139"/>
      <c r="O4" s="139"/>
      <c r="P4" s="139"/>
      <c r="Q4" s="139"/>
      <c r="R4" s="139"/>
      <c r="S4" s="139"/>
      <c r="T4" s="139"/>
      <c r="U4" s="139"/>
      <c r="V4" s="139"/>
      <c r="W4" s="139"/>
      <c r="X4" s="139"/>
      <c r="Y4" s="139"/>
      <c r="Z4" s="139"/>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15" customFormat="1">
      <c r="A5" s="139"/>
      <c r="B5" s="139"/>
      <c r="C5" s="139"/>
      <c r="D5" s="139"/>
      <c r="E5" s="139"/>
      <c r="F5" s="139"/>
      <c r="G5" s="139"/>
      <c r="H5" s="139"/>
      <c r="I5" s="139"/>
      <c r="J5" s="139"/>
      <c r="K5" s="139"/>
      <c r="L5" s="139"/>
      <c r="M5" s="139"/>
      <c r="N5" s="139"/>
      <c r="O5" s="139"/>
      <c r="P5" s="139"/>
      <c r="Q5" s="139"/>
      <c r="R5" s="139"/>
      <c r="S5" s="139"/>
      <c r="T5" s="139"/>
      <c r="U5" s="139"/>
      <c r="V5" s="139"/>
      <c r="W5" s="139"/>
      <c r="X5" s="139"/>
      <c r="Y5" s="139"/>
      <c r="Z5" s="139"/>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15" customFormat="1">
      <c r="A6" s="139"/>
      <c r="B6" s="139"/>
      <c r="C6" s="139"/>
      <c r="D6" s="139"/>
      <c r="E6" s="139"/>
      <c r="F6" s="139"/>
      <c r="G6" s="139"/>
      <c r="H6" s="139"/>
      <c r="I6" s="139"/>
      <c r="J6" s="139"/>
      <c r="K6" s="139"/>
      <c r="L6" s="139"/>
      <c r="M6" s="139"/>
      <c r="N6" s="139"/>
      <c r="O6" s="139"/>
      <c r="P6" s="139"/>
      <c r="Q6" s="139"/>
      <c r="R6" s="139"/>
      <c r="S6" s="139"/>
      <c r="T6" s="139"/>
      <c r="U6" s="139"/>
      <c r="V6" s="139"/>
      <c r="W6" s="139"/>
      <c r="X6" s="139"/>
      <c r="Y6" s="139"/>
      <c r="Z6" s="139"/>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15" customFormat="1">
      <c r="A7" s="139"/>
      <c r="B7" s="139"/>
      <c r="C7" s="139"/>
      <c r="D7" s="139"/>
      <c r="E7" s="139"/>
      <c r="F7" s="139"/>
      <c r="G7" s="139"/>
      <c r="H7" s="139"/>
      <c r="I7" s="139"/>
      <c r="J7" s="139"/>
      <c r="K7" s="139"/>
      <c r="L7" s="139"/>
      <c r="M7" s="139"/>
      <c r="N7" s="139"/>
      <c r="O7" s="139"/>
      <c r="P7" s="139"/>
      <c r="Q7" s="139"/>
      <c r="R7" s="139"/>
      <c r="S7" s="139"/>
      <c r="T7" s="139"/>
      <c r="U7" s="139"/>
      <c r="V7" s="139"/>
      <c r="W7" s="139"/>
      <c r="X7" s="139"/>
      <c r="Y7" s="139"/>
      <c r="Z7" s="139"/>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15" customFormat="1">
      <c r="A8" s="139"/>
      <c r="B8" s="139"/>
      <c r="C8" s="139"/>
      <c r="D8" s="139"/>
      <c r="E8" s="139"/>
      <c r="F8" s="139"/>
      <c r="G8" s="139"/>
      <c r="H8" s="139"/>
      <c r="I8" s="139"/>
      <c r="J8" s="139"/>
      <c r="K8" s="139"/>
      <c r="L8" s="139"/>
      <c r="M8" s="139"/>
      <c r="N8" s="139"/>
      <c r="O8" s="139"/>
      <c r="P8" s="139"/>
      <c r="Q8" s="139"/>
      <c r="R8" s="139"/>
      <c r="S8" s="139"/>
      <c r="T8" s="139"/>
      <c r="U8" s="139"/>
      <c r="V8" s="139"/>
      <c r="W8" s="139"/>
      <c r="X8" s="139"/>
      <c r="Y8" s="139"/>
      <c r="Z8" s="139"/>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15" customFormat="1">
      <c r="A9" s="139"/>
      <c r="B9" s="139"/>
      <c r="C9" s="139"/>
      <c r="D9" s="139"/>
      <c r="E9" s="139"/>
      <c r="F9" s="139"/>
      <c r="G9" s="139"/>
      <c r="H9" s="139"/>
      <c r="I9" s="139"/>
      <c r="J9" s="139"/>
      <c r="K9" s="139"/>
      <c r="L9" s="139"/>
      <c r="M9" s="139"/>
      <c r="N9" s="139"/>
      <c r="O9" s="139"/>
      <c r="P9" s="139"/>
      <c r="Q9" s="139"/>
      <c r="R9" s="139"/>
      <c r="S9" s="139"/>
      <c r="T9" s="139"/>
      <c r="U9" s="139"/>
      <c r="V9" s="139"/>
      <c r="W9" s="139"/>
      <c r="X9" s="139"/>
      <c r="Y9" s="139"/>
      <c r="Z9" s="13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15" customFormat="1">
      <c r="A10" s="139"/>
      <c r="B10" s="139"/>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15" customFormat="1">
      <c r="A11" s="139"/>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15" customFormat="1">
      <c r="A12" s="139"/>
      <c r="B12" s="139"/>
      <c r="C12" s="139"/>
      <c r="D12" s="139"/>
      <c r="E12" s="139"/>
      <c r="F12" s="139"/>
      <c r="G12" s="139"/>
      <c r="H12" s="139"/>
      <c r="I12" s="139"/>
      <c r="J12" s="139"/>
      <c r="K12" s="139"/>
      <c r="L12" s="139"/>
      <c r="M12" s="139"/>
      <c r="N12" s="139"/>
      <c r="O12" s="139"/>
      <c r="P12" s="139"/>
      <c r="Q12" s="139"/>
      <c r="R12" s="139"/>
      <c r="S12" s="139"/>
      <c r="T12" s="139"/>
      <c r="U12" s="139"/>
      <c r="V12" s="139"/>
      <c r="W12" s="139"/>
      <c r="X12" s="139"/>
      <c r="Y12" s="139"/>
      <c r="Z12" s="139"/>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15" customFormat="1">
      <c r="A13" s="139"/>
      <c r="B13" s="139"/>
      <c r="C13" s="139"/>
      <c r="D13" s="139"/>
      <c r="E13" s="139"/>
      <c r="F13" s="139"/>
      <c r="G13" s="139"/>
      <c r="H13" s="139"/>
      <c r="I13" s="139"/>
      <c r="J13" s="139"/>
      <c r="K13" s="139"/>
      <c r="L13" s="139"/>
      <c r="M13" s="139"/>
      <c r="N13" s="139"/>
      <c r="O13" s="139"/>
      <c r="P13" s="139"/>
      <c r="Q13" s="139"/>
      <c r="R13" s="139"/>
      <c r="S13" s="139"/>
      <c r="T13" s="139"/>
      <c r="U13" s="139"/>
      <c r="V13" s="139"/>
      <c r="W13" s="139"/>
      <c r="X13" s="139"/>
      <c r="Y13" s="139"/>
      <c r="Z13" s="139"/>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15" customFormat="1" ht="13" thickBot="1">
      <c r="A14" s="139"/>
      <c r="B14" s="139"/>
      <c r="C14" s="139"/>
      <c r="D14" s="139"/>
      <c r="E14" s="139"/>
      <c r="F14" s="139"/>
      <c r="G14" s="139"/>
      <c r="H14" s="139"/>
      <c r="I14" s="139"/>
      <c r="J14" s="139"/>
      <c r="K14" s="139"/>
      <c r="L14" s="139"/>
      <c r="M14" s="139"/>
      <c r="N14" s="139"/>
      <c r="O14" s="139"/>
      <c r="P14" s="139"/>
      <c r="Q14" s="139"/>
      <c r="R14" s="139"/>
      <c r="S14" s="139"/>
      <c r="T14" s="139"/>
      <c r="U14" s="139"/>
      <c r="V14" s="139"/>
      <c r="W14" s="139"/>
      <c r="X14" s="139"/>
      <c r="Y14" s="139"/>
      <c r="Z14" s="139"/>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609" t="s">
        <v>123</v>
      </c>
      <c r="B15" s="610"/>
      <c r="C15" s="610"/>
      <c r="D15" s="611"/>
      <c r="E15" s="139"/>
      <c r="F15" s="139"/>
      <c r="G15" s="139"/>
      <c r="H15" s="139"/>
      <c r="I15" s="139"/>
      <c r="J15" s="139"/>
      <c r="K15" s="139"/>
      <c r="L15" s="139"/>
      <c r="M15" s="139"/>
      <c r="N15" s="139"/>
      <c r="O15" s="139"/>
      <c r="P15" s="139"/>
      <c r="Q15" s="139"/>
      <c r="R15" s="139"/>
      <c r="S15" s="139"/>
      <c r="T15" s="139"/>
      <c r="U15" s="139"/>
      <c r="V15" s="139"/>
      <c r="W15" s="139"/>
      <c r="X15" s="139"/>
      <c r="Y15" s="139"/>
      <c r="Z15" s="139"/>
    </row>
    <row r="16" spans="1:256" ht="13" thickTop="1">
      <c r="A16" s="615" t="str">
        <f>'main page'!A2</f>
        <v>Main page-Closed economy</v>
      </c>
      <c r="B16" s="616"/>
      <c r="C16" s="616"/>
      <c r="D16" s="617"/>
      <c r="E16" s="139"/>
      <c r="F16" s="139"/>
      <c r="G16" s="139"/>
      <c r="H16" s="139"/>
      <c r="I16" s="139"/>
      <c r="J16" s="139"/>
      <c r="K16" s="139"/>
      <c r="L16" s="139"/>
      <c r="M16" s="139"/>
      <c r="N16" s="139"/>
      <c r="O16" s="139"/>
      <c r="P16" s="139"/>
      <c r="Q16" s="139"/>
      <c r="R16" s="139"/>
      <c r="S16" s="139"/>
      <c r="T16" s="139"/>
      <c r="U16" s="139"/>
      <c r="V16" s="139"/>
      <c r="W16" s="139"/>
      <c r="X16" s="139"/>
      <c r="Y16" s="139"/>
      <c r="Z16" s="139"/>
    </row>
    <row r="17" spans="1:26">
      <c r="A17" s="618"/>
      <c r="B17" s="619"/>
      <c r="C17" s="619"/>
      <c r="D17" s="620"/>
      <c r="E17" s="139"/>
      <c r="F17" s="139"/>
      <c r="G17" s="139"/>
      <c r="H17" s="139"/>
      <c r="I17" s="139"/>
      <c r="J17" s="139"/>
      <c r="K17" s="139"/>
      <c r="L17" s="139"/>
      <c r="M17" s="139"/>
      <c r="N17" s="139"/>
      <c r="O17" s="139"/>
      <c r="P17" s="139"/>
      <c r="Q17" s="139"/>
      <c r="R17" s="139"/>
      <c r="S17" s="139"/>
      <c r="T17" s="139"/>
      <c r="U17" s="139"/>
      <c r="V17" s="139"/>
      <c r="W17" s="139"/>
      <c r="X17" s="139"/>
      <c r="Y17" s="139"/>
      <c r="Z17" s="139"/>
    </row>
    <row r="18" spans="1:26" ht="13">
      <c r="A18" s="621" t="s">
        <v>101</v>
      </c>
      <c r="B18" s="622"/>
      <c r="C18" s="623"/>
      <c r="D18" s="291" t="str">
        <f>IF('main page'!$G$8="","no","yes")</f>
        <v>yes</v>
      </c>
      <c r="E18" s="139"/>
      <c r="F18" s="139"/>
      <c r="G18" s="139"/>
      <c r="H18" s="139"/>
      <c r="I18" s="139"/>
      <c r="J18" s="139"/>
      <c r="K18" s="139"/>
      <c r="L18" s="139"/>
      <c r="M18" s="139"/>
      <c r="N18" s="139"/>
      <c r="O18" s="139"/>
      <c r="P18" s="139"/>
      <c r="Q18" s="139"/>
      <c r="R18" s="139"/>
      <c r="S18" s="139"/>
      <c r="T18" s="139"/>
      <c r="U18" s="139"/>
      <c r="V18" s="139"/>
      <c r="W18" s="139"/>
      <c r="X18" s="139"/>
      <c r="Y18" s="139"/>
      <c r="Z18" s="139"/>
    </row>
    <row r="19" spans="1:26" ht="13">
      <c r="A19" s="621" t="s">
        <v>100</v>
      </c>
      <c r="B19" s="622"/>
      <c r="C19" s="623"/>
      <c r="D19" s="291" t="str">
        <f>IF('main page'!$K$8="","no","yes")</f>
        <v>no</v>
      </c>
      <c r="E19" s="139"/>
      <c r="F19" s="139"/>
      <c r="G19" s="139"/>
      <c r="H19" s="139"/>
      <c r="I19" s="139"/>
      <c r="J19" s="139"/>
      <c r="K19" s="139"/>
      <c r="L19" s="139"/>
      <c r="M19" s="139"/>
      <c r="N19" s="139"/>
      <c r="O19" s="139"/>
      <c r="P19" s="139"/>
      <c r="Q19" s="139"/>
      <c r="R19" s="139"/>
      <c r="S19" s="139"/>
      <c r="T19" s="139"/>
      <c r="U19" s="139"/>
      <c r="V19" s="139"/>
      <c r="W19" s="139"/>
      <c r="X19" s="139"/>
      <c r="Y19" s="139"/>
      <c r="Z19" s="139"/>
    </row>
    <row r="20" spans="1:26" ht="13">
      <c r="A20" s="621" t="s">
        <v>103</v>
      </c>
      <c r="B20" s="622"/>
      <c r="C20" s="623"/>
      <c r="D20" s="292" t="str">
        <f>IF(controls!$B$4=2,"no",IF('main page'!$H$16="","no","yes"))</f>
        <v>no</v>
      </c>
      <c r="E20" s="139"/>
      <c r="F20" s="139"/>
      <c r="G20" s="139"/>
      <c r="H20" s="139"/>
      <c r="I20" s="139"/>
      <c r="J20" s="139"/>
      <c r="K20" s="139"/>
      <c r="L20" s="139"/>
      <c r="M20" s="139"/>
      <c r="N20" s="139"/>
      <c r="O20" s="139"/>
      <c r="P20" s="139"/>
      <c r="Q20" s="139"/>
      <c r="R20" s="139"/>
      <c r="S20" s="139"/>
      <c r="T20" s="139"/>
      <c r="U20" s="139"/>
      <c r="V20" s="139"/>
      <c r="W20" s="139"/>
      <c r="X20" s="139"/>
      <c r="Y20" s="139"/>
      <c r="Z20" s="139"/>
    </row>
    <row r="21" spans="1:26" ht="13">
      <c r="A21" s="621" t="s">
        <v>104</v>
      </c>
      <c r="B21" s="622"/>
      <c r="C21" s="623"/>
      <c r="D21" s="292" t="str">
        <f>IF(controls!$B$5=2,"no",IF('main page'!$H$16="","no","yes"))</f>
        <v>no</v>
      </c>
      <c r="E21" s="139"/>
      <c r="F21" s="139"/>
      <c r="G21" s="139"/>
      <c r="H21" s="139"/>
      <c r="I21" s="139"/>
      <c r="J21" s="139"/>
      <c r="K21" s="139"/>
      <c r="L21" s="139"/>
      <c r="M21" s="139"/>
      <c r="N21" s="139"/>
      <c r="O21" s="139"/>
      <c r="P21" s="139"/>
      <c r="Q21" s="139"/>
      <c r="R21" s="139"/>
      <c r="S21" s="139"/>
      <c r="T21" s="139"/>
      <c r="U21" s="139"/>
      <c r="V21" s="139"/>
      <c r="W21" s="139"/>
      <c r="X21" s="139"/>
      <c r="Y21" s="139"/>
      <c r="Z21" s="139"/>
    </row>
    <row r="22" spans="1:26" ht="13">
      <c r="A22" s="621" t="s">
        <v>102</v>
      </c>
      <c r="B22" s="622"/>
      <c r="C22" s="623"/>
      <c r="D22" s="292" t="str">
        <f>IF(controls!$B$8=FALSE,"no",IF(controls!$B$8=TRUE,"yes",""))</f>
        <v>no</v>
      </c>
      <c r="E22" s="139"/>
      <c r="F22" s="139"/>
      <c r="G22" s="139"/>
      <c r="H22" s="139"/>
      <c r="I22" s="139"/>
      <c r="J22" s="139"/>
      <c r="K22" s="139"/>
      <c r="L22" s="139"/>
      <c r="M22" s="139"/>
      <c r="N22" s="139"/>
      <c r="O22" s="139"/>
      <c r="P22" s="139"/>
      <c r="Q22" s="139"/>
      <c r="R22" s="139"/>
      <c r="S22" s="139"/>
      <c r="T22" s="139"/>
      <c r="U22" s="139"/>
      <c r="V22" s="139"/>
      <c r="W22" s="139"/>
      <c r="X22" s="139"/>
      <c r="Y22" s="139"/>
      <c r="Z22" s="139"/>
    </row>
    <row r="23" spans="1:26" ht="13">
      <c r="A23" s="612" t="str">
        <f>IF('main page'!S43=1,"","Stabilization fiscal measure")</f>
        <v>Stabilization fiscal measure</v>
      </c>
      <c r="B23" s="613"/>
      <c r="C23" s="614"/>
      <c r="D23" s="292" t="str">
        <f>IF('main page'!S43=1,"",IF('main page'!$U$22="","no","yes"))</f>
        <v>no</v>
      </c>
      <c r="E23" s="139"/>
      <c r="F23" s="139"/>
      <c r="G23" s="139"/>
      <c r="H23" s="139"/>
      <c r="I23" s="139"/>
      <c r="J23" s="139"/>
      <c r="K23" s="139"/>
      <c r="L23" s="139"/>
      <c r="M23" s="139"/>
      <c r="N23" s="139"/>
      <c r="O23" s="139"/>
      <c r="P23" s="139"/>
      <c r="Q23" s="139"/>
      <c r="R23" s="139"/>
      <c r="S23" s="139"/>
      <c r="T23" s="139"/>
      <c r="U23" s="139"/>
      <c r="V23" s="139"/>
      <c r="W23" s="139"/>
      <c r="X23" s="139"/>
      <c r="Y23" s="139"/>
      <c r="Z23" s="139"/>
    </row>
    <row r="24" spans="1:26">
      <c r="A24" s="139"/>
      <c r="B24" s="139"/>
      <c r="C24" s="139"/>
      <c r="D24" s="139"/>
      <c r="E24" s="139"/>
      <c r="F24" s="139"/>
      <c r="G24" s="139"/>
      <c r="H24" s="139"/>
      <c r="I24" s="139"/>
      <c r="J24" s="139"/>
      <c r="K24" s="139"/>
      <c r="L24" s="139"/>
      <c r="M24" s="139"/>
      <c r="N24" s="139"/>
      <c r="O24" s="139"/>
      <c r="P24" s="139"/>
      <c r="Q24" s="139"/>
      <c r="R24" s="139"/>
      <c r="S24" s="139"/>
      <c r="T24" s="139"/>
      <c r="U24" s="139"/>
      <c r="V24" s="139"/>
      <c r="W24" s="139"/>
      <c r="X24" s="139"/>
      <c r="Y24" s="139"/>
      <c r="Z24" s="139"/>
    </row>
    <row r="25" spans="1:26">
      <c r="A25" s="139"/>
      <c r="B25" s="139"/>
      <c r="C25" s="139"/>
      <c r="D25" s="139"/>
      <c r="E25" s="139"/>
      <c r="F25" s="139"/>
      <c r="G25" s="139"/>
      <c r="H25" s="139"/>
      <c r="I25" s="139"/>
      <c r="J25" s="139"/>
      <c r="K25" s="139"/>
      <c r="L25" s="139"/>
      <c r="M25" s="139"/>
      <c r="N25" s="139"/>
      <c r="O25" s="139"/>
      <c r="P25" s="139"/>
      <c r="Q25" s="139"/>
      <c r="R25" s="139"/>
      <c r="S25" s="139"/>
      <c r="T25" s="139"/>
      <c r="U25" s="139"/>
      <c r="V25" s="139"/>
      <c r="W25" s="139"/>
      <c r="X25" s="139"/>
      <c r="Y25" s="139"/>
      <c r="Z25" s="139"/>
    </row>
    <row r="26" spans="1:26">
      <c r="A26" s="139"/>
      <c r="B26" s="139"/>
      <c r="C26" s="139"/>
      <c r="D26" s="139"/>
      <c r="E26" s="139"/>
      <c r="F26" s="139"/>
      <c r="G26" s="139"/>
      <c r="H26" s="139"/>
      <c r="I26" s="139"/>
      <c r="J26" s="139"/>
      <c r="K26" s="139"/>
      <c r="L26" s="139"/>
      <c r="M26" s="139"/>
      <c r="N26" s="139"/>
      <c r="O26" s="139"/>
      <c r="P26" s="139"/>
      <c r="Q26" s="139"/>
      <c r="R26" s="139"/>
      <c r="S26" s="139"/>
      <c r="T26" s="139"/>
      <c r="U26" s="139"/>
      <c r="V26" s="139"/>
      <c r="W26" s="139"/>
      <c r="X26" s="139"/>
      <c r="Y26" s="139"/>
      <c r="Z26" s="139"/>
    </row>
    <row r="27" spans="1:26">
      <c r="A27" s="139"/>
      <c r="B27" s="139"/>
      <c r="C27" s="139"/>
      <c r="D27" s="139"/>
      <c r="E27" s="139"/>
      <c r="F27" s="139"/>
      <c r="G27" s="139"/>
      <c r="H27" s="139"/>
      <c r="I27" s="139"/>
      <c r="J27" s="139"/>
      <c r="K27" s="139"/>
      <c r="L27" s="139"/>
      <c r="M27" s="139"/>
      <c r="N27" s="139"/>
      <c r="O27" s="139"/>
      <c r="P27" s="139"/>
      <c r="Q27" s="139"/>
      <c r="R27" s="139"/>
      <c r="S27" s="139"/>
      <c r="T27" s="139"/>
      <c r="U27" s="139"/>
      <c r="V27" s="139"/>
      <c r="W27" s="139"/>
      <c r="X27" s="139"/>
      <c r="Y27" s="139"/>
      <c r="Z27" s="139"/>
    </row>
    <row r="28" spans="1:26">
      <c r="A28" s="139"/>
      <c r="B28" s="139"/>
      <c r="C28" s="139"/>
      <c r="D28" s="139"/>
      <c r="E28" s="139"/>
      <c r="F28" s="139"/>
      <c r="G28" s="139"/>
      <c r="H28" s="139"/>
      <c r="I28" s="139"/>
      <c r="J28" s="139"/>
      <c r="K28" s="139"/>
      <c r="L28" s="139"/>
      <c r="M28" s="139"/>
      <c r="N28" s="139"/>
      <c r="O28" s="139"/>
      <c r="P28" s="139"/>
      <c r="Q28" s="139"/>
      <c r="R28" s="139"/>
      <c r="S28" s="139"/>
      <c r="T28" s="139"/>
      <c r="U28" s="139"/>
      <c r="V28" s="139"/>
      <c r="W28" s="139"/>
      <c r="X28" s="139"/>
      <c r="Y28" s="139"/>
      <c r="Z28" s="139"/>
    </row>
    <row r="29" spans="1:26">
      <c r="A29" s="139"/>
      <c r="B29" s="139"/>
      <c r="C29" s="139"/>
      <c r="D29" s="139"/>
      <c r="E29" s="139"/>
      <c r="F29" s="139"/>
      <c r="G29" s="139"/>
      <c r="H29" s="139"/>
      <c r="I29" s="139"/>
      <c r="J29" s="139"/>
      <c r="K29" s="139"/>
      <c r="L29" s="139"/>
      <c r="M29" s="139"/>
      <c r="N29" s="139"/>
      <c r="O29" s="139"/>
      <c r="P29" s="139"/>
      <c r="Q29" s="139"/>
      <c r="R29" s="139"/>
      <c r="S29" s="139"/>
      <c r="T29" s="139"/>
      <c r="U29" s="139"/>
      <c r="V29" s="139"/>
      <c r="W29" s="139"/>
      <c r="X29" s="139"/>
      <c r="Y29" s="139"/>
      <c r="Z29" s="139"/>
    </row>
    <row r="30" spans="1:26">
      <c r="A30" s="139"/>
      <c r="B30" s="139"/>
      <c r="C30" s="139"/>
      <c r="D30" s="139"/>
      <c r="E30" s="139"/>
      <c r="F30" s="139"/>
      <c r="G30" s="139"/>
      <c r="H30" s="139"/>
      <c r="I30" s="139"/>
      <c r="J30" s="139"/>
      <c r="K30" s="139"/>
      <c r="L30" s="139"/>
      <c r="M30" s="139"/>
      <c r="N30" s="139"/>
      <c r="O30" s="139"/>
      <c r="P30" s="139"/>
      <c r="Q30" s="139"/>
      <c r="R30" s="139"/>
      <c r="S30" s="139"/>
      <c r="T30" s="139"/>
      <c r="U30" s="139"/>
      <c r="V30" s="139"/>
      <c r="W30" s="139"/>
      <c r="X30" s="139"/>
      <c r="Y30" s="139"/>
      <c r="Z30" s="139"/>
    </row>
    <row r="31" spans="1:26">
      <c r="A31" s="139"/>
      <c r="B31" s="139"/>
      <c r="C31" s="139"/>
      <c r="D31" s="139"/>
      <c r="E31" s="139"/>
      <c r="F31" s="139"/>
      <c r="G31" s="139"/>
      <c r="H31" s="139"/>
      <c r="I31" s="139"/>
      <c r="J31" s="139"/>
      <c r="K31" s="139"/>
      <c r="L31" s="139"/>
      <c r="M31" s="139"/>
      <c r="N31" s="139"/>
      <c r="O31" s="139"/>
      <c r="P31" s="139"/>
      <c r="Q31" s="139"/>
      <c r="R31" s="139"/>
      <c r="S31" s="139"/>
      <c r="T31" s="139"/>
      <c r="U31" s="139"/>
      <c r="V31" s="139"/>
      <c r="W31" s="139"/>
      <c r="X31" s="139"/>
      <c r="Y31" s="139"/>
      <c r="Z31" s="139"/>
    </row>
    <row r="32" spans="1:26">
      <c r="A32" s="139"/>
      <c r="B32" s="139"/>
      <c r="C32" s="139"/>
      <c r="D32" s="139"/>
      <c r="E32" s="139"/>
      <c r="F32" s="139"/>
      <c r="G32" s="139"/>
      <c r="H32" s="139"/>
      <c r="I32" s="139"/>
      <c r="J32" s="139"/>
      <c r="K32" s="139"/>
      <c r="L32" s="139"/>
      <c r="M32" s="139"/>
      <c r="N32" s="139"/>
      <c r="O32" s="139"/>
      <c r="P32" s="139"/>
      <c r="Q32" s="139"/>
      <c r="R32" s="139"/>
      <c r="S32" s="139"/>
      <c r="T32" s="139"/>
      <c r="U32" s="139"/>
      <c r="V32" s="139"/>
      <c r="W32" s="139"/>
      <c r="X32" s="139"/>
      <c r="Y32" s="139"/>
      <c r="Z32" s="139"/>
    </row>
    <row r="33" spans="1:26">
      <c r="A33" s="139"/>
      <c r="B33" s="139"/>
      <c r="C33" s="139"/>
      <c r="D33" s="139"/>
      <c r="E33" s="139"/>
      <c r="F33" s="139"/>
      <c r="G33" s="139"/>
      <c r="H33" s="139"/>
      <c r="I33" s="139"/>
      <c r="J33" s="139"/>
      <c r="K33" s="139"/>
      <c r="L33" s="139"/>
      <c r="M33" s="139"/>
      <c r="N33" s="139"/>
      <c r="O33" s="139"/>
      <c r="P33" s="139"/>
      <c r="Q33" s="139"/>
      <c r="R33" s="139"/>
      <c r="S33" s="139"/>
      <c r="T33" s="139"/>
      <c r="U33" s="139"/>
      <c r="V33" s="139"/>
      <c r="W33" s="139"/>
      <c r="X33" s="139"/>
      <c r="Y33" s="139"/>
      <c r="Z33" s="139"/>
    </row>
    <row r="34" spans="1:26">
      <c r="A34" s="139"/>
      <c r="B34" s="139"/>
      <c r="C34" s="139"/>
      <c r="D34" s="139"/>
      <c r="E34" s="139"/>
      <c r="F34" s="139"/>
      <c r="G34" s="139"/>
      <c r="H34" s="139"/>
      <c r="I34" s="139"/>
      <c r="J34" s="139"/>
      <c r="K34" s="139"/>
      <c r="L34" s="139"/>
      <c r="M34" s="139"/>
      <c r="N34" s="139"/>
      <c r="O34" s="139"/>
      <c r="P34" s="139"/>
      <c r="Q34" s="139"/>
      <c r="R34" s="139"/>
      <c r="S34" s="139"/>
      <c r="T34" s="139"/>
      <c r="U34" s="139"/>
      <c r="V34" s="139"/>
      <c r="W34" s="139"/>
      <c r="X34" s="139"/>
      <c r="Y34" s="139"/>
      <c r="Z34" s="139"/>
    </row>
    <row r="35" spans="1:26">
      <c r="A35" s="139"/>
      <c r="B35" s="139"/>
      <c r="C35" s="139"/>
      <c r="D35" s="139"/>
      <c r="E35" s="139"/>
      <c r="F35" s="139"/>
      <c r="G35" s="139"/>
      <c r="H35" s="139"/>
      <c r="I35" s="139"/>
      <c r="J35" s="139"/>
      <c r="K35" s="139"/>
      <c r="L35" s="139"/>
      <c r="M35" s="139"/>
      <c r="N35" s="139"/>
      <c r="O35" s="139"/>
      <c r="P35" s="139"/>
      <c r="Q35" s="139"/>
      <c r="R35" s="139"/>
      <c r="S35" s="139"/>
      <c r="T35" s="139"/>
      <c r="U35" s="139"/>
      <c r="V35" s="139"/>
      <c r="W35" s="139"/>
      <c r="X35" s="139"/>
      <c r="Y35" s="139"/>
      <c r="Z35" s="139"/>
    </row>
    <row r="36" spans="1:26">
      <c r="A36" s="139"/>
      <c r="B36" s="139"/>
      <c r="C36" s="139"/>
      <c r="D36" s="139"/>
      <c r="E36" s="139"/>
      <c r="F36" s="139"/>
      <c r="G36" s="139"/>
      <c r="H36" s="139"/>
      <c r="I36" s="139"/>
      <c r="J36" s="139"/>
      <c r="K36" s="139"/>
      <c r="L36" s="139"/>
      <c r="M36" s="139"/>
      <c r="N36" s="139"/>
      <c r="O36" s="139"/>
      <c r="P36" s="139"/>
      <c r="Q36" s="139"/>
      <c r="R36" s="139"/>
      <c r="S36" s="139"/>
      <c r="T36" s="139"/>
      <c r="U36" s="139"/>
      <c r="V36" s="139"/>
      <c r="W36" s="139"/>
      <c r="X36" s="139"/>
      <c r="Y36" s="139"/>
      <c r="Z36" s="139"/>
    </row>
    <row r="37" spans="1:26">
      <c r="A37" s="139"/>
      <c r="B37" s="139"/>
      <c r="C37" s="139"/>
      <c r="D37" s="139"/>
      <c r="E37" s="139"/>
      <c r="F37" s="139"/>
      <c r="G37" s="139"/>
      <c r="H37" s="139"/>
      <c r="I37" s="139"/>
      <c r="J37" s="139"/>
      <c r="K37" s="139"/>
      <c r="L37" s="139"/>
      <c r="M37" s="139"/>
      <c r="N37" s="139"/>
      <c r="O37" s="139"/>
      <c r="P37" s="139"/>
      <c r="Q37" s="139"/>
      <c r="R37" s="139"/>
      <c r="S37" s="139"/>
      <c r="T37" s="139"/>
      <c r="U37" s="139"/>
      <c r="V37" s="139"/>
      <c r="W37" s="139"/>
      <c r="X37" s="139"/>
      <c r="Y37" s="139"/>
      <c r="Z37" s="139"/>
    </row>
    <row r="38" spans="1:26">
      <c r="A38" s="139"/>
      <c r="B38" s="139"/>
      <c r="C38" s="139"/>
      <c r="D38" s="139"/>
      <c r="E38" s="139"/>
      <c r="F38" s="139"/>
      <c r="G38" s="139"/>
      <c r="H38" s="139"/>
      <c r="I38" s="139"/>
      <c r="J38" s="139"/>
      <c r="K38" s="139"/>
      <c r="L38" s="139"/>
      <c r="M38" s="139"/>
      <c r="N38" s="139"/>
      <c r="O38" s="139"/>
      <c r="P38" s="139"/>
      <c r="Q38" s="139"/>
      <c r="R38" s="139"/>
      <c r="S38" s="139"/>
      <c r="T38" s="139"/>
      <c r="U38" s="139"/>
      <c r="V38" s="139"/>
      <c r="W38" s="139"/>
      <c r="X38" s="139"/>
      <c r="Y38" s="139"/>
      <c r="Z38" s="139"/>
    </row>
    <row r="39" spans="1:26">
      <c r="A39" s="139"/>
      <c r="B39" s="139"/>
      <c r="C39" s="139"/>
      <c r="D39" s="139"/>
      <c r="E39" s="139"/>
      <c r="F39" s="139"/>
      <c r="G39" s="139"/>
      <c r="H39" s="139"/>
      <c r="I39" s="139"/>
      <c r="J39" s="139"/>
      <c r="K39" s="139"/>
      <c r="L39" s="139"/>
      <c r="M39" s="139"/>
      <c r="N39" s="139"/>
      <c r="O39" s="139"/>
      <c r="P39" s="139"/>
      <c r="Q39" s="139"/>
      <c r="R39" s="139"/>
      <c r="S39" s="139"/>
      <c r="T39" s="139"/>
      <c r="U39" s="139"/>
      <c r="V39" s="139"/>
      <c r="W39" s="139"/>
      <c r="X39" s="139"/>
      <c r="Y39" s="139"/>
      <c r="Z39" s="139"/>
    </row>
    <row r="40" spans="1:26">
      <c r="A40" s="139"/>
      <c r="B40" s="139"/>
      <c r="C40" s="139"/>
      <c r="D40" s="139"/>
      <c r="E40" s="139"/>
      <c r="F40" s="139"/>
      <c r="G40" s="139"/>
      <c r="H40" s="139"/>
      <c r="I40" s="139"/>
      <c r="J40" s="139"/>
      <c r="K40" s="139"/>
      <c r="L40" s="139"/>
      <c r="M40" s="139"/>
      <c r="N40" s="139"/>
      <c r="O40" s="139"/>
      <c r="P40" s="139"/>
      <c r="Q40" s="139"/>
      <c r="R40" s="139"/>
      <c r="S40" s="139"/>
      <c r="T40" s="139"/>
      <c r="U40" s="139"/>
      <c r="V40" s="139"/>
      <c r="W40" s="139"/>
      <c r="X40" s="139"/>
      <c r="Y40" s="139"/>
      <c r="Z40" s="139"/>
    </row>
    <row r="41" spans="1:26">
      <c r="A41" s="139"/>
      <c r="B41" s="139"/>
      <c r="C41" s="139"/>
      <c r="D41" s="139"/>
      <c r="E41" s="139"/>
      <c r="F41" s="139"/>
      <c r="G41" s="139"/>
      <c r="H41" s="139"/>
      <c r="I41" s="139"/>
      <c r="J41" s="139"/>
      <c r="K41" s="139"/>
      <c r="L41" s="139"/>
      <c r="M41" s="139"/>
      <c r="N41" s="139"/>
      <c r="O41" s="139"/>
      <c r="P41" s="139"/>
      <c r="Q41" s="139"/>
      <c r="R41" s="139"/>
      <c r="S41" s="139"/>
      <c r="T41" s="139"/>
      <c r="U41" s="139"/>
      <c r="V41" s="139"/>
      <c r="W41" s="139"/>
      <c r="X41" s="139"/>
      <c r="Y41" s="139"/>
      <c r="Z41" s="139"/>
    </row>
    <row r="42" spans="1:26">
      <c r="A42" s="139"/>
      <c r="B42" s="139"/>
      <c r="C42" s="139"/>
      <c r="D42" s="139"/>
      <c r="E42" s="139"/>
      <c r="F42" s="139"/>
      <c r="G42" s="139"/>
      <c r="H42" s="139"/>
      <c r="I42" s="139"/>
      <c r="J42" s="139"/>
      <c r="K42" s="139"/>
      <c r="L42" s="139"/>
      <c r="M42" s="139"/>
      <c r="N42" s="139"/>
      <c r="O42" s="139"/>
      <c r="P42" s="139"/>
      <c r="Q42" s="139"/>
      <c r="R42" s="139"/>
      <c r="S42" s="139"/>
      <c r="T42" s="139"/>
      <c r="U42" s="139"/>
      <c r="V42" s="139"/>
      <c r="W42" s="139"/>
      <c r="X42" s="139"/>
      <c r="Y42" s="139"/>
      <c r="Z42" s="139"/>
    </row>
    <row r="43" spans="1:26">
      <c r="A43" s="139"/>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139"/>
    </row>
    <row r="44" spans="1:26">
      <c r="A44" s="139"/>
      <c r="B44" s="139"/>
      <c r="C44" s="139"/>
      <c r="D44" s="139"/>
      <c r="E44" s="139"/>
      <c r="F44" s="139"/>
      <c r="G44" s="139"/>
      <c r="H44" s="139"/>
      <c r="I44" s="139"/>
      <c r="J44" s="139"/>
      <c r="K44" s="139"/>
      <c r="L44" s="139"/>
      <c r="M44" s="139"/>
      <c r="N44" s="139"/>
      <c r="O44" s="139"/>
      <c r="P44" s="139"/>
      <c r="Q44" s="139"/>
      <c r="R44" s="139"/>
      <c r="S44" s="139"/>
      <c r="T44" s="139"/>
      <c r="U44" s="139"/>
      <c r="V44" s="139"/>
      <c r="W44" s="139"/>
      <c r="X44" s="139"/>
      <c r="Y44" s="139"/>
      <c r="Z44" s="139"/>
    </row>
    <row r="45" spans="1:26">
      <c r="A45" s="139"/>
      <c r="B45" s="139"/>
      <c r="C45" s="139"/>
      <c r="D45" s="139"/>
      <c r="E45" s="139"/>
      <c r="F45" s="139"/>
      <c r="G45" s="139"/>
      <c r="H45" s="139"/>
      <c r="I45" s="139"/>
      <c r="J45" s="139"/>
      <c r="K45" s="139"/>
      <c r="L45" s="139"/>
      <c r="M45" s="139"/>
      <c r="N45" s="139"/>
      <c r="O45" s="139"/>
      <c r="P45" s="139"/>
      <c r="Q45" s="139"/>
      <c r="R45" s="139"/>
      <c r="S45" s="139"/>
      <c r="T45" s="139"/>
      <c r="U45" s="139"/>
      <c r="V45" s="139"/>
      <c r="W45" s="139"/>
      <c r="X45" s="139"/>
      <c r="Y45" s="139"/>
      <c r="Z45" s="139"/>
    </row>
    <row r="46" spans="1:26">
      <c r="A46" s="13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row>
    <row r="47" spans="1:26">
      <c r="A47" s="139"/>
      <c r="B47" s="139"/>
      <c r="C47" s="139"/>
      <c r="D47" s="139"/>
      <c r="E47" s="139"/>
      <c r="F47" s="139"/>
      <c r="G47" s="139"/>
      <c r="H47" s="139"/>
      <c r="I47" s="139"/>
      <c r="J47" s="139"/>
      <c r="K47" s="139"/>
      <c r="L47" s="139"/>
      <c r="M47" s="139"/>
      <c r="N47" s="139"/>
      <c r="O47" s="139"/>
      <c r="P47" s="139"/>
      <c r="Q47" s="139"/>
      <c r="R47" s="139"/>
      <c r="S47" s="139"/>
      <c r="T47" s="139"/>
      <c r="U47" s="139"/>
      <c r="V47" s="139"/>
      <c r="W47" s="139"/>
      <c r="X47" s="139"/>
      <c r="Y47" s="139"/>
      <c r="Z47" s="139"/>
    </row>
    <row r="48" spans="1:26">
      <c r="A48" s="139"/>
      <c r="B48" s="139"/>
      <c r="C48" s="139"/>
      <c r="D48" s="139"/>
      <c r="E48" s="139"/>
      <c r="F48" s="139"/>
      <c r="G48" s="139"/>
      <c r="H48" s="139"/>
      <c r="I48" s="139"/>
      <c r="J48" s="139"/>
      <c r="K48" s="139"/>
      <c r="L48" s="139"/>
      <c r="M48" s="139"/>
      <c r="N48" s="139"/>
      <c r="O48" s="139"/>
      <c r="P48" s="139"/>
      <c r="Q48" s="139"/>
      <c r="R48" s="139"/>
      <c r="S48" s="139"/>
      <c r="T48" s="139"/>
      <c r="U48" s="139"/>
      <c r="V48" s="139"/>
      <c r="W48" s="139"/>
      <c r="X48" s="139"/>
      <c r="Y48" s="139"/>
      <c r="Z48" s="139"/>
    </row>
    <row r="49" spans="1:26">
      <c r="A49" s="139"/>
      <c r="B49" s="139"/>
      <c r="C49" s="139"/>
      <c r="D49" s="139"/>
      <c r="E49" s="139"/>
      <c r="F49" s="139"/>
      <c r="G49" s="139"/>
      <c r="H49" s="139"/>
      <c r="I49" s="139"/>
      <c r="J49" s="139"/>
      <c r="K49" s="139"/>
      <c r="L49" s="139"/>
      <c r="M49" s="139"/>
      <c r="N49" s="139"/>
      <c r="O49" s="139"/>
      <c r="P49" s="139"/>
      <c r="Q49" s="139"/>
      <c r="R49" s="139"/>
      <c r="S49" s="139"/>
      <c r="T49" s="139"/>
      <c r="U49" s="139"/>
      <c r="V49" s="139"/>
      <c r="W49" s="139"/>
      <c r="X49" s="139"/>
      <c r="Y49" s="139"/>
      <c r="Z49" s="139"/>
    </row>
    <row r="50" spans="1:26">
      <c r="A50" s="139"/>
      <c r="B50" s="139"/>
      <c r="C50" s="139"/>
      <c r="D50" s="139"/>
      <c r="P50" s="139"/>
      <c r="Q50" s="139"/>
      <c r="R50" s="139"/>
      <c r="S50" s="139"/>
      <c r="T50" s="139"/>
      <c r="U50" s="139"/>
      <c r="V50" s="139"/>
      <c r="W50" s="139"/>
      <c r="X50" s="139"/>
      <c r="Y50" s="139"/>
      <c r="Z50" s="139"/>
    </row>
    <row r="51" spans="1:26">
      <c r="A51" s="139"/>
      <c r="B51" s="139"/>
      <c r="C51" s="139"/>
      <c r="D51" s="139"/>
      <c r="E51" s="139"/>
      <c r="F51" s="139"/>
      <c r="G51" s="139"/>
      <c r="H51" s="139"/>
      <c r="I51" s="139"/>
      <c r="J51" s="139"/>
      <c r="K51" s="139"/>
      <c r="L51" s="139"/>
      <c r="M51" s="139"/>
      <c r="N51" s="139"/>
      <c r="O51" s="139"/>
      <c r="P51" s="139"/>
      <c r="Q51" s="139"/>
      <c r="R51" s="139"/>
      <c r="S51" s="139"/>
      <c r="T51" s="139"/>
      <c r="U51" s="139"/>
      <c r="V51" s="139"/>
      <c r="W51" s="139"/>
      <c r="X51" s="139"/>
      <c r="Y51" s="139"/>
      <c r="Z51" s="139"/>
    </row>
    <row r="52" spans="1:26">
      <c r="A52" s="139"/>
      <c r="B52" s="139"/>
      <c r="C52" s="139"/>
      <c r="D52" s="139"/>
      <c r="E52" s="139"/>
      <c r="F52" s="139"/>
      <c r="G52" s="139"/>
      <c r="H52" s="139"/>
      <c r="I52" s="139"/>
      <c r="J52" s="139"/>
      <c r="K52" s="139"/>
      <c r="L52" s="139"/>
      <c r="M52" s="139"/>
      <c r="N52" s="139"/>
      <c r="O52" s="139"/>
      <c r="P52" s="139"/>
      <c r="Q52" s="139"/>
      <c r="R52" s="139"/>
      <c r="S52" s="139"/>
      <c r="T52" s="139"/>
      <c r="U52" s="139"/>
      <c r="V52" s="139"/>
      <c r="W52" s="139"/>
      <c r="X52" s="139"/>
      <c r="Y52" s="139"/>
      <c r="Z52" s="139"/>
    </row>
    <row r="53" spans="1:26">
      <c r="A53" s="139"/>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c r="A54" s="139"/>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139"/>
    </row>
    <row r="55" spans="1:26">
      <c r="A55" s="139"/>
      <c r="B55" s="139"/>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row>
    <row r="56" spans="1:26">
      <c r="A56" s="139"/>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row>
    <row r="57" spans="1:26">
      <c r="A57" s="139"/>
      <c r="B57" s="139"/>
      <c r="C57" s="139"/>
      <c r="D57" s="139"/>
      <c r="E57" s="139"/>
      <c r="F57" s="139"/>
      <c r="G57" s="139"/>
      <c r="H57" s="139"/>
      <c r="I57" s="139"/>
      <c r="J57" s="139"/>
      <c r="K57" s="139"/>
      <c r="L57" s="139"/>
      <c r="M57" s="139"/>
      <c r="N57" s="139"/>
      <c r="O57" s="139"/>
      <c r="P57" s="139"/>
      <c r="Q57" s="139"/>
      <c r="R57" s="139"/>
      <c r="S57" s="139"/>
      <c r="T57" s="139"/>
      <c r="U57" s="139"/>
      <c r="V57" s="139"/>
      <c r="W57" s="139"/>
      <c r="X57" s="139"/>
      <c r="Y57" s="139"/>
      <c r="Z57" s="139"/>
    </row>
    <row r="58" spans="1:26">
      <c r="A58" s="139"/>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c r="A59" s="139"/>
      <c r="B59" s="139"/>
      <c r="C59" s="139"/>
      <c r="D59" s="139"/>
      <c r="E59" s="139"/>
      <c r="F59" s="139"/>
      <c r="G59" s="139"/>
      <c r="H59" s="139"/>
      <c r="I59" s="139"/>
      <c r="J59" s="139"/>
      <c r="K59" s="139"/>
      <c r="L59" s="139"/>
      <c r="M59" s="139"/>
      <c r="N59" s="139"/>
      <c r="O59" s="139"/>
      <c r="P59" s="139"/>
      <c r="Q59" s="139"/>
      <c r="R59" s="139"/>
      <c r="S59" s="139"/>
      <c r="T59" s="139"/>
      <c r="U59" s="139"/>
      <c r="V59" s="139"/>
      <c r="W59" s="139"/>
      <c r="X59" s="139"/>
      <c r="Y59" s="139"/>
      <c r="Z59" s="139"/>
    </row>
    <row r="60" spans="1:26">
      <c r="A60" s="139"/>
      <c r="B60" s="139"/>
      <c r="C60" s="139"/>
      <c r="D60" s="139"/>
      <c r="E60" s="139"/>
      <c r="F60" s="139"/>
      <c r="G60" s="139"/>
      <c r="H60" s="139"/>
      <c r="I60" s="139"/>
      <c r="J60" s="139"/>
      <c r="K60" s="139"/>
      <c r="L60" s="139"/>
      <c r="M60" s="139"/>
      <c r="N60" s="139"/>
      <c r="O60" s="139"/>
      <c r="P60" s="139"/>
      <c r="Q60" s="139"/>
      <c r="R60" s="139"/>
      <c r="S60" s="139"/>
      <c r="T60" s="139"/>
      <c r="U60" s="139"/>
      <c r="V60" s="139"/>
      <c r="W60" s="139"/>
      <c r="X60" s="139"/>
      <c r="Y60" s="139"/>
      <c r="Z60" s="139"/>
    </row>
    <row r="61" spans="1:26">
      <c r="A61" s="139"/>
      <c r="B61" s="139"/>
      <c r="C61" s="139"/>
      <c r="D61" s="139"/>
      <c r="E61" s="139"/>
      <c r="F61" s="139"/>
      <c r="G61" s="139"/>
      <c r="H61" s="139"/>
      <c r="I61" s="139"/>
      <c r="J61" s="139"/>
      <c r="K61" s="139"/>
      <c r="L61" s="139"/>
      <c r="M61" s="139"/>
      <c r="N61" s="139"/>
      <c r="O61" s="139"/>
      <c r="P61" s="139"/>
      <c r="Q61" s="139"/>
      <c r="R61" s="139"/>
      <c r="S61" s="139"/>
      <c r="T61" s="139"/>
      <c r="U61" s="139"/>
      <c r="V61" s="139"/>
      <c r="W61" s="139"/>
      <c r="X61" s="139"/>
      <c r="Y61" s="139"/>
      <c r="Z61" s="139"/>
    </row>
    <row r="62" spans="1:26">
      <c r="A62" s="139"/>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139"/>
    </row>
    <row r="63" spans="1:26">
      <c r="A63" s="139"/>
      <c r="B63" s="139"/>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row>
    <row r="64" spans="1:26">
      <c r="A64" s="139"/>
      <c r="B64" s="139"/>
      <c r="C64" s="139"/>
      <c r="D64" s="139"/>
      <c r="E64" s="139"/>
      <c r="F64" s="139"/>
      <c r="G64" s="139"/>
      <c r="H64" s="139"/>
      <c r="I64" s="139"/>
      <c r="J64" s="139"/>
      <c r="K64" s="139"/>
      <c r="L64" s="139"/>
      <c r="M64" s="139"/>
      <c r="N64" s="139"/>
      <c r="O64" s="139"/>
      <c r="P64" s="139"/>
      <c r="Q64" s="139"/>
      <c r="R64" s="139"/>
      <c r="S64" s="139"/>
      <c r="T64" s="139"/>
      <c r="U64" s="139"/>
      <c r="V64" s="139"/>
      <c r="W64" s="139"/>
      <c r="X64" s="139"/>
      <c r="Y64" s="139"/>
      <c r="Z64" s="139"/>
    </row>
    <row r="65" spans="1:26">
      <c r="A65" s="139"/>
      <c r="B65" s="139"/>
      <c r="C65" s="139"/>
      <c r="D65" s="139"/>
      <c r="E65" s="139"/>
      <c r="F65" s="139"/>
      <c r="G65" s="139"/>
      <c r="H65" s="139"/>
      <c r="I65" s="139"/>
      <c r="J65" s="139"/>
      <c r="K65" s="139"/>
      <c r="L65" s="139"/>
      <c r="M65" s="139"/>
      <c r="N65" s="139"/>
      <c r="O65" s="139"/>
      <c r="P65" s="139"/>
      <c r="Q65" s="139"/>
      <c r="R65" s="139"/>
      <c r="S65" s="139"/>
      <c r="T65" s="139"/>
      <c r="U65" s="139"/>
      <c r="V65" s="139"/>
      <c r="W65" s="139"/>
      <c r="X65" s="139"/>
      <c r="Y65" s="139"/>
      <c r="Z65" s="139"/>
    </row>
    <row r="66" spans="1:26">
      <c r="A66" s="139"/>
      <c r="B66" s="139"/>
      <c r="C66" s="139"/>
      <c r="D66" s="139"/>
      <c r="E66" s="139"/>
      <c r="F66" s="139"/>
      <c r="G66" s="139"/>
      <c r="H66" s="139"/>
      <c r="I66" s="139"/>
      <c r="J66" s="139"/>
      <c r="K66" s="139"/>
      <c r="L66" s="139"/>
      <c r="M66" s="139"/>
      <c r="N66" s="139"/>
      <c r="O66" s="139"/>
      <c r="P66" s="139"/>
      <c r="Q66" s="139"/>
      <c r="R66" s="139"/>
      <c r="S66" s="139"/>
      <c r="T66" s="139"/>
      <c r="U66" s="139"/>
      <c r="V66" s="139"/>
      <c r="W66" s="139"/>
      <c r="X66" s="139"/>
      <c r="Y66" s="139"/>
      <c r="Z66" s="139"/>
    </row>
    <row r="67" spans="1:26">
      <c r="A67" s="139"/>
      <c r="B67" s="139"/>
      <c r="C67" s="139"/>
      <c r="D67" s="139"/>
      <c r="E67" s="139"/>
      <c r="F67" s="139"/>
      <c r="G67" s="139"/>
      <c r="H67" s="139"/>
      <c r="I67" s="139"/>
      <c r="J67" s="139"/>
      <c r="K67" s="139"/>
      <c r="L67" s="139"/>
      <c r="M67" s="139"/>
      <c r="N67" s="139"/>
      <c r="O67" s="139"/>
      <c r="P67" s="139"/>
      <c r="Q67" s="139"/>
      <c r="R67" s="139"/>
      <c r="S67" s="139"/>
      <c r="T67" s="139"/>
      <c r="U67" s="139"/>
      <c r="V67" s="139"/>
      <c r="W67" s="139"/>
      <c r="X67" s="139"/>
      <c r="Y67" s="139"/>
      <c r="Z67" s="139"/>
    </row>
    <row r="68" spans="1:26">
      <c r="A68" s="139"/>
      <c r="B68" s="139"/>
      <c r="C68" s="139"/>
      <c r="D68" s="139"/>
      <c r="E68" s="139"/>
      <c r="F68" s="139"/>
      <c r="G68" s="139"/>
      <c r="H68" s="139"/>
      <c r="I68" s="139"/>
      <c r="J68" s="139"/>
      <c r="K68" s="139"/>
      <c r="L68" s="139"/>
      <c r="M68" s="139"/>
      <c r="N68" s="139"/>
      <c r="O68" s="139"/>
      <c r="P68" s="139"/>
      <c r="Q68" s="139"/>
      <c r="R68" s="139"/>
      <c r="S68" s="139"/>
      <c r="T68" s="139"/>
      <c r="U68" s="139"/>
      <c r="V68" s="139"/>
      <c r="W68" s="139"/>
      <c r="X68" s="139"/>
      <c r="Y68" s="139"/>
      <c r="Z68" s="139"/>
    </row>
    <row r="69" spans="1:26">
      <c r="A69" s="139"/>
      <c r="B69" s="139"/>
      <c r="C69" s="139"/>
      <c r="D69" s="139"/>
      <c r="E69" s="139"/>
      <c r="F69" s="139"/>
      <c r="G69" s="139"/>
      <c r="H69" s="139"/>
      <c r="I69" s="139"/>
      <c r="J69" s="139"/>
      <c r="K69" s="139"/>
      <c r="L69" s="139"/>
      <c r="M69" s="139"/>
      <c r="N69" s="139"/>
      <c r="O69" s="139"/>
      <c r="P69" s="139"/>
      <c r="Q69" s="139"/>
      <c r="R69" s="139"/>
      <c r="S69" s="139"/>
      <c r="T69" s="139"/>
      <c r="U69" s="139"/>
      <c r="V69" s="139"/>
      <c r="W69" s="139"/>
      <c r="X69" s="139"/>
      <c r="Y69" s="139"/>
      <c r="Z69" s="139"/>
    </row>
    <row r="70" spans="1:26">
      <c r="A70" s="139"/>
      <c r="B70" s="139"/>
      <c r="C70" s="139"/>
      <c r="D70" s="139"/>
      <c r="E70" s="139"/>
      <c r="F70" s="139"/>
      <c r="G70" s="139"/>
      <c r="H70" s="139"/>
      <c r="I70" s="139"/>
      <c r="J70" s="139"/>
      <c r="K70" s="139"/>
      <c r="L70" s="139"/>
      <c r="M70" s="139"/>
      <c r="N70" s="139"/>
      <c r="O70" s="139"/>
      <c r="P70" s="139"/>
      <c r="Q70" s="139"/>
      <c r="R70" s="139"/>
      <c r="S70" s="139"/>
      <c r="T70" s="139"/>
      <c r="U70" s="139"/>
      <c r="V70" s="139"/>
      <c r="W70" s="139"/>
      <c r="X70" s="139"/>
      <c r="Y70" s="139"/>
      <c r="Z70" s="139"/>
    </row>
    <row r="71" spans="1:26">
      <c r="A71" s="139"/>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139"/>
    </row>
    <row r="72" spans="1:26">
      <c r="A72" s="139"/>
      <c r="B72" s="139"/>
      <c r="C72" s="139"/>
      <c r="D72" s="139"/>
      <c r="E72" s="139"/>
      <c r="F72" s="139"/>
      <c r="G72" s="139"/>
      <c r="H72" s="139"/>
      <c r="I72" s="139"/>
      <c r="J72" s="139"/>
      <c r="K72" s="139"/>
      <c r="L72" s="139"/>
      <c r="M72" s="139"/>
      <c r="N72" s="139"/>
      <c r="O72" s="139"/>
      <c r="P72" s="139"/>
      <c r="Q72" s="139"/>
      <c r="R72" s="139"/>
      <c r="S72" s="139"/>
      <c r="T72" s="139"/>
      <c r="U72" s="139"/>
      <c r="V72" s="139"/>
      <c r="W72" s="139"/>
      <c r="X72" s="139"/>
      <c r="Y72" s="139"/>
      <c r="Z72" s="139"/>
    </row>
    <row r="73" spans="1:26">
      <c r="A73" s="139"/>
      <c r="B73" s="139"/>
      <c r="C73" s="139"/>
      <c r="D73" s="139"/>
      <c r="E73" s="139"/>
      <c r="F73" s="139"/>
      <c r="G73" s="139"/>
      <c r="H73" s="139"/>
      <c r="I73" s="139"/>
      <c r="J73" s="139"/>
      <c r="K73" s="139"/>
      <c r="L73" s="139"/>
      <c r="M73" s="139"/>
      <c r="N73" s="139"/>
      <c r="O73" s="139"/>
      <c r="P73" s="139"/>
      <c r="Q73" s="139"/>
      <c r="R73" s="139"/>
      <c r="S73" s="139"/>
      <c r="T73" s="139"/>
      <c r="U73" s="139"/>
      <c r="V73" s="139"/>
      <c r="W73" s="139"/>
      <c r="X73" s="139"/>
      <c r="Y73" s="139"/>
      <c r="Z73" s="139"/>
    </row>
    <row r="74" spans="1:26">
      <c r="A74" s="139"/>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row>
    <row r="75" spans="1:26">
      <c r="A75" s="139"/>
      <c r="B75" s="139"/>
      <c r="C75" s="139"/>
      <c r="D75" s="139"/>
      <c r="E75" s="139"/>
      <c r="F75" s="139"/>
      <c r="G75" s="139"/>
      <c r="H75" s="139"/>
      <c r="I75" s="139"/>
      <c r="J75" s="139"/>
      <c r="K75" s="139"/>
      <c r="L75" s="139"/>
      <c r="M75" s="139"/>
      <c r="N75" s="139"/>
      <c r="O75" s="139"/>
      <c r="P75" s="139"/>
      <c r="Q75" s="139"/>
      <c r="R75" s="139"/>
      <c r="S75" s="139"/>
      <c r="T75" s="139"/>
      <c r="U75" s="139"/>
      <c r="V75" s="139"/>
      <c r="W75" s="139"/>
      <c r="X75" s="139"/>
      <c r="Y75" s="139"/>
      <c r="Z75" s="139"/>
    </row>
    <row r="76" spans="1:26">
      <c r="A76" s="139"/>
      <c r="B76" s="139"/>
      <c r="C76" s="139"/>
      <c r="D76" s="139"/>
      <c r="E76" s="139"/>
      <c r="F76" s="139"/>
      <c r="G76" s="139"/>
      <c r="H76" s="139"/>
      <c r="I76" s="139"/>
      <c r="J76" s="139"/>
      <c r="K76" s="139"/>
      <c r="L76" s="139"/>
      <c r="M76" s="139"/>
      <c r="N76" s="139"/>
      <c r="O76" s="139"/>
      <c r="P76" s="139"/>
      <c r="Q76" s="139"/>
      <c r="R76" s="139"/>
      <c r="S76" s="139"/>
      <c r="T76" s="139"/>
      <c r="U76" s="139"/>
      <c r="V76" s="139"/>
      <c r="W76" s="139"/>
      <c r="X76" s="139"/>
      <c r="Y76" s="139"/>
      <c r="Z76" s="139"/>
    </row>
    <row r="77" spans="1:26">
      <c r="A77" s="139"/>
      <c r="B77" s="139"/>
      <c r="C77" s="139"/>
      <c r="D77" s="139"/>
      <c r="E77" s="139"/>
      <c r="F77" s="139"/>
      <c r="G77" s="139"/>
      <c r="H77" s="139"/>
      <c r="I77" s="139"/>
      <c r="J77" s="139"/>
      <c r="K77" s="139"/>
      <c r="L77" s="139"/>
      <c r="M77" s="139"/>
      <c r="N77" s="139"/>
      <c r="O77" s="139"/>
      <c r="P77" s="139"/>
      <c r="Q77" s="139"/>
      <c r="R77" s="139"/>
      <c r="S77" s="139"/>
      <c r="T77" s="139"/>
      <c r="U77" s="139"/>
      <c r="V77" s="139"/>
      <c r="W77" s="139"/>
      <c r="X77" s="139"/>
      <c r="Y77" s="139"/>
      <c r="Z77" s="139"/>
    </row>
    <row r="78" spans="1:26">
      <c r="A78" s="139"/>
      <c r="B78" s="139"/>
      <c r="C78" s="139"/>
      <c r="D78" s="139"/>
      <c r="E78" s="139"/>
      <c r="F78" s="139"/>
      <c r="G78" s="139"/>
      <c r="H78" s="139"/>
      <c r="I78" s="139"/>
      <c r="J78" s="139"/>
      <c r="K78" s="139"/>
      <c r="L78" s="139"/>
      <c r="M78" s="139"/>
      <c r="N78" s="139"/>
      <c r="O78" s="139"/>
      <c r="P78" s="139"/>
      <c r="Q78" s="139"/>
      <c r="R78" s="139"/>
      <c r="S78" s="139"/>
      <c r="T78" s="139"/>
      <c r="U78" s="139"/>
      <c r="V78" s="139"/>
      <c r="W78" s="139"/>
      <c r="X78" s="139"/>
      <c r="Y78" s="139"/>
      <c r="Z78" s="139"/>
    </row>
    <row r="79" spans="1:26">
      <c r="A79" s="139"/>
      <c r="B79" s="139"/>
      <c r="C79" s="139"/>
      <c r="D79" s="139"/>
      <c r="E79" s="139"/>
      <c r="F79" s="139"/>
      <c r="G79" s="139"/>
      <c r="H79" s="139"/>
      <c r="I79" s="139"/>
      <c r="J79" s="139"/>
      <c r="K79" s="139"/>
      <c r="L79" s="139"/>
      <c r="M79" s="139"/>
      <c r="N79" s="139"/>
      <c r="O79" s="139"/>
      <c r="P79" s="139"/>
      <c r="Q79" s="139"/>
      <c r="R79" s="139"/>
      <c r="S79" s="139"/>
      <c r="T79" s="139"/>
      <c r="U79" s="139"/>
      <c r="V79" s="139"/>
      <c r="W79" s="139"/>
      <c r="X79" s="139"/>
      <c r="Y79" s="139"/>
      <c r="Z79" s="139"/>
    </row>
    <row r="80" spans="1:26">
      <c r="A80" s="139"/>
      <c r="B80" s="139"/>
      <c r="C80" s="139"/>
      <c r="D80" s="139"/>
      <c r="E80" s="139"/>
      <c r="F80" s="139"/>
      <c r="G80" s="139"/>
      <c r="H80" s="139"/>
      <c r="I80" s="139"/>
      <c r="J80" s="139"/>
      <c r="K80" s="139"/>
      <c r="L80" s="139"/>
      <c r="M80" s="139"/>
      <c r="N80" s="139"/>
      <c r="O80" s="139"/>
      <c r="P80" s="139"/>
      <c r="Q80" s="139"/>
      <c r="R80" s="139"/>
      <c r="S80" s="139"/>
      <c r="T80" s="139"/>
      <c r="U80" s="139"/>
      <c r="V80" s="139"/>
      <c r="W80" s="139"/>
      <c r="X80" s="139"/>
      <c r="Y80" s="139"/>
      <c r="Z80" s="139"/>
    </row>
    <row r="81" spans="1:26">
      <c r="A81" s="139"/>
      <c r="B81" s="139"/>
      <c r="C81" s="139"/>
      <c r="D81" s="139"/>
      <c r="E81" s="139"/>
      <c r="F81" s="139"/>
      <c r="G81" s="139"/>
      <c r="H81" s="139"/>
      <c r="I81" s="139"/>
      <c r="J81" s="139"/>
      <c r="K81" s="139"/>
      <c r="L81" s="139"/>
      <c r="M81" s="139"/>
      <c r="N81" s="139"/>
      <c r="O81" s="139"/>
      <c r="P81" s="139"/>
      <c r="Q81" s="139"/>
      <c r="R81" s="139"/>
      <c r="S81" s="139"/>
      <c r="T81" s="139"/>
      <c r="U81" s="139"/>
      <c r="V81" s="139"/>
      <c r="W81" s="139"/>
      <c r="X81" s="139"/>
      <c r="Y81" s="139"/>
      <c r="Z81" s="139"/>
    </row>
    <row r="82" spans="1:26">
      <c r="A82" s="139"/>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139"/>
    </row>
    <row r="83" spans="1:26">
      <c r="A83" s="139"/>
      <c r="B83" s="139"/>
      <c r="C83" s="139"/>
      <c r="D83" s="139"/>
      <c r="E83" s="139"/>
      <c r="F83" s="139"/>
      <c r="G83" s="139"/>
      <c r="H83" s="139"/>
      <c r="I83" s="139"/>
      <c r="J83" s="139"/>
      <c r="K83" s="139"/>
      <c r="L83" s="139"/>
      <c r="M83" s="139"/>
      <c r="N83" s="139"/>
      <c r="O83" s="139"/>
      <c r="P83" s="139"/>
      <c r="Q83" s="139"/>
      <c r="R83" s="139"/>
      <c r="S83" s="139"/>
      <c r="T83" s="139"/>
      <c r="U83" s="139"/>
      <c r="V83" s="139"/>
      <c r="W83" s="139"/>
      <c r="X83" s="139"/>
      <c r="Y83" s="139"/>
      <c r="Z83" s="139"/>
    </row>
    <row r="84" spans="1:26">
      <c r="A84" s="139"/>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139"/>
    </row>
    <row r="85" spans="1:26">
      <c r="A85" s="139"/>
      <c r="B85" s="139"/>
      <c r="C85" s="139"/>
      <c r="D85" s="139"/>
      <c r="E85" s="139"/>
      <c r="F85" s="139"/>
      <c r="G85" s="139"/>
      <c r="H85" s="139"/>
      <c r="I85" s="139"/>
      <c r="J85" s="139"/>
      <c r="K85" s="139"/>
      <c r="L85" s="139"/>
      <c r="M85" s="139"/>
      <c r="N85" s="139"/>
      <c r="O85" s="139"/>
      <c r="P85" s="139"/>
      <c r="Q85" s="139"/>
      <c r="R85" s="139"/>
      <c r="S85" s="139"/>
      <c r="T85" s="139"/>
      <c r="U85" s="139"/>
      <c r="V85" s="139"/>
      <c r="W85" s="139"/>
      <c r="X85" s="139"/>
      <c r="Y85" s="139"/>
      <c r="Z85" s="139"/>
    </row>
    <row r="86" spans="1:26">
      <c r="A86" s="139"/>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row>
  </sheetData>
  <sheetProtection selectLockedCells="1"/>
  <mergeCells count="8">
    <mergeCell ref="A15:D15"/>
    <mergeCell ref="A23:C23"/>
    <mergeCell ref="A16:D17"/>
    <mergeCell ref="A18:C18"/>
    <mergeCell ref="A19:C19"/>
    <mergeCell ref="A20:C20"/>
    <mergeCell ref="A21:C21"/>
    <mergeCell ref="A22:C22"/>
  </mergeCells>
  <phoneticPr fontId="3" type="noConversion"/>
  <conditionalFormatting sqref="K50">
    <cfRule type="cellIs" dxfId="32" priority="1" stopIfTrue="1" operator="equal">
      <formula>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7" r:id="rId4" name="Button 5">
              <controlPr defaultSize="0" print="0" autoFill="0" autoPict="0" macro="[0]!go_main_page">
                <anchor moveWithCells="1" sizeWithCells="1">
                  <from>
                    <xdr:col>0</xdr:col>
                    <xdr:colOff>76200</xdr:colOff>
                    <xdr:row>0</xdr:row>
                    <xdr:rowOff>50800</xdr:rowOff>
                  </from>
                  <to>
                    <xdr:col>0</xdr:col>
                    <xdr:colOff>1447800</xdr:colOff>
                    <xdr:row>3</xdr:row>
                    <xdr:rowOff>31750</xdr:rowOff>
                  </to>
                </anchor>
              </controlPr>
            </control>
          </mc:Choice>
        </mc:AlternateContent>
        <mc:AlternateContent xmlns:mc="http://schemas.openxmlformats.org/markup-compatibility/2006">
          <mc:Choice Requires="x14">
            <control shapeId="23558" r:id="rId5" name="Button 6">
              <controlPr defaultSize="0" print="0" autoFill="0" autoPict="0" macro="[0]!go_figures_public_finance">
                <anchor moveWithCells="1" sizeWithCells="1">
                  <from>
                    <xdr:col>0</xdr:col>
                    <xdr:colOff>76200</xdr:colOff>
                    <xdr:row>6</xdr:row>
                    <xdr:rowOff>152400</xdr:rowOff>
                  </from>
                  <to>
                    <xdr:col>0</xdr:col>
                    <xdr:colOff>1447800</xdr:colOff>
                    <xdr:row>10</xdr:row>
                    <xdr:rowOff>0</xdr:rowOff>
                  </to>
                </anchor>
              </controlPr>
            </control>
          </mc:Choice>
        </mc:AlternateContent>
        <mc:AlternateContent xmlns:mc="http://schemas.openxmlformats.org/markup-compatibility/2006">
          <mc:Choice Requires="x14">
            <control shapeId="23559" r:id="rId6" name="Button 7">
              <controlPr defaultSize="0" print="0" autoFill="0" autoPict="0" macro="[0]!go_numerical_results">
                <anchor moveWithCells="1" sizeWithCells="1">
                  <from>
                    <xdr:col>0</xdr:col>
                    <xdr:colOff>76200</xdr:colOff>
                    <xdr:row>10</xdr:row>
                    <xdr:rowOff>69850</xdr:rowOff>
                  </from>
                  <to>
                    <xdr:col>0</xdr:col>
                    <xdr:colOff>1447800</xdr:colOff>
                    <xdr:row>13</xdr:row>
                    <xdr:rowOff>38100</xdr:rowOff>
                  </to>
                </anchor>
              </controlPr>
            </control>
          </mc:Choice>
        </mc:AlternateContent>
        <mc:AlternateContent xmlns:mc="http://schemas.openxmlformats.org/markup-compatibility/2006">
          <mc:Choice Requires="x14">
            <control shapeId="23569" r:id="rId7" name="Button 17">
              <controlPr defaultSize="0" print="0" autoFill="0" autoPict="0" macro="[0]!go_figures_inflation_income_rates">
                <anchor moveWithCells="1" sizeWithCells="1">
                  <from>
                    <xdr:col>0</xdr:col>
                    <xdr:colOff>76200</xdr:colOff>
                    <xdr:row>3</xdr:row>
                    <xdr:rowOff>114300</xdr:rowOff>
                  </from>
                  <to>
                    <xdr:col>0</xdr:col>
                    <xdr:colOff>1447800</xdr:colOff>
                    <xdr:row>6</xdr:row>
                    <xdr:rowOff>76200</xdr:rowOff>
                  </to>
                </anchor>
              </controlPr>
            </control>
          </mc:Choice>
        </mc:AlternateContent>
        <mc:AlternateContent xmlns:mc="http://schemas.openxmlformats.org/markup-compatibility/2006">
          <mc:Choice Requires="x14">
            <control shapeId="23572" r:id="rId8" name="Button 20">
              <controlPr defaultSize="0" print="0" autoFill="0" autoPict="0" macro="[0]!change_timespan2">
                <anchor moveWithCells="1" sizeWithCells="1">
                  <from>
                    <xdr:col>0</xdr:col>
                    <xdr:colOff>57150</xdr:colOff>
                    <xdr:row>25</xdr:row>
                    <xdr:rowOff>12700</xdr:rowOff>
                  </from>
                  <to>
                    <xdr:col>0</xdr:col>
                    <xdr:colOff>1371600</xdr:colOff>
                    <xdr:row>28</xdr:row>
                    <xdr:rowOff>50800</xdr:rowOff>
                  </to>
                </anchor>
              </controlPr>
            </control>
          </mc:Choice>
        </mc:AlternateContent>
        <mc:AlternateContent xmlns:mc="http://schemas.openxmlformats.org/markup-compatibility/2006">
          <mc:Choice Requires="x14">
            <control shapeId="23573" r:id="rId9" name="Button 21">
              <controlPr defaultSize="0" print="0" autoFill="0" autoPict="0" macro="[0]!NIIP_aclaración">
                <anchor moveWithCells="1" sizeWithCells="1">
                  <from>
                    <xdr:col>10</xdr:col>
                    <xdr:colOff>336550</xdr:colOff>
                    <xdr:row>38</xdr:row>
                    <xdr:rowOff>95250</xdr:rowOff>
                  </from>
                  <to>
                    <xdr:col>10</xdr:col>
                    <xdr:colOff>495300</xdr:colOff>
                    <xdr:row>39</xdr:row>
                    <xdr:rowOff>76200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15"/>
  <dimension ref="A2:K510"/>
  <sheetViews>
    <sheetView workbookViewId="0">
      <selection activeCell="H5" sqref="H5"/>
    </sheetView>
  </sheetViews>
  <sheetFormatPr defaultColWidth="10.90625" defaultRowHeight="12.5"/>
  <cols>
    <col min="2" max="2" width="13.81640625" style="35" bestFit="1" customWidth="1"/>
    <col min="3" max="3" width="11.453125" style="35"/>
    <col min="4" max="4" width="35.453125" style="96" bestFit="1" customWidth="1"/>
    <col min="5" max="5" width="18.7265625" style="35" bestFit="1" customWidth="1"/>
    <col min="6" max="6" width="18.7265625" customWidth="1"/>
    <col min="8" max="8" width="11.453125" style="35"/>
    <col min="10" max="10" width="32" bestFit="1" customWidth="1"/>
  </cols>
  <sheetData>
    <row r="2" spans="1:11">
      <c r="B2" s="35" t="s">
        <v>145</v>
      </c>
      <c r="C2" s="35" t="s">
        <v>146</v>
      </c>
      <c r="D2" s="96" t="s">
        <v>147</v>
      </c>
      <c r="E2" s="35" t="s">
        <v>157</v>
      </c>
      <c r="F2" t="s">
        <v>156</v>
      </c>
      <c r="G2" t="s">
        <v>155</v>
      </c>
      <c r="H2" s="35" t="s">
        <v>148</v>
      </c>
    </row>
    <row r="3" spans="1:11">
      <c r="A3">
        <v>1</v>
      </c>
      <c r="B3" s="35">
        <f>('normal case'!AJ3*($K$6*'normal case'!D3*('normal case'!AJ3^'external balance'!$K$4)))/'normal case'!D3</f>
        <v>0.3</v>
      </c>
      <c r="C3" s="35">
        <f>($K$5*$K$7*((1+$K$8)^'normal case'!A2)*'normal case'!AJ3^$K$3)/'normal case'!D3</f>
        <v>0.3</v>
      </c>
      <c r="D3" s="96">
        <f>(C3-B3)+((('main page'!$U$38/100)*'normal case'!$D$3)/'normal case'!$D$3)</f>
        <v>0</v>
      </c>
      <c r="E3" s="35">
        <f>(('normal case'!T3/100)*'external balance'!G3)/('normal case'!D3*'normal case'!AK3)</f>
        <v>0</v>
      </c>
      <c r="F3" s="35">
        <f>D3+E3</f>
        <v>0</v>
      </c>
      <c r="G3">
        <f>H3*('normal case'!D3*'normal case'!AK3)</f>
        <v>0</v>
      </c>
      <c r="H3" s="35">
        <f>'main page'!U39/100</f>
        <v>0</v>
      </c>
      <c r="J3" t="s">
        <v>149</v>
      </c>
      <c r="K3">
        <v>0.7</v>
      </c>
    </row>
    <row r="4" spans="1:11">
      <c r="A4">
        <v>2</v>
      </c>
      <c r="B4" s="35">
        <f ca="1">('normal case'!AJ4*($K$6*'normal case'!D4*('normal case'!AJ4^'external balance'!$K$4)))/'normal case'!D4</f>
        <v>0.3</v>
      </c>
      <c r="C4" s="35">
        <f ca="1">($K$5*$K$7*((1+$K$8)^'normal case'!A3)*'normal case'!AJ4^$K$3)/'normal case'!D4</f>
        <v>0.3</v>
      </c>
      <c r="D4" s="96">
        <f ca="1">(C4-B4)+((('main page'!$U$38/100)*'normal case'!$D$3)/'normal case'!$D$3)</f>
        <v>0</v>
      </c>
      <c r="E4" s="35">
        <f ca="1">((('normal case'!T4/100)*'external balance'!H3)/('normal case'!D4/'normal case'!D3))</f>
        <v>0</v>
      </c>
      <c r="F4" s="35">
        <f ca="1">IF(ABS(D4+E4-F3)&lt;0.0000001,F3,D4+E4)</f>
        <v>0</v>
      </c>
      <c r="H4" s="35">
        <f ca="1">D4+((1+'normal case'!T4/100)/('normal case'!D4/'normal case'!D3))*'external balance'!H3</f>
        <v>0</v>
      </c>
      <c r="I4" s="35"/>
      <c r="J4" t="s">
        <v>150</v>
      </c>
      <c r="K4">
        <v>-0.7</v>
      </c>
    </row>
    <row r="5" spans="1:11">
      <c r="A5">
        <v>3</v>
      </c>
      <c r="B5" s="35">
        <f ca="1">('normal case'!AJ5*($K$6*'normal case'!D5*('normal case'!AJ5^'external balance'!$K$4)))/'normal case'!D5</f>
        <v>0.3</v>
      </c>
      <c r="C5" s="35">
        <f ca="1">($K$5*$K$7*((1+$K$8)^'normal case'!A4)*'normal case'!AJ5^$K$3)/'normal case'!D5</f>
        <v>0.3</v>
      </c>
      <c r="D5" s="96">
        <f ca="1">(C5-B5)+((('main page'!$U$38/100)*'normal case'!$D$3)/'normal case'!$D$3)</f>
        <v>0</v>
      </c>
      <c r="E5" s="35">
        <f ca="1">((('normal case'!T5/100)*'external balance'!H4)/('normal case'!D5/'normal case'!D4))</f>
        <v>0</v>
      </c>
      <c r="F5" s="35">
        <f t="shared" ref="F5:F68" ca="1" si="0">IF(ABS(D5+E5-F4)&lt;0.0000001,F4,D5+E5)</f>
        <v>0</v>
      </c>
      <c r="H5" s="35">
        <f ca="1">D5+((1+'normal case'!T5/100)/('normal case'!D5/'normal case'!D4))*'external balance'!H4</f>
        <v>0</v>
      </c>
      <c r="I5" s="35"/>
      <c r="J5" t="s">
        <v>151</v>
      </c>
      <c r="K5">
        <v>0.3</v>
      </c>
    </row>
    <row r="6" spans="1:11">
      <c r="A6">
        <v>4</v>
      </c>
      <c r="B6" s="35">
        <f ca="1">('normal case'!AJ6*($K$6*'normal case'!D6*('normal case'!AJ6^'external balance'!$K$4)))/'normal case'!D6</f>
        <v>0.3</v>
      </c>
      <c r="C6" s="35">
        <f ca="1">($K$5*$K$7*((1+$K$8)^'normal case'!A5)*'normal case'!AJ6^$K$3)/'normal case'!D6</f>
        <v>0.3</v>
      </c>
      <c r="D6" s="96">
        <f ca="1">(C6-B6)+((('main page'!$U$38/100)*'normal case'!$D$3)/'normal case'!$D$3)</f>
        <v>0</v>
      </c>
      <c r="E6" s="35">
        <f ca="1">((('normal case'!T6/100)*'external balance'!H5)/('normal case'!D6/'normal case'!D5))</f>
        <v>0</v>
      </c>
      <c r="F6" s="35">
        <f t="shared" ca="1" si="0"/>
        <v>0</v>
      </c>
      <c r="H6" s="35">
        <f ca="1">D6+((1+'normal case'!T6/100)/('normal case'!D6/'normal case'!D5))*'external balance'!H5</f>
        <v>0</v>
      </c>
      <c r="I6" s="35"/>
      <c r="J6" t="s">
        <v>152</v>
      </c>
      <c r="K6">
        <v>0.3</v>
      </c>
    </row>
    <row r="7" spans="1:11">
      <c r="A7">
        <v>5</v>
      </c>
      <c r="B7" s="35">
        <f ca="1">('normal case'!AJ7*($K$6*'normal case'!D7*('normal case'!AJ7^'external balance'!$K$4)))/'normal case'!D7</f>
        <v>0.30560760244666324</v>
      </c>
      <c r="C7" s="35">
        <f ca="1">($K$5*$K$7*((1+$K$8)^'normal case'!A6)*'normal case'!AJ7^$K$3)/'normal case'!D7</f>
        <v>0.31324779250782975</v>
      </c>
      <c r="D7" s="96">
        <f ca="1">(C7-B7)+((('main page'!$U$38/100)*'normal case'!$D$3)/'normal case'!$D$3)</f>
        <v>7.6401900611665075E-3</v>
      </c>
      <c r="E7" s="35">
        <f ca="1">((('normal case'!T7/100)*'external balance'!H6)/('normal case'!D7/'normal case'!D6))</f>
        <v>0</v>
      </c>
      <c r="F7" s="35">
        <f t="shared" ca="1" si="0"/>
        <v>7.6401900611665075E-3</v>
      </c>
      <c r="H7" s="35">
        <f ca="1">D7+((1+'normal case'!T7/100)/('normal case'!D7/'normal case'!D6))*'external balance'!H6</f>
        <v>7.6401900611665075E-3</v>
      </c>
      <c r="I7" s="35"/>
      <c r="J7" t="s">
        <v>153</v>
      </c>
      <c r="K7">
        <f>'normal case'!E3</f>
        <v>100</v>
      </c>
    </row>
    <row r="8" spans="1:11">
      <c r="A8">
        <v>6</v>
      </c>
      <c r="B8" s="35">
        <f ca="1">('normal case'!AJ8*($K$6*'normal case'!D8*('normal case'!AJ8^'external balance'!$K$4)))/'normal case'!D8</f>
        <v>0.30504215743517854</v>
      </c>
      <c r="C8" s="35">
        <f ca="1">($K$5*$K$7*((1+$K$8)^'normal case'!A7)*'normal case'!AJ8^$K$3)/'normal case'!D8</f>
        <v>0.30728778748177904</v>
      </c>
      <c r="D8" s="96">
        <f ca="1">(C8-B8)+((('main page'!$U$38/100)*'normal case'!$D$3)/'normal case'!$D$3)</f>
        <v>2.2456300466004997E-3</v>
      </c>
      <c r="E8" s="35">
        <f ca="1">((('normal case'!T8/100)*'external balance'!H7)/('normal case'!D8/'normal case'!D7))</f>
        <v>2.5404572863484695E-4</v>
      </c>
      <c r="F8" s="35">
        <f t="shared" ca="1" si="0"/>
        <v>2.4996757752353467E-3</v>
      </c>
      <c r="H8" s="35">
        <f ca="1">D8+((1+'normal case'!T8/100)/('normal case'!D8/'normal case'!D7))*'external balance'!H7</f>
        <v>1.0026956623675254E-2</v>
      </c>
      <c r="I8" s="35"/>
      <c r="J8" t="s">
        <v>154</v>
      </c>
      <c r="K8" s="35">
        <f>IF(controls!B33=2,0,'main page'!K36/100)</f>
        <v>0</v>
      </c>
    </row>
    <row r="9" spans="1:11">
      <c r="A9">
        <v>7</v>
      </c>
      <c r="B9" s="35">
        <f ca="1">('normal case'!AJ9*($K$6*'normal case'!D9*('normal case'!AJ9^'external balance'!$K$4)))/'normal case'!D9</f>
        <v>0.30475982737720519</v>
      </c>
      <c r="C9" s="35">
        <f ca="1">($K$5*$K$7*((1+$K$8)^'normal case'!A8)*'normal case'!AJ9^$K$3)/'normal case'!D9</f>
        <v>0.30738167482801459</v>
      </c>
      <c r="D9" s="96">
        <f ca="1">(C9-B9)+((('main page'!$U$38/100)*'normal case'!$D$3)/'normal case'!$D$3)</f>
        <v>2.6218474508094003E-3</v>
      </c>
      <c r="E9" s="35">
        <f ca="1">((('normal case'!T9/100)*'external balance'!H8)/('normal case'!D9/'normal case'!D8))</f>
        <v>3.4552768735596982E-4</v>
      </c>
      <c r="F9" s="35">
        <f t="shared" ca="1" si="0"/>
        <v>2.9673751381653702E-3</v>
      </c>
      <c r="H9" s="35">
        <f ca="1">D9+((1+'normal case'!T9/100)/('normal case'!D9/'normal case'!D8))*'external balance'!H8</f>
        <v>1.3019089679429947E-2</v>
      </c>
      <c r="I9" s="35"/>
    </row>
    <row r="10" spans="1:11">
      <c r="A10">
        <v>8</v>
      </c>
      <c r="B10" s="35">
        <f ca="1">('normal case'!AJ10*($K$6*'normal case'!D10*('normal case'!AJ10^'external balance'!$K$4)))/'normal case'!D10</f>
        <v>0.3046187603542152</v>
      </c>
      <c r="C10" s="35">
        <f ca="1">($K$5*$K$7*((1+$K$8)^'normal case'!A9)*'normal case'!AJ10^$K$3)/'normal case'!D10</f>
        <v>0.30742933153639307</v>
      </c>
      <c r="D10" s="96">
        <f ca="1">(C10-B10)+((('main page'!$U$38/100)*'normal case'!$D$3)/'normal case'!$D$3)</f>
        <v>2.8105711821778678E-3</v>
      </c>
      <c r="E10" s="35">
        <f ca="1">((('normal case'!T10/100)*'external balance'!H9)/('normal case'!D10/'normal case'!D9))</f>
        <v>4.5215789287606097E-4</v>
      </c>
      <c r="F10" s="35">
        <f t="shared" ca="1" si="0"/>
        <v>3.262729075053929E-3</v>
      </c>
      <c r="H10" s="35">
        <f ca="1">D10+((1+'normal case'!T10/100)/('normal case'!D10/'normal case'!D9))*'external balance'!H9</f>
        <v>1.6297911572381814E-2</v>
      </c>
      <c r="I10" s="35"/>
    </row>
    <row r="11" spans="1:11">
      <c r="A11">
        <v>9</v>
      </c>
      <c r="B11" s="35">
        <f ca="1">('normal case'!AJ11*($K$6*'normal case'!D11*('normal case'!AJ11^'external balance'!$K$4)))/'normal case'!D11</f>
        <v>0.30454825133098767</v>
      </c>
      <c r="C11" s="35">
        <f ca="1">($K$5*$K$7*((1+$K$8)^'normal case'!A10)*'normal case'!AJ11^$K$3)/'normal case'!D11</f>
        <v>0.30745333875124159</v>
      </c>
      <c r="D11" s="96">
        <f ca="1">(C11-B11)+((('main page'!$U$38/100)*'normal case'!$D$3)/'normal case'!$D$3)</f>
        <v>2.9050874202539156E-3</v>
      </c>
      <c r="E11" s="35">
        <f ca="1">((('normal case'!T11/100)*'external balance'!H10)/('normal case'!D11/'normal case'!D10))</f>
        <v>5.6823155013889265E-4</v>
      </c>
      <c r="F11" s="35">
        <f t="shared" ca="1" si="0"/>
        <v>3.4733189703928082E-3</v>
      </c>
      <c r="H11" s="35">
        <f ca="1">D11+((1+'normal case'!T11/100)/('normal case'!D11/'normal case'!D10))*'external balance'!H10</f>
        <v>1.9781309647024705E-2</v>
      </c>
      <c r="I11" s="35"/>
    </row>
    <row r="12" spans="1:11">
      <c r="A12">
        <v>10</v>
      </c>
      <c r="B12" s="35">
        <f ca="1">('normal case'!AJ12*($K$6*'normal case'!D12*('normal case'!AJ12^'external balance'!$K$4)))/'normal case'!D12</f>
        <v>0.30451300293978756</v>
      </c>
      <c r="C12" s="35">
        <f ca="1">($K$5*$K$7*((1+$K$8)^'normal case'!A11)*'normal case'!AJ12^$K$3)/'normal case'!D12</f>
        <v>0.30746538714943172</v>
      </c>
      <c r="D12" s="96">
        <f ca="1">(C12-B12)+((('main page'!$U$38/100)*'normal case'!$D$3)/'normal case'!$D$3)</f>
        <v>2.9523842096441655E-3</v>
      </c>
      <c r="E12" s="35">
        <f ca="1">((('normal case'!T12/100)*'external balance'!H11)/('normal case'!D12/'normal case'!D11))</f>
        <v>6.9101409447300342E-4</v>
      </c>
      <c r="F12" s="35">
        <f t="shared" ca="1" si="0"/>
        <v>3.6433983041171689E-3</v>
      </c>
      <c r="H12" s="35">
        <f ca="1">D12+((1+'normal case'!T12/100)/('normal case'!D12/'normal case'!D11))*'external balance'!H11</f>
        <v>2.3430826512740085E-2</v>
      </c>
      <c r="I12" s="35"/>
    </row>
    <row r="13" spans="1:11">
      <c r="A13">
        <v>11</v>
      </c>
      <c r="B13" s="35">
        <f ca="1">('normal case'!AJ13*($K$6*'normal case'!D13*('normal case'!AJ13^'external balance'!$K$4)))/'normal case'!D13</f>
        <v>0.30449538027408424</v>
      </c>
      <c r="C13" s="35">
        <f ca="1">($K$5*$K$7*((1+$K$8)^'normal case'!A12)*'normal case'!AJ13^$K$3)/'normal case'!D13</f>
        <v>0.30747142255569171</v>
      </c>
      <c r="D13" s="96">
        <f ca="1">(C13-B13)+((('main page'!$U$38/100)*'normal case'!$D$3)/'normal case'!$D$3)</f>
        <v>2.9760422816074716E-3</v>
      </c>
      <c r="E13" s="35">
        <f ca="1">((('normal case'!T13/100)*'external balance'!H12)/('normal case'!D13/'normal case'!D12))</f>
        <v>8.1929036873479039E-4</v>
      </c>
      <c r="F13" s="35">
        <f t="shared" ca="1" si="0"/>
        <v>3.795332650342262E-3</v>
      </c>
      <c r="H13" s="35">
        <f ca="1">D13+((1+'normal case'!T13/100)/('normal case'!D13/'normal case'!D12))*'external balance'!H12</f>
        <v>2.7229783420856937E-2</v>
      </c>
      <c r="I13" s="35"/>
    </row>
    <row r="14" spans="1:11">
      <c r="A14">
        <v>12</v>
      </c>
      <c r="B14" s="35">
        <f ca="1">('normal case'!AJ14*($K$6*'normal case'!D14*('normal case'!AJ14^'external balance'!$K$4)))/'normal case'!D14</f>
        <v>0.30448656932368101</v>
      </c>
      <c r="C14" s="35">
        <f ca="1">($K$5*$K$7*((1+$K$8)^'normal case'!A13)*'normal case'!AJ14^$K$3)/'normal case'!D14</f>
        <v>0.3074744430617985</v>
      </c>
      <c r="D14" s="96">
        <f ca="1">(C14-B14)+((('main page'!$U$38/100)*'normal case'!$D$3)/'normal case'!$D$3)</f>
        <v>2.9878737381174858E-3</v>
      </c>
      <c r="E14" s="35">
        <f ca="1">((('normal case'!T14/100)*'external balance'!H13)/('normal case'!D14/'normal case'!D13))</f>
        <v>9.5258426043248713E-4</v>
      </c>
      <c r="F14" s="35">
        <f t="shared" ca="1" si="0"/>
        <v>3.9404579985499733E-3</v>
      </c>
      <c r="H14" s="35">
        <f ca="1">D14+((1+'normal case'!T14/100)/('normal case'!D14/'normal case'!D13))*'external balance'!H13</f>
        <v>3.1172347520684724E-2</v>
      </c>
      <c r="I14" s="35"/>
    </row>
    <row r="15" spans="1:11">
      <c r="A15">
        <v>13</v>
      </c>
      <c r="B15" s="35">
        <f ca="1">('normal case'!AJ15*($K$6*'normal case'!D15*('normal case'!AJ15^'external balance'!$K$4)))/'normal case'!D15</f>
        <v>0.30448216394408822</v>
      </c>
      <c r="C15" s="35">
        <f ca="1">($K$5*$K$7*((1+$K$8)^'normal case'!A14)*'normal case'!AJ15^$K$3)/'normal case'!D15</f>
        <v>0.30747595401574435</v>
      </c>
      <c r="D15" s="96">
        <f ca="1">(C15-B15)+((('main page'!$U$38/100)*'normal case'!$D$3)/'normal case'!$D$3)</f>
        <v>2.9937900716561217E-3</v>
      </c>
      <c r="E15" s="35">
        <f ca="1">((('normal case'!T15/100)*'external balance'!H14)/('normal case'!D15/'normal case'!D14))</f>
        <v>1.0907699288417608E-3</v>
      </c>
      <c r="F15" s="35">
        <f t="shared" ca="1" si="0"/>
        <v>4.0845600004978822E-3</v>
      </c>
      <c r="H15" s="35">
        <f ca="1">D15+((1+'normal case'!T15/100)/('normal case'!D15/'normal case'!D14))*'external balance'!H14</f>
        <v>3.5258113088244544E-2</v>
      </c>
      <c r="I15" s="35"/>
    </row>
    <row r="16" spans="1:11">
      <c r="A16">
        <v>14</v>
      </c>
      <c r="B16" s="35">
        <f ca="1">('normal case'!AJ16*($K$6*'normal case'!D16*('normal case'!AJ16^'external balance'!$K$4)))/'normal case'!D16</f>
        <v>0.30447996127819371</v>
      </c>
      <c r="C16" s="35">
        <f ca="1">($K$5*$K$7*((1+$K$8)^'normal case'!A15)*'normal case'!AJ16^$K$3)/'normal case'!D16</f>
        <v>0.30747670966795904</v>
      </c>
      <c r="D16" s="96">
        <f ca="1">(C16-B16)+((('main page'!$U$38/100)*'normal case'!$D$3)/'normal case'!$D$3)</f>
        <v>2.9967483897653246E-3</v>
      </c>
      <c r="E16" s="35">
        <f ca="1">((('normal case'!T16/100)*'external balance'!H15)/('normal case'!D16/'normal case'!D15))</f>
        <v>1.2338856591325093E-3</v>
      </c>
      <c r="F16" s="35">
        <f t="shared" ca="1" si="0"/>
        <v>4.2306340488978342E-3</v>
      </c>
      <c r="H16" s="35">
        <f ca="1">D16+((1+'normal case'!T16/100)/('normal case'!D16/'normal case'!D15))*'external balance'!H15</f>
        <v>3.9489428940810471E-2</v>
      </c>
      <c r="I16" s="35"/>
      <c r="J16" s="97"/>
    </row>
    <row r="17" spans="1:9">
      <c r="A17">
        <v>15</v>
      </c>
      <c r="B17" s="35">
        <f ca="1">('normal case'!AJ17*($K$6*'normal case'!D17*('normal case'!AJ17^'external balance'!$K$4)))/'normal case'!D17</f>
        <v>0.30447885995122181</v>
      </c>
      <c r="C17" s="35">
        <f ca="1">($K$5*$K$7*((1+$K$8)^'normal case'!A16)*'normal case'!AJ17^$K$3)/'normal case'!D17</f>
        <v>0.30747708753787911</v>
      </c>
      <c r="D17" s="96">
        <f ca="1">(C17-B17)+((('main page'!$U$38/100)*'normal case'!$D$3)/'normal case'!$D$3)</f>
        <v>2.9982275866572983E-3</v>
      </c>
      <c r="E17" s="35">
        <f ca="1">((('normal case'!T17/100)*'external balance'!H16)/('normal case'!D17/'normal case'!D16))</f>
        <v>1.3820469658545052E-3</v>
      </c>
      <c r="F17" s="35">
        <f t="shared" ca="1" si="0"/>
        <v>4.3802745525118036E-3</v>
      </c>
      <c r="H17" s="35">
        <f ca="1">D17+((1+'normal case'!T17/100)/('normal case'!D17/'normal case'!D16))*'external balance'!H16</f>
        <v>4.3870085310377539E-2</v>
      </c>
      <c r="I17" s="35"/>
    </row>
    <row r="18" spans="1:9">
      <c r="A18">
        <v>16</v>
      </c>
      <c r="B18" s="35">
        <f ca="1">('normal case'!AJ18*($K$6*'normal case'!D18*('normal case'!AJ18^'external balance'!$K$4)))/'normal case'!D18</f>
        <v>0.30447830928922964</v>
      </c>
      <c r="C18" s="35">
        <f ca="1">($K$5*$K$7*((1+$K$8)^'normal case'!A17)*'normal case'!AJ18^$K$3)/'normal case'!D18</f>
        <v>0.30747727648379253</v>
      </c>
      <c r="D18" s="96">
        <f ca="1">(C18-B18)+((('main page'!$U$38/100)*'normal case'!$D$3)/'normal case'!$D$3)</f>
        <v>2.9989671945628849E-3</v>
      </c>
      <c r="E18" s="35">
        <f ca="1">((('normal case'!T18/100)*'external balance'!H17)/('normal case'!D18/'normal case'!D17))</f>
        <v>1.535406856316251E-3</v>
      </c>
      <c r="F18" s="35">
        <f t="shared" ca="1" si="0"/>
        <v>4.5343740508791358E-3</v>
      </c>
      <c r="H18" s="35">
        <f ca="1">D18+((1+'normal case'!T18/100)/('normal case'!D18/'normal case'!D17))*'external balance'!H17</f>
        <v>4.8404671448747112E-2</v>
      </c>
      <c r="I18" s="35"/>
    </row>
    <row r="19" spans="1:9">
      <c r="A19">
        <v>17</v>
      </c>
      <c r="B19" s="35">
        <f ca="1">('normal case'!AJ19*($K$6*'normal case'!D19*('normal case'!AJ19^'external balance'!$K$4)))/'normal case'!D19</f>
        <v>0.30447803395860712</v>
      </c>
      <c r="C19" s="35">
        <f ca="1">($K$5*$K$7*((1+$K$8)^'normal case'!A18)*'normal case'!AJ19^$K$3)/'normal case'!D19</f>
        <v>0.30747737095948774</v>
      </c>
      <c r="D19" s="96">
        <f ca="1">(C19-B19)+((('main page'!$U$38/100)*'normal case'!$D$3)/'normal case'!$D$3)</f>
        <v>2.9993370008806197E-3</v>
      </c>
      <c r="E19" s="35">
        <f ca="1">((('normal case'!T19/100)*'external balance'!H18)/('normal case'!D19/'normal case'!D18))</f>
        <v>1.6941380519474489E-3</v>
      </c>
      <c r="F19" s="35">
        <f t="shared" ca="1" si="0"/>
        <v>4.6934750528280691E-3</v>
      </c>
      <c r="H19" s="35">
        <f ca="1">D19+((1+'normal case'!T19/100)/('normal case'!D19/'normal case'!D18))*'external balance'!H18</f>
        <v>5.3098263506705622E-2</v>
      </c>
      <c r="I19" s="35"/>
    </row>
    <row r="20" spans="1:9">
      <c r="A20">
        <v>18</v>
      </c>
      <c r="B20" s="35">
        <f ca="1">('normal case'!AJ20*($K$6*'normal case'!D20*('normal case'!AJ20^'external balance'!$K$4)))/'normal case'!D20</f>
        <v>0.30447789629338923</v>
      </c>
      <c r="C20" s="35">
        <f ca="1">($K$5*$K$7*((1+$K$8)^'normal case'!A19)*'normal case'!AJ20^$K$3)/'normal case'!D20</f>
        <v>0.30747741819801988</v>
      </c>
      <c r="D20" s="96">
        <f ca="1">(C20-B20)+((('main page'!$U$38/100)*'normal case'!$D$3)/'normal case'!$D$3)</f>
        <v>2.9995219046306532E-3</v>
      </c>
      <c r="E20" s="35">
        <f ca="1">((('normal case'!T20/100)*'external balance'!H19)/('normal case'!D20/'normal case'!D19))</f>
        <v>1.8584252645495038E-3</v>
      </c>
      <c r="F20" s="35">
        <f t="shared" ca="1" si="0"/>
        <v>4.8579471691801573E-3</v>
      </c>
      <c r="H20" s="35">
        <f ca="1">D20+((1+'normal case'!T20/100)/('normal case'!D20/'normal case'!D19))*'external balance'!H19</f>
        <v>5.79562748512698E-2</v>
      </c>
      <c r="I20" s="35"/>
    </row>
    <row r="21" spans="1:9">
      <c r="A21">
        <v>19</v>
      </c>
      <c r="B21" s="35">
        <f ca="1">('normal case'!AJ21*($K$6*'normal case'!D21*('normal case'!AJ21^'external balance'!$K$4)))/'normal case'!D21</f>
        <v>0.30447782746080354</v>
      </c>
      <c r="C21" s="35">
        <f ca="1">($K$5*$K$7*((1+$K$8)^'normal case'!A20)*'normal case'!AJ21^$K$3)/'normal case'!D21</f>
        <v>0.30747744181745718</v>
      </c>
      <c r="D21" s="96">
        <f ca="1">(C21-B21)+((('main page'!$U$38/100)*'normal case'!$D$3)/'normal case'!$D$3)</f>
        <v>2.9996143566536349E-3</v>
      </c>
      <c r="E21" s="35">
        <f ca="1">((('normal case'!T21/100)*'external balance'!H20)/('normal case'!D21/'normal case'!D20))</f>
        <v>2.0284620021840186E-3</v>
      </c>
      <c r="F21" s="35">
        <f t="shared" ca="1" si="0"/>
        <v>5.0280763588376534E-3</v>
      </c>
      <c r="H21" s="35">
        <f ca="1">D21+((1+'normal case'!T21/100)/('normal case'!D21/'normal case'!D20))*'external balance'!H20</f>
        <v>6.2984386233554512E-2</v>
      </c>
      <c r="I21" s="35"/>
    </row>
    <row r="22" spans="1:9">
      <c r="A22">
        <v>20</v>
      </c>
      <c r="B22" s="35">
        <f ca="1">('normal case'!AJ22*($K$6*'normal case'!D22*('normal case'!AJ22^'external balance'!$K$4)))/'normal case'!D22</f>
        <v>0.30447779304451655</v>
      </c>
      <c r="C22" s="35">
        <f ca="1">($K$5*$K$7*((1+$K$8)^'normal case'!A21)*'normal case'!AJ22^$K$3)/'normal case'!D22</f>
        <v>0.30747745362721851</v>
      </c>
      <c r="D22" s="96">
        <f ca="1">(C22-B22)+((('main page'!$U$38/100)*'normal case'!$D$3)/'normal case'!$D$3)</f>
        <v>2.9996605827019573E-3</v>
      </c>
      <c r="E22" s="35">
        <f ca="1">((('normal case'!T22/100)*'external balance'!H21)/('normal case'!D22/'normal case'!D21))</f>
        <v>2.2044493789304107E-3</v>
      </c>
      <c r="F22" s="35">
        <f t="shared" ca="1" si="0"/>
        <v>5.2041099616323677E-3</v>
      </c>
      <c r="H22" s="35">
        <f ca="1">D22+((1+'normal case'!T22/100)/('normal case'!D22/'normal case'!D21))*'external balance'!H21</f>
        <v>6.8188515226180413E-2</v>
      </c>
      <c r="I22" s="35"/>
    </row>
    <row r="23" spans="1:9">
      <c r="A23">
        <v>21</v>
      </c>
      <c r="B23" s="35">
        <f ca="1">('normal case'!AJ23*($K$6*'normal case'!D23*('normal case'!AJ23^'external balance'!$K$4)))/'normal case'!D23</f>
        <v>0.30447777583637453</v>
      </c>
      <c r="C23" s="35">
        <f ca="1">($K$5*$K$7*((1+$K$8)^'normal case'!A22)*'normal case'!AJ23^$K$3)/'normal case'!D23</f>
        <v>0.30747745953210998</v>
      </c>
      <c r="D23" s="96">
        <f ca="1">(C23-B23)+((('main page'!$U$38/100)*'normal case'!$D$3)/'normal case'!$D$3)</f>
        <v>2.9996836957354445E-3</v>
      </c>
      <c r="E23" s="35">
        <f ca="1">((('normal case'!T23/100)*'external balance'!H22)/('normal case'!D23/'normal case'!D22))</f>
        <v>2.3865957922907972E-3</v>
      </c>
      <c r="F23" s="35">
        <f t="shared" ca="1" si="0"/>
        <v>5.3862794880262417E-3</v>
      </c>
      <c r="H23" s="35">
        <f ca="1">D23+((1+'normal case'!T23/100)/('normal case'!D23/'normal case'!D22))*'external balance'!H22</f>
        <v>7.3574805015929556E-2</v>
      </c>
      <c r="I23" s="35"/>
    </row>
    <row r="24" spans="1:9">
      <c r="A24">
        <v>22</v>
      </c>
      <c r="B24" s="35">
        <f ca="1">('normal case'!AJ24*($K$6*'normal case'!D24*('normal case'!AJ24^'external balance'!$K$4)))/'normal case'!D24</f>
        <v>0.30447776723230385</v>
      </c>
      <c r="C24" s="35">
        <f ca="1">($K$5*$K$7*((1+$K$8)^'normal case'!A23)*'normal case'!AJ24^$K$3)/'normal case'!D24</f>
        <v>0.30747746248455837</v>
      </c>
      <c r="D24" s="96">
        <f ca="1">(C24-B24)+((('main page'!$U$38/100)*'normal case'!$D$3)/'normal case'!$D$3)</f>
        <v>2.9996952522545195E-3</v>
      </c>
      <c r="E24" s="35">
        <f ca="1">((('normal case'!T24/100)*'external balance'!H23)/('normal case'!D24/'normal case'!D23))</f>
        <v>2.5751169667500946E-3</v>
      </c>
      <c r="F24" s="35">
        <f t="shared" ca="1" si="0"/>
        <v>5.5748122190046141E-3</v>
      </c>
      <c r="H24" s="35">
        <f ca="1">D24+((1+'normal case'!T24/100)/('normal case'!D24/'normal case'!D23))*'external balance'!H23</f>
        <v>7.9149622792668545E-2</v>
      </c>
      <c r="I24" s="35"/>
    </row>
    <row r="25" spans="1:9">
      <c r="A25">
        <v>23</v>
      </c>
      <c r="B25" s="35">
        <f ca="1">('normal case'!AJ25*($K$6*'normal case'!D25*('normal case'!AJ25^'external balance'!$K$4)))/'normal case'!D25</f>
        <v>0.30447776293026863</v>
      </c>
      <c r="C25" s="35">
        <f ca="1">($K$5*$K$7*((1+$K$8)^'normal case'!A24)*'normal case'!AJ25^$K$3)/'normal case'!D25</f>
        <v>0.30747746396078324</v>
      </c>
      <c r="D25" s="96">
        <f ca="1">(C25-B25)+((('main page'!$U$38/100)*'normal case'!$D$3)/'normal case'!$D$3)</f>
        <v>2.9997010305146121E-3</v>
      </c>
      <c r="E25" s="35">
        <f ca="1">((('normal case'!T25/100)*'external balance'!H24)/('normal case'!D25/'normal case'!D24))</f>
        <v>2.7702361475435916E-3</v>
      </c>
      <c r="F25" s="35">
        <f t="shared" ca="1" si="0"/>
        <v>5.7699371780582038E-3</v>
      </c>
      <c r="H25" s="35">
        <f ca="1">D25+((1+'normal case'!T25/100)/('normal case'!D25/'normal case'!D24))*'external balance'!H24</f>
        <v>8.4919562960150893E-2</v>
      </c>
      <c r="I25" s="35"/>
    </row>
    <row r="26" spans="1:9">
      <c r="A26">
        <v>24</v>
      </c>
      <c r="B26" s="35">
        <f ca="1">('normal case'!AJ26*($K$6*'normal case'!D26*('normal case'!AJ26^'external balance'!$K$4)))/'normal case'!D26</f>
        <v>0.30447776077925109</v>
      </c>
      <c r="C26" s="35">
        <f ca="1">($K$5*$K$7*((1+$K$8)^'normal case'!A25)*'normal case'!AJ26^$K$3)/'normal case'!D26</f>
        <v>0.30747746469889575</v>
      </c>
      <c r="D26" s="96">
        <f ca="1">(C26-B26)+((('main page'!$U$38/100)*'normal case'!$D$3)/'normal case'!$D$3)</f>
        <v>2.9997039196446584E-3</v>
      </c>
      <c r="E26" s="35">
        <f ca="1">((('normal case'!T26/100)*'external balance'!H25)/('normal case'!D26/'normal case'!D25))</f>
        <v>2.9721843548058797E-3</v>
      </c>
      <c r="F26" s="35">
        <f t="shared" ca="1" si="0"/>
        <v>5.9718882744505385E-3</v>
      </c>
      <c r="H26" s="35">
        <f ca="1">D26+((1+'normal case'!T26/100)/('normal case'!D26/'normal case'!D25))*'external balance'!H25</f>
        <v>9.0891452838276765E-2</v>
      </c>
      <c r="I26" s="35"/>
    </row>
    <row r="27" spans="1:9">
      <c r="A27">
        <v>25</v>
      </c>
      <c r="B27" s="35">
        <f ca="1">('normal case'!AJ27*($K$6*'normal case'!D27*('normal case'!AJ27^'external balance'!$K$4)))/'normal case'!D27</f>
        <v>0.30447775970374225</v>
      </c>
      <c r="C27" s="35">
        <f ca="1">($K$5*$K$7*((1+$K$8)^'normal case'!A26)*'normal case'!AJ27^$K$3)/'normal case'!D27</f>
        <v>0.30747746506795215</v>
      </c>
      <c r="D27" s="96">
        <f ca="1">(C27-B27)+((('main page'!$U$38/100)*'normal case'!$D$3)/'normal case'!$D$3)</f>
        <v>2.9997053642099036E-3</v>
      </c>
      <c r="E27" s="35">
        <f ca="1">((('normal case'!T27/100)*'external balance'!H26)/('normal case'!D27/'normal case'!D26))</f>
        <v>3.1812006626754903E-3</v>
      </c>
      <c r="F27" s="35">
        <f t="shared" ca="1" si="0"/>
        <v>6.180906026885394E-3</v>
      </c>
      <c r="H27" s="35">
        <f ca="1">D27+((1+'normal case'!T27/100)/('normal case'!D27/'normal case'!D26))*'external balance'!H26</f>
        <v>9.7072359723388318E-2</v>
      </c>
      <c r="I27" s="35"/>
    </row>
    <row r="28" spans="1:9">
      <c r="A28">
        <v>26</v>
      </c>
      <c r="B28" s="35">
        <f ca="1">('normal case'!AJ28*($K$6*'normal case'!D28*('normal case'!AJ28^'external balance'!$K$4)))/'normal case'!D28</f>
        <v>0.3044777591659879</v>
      </c>
      <c r="C28" s="35">
        <f ca="1">($K$5*$K$7*((1+$K$8)^'normal case'!A27)*'normal case'!AJ28^$K$3)/'normal case'!D28</f>
        <v>0.30747746525248026</v>
      </c>
      <c r="D28" s="96">
        <f ca="1">(C28-B28)+((('main page'!$U$38/100)*'normal case'!$D$3)/'normal case'!$D$3)</f>
        <v>2.9997060864923597E-3</v>
      </c>
      <c r="E28" s="35">
        <f ca="1">((('normal case'!T28/100)*'external balance'!H27)/('normal case'!D28/'normal case'!D27))</f>
        <v>3.3975324906396153E-3</v>
      </c>
      <c r="F28" s="35">
        <f t="shared" ca="1" si="0"/>
        <v>6.3972385771319754E-3</v>
      </c>
      <c r="H28" s="35">
        <f ca="1">D28+((1+'normal case'!T28/100)/('normal case'!D28/'normal case'!D27))*'external balance'!H27</f>
        <v>0.10346959875881444</v>
      </c>
      <c r="I28" s="35"/>
    </row>
    <row r="29" spans="1:9">
      <c r="A29">
        <v>27</v>
      </c>
      <c r="B29" s="35">
        <f ca="1">('normal case'!AJ29*($K$6*'normal case'!D29*('normal case'!AJ29^'external balance'!$K$4)))/'normal case'!D29</f>
        <v>0.30447775889711071</v>
      </c>
      <c r="C29" s="35">
        <f ca="1">($K$5*$K$7*((1+$K$8)^'normal case'!A28)*'normal case'!AJ29^$K$3)/'normal case'!D29</f>
        <v>0.30747746534474441</v>
      </c>
      <c r="D29" s="96">
        <f ca="1">(C29-B29)+((('main page'!$U$38/100)*'normal case'!$D$3)/'normal case'!$D$3)</f>
        <v>2.9997064476336988E-3</v>
      </c>
      <c r="E29" s="35">
        <f ca="1">((('normal case'!T29/100)*'external balance'!H28)/('normal case'!D29/'normal case'!D28))</f>
        <v>3.6214359034345079E-3</v>
      </c>
      <c r="F29" s="35">
        <f t="shared" ca="1" si="0"/>
        <v>6.6211423510682066E-3</v>
      </c>
      <c r="H29" s="35">
        <f ca="1">D29+((1+'normal case'!T29/100)/('normal case'!D29/'normal case'!D28))*'external balance'!H28</f>
        <v>0.11009074135413091</v>
      </c>
      <c r="I29" s="35"/>
    </row>
    <row r="30" spans="1:9">
      <c r="A30">
        <v>28</v>
      </c>
      <c r="B30" s="35">
        <f ca="1">('normal case'!AJ30*($K$6*'normal case'!D30*('normal case'!AJ30^'external balance'!$K$4)))/'normal case'!D30</f>
        <v>0.30447775876267213</v>
      </c>
      <c r="C30" s="35">
        <f ca="1">($K$5*$K$7*((1+$K$8)^'normal case'!A29)*'normal case'!AJ30^$K$3)/'normal case'!D30</f>
        <v>0.30747746539087645</v>
      </c>
      <c r="D30" s="96">
        <f ca="1">(C30-B30)+((('main page'!$U$38/100)*'normal case'!$D$3)/'normal case'!$D$3)</f>
        <v>2.9997066282043128E-3</v>
      </c>
      <c r="E30" s="35">
        <f ca="1">((('normal case'!T30/100)*'external balance'!H29)/('normal case'!D30/'normal case'!D29))</f>
        <v>3.8531759191328496E-3</v>
      </c>
      <c r="F30" s="35">
        <f t="shared" ca="1" si="0"/>
        <v>6.8528825473371628E-3</v>
      </c>
      <c r="H30" s="35">
        <f ca="1">D30+((1+'normal case'!T30/100)/('normal case'!D30/'normal case'!D29))*'external balance'!H29</f>
        <v>0.11694362403140707</v>
      </c>
      <c r="I30" s="35"/>
    </row>
    <row r="31" spans="1:9">
      <c r="A31">
        <v>29</v>
      </c>
      <c r="B31" s="35">
        <f ca="1">('normal case'!AJ31*($K$6*'normal case'!D31*('normal case'!AJ31^'external balance'!$K$4)))/'normal case'!D31</f>
        <v>0.30447775876267213</v>
      </c>
      <c r="C31" s="35">
        <f ca="1">($K$5*$K$7*((1+$K$8)^'normal case'!A30)*'normal case'!AJ31^$K$3)/'normal case'!D31</f>
        <v>0.30747746557233269</v>
      </c>
      <c r="D31" s="96">
        <f ca="1">(C31-B31)+((('main page'!$U$38/100)*'normal case'!$D$3)/'normal case'!$D$3)</f>
        <v>2.9997068096605517E-3</v>
      </c>
      <c r="E31" s="35">
        <f ca="1">((('normal case'!T31/100)*'external balance'!H30)/('normal case'!D31/'normal case'!D30))</f>
        <v>4.0930268086628108E-3</v>
      </c>
      <c r="F31" s="35">
        <f t="shared" ca="1" si="0"/>
        <v>7.0927336183233625E-3</v>
      </c>
      <c r="H31" s="35">
        <f ca="1">D31+((1+'normal case'!T31/100)/('normal case'!D31/'normal case'!D30))*'external balance'!H30</f>
        <v>0.12403635771874412</v>
      </c>
      <c r="I31" s="35"/>
    </row>
    <row r="32" spans="1:9">
      <c r="A32">
        <v>30</v>
      </c>
      <c r="B32" s="35">
        <f ca="1">('normal case'!AJ32*($K$6*'normal case'!D32*('normal case'!AJ32^'external balance'!$K$4)))/'normal case'!D32</f>
        <v>0.30447775876267213</v>
      </c>
      <c r="C32" s="35">
        <f ca="1">($K$5*$K$7*((1+$K$8)^'normal case'!A31)*'normal case'!AJ32^$K$3)/'normal case'!D32</f>
        <v>0.30747746557233269</v>
      </c>
      <c r="D32" s="96">
        <f ca="1">(C32-B32)+((('main page'!$U$38/100)*'normal case'!$D$3)/'normal case'!$D$3)</f>
        <v>2.9997068096605517E-3</v>
      </c>
      <c r="E32" s="35">
        <f ca="1">((('normal case'!T32/100)*'external balance'!H31)/('normal case'!D32/'normal case'!D31))</f>
        <v>4.3412724831903291E-3</v>
      </c>
      <c r="F32" s="35">
        <f t="shared" ca="1" si="0"/>
        <v>7.3409792928508808E-3</v>
      </c>
      <c r="H32" s="35">
        <f ca="1">D32+((1+'normal case'!T32/100)/('normal case'!D32/'normal case'!D31))*'external balance'!H31</f>
        <v>0.13137733701159499</v>
      </c>
      <c r="I32" s="35"/>
    </row>
    <row r="33" spans="1:9">
      <c r="A33">
        <v>31</v>
      </c>
      <c r="B33" s="35">
        <f ca="1">('normal case'!AJ33*($K$6*'normal case'!D33*('normal case'!AJ33^'external balance'!$K$4)))/'normal case'!D33</f>
        <v>0.30447775876267213</v>
      </c>
      <c r="C33" s="35">
        <f ca="1">($K$5*$K$7*((1+$K$8)^'normal case'!A32)*'normal case'!AJ33^$K$3)/'normal case'!D33</f>
        <v>0.30747746557233269</v>
      </c>
      <c r="D33" s="96">
        <f ca="1">(C33-B33)+((('main page'!$U$38/100)*'normal case'!$D$3)/'normal case'!$D$3)</f>
        <v>2.9997068096605517E-3</v>
      </c>
      <c r="E33" s="35">
        <f ca="1">((('normal case'!T33/100)*'external balance'!H32)/('normal case'!D33/'normal case'!D32))</f>
        <v>4.5982067562523278E-3</v>
      </c>
      <c r="F33" s="35">
        <f t="shared" ca="1" si="0"/>
        <v>7.5979135659128795E-3</v>
      </c>
      <c r="H33" s="35">
        <f ca="1">D33+((1+'normal case'!T33/100)/('normal case'!D33/'normal case'!D32))*'external balance'!H32</f>
        <v>0.13897525057750787</v>
      </c>
      <c r="I33" s="35"/>
    </row>
    <row r="34" spans="1:9">
      <c r="A34">
        <v>32</v>
      </c>
      <c r="B34" s="35">
        <f ca="1">('normal case'!AJ34*($K$6*'normal case'!D34*('normal case'!AJ34^'external balance'!$K$4)))/'normal case'!D34</f>
        <v>0.30447775876267213</v>
      </c>
      <c r="C34" s="35">
        <f ca="1">($K$5*$K$7*((1+$K$8)^'normal case'!A33)*'normal case'!AJ34^$K$3)/'normal case'!D34</f>
        <v>0.30747746557233269</v>
      </c>
      <c r="D34" s="96">
        <f ca="1">(C34-B34)+((('main page'!$U$38/100)*'normal case'!$D$3)/'normal case'!$D$3)</f>
        <v>2.9997068096605517E-3</v>
      </c>
      <c r="E34" s="35">
        <f ca="1">((('normal case'!T34/100)*'external balance'!H33)/('normal case'!D34/'normal case'!D33))</f>
        <v>4.8641337287949234E-3</v>
      </c>
      <c r="F34" s="35">
        <f t="shared" ca="1" si="0"/>
        <v>7.8638405384554751E-3</v>
      </c>
      <c r="H34" s="35">
        <f ca="1">D34+((1+'normal case'!T34/100)/('normal case'!D34/'normal case'!D33))*'external balance'!H33</f>
        <v>0.14683909111596335</v>
      </c>
      <c r="I34" s="35"/>
    </row>
    <row r="35" spans="1:9">
      <c r="A35">
        <v>33</v>
      </c>
      <c r="B35" s="35">
        <f ca="1">('normal case'!AJ35*($K$6*'normal case'!D35*('normal case'!AJ35^'external balance'!$K$4)))/'normal case'!D35</f>
        <v>0.30447775876267213</v>
      </c>
      <c r="C35" s="35">
        <f ca="1">($K$5*$K$7*((1+$K$8)^'normal case'!A34)*'normal case'!AJ35^$K$3)/'normal case'!D35</f>
        <v>0.30747746557233269</v>
      </c>
      <c r="D35" s="96">
        <f ca="1">(C35-B35)+((('main page'!$U$38/100)*'normal case'!$D$3)/'normal case'!$D$3)</f>
        <v>2.9997068096605517E-3</v>
      </c>
      <c r="E35" s="35">
        <f ca="1">((('normal case'!T35/100)*'external balance'!H34)/('normal case'!D35/'normal case'!D34))</f>
        <v>5.1393681452972587E-3</v>
      </c>
      <c r="F35" s="35">
        <f t="shared" ca="1" si="0"/>
        <v>8.1390749549578104E-3</v>
      </c>
      <c r="H35" s="35">
        <f ca="1">D35+((1+'normal case'!T35/100)/('normal case'!D35/'normal case'!D34))*'external balance'!H34</f>
        <v>0.15497816607092116</v>
      </c>
      <c r="I35" s="35"/>
    </row>
    <row r="36" spans="1:9">
      <c r="A36">
        <v>34</v>
      </c>
      <c r="B36" s="35">
        <f ca="1">('normal case'!AJ36*($K$6*'normal case'!D36*('normal case'!AJ36^'external balance'!$K$4)))/'normal case'!D36</f>
        <v>0.30447775876267213</v>
      </c>
      <c r="C36" s="35">
        <f ca="1">($K$5*$K$7*((1+$K$8)^'normal case'!A35)*'normal case'!AJ36^$K$3)/'normal case'!D36</f>
        <v>0.30747746557233269</v>
      </c>
      <c r="D36" s="96">
        <f ca="1">(C36-B36)+((('main page'!$U$38/100)*'normal case'!$D$3)/'normal case'!$D$3)</f>
        <v>2.9997068096605517E-3</v>
      </c>
      <c r="E36" s="35">
        <f ca="1">((('normal case'!T36/100)*'external balance'!H35)/('normal case'!D36/'normal case'!D35))</f>
        <v>5.4242357662951483E-3</v>
      </c>
      <c r="F36" s="35">
        <f t="shared" ca="1" si="0"/>
        <v>8.4239425759557E-3</v>
      </c>
      <c r="H36" s="35">
        <f ca="1">D36+((1+'normal case'!T36/100)/('normal case'!D36/'normal case'!D35))*'external balance'!H35</f>
        <v>0.16340210864687685</v>
      </c>
      <c r="I36" s="35"/>
    </row>
    <row r="37" spans="1:9">
      <c r="A37">
        <v>35</v>
      </c>
      <c r="B37" s="35">
        <f ca="1">('normal case'!AJ37*($K$6*'normal case'!D37*('normal case'!AJ37^'external balance'!$K$4)))/'normal case'!D37</f>
        <v>0.30447775876267213</v>
      </c>
      <c r="C37" s="35">
        <f ca="1">($K$5*$K$7*((1+$K$8)^'normal case'!A36)*'normal case'!AJ37^$K$3)/'normal case'!D37</f>
        <v>0.30747746557233269</v>
      </c>
      <c r="D37" s="96">
        <f ca="1">(C37-B37)+((('main page'!$U$38/100)*'normal case'!$D$3)/'normal case'!$D$3)</f>
        <v>2.9997068096605517E-3</v>
      </c>
      <c r="E37" s="35">
        <f ca="1">((('normal case'!T37/100)*'external balance'!H36)/('normal case'!D37/'normal case'!D36))</f>
        <v>5.7190737539430667E-3</v>
      </c>
      <c r="F37" s="35">
        <f t="shared" ca="1" si="0"/>
        <v>8.7187805636036175E-3</v>
      </c>
      <c r="H37" s="35">
        <f ca="1">D37+((1+'normal case'!T37/100)/('normal case'!D37/'normal case'!D36))*'external balance'!H36</f>
        <v>0.17212088921048047</v>
      </c>
      <c r="I37" s="35"/>
    </row>
    <row r="38" spans="1:9">
      <c r="A38">
        <v>36</v>
      </c>
      <c r="B38" s="35">
        <f ca="1">('normal case'!AJ38*($K$6*'normal case'!D38*('normal case'!AJ38^'external balance'!$K$4)))/'normal case'!D38</f>
        <v>0.30447775876267213</v>
      </c>
      <c r="C38" s="35">
        <f ca="1">($K$5*$K$7*((1+$K$8)^'normal case'!A37)*'normal case'!AJ38^$K$3)/'normal case'!D38</f>
        <v>0.30747746557233269</v>
      </c>
      <c r="D38" s="96">
        <f ca="1">(C38-B38)+((('main page'!$U$38/100)*'normal case'!$D$3)/'normal case'!$D$3)</f>
        <v>2.9997068096605517E-3</v>
      </c>
      <c r="E38" s="35">
        <f ca="1">((('normal case'!T38/100)*'external balance'!H37)/('normal case'!D38/'normal case'!D37))</f>
        <v>6.0242310710707948E-3</v>
      </c>
      <c r="F38" s="35">
        <f t="shared" ca="1" si="0"/>
        <v>9.0239378807313465E-3</v>
      </c>
      <c r="H38" s="35">
        <f ca="1">D38+((1+'normal case'!T38/100)/('normal case'!D38/'normal case'!D37))*'external balance'!H37</f>
        <v>0.1811448270912118</v>
      </c>
      <c r="I38" s="35"/>
    </row>
    <row r="39" spans="1:9">
      <c r="A39">
        <v>37</v>
      </c>
      <c r="B39" s="35">
        <f ca="1">('normal case'!AJ39*($K$6*'normal case'!D39*('normal case'!AJ39^'external balance'!$K$4)))/'normal case'!D39</f>
        <v>0.30447775876267213</v>
      </c>
      <c r="C39" s="35">
        <f ca="1">($K$5*$K$7*((1+$K$8)^'normal case'!A38)*'normal case'!AJ39^$K$3)/'normal case'!D39</f>
        <v>0.30747746557233269</v>
      </c>
      <c r="D39" s="96">
        <f ca="1">(C39-B39)+((('main page'!$U$38/100)*'normal case'!$D$3)/'normal case'!$D$3)</f>
        <v>2.9997068096605517E-3</v>
      </c>
      <c r="E39" s="35">
        <f ca="1">((('normal case'!T39/100)*'external balance'!H38)/('normal case'!D39/'normal case'!D38))</f>
        <v>6.3400688942070477E-3</v>
      </c>
      <c r="F39" s="35">
        <f t="shared" ca="1" si="0"/>
        <v>9.3397757038675994E-3</v>
      </c>
      <c r="H39" s="35">
        <f ca="1">D39+((1+'normal case'!T39/100)/('normal case'!D39/'normal case'!D38))*'external balance'!H38</f>
        <v>0.19048460279507939</v>
      </c>
      <c r="I39" s="35"/>
    </row>
    <row r="40" spans="1:9">
      <c r="A40">
        <v>38</v>
      </c>
      <c r="B40" s="35">
        <f ca="1">('normal case'!AJ40*($K$6*'normal case'!D40*('normal case'!AJ40^'external balance'!$K$4)))/'normal case'!D40</f>
        <v>0.30447775876267213</v>
      </c>
      <c r="C40" s="35">
        <f ca="1">($K$5*$K$7*((1+$K$8)^'normal case'!A39)*'normal case'!AJ40^$K$3)/'normal case'!D40</f>
        <v>0.30747746557233269</v>
      </c>
      <c r="D40" s="96">
        <f ca="1">(C40-B40)+((('main page'!$U$38/100)*'normal case'!$D$3)/'normal case'!$D$3)</f>
        <v>2.9997068096605517E-3</v>
      </c>
      <c r="E40" s="35">
        <f ca="1">((('normal case'!T40/100)*'external balance'!H39)/('normal case'!D40/'normal case'!D39))</f>
        <v>6.6669610410589443E-3</v>
      </c>
      <c r="F40" s="35">
        <f t="shared" ca="1" si="0"/>
        <v>9.6666678507194952E-3</v>
      </c>
      <c r="H40" s="35">
        <f ca="1">D40+((1+'normal case'!T40/100)/('normal case'!D40/'normal case'!D39))*'external balance'!H39</f>
        <v>0.20015127064579888</v>
      </c>
      <c r="I40" s="35"/>
    </row>
    <row r="41" spans="1:9">
      <c r="A41">
        <v>39</v>
      </c>
      <c r="B41" s="35">
        <f ca="1">('normal case'!AJ41*($K$6*'normal case'!D41*('normal case'!AJ41^'external balance'!$K$4)))/'normal case'!D41</f>
        <v>0.30447775876267213</v>
      </c>
      <c r="C41" s="35">
        <f ca="1">($K$5*$K$7*((1+$K$8)^'normal case'!A40)*'normal case'!AJ41^$K$3)/'normal case'!D41</f>
        <v>0.30747746557233269</v>
      </c>
      <c r="D41" s="96">
        <f ca="1">(C41-B41)+((('main page'!$U$38/100)*'normal case'!$D$3)/'normal case'!$D$3)</f>
        <v>2.9997068096605517E-3</v>
      </c>
      <c r="E41" s="35">
        <f ca="1">((('normal case'!T41/100)*'external balance'!H40)/('normal case'!D41/'normal case'!D40))</f>
        <v>7.0052944129532346E-3</v>
      </c>
      <c r="F41" s="35">
        <f t="shared" ca="1" si="0"/>
        <v>1.0005001222613786E-2</v>
      </c>
      <c r="H41" s="35">
        <f ca="1">D41+((1+'normal case'!T41/100)/('normal case'!D41/'normal case'!D40))*'external balance'!H40</f>
        <v>0.21015627186841265</v>
      </c>
      <c r="I41" s="35"/>
    </row>
    <row r="42" spans="1:9">
      <c r="A42">
        <v>40</v>
      </c>
      <c r="B42" s="35">
        <f ca="1">('normal case'!AJ42*($K$6*'normal case'!D42*('normal case'!AJ42^'external balance'!$K$4)))/'normal case'!D42</f>
        <v>0.30447775876267213</v>
      </c>
      <c r="C42" s="35">
        <f ca="1">($K$5*$K$7*((1+$K$8)^'normal case'!A41)*'normal case'!AJ42^$K$3)/'normal case'!D42</f>
        <v>0.30747746557233269</v>
      </c>
      <c r="D42" s="96">
        <f ca="1">(C42-B42)+((('main page'!$U$38/100)*'normal case'!$D$3)/'normal case'!$D$3)</f>
        <v>2.9997068096605517E-3</v>
      </c>
      <c r="E42" s="35">
        <f ca="1">((('normal case'!T42/100)*'external balance'!H41)/('normal case'!D42/'normal case'!D41))</f>
        <v>7.3554694527629937E-3</v>
      </c>
      <c r="F42" s="35">
        <f t="shared" ca="1" si="0"/>
        <v>1.0355176262423545E-2</v>
      </c>
      <c r="H42" s="35">
        <f ca="1">D42+((1+'normal case'!T42/100)/('normal case'!D42/'normal case'!D41))*'external balance'!H41</f>
        <v>0.2205114481308362</v>
      </c>
      <c r="I42" s="35"/>
    </row>
    <row r="43" spans="1:9">
      <c r="A43">
        <v>41</v>
      </c>
      <c r="B43" s="35">
        <f ca="1">('normal case'!AJ43*($K$6*'normal case'!D43*('normal case'!AJ43^'external balance'!$K$4)))/'normal case'!D43</f>
        <v>0.30447775876267213</v>
      </c>
      <c r="C43" s="35">
        <f ca="1">($K$5*$K$7*((1+$K$8)^'normal case'!A42)*'normal case'!AJ43^$K$3)/'normal case'!D43</f>
        <v>0.30747746557233269</v>
      </c>
      <c r="D43" s="96">
        <f ca="1">(C43-B43)+((('main page'!$U$38/100)*'normal case'!$D$3)/'normal case'!$D$3)</f>
        <v>2.9997068096605517E-3</v>
      </c>
      <c r="E43" s="35">
        <f ca="1">((('normal case'!T43/100)*'external balance'!H42)/('normal case'!D43/'normal case'!D42))</f>
        <v>7.7179006188617351E-3</v>
      </c>
      <c r="F43" s="35">
        <f t="shared" ca="1" si="0"/>
        <v>1.0717607428522288E-2</v>
      </c>
      <c r="H43" s="35">
        <f ca="1">D43+((1+'normal case'!T43/100)/('normal case'!D43/'normal case'!D42))*'external balance'!H42</f>
        <v>0.23122905555935849</v>
      </c>
      <c r="I43" s="35"/>
    </row>
    <row r="44" spans="1:9">
      <c r="A44">
        <v>42</v>
      </c>
      <c r="B44" s="35">
        <f ca="1">('normal case'!AJ44*($K$6*'normal case'!D44*('normal case'!AJ44^'external balance'!$K$4)))/'normal case'!D44</f>
        <v>0.30447775876267213</v>
      </c>
      <c r="C44" s="35">
        <f ca="1">($K$5*$K$7*((1+$K$8)^'normal case'!A43)*'normal case'!AJ44^$K$3)/'normal case'!D44</f>
        <v>0.30747746557233269</v>
      </c>
      <c r="D44" s="96">
        <f ca="1">(C44-B44)+((('main page'!$U$38/100)*'normal case'!$D$3)/'normal case'!$D$3)</f>
        <v>2.9997068096605517E-3</v>
      </c>
      <c r="E44" s="35">
        <f ca="1">((('normal case'!T44/100)*'external balance'!H43)/('normal case'!D44/'normal case'!D43))</f>
        <v>8.0930168756659197E-3</v>
      </c>
      <c r="F44" s="35">
        <f t="shared" ca="1" si="0"/>
        <v>1.1092723685326471E-2</v>
      </c>
      <c r="H44" s="35">
        <f ca="1">D44+((1+'normal case'!T44/100)/('normal case'!D44/'normal case'!D43))*'external balance'!H43</f>
        <v>0.24232177924468495</v>
      </c>
      <c r="I44" s="35"/>
    </row>
    <row r="45" spans="1:9">
      <c r="A45">
        <v>43</v>
      </c>
      <c r="B45" s="35">
        <f ca="1">('normal case'!AJ45*($K$6*'normal case'!D45*('normal case'!AJ45^'external balance'!$K$4)))/'normal case'!D45</f>
        <v>0.30447775876267213</v>
      </c>
      <c r="C45" s="35">
        <f ca="1">($K$5*$K$7*((1+$K$8)^'normal case'!A44)*'normal case'!AJ45^$K$3)/'normal case'!D45</f>
        <v>0.30747746557233269</v>
      </c>
      <c r="D45" s="96">
        <f ca="1">(C45-B45)+((('main page'!$U$38/100)*'normal case'!$D$3)/'normal case'!$D$3)</f>
        <v>2.9997068096605517E-3</v>
      </c>
      <c r="E45" s="35">
        <f ca="1">((('normal case'!T45/100)*'external balance'!H44)/('normal case'!D45/'normal case'!D44))</f>
        <v>8.4812622013464567E-3</v>
      </c>
      <c r="F45" s="35">
        <f t="shared" ca="1" si="0"/>
        <v>1.1480969011007008E-2</v>
      </c>
      <c r="H45" s="35">
        <f ca="1">D45+((1+'normal case'!T45/100)/('normal case'!D45/'normal case'!D44))*'external balance'!H44</f>
        <v>0.25380274825569193</v>
      </c>
      <c r="I45" s="35"/>
    </row>
    <row r="46" spans="1:9">
      <c r="A46">
        <v>44</v>
      </c>
      <c r="B46" s="35">
        <f ca="1">('normal case'!AJ46*($K$6*'normal case'!D46*('normal case'!AJ46^'external balance'!$K$4)))/'normal case'!D46</f>
        <v>0.30447775876267213</v>
      </c>
      <c r="C46" s="35">
        <f ca="1">($K$5*$K$7*((1+$K$8)^'normal case'!A45)*'normal case'!AJ46^$K$3)/'normal case'!D46</f>
        <v>0.30747746557233269</v>
      </c>
      <c r="D46" s="96">
        <f ca="1">(C46-B46)+((('main page'!$U$38/100)*'normal case'!$D$3)/'normal case'!$D$3)</f>
        <v>2.9997068096605517E-3</v>
      </c>
      <c r="E46" s="35">
        <f ca="1">((('normal case'!T46/100)*'external balance'!H45)/('normal case'!D46/'normal case'!D45))</f>
        <v>8.8830961133101044E-3</v>
      </c>
      <c r="F46" s="35">
        <f t="shared" ca="1" si="0"/>
        <v>1.1882802922970656E-2</v>
      </c>
      <c r="H46" s="35">
        <f ca="1">D46+((1+'normal case'!T46/100)/('normal case'!D46/'normal case'!D45))*'external balance'!H45</f>
        <v>0.2656855511786626</v>
      </c>
      <c r="I46" s="35"/>
    </row>
    <row r="47" spans="1:9">
      <c r="A47">
        <v>45</v>
      </c>
      <c r="B47" s="35">
        <f ca="1">('normal case'!AJ47*($K$6*'normal case'!D47*('normal case'!AJ47^'external balance'!$K$4)))/'normal case'!D47</f>
        <v>0.30447775876267213</v>
      </c>
      <c r="C47" s="35">
        <f ca="1">($K$5*$K$7*((1+$K$8)^'normal case'!A46)*'normal case'!AJ47^$K$3)/'normal case'!D47</f>
        <v>0.30747746557233269</v>
      </c>
      <c r="D47" s="96">
        <f ca="1">(C47-B47)+((('main page'!$U$38/100)*'normal case'!$D$3)/'normal case'!$D$3)</f>
        <v>2.9997068096605517E-3</v>
      </c>
      <c r="E47" s="35">
        <f ca="1">((('normal case'!T47/100)*'external balance'!H46)/('normal case'!D47/'normal case'!D46))</f>
        <v>9.2989942120727271E-3</v>
      </c>
      <c r="F47" s="35">
        <f t="shared" ca="1" si="0"/>
        <v>1.2298701021733279E-2</v>
      </c>
      <c r="H47" s="35">
        <f ca="1">D47+((1+'normal case'!T47/100)/('normal case'!D47/'normal case'!D46))*'external balance'!H46</f>
        <v>0.27798425220039585</v>
      </c>
      <c r="I47" s="35"/>
    </row>
    <row r="48" spans="1:9">
      <c r="A48">
        <v>46</v>
      </c>
      <c r="B48" s="35">
        <f ca="1">('normal case'!AJ48*($K$6*'normal case'!D48*('normal case'!AJ48^'external balance'!$K$4)))/'normal case'!D48</f>
        <v>0.30447775876267213</v>
      </c>
      <c r="C48" s="35">
        <f ca="1">($K$5*$K$7*((1+$K$8)^'normal case'!A47)*'normal case'!AJ48^$K$3)/'normal case'!D48</f>
        <v>0.30747746557233269</v>
      </c>
      <c r="D48" s="96">
        <f ca="1">(C48-B48)+((('main page'!$U$38/100)*'normal case'!$D$3)/'normal case'!$D$3)</f>
        <v>2.9997068096605517E-3</v>
      </c>
      <c r="E48" s="35">
        <f ca="1">((('normal case'!T48/100)*'external balance'!H47)/('normal case'!D48/'normal case'!D47))</f>
        <v>9.7294487441680934E-3</v>
      </c>
      <c r="F48" s="35">
        <f t="shared" ca="1" si="0"/>
        <v>1.2729155553828645E-2</v>
      </c>
      <c r="H48" s="35">
        <f ca="1">D48+((1+'normal case'!T48/100)/('normal case'!D48/'normal case'!D47))*'external balance'!H47</f>
        <v>0.2907134077542245</v>
      </c>
      <c r="I48" s="35"/>
    </row>
    <row r="49" spans="1:9">
      <c r="A49">
        <v>47</v>
      </c>
      <c r="B49" s="35">
        <f ca="1">('normal case'!AJ49*($K$6*'normal case'!D49*('normal case'!AJ49^'external balance'!$K$4)))/'normal case'!D49</f>
        <v>0.30447775876267213</v>
      </c>
      <c r="C49" s="35">
        <f ca="1">($K$5*$K$7*((1+$K$8)^'normal case'!A48)*'normal case'!AJ49^$K$3)/'normal case'!D49</f>
        <v>0.30747746557233269</v>
      </c>
      <c r="D49" s="96">
        <f ca="1">(C49-B49)+((('main page'!$U$38/100)*'normal case'!$D$3)/'normal case'!$D$3)</f>
        <v>2.9997068096605517E-3</v>
      </c>
      <c r="E49" s="35">
        <f ca="1">((('normal case'!T49/100)*'external balance'!H48)/('normal case'!D49/'normal case'!D48))</f>
        <v>1.0174969184758511E-2</v>
      </c>
      <c r="F49" s="35">
        <f t="shared" ca="1" si="0"/>
        <v>1.3174675994419063E-2</v>
      </c>
      <c r="H49" s="35">
        <f ca="1">D49+((1+'normal case'!T49/100)/('normal case'!D49/'normal case'!D48))*'external balance'!H48</f>
        <v>0.30388808374864357</v>
      </c>
      <c r="I49" s="35"/>
    </row>
    <row r="50" spans="1:9">
      <c r="A50">
        <v>48</v>
      </c>
      <c r="B50" s="35">
        <f ca="1">('normal case'!AJ50*($K$6*'normal case'!D50*('normal case'!AJ50^'external balance'!$K$4)))/'normal case'!D50</f>
        <v>0.30447775876267213</v>
      </c>
      <c r="C50" s="35">
        <f ca="1">($K$5*$K$7*((1+$K$8)^'normal case'!A49)*'normal case'!AJ50^$K$3)/'normal case'!D50</f>
        <v>0.30747746557233269</v>
      </c>
      <c r="D50" s="96">
        <f ca="1">(C50-B50)+((('main page'!$U$38/100)*'normal case'!$D$3)/'normal case'!$D$3)</f>
        <v>2.9997068096605517E-3</v>
      </c>
      <c r="E50" s="35">
        <f ca="1">((('normal case'!T50/100)*'external balance'!H49)/('normal case'!D50/'normal case'!D49))</f>
        <v>1.0636082840636819E-2</v>
      </c>
      <c r="F50" s="35">
        <f t="shared" ca="1" si="0"/>
        <v>1.363578965029737E-2</v>
      </c>
      <c r="H50" s="35">
        <f ca="1">D50+((1+'normal case'!T50/100)/('normal case'!D50/'normal case'!D49))*'external balance'!H49</f>
        <v>0.31752387339894095</v>
      </c>
      <c r="I50" s="35"/>
    </row>
    <row r="51" spans="1:9">
      <c r="A51">
        <v>49</v>
      </c>
      <c r="B51" s="35">
        <f ca="1">('normal case'!AJ51*($K$6*'normal case'!D51*('normal case'!AJ51^'external balance'!$K$4)))/'normal case'!D51</f>
        <v>0.30447775876267213</v>
      </c>
      <c r="C51" s="35">
        <f ca="1">($K$5*$K$7*((1+$K$8)^'normal case'!A50)*'normal case'!AJ51^$K$3)/'normal case'!D51</f>
        <v>0.30747746557233269</v>
      </c>
      <c r="D51" s="96">
        <f ca="1">(C51-B51)+((('main page'!$U$38/100)*'normal case'!$D$3)/'normal case'!$D$3)</f>
        <v>2.9997068096605517E-3</v>
      </c>
      <c r="E51" s="35">
        <f ca="1">((('normal case'!T51/100)*'external balance'!H50)/('normal case'!D51/'normal case'!D50))</f>
        <v>1.1113335474333446E-2</v>
      </c>
      <c r="F51" s="35">
        <f t="shared" ca="1" si="0"/>
        <v>1.4113042283993998E-2</v>
      </c>
      <c r="H51" s="35">
        <f ca="1">D51+((1+'normal case'!T51/100)/('normal case'!D51/'normal case'!D50))*'external balance'!H50</f>
        <v>0.33163691568293496</v>
      </c>
      <c r="I51" s="35"/>
    </row>
    <row r="52" spans="1:9">
      <c r="A52">
        <v>50</v>
      </c>
      <c r="B52" s="35">
        <f ca="1">('normal case'!AJ52*($K$6*'normal case'!D52*('normal case'!AJ52^'external balance'!$K$4)))/'normal case'!D52</f>
        <v>0.30447775876267213</v>
      </c>
      <c r="C52" s="35">
        <f ca="1">($K$5*$K$7*((1+$K$8)^'normal case'!A51)*'normal case'!AJ52^$K$3)/'normal case'!D52</f>
        <v>0.30747746557233269</v>
      </c>
      <c r="D52" s="96">
        <f ca="1">(C52-B52)+((('main page'!$U$38/100)*'normal case'!$D$3)/'normal case'!$D$3)</f>
        <v>2.9997068096605517E-3</v>
      </c>
      <c r="E52" s="35">
        <f ca="1">((('normal case'!T52/100)*'external balance'!H51)/('normal case'!D52/'normal case'!D51))</f>
        <v>1.1607291950067222E-2</v>
      </c>
      <c r="F52" s="35">
        <f t="shared" ca="1" si="0"/>
        <v>1.4606998759727773E-2</v>
      </c>
      <c r="H52" s="35">
        <f ca="1">D52+((1+'normal case'!T52/100)/('normal case'!D52/'normal case'!D51))*'external balance'!H51</f>
        <v>0.34624391444266273</v>
      </c>
      <c r="I52" s="35"/>
    </row>
    <row r="53" spans="1:9">
      <c r="A53">
        <v>51</v>
      </c>
      <c r="B53" s="35">
        <f ca="1">('normal case'!AJ53*($K$6*'normal case'!D53*('normal case'!AJ53^'external balance'!$K$4)))/'normal case'!D53</f>
        <v>0.30447775876267213</v>
      </c>
      <c r="C53" s="35">
        <f ca="1">($K$5*$K$7*((1+$K$8)^'normal case'!A52)*'normal case'!AJ53^$K$3)/'normal case'!D53</f>
        <v>0.30747746557233269</v>
      </c>
      <c r="D53" s="96">
        <f ca="1">(C53-B53)+((('main page'!$U$38/100)*'normal case'!$D$3)/'normal case'!$D$3)</f>
        <v>2.9997068096605517E-3</v>
      </c>
      <c r="E53" s="35">
        <f ca="1">((('normal case'!T53/100)*'external balance'!H52)/('normal case'!D53/'normal case'!D52))</f>
        <v>1.2118536902304468E-2</v>
      </c>
      <c r="F53" s="35">
        <f t="shared" ca="1" si="0"/>
        <v>1.511824371196502E-2</v>
      </c>
      <c r="H53" s="35">
        <f ca="1">D53+((1+'normal case'!T53/100)/('normal case'!D53/'normal case'!D52))*'external balance'!H52</f>
        <v>0.36136215815462774</v>
      </c>
      <c r="I53" s="35"/>
    </row>
    <row r="54" spans="1:9">
      <c r="A54">
        <v>52</v>
      </c>
      <c r="B54" s="35">
        <f ca="1">('normal case'!AJ54*($K$6*'normal case'!D54*('normal case'!AJ54^'external balance'!$K$4)))/'normal case'!D54</f>
        <v>0.30447775876267213</v>
      </c>
      <c r="C54" s="35">
        <f ca="1">($K$5*$K$7*((1+$K$8)^'normal case'!A53)*'normal case'!AJ54^$K$3)/'normal case'!D54</f>
        <v>0.30747746557233269</v>
      </c>
      <c r="D54" s="96">
        <f ca="1">(C54-B54)+((('main page'!$U$38/100)*'normal case'!$D$3)/'normal case'!$D$3)</f>
        <v>2.9997068096605517E-3</v>
      </c>
      <c r="E54" s="35">
        <f ca="1">((('normal case'!T54/100)*'external balance'!H53)/('normal case'!D54/'normal case'!D53))</f>
        <v>1.2647675427717657E-2</v>
      </c>
      <c r="F54" s="35">
        <f t="shared" ca="1" si="0"/>
        <v>1.5647382237378209E-2</v>
      </c>
      <c r="H54" s="35">
        <f ca="1">D54+((1+'normal case'!T54/100)/('normal case'!D54/'normal case'!D53))*'external balance'!H53</f>
        <v>0.37700954039200596</v>
      </c>
      <c r="I54" s="35"/>
    </row>
    <row r="55" spans="1:9">
      <c r="A55">
        <v>53</v>
      </c>
      <c r="B55" s="35">
        <f ca="1">('normal case'!AJ55*($K$6*'normal case'!D55*('normal case'!AJ55^'external balance'!$K$4)))/'normal case'!D55</f>
        <v>0.30447775876267213</v>
      </c>
      <c r="C55" s="35">
        <f ca="1">($K$5*$K$7*((1+$K$8)^'normal case'!A54)*'normal case'!AJ55^$K$3)/'normal case'!D55</f>
        <v>0.30747746557233269</v>
      </c>
      <c r="D55" s="96">
        <f ca="1">(C55-B55)+((('main page'!$U$38/100)*'normal case'!$D$3)/'normal case'!$D$3)</f>
        <v>2.9997068096605517E-3</v>
      </c>
      <c r="E55" s="35">
        <f ca="1">((('normal case'!T55/100)*'external balance'!H54)/('normal case'!D55/'normal case'!D54))</f>
        <v>1.3195333801362612E-2</v>
      </c>
      <c r="F55" s="35">
        <f t="shared" ca="1" si="0"/>
        <v>1.6195040611023163E-2</v>
      </c>
      <c r="H55" s="35">
        <f ca="1">D55+((1+'normal case'!T55/100)/('normal case'!D55/'normal case'!D54))*'external balance'!H54</f>
        <v>0.39320458100302913</v>
      </c>
      <c r="I55" s="35"/>
    </row>
    <row r="56" spans="1:9">
      <c r="A56">
        <v>54</v>
      </c>
      <c r="B56" s="35">
        <f ca="1">('normal case'!AJ56*($K$6*'normal case'!D56*('normal case'!AJ56^'external balance'!$K$4)))/'normal case'!D56</f>
        <v>0.30447775876267213</v>
      </c>
      <c r="C56" s="35">
        <f ca="1">($K$5*$K$7*((1+$K$8)^'normal case'!A55)*'normal case'!AJ56^$K$3)/'normal case'!D56</f>
        <v>0.30747746557233269</v>
      </c>
      <c r="D56" s="96">
        <f ca="1">(C56-B56)+((('main page'!$U$38/100)*'normal case'!$D$3)/'normal case'!$D$3)</f>
        <v>2.9997068096605517E-3</v>
      </c>
      <c r="E56" s="35">
        <f ca="1">((('normal case'!T56/100)*'external balance'!H55)/('normal case'!D56/'normal case'!D55))</f>
        <v>1.3762160217921924E-2</v>
      </c>
      <c r="F56" s="35">
        <f t="shared" ca="1" si="0"/>
        <v>1.6761867027582478E-2</v>
      </c>
      <c r="H56" s="35">
        <f ca="1">D56+((1+'normal case'!T56/100)/('normal case'!D56/'normal case'!D55))*'external balance'!H55</f>
        <v>0.40996644803061161</v>
      </c>
      <c r="I56" s="35"/>
    </row>
    <row r="57" spans="1:9">
      <c r="A57">
        <v>55</v>
      </c>
      <c r="B57" s="35">
        <f ca="1">('normal case'!AJ57*($K$6*'normal case'!D57*('normal case'!AJ57^'external balance'!$K$4)))/'normal case'!D57</f>
        <v>0.30447775876267213</v>
      </c>
      <c r="C57" s="35">
        <f ca="1">($K$5*$K$7*((1+$K$8)^'normal case'!A56)*'normal case'!AJ57^$K$3)/'normal case'!D57</f>
        <v>0.30747746557233269</v>
      </c>
      <c r="D57" s="96">
        <f ca="1">(C57-B57)+((('main page'!$U$38/100)*'normal case'!$D$3)/'normal case'!$D$3)</f>
        <v>2.9997068096605517E-3</v>
      </c>
      <c r="E57" s="35">
        <f ca="1">((('normal case'!T57/100)*'external balance'!H56)/('normal case'!D57/'normal case'!D56))</f>
        <v>1.4348825558891885E-2</v>
      </c>
      <c r="F57" s="35">
        <f t="shared" ca="1" si="0"/>
        <v>1.7348532368552438E-2</v>
      </c>
      <c r="H57" s="35">
        <f ca="1">D57+((1+'normal case'!T57/100)/('normal case'!D57/'normal case'!D56))*'external balance'!H56</f>
        <v>0.42731498039916405</v>
      </c>
      <c r="I57" s="35"/>
    </row>
    <row r="58" spans="1:9">
      <c r="A58">
        <v>56</v>
      </c>
      <c r="B58" s="35">
        <f ca="1">('normal case'!AJ58*($K$6*'normal case'!D58*('normal case'!AJ58^'external balance'!$K$4)))/'normal case'!D58</f>
        <v>0.30447775876267213</v>
      </c>
      <c r="C58" s="35">
        <f ca="1">($K$5*$K$7*((1+$K$8)^'normal case'!A57)*'normal case'!AJ58^$K$3)/'normal case'!D58</f>
        <v>0.30747746557233269</v>
      </c>
      <c r="D58" s="96">
        <f ca="1">(C58-B58)+((('main page'!$U$38/100)*'normal case'!$D$3)/'normal case'!$D$3)</f>
        <v>2.9997068096605517E-3</v>
      </c>
      <c r="E58" s="35">
        <f ca="1">((('normal case'!T58/100)*'external balance'!H57)/('normal case'!D58/'normal case'!D57))</f>
        <v>1.4956024186620955E-2</v>
      </c>
      <c r="F58" s="35">
        <f t="shared" ca="1" si="0"/>
        <v>1.7955730996281505E-2</v>
      </c>
      <c r="H58" s="35">
        <f ca="1">D58+((1+'normal case'!T58/100)/('normal case'!D58/'normal case'!D57))*'external balance'!H57</f>
        <v>0.44527071139544555</v>
      </c>
      <c r="I58" s="35"/>
    </row>
    <row r="59" spans="1:9">
      <c r="A59">
        <v>57</v>
      </c>
      <c r="B59" s="35">
        <f ca="1">('normal case'!AJ59*($K$6*'normal case'!D59*('normal case'!AJ59^'external balance'!$K$4)))/'normal case'!D59</f>
        <v>0.30447775876267213</v>
      </c>
      <c r="C59" s="35">
        <f ca="1">($K$5*$K$7*((1+$K$8)^'normal case'!A58)*'normal case'!AJ59^$K$3)/'normal case'!D59</f>
        <v>0.30747746557233269</v>
      </c>
      <c r="D59" s="96">
        <f ca="1">(C59-B59)+((('main page'!$U$38/100)*'normal case'!$D$3)/'normal case'!$D$3)</f>
        <v>2.9997068096605517E-3</v>
      </c>
      <c r="E59" s="35">
        <f ca="1">((('normal case'!T59/100)*'external balance'!H58)/('normal case'!D59/'normal case'!D58))</f>
        <v>1.5584474766139583E-2</v>
      </c>
      <c r="F59" s="35">
        <f t="shared" ca="1" si="0"/>
        <v>1.8584181575800135E-2</v>
      </c>
      <c r="H59" s="35">
        <f ca="1">D59+((1+'normal case'!T59/100)/('normal case'!D59/'normal case'!D58))*'external balance'!H58</f>
        <v>0.46385489297124566</v>
      </c>
      <c r="I59" s="35"/>
    </row>
    <row r="60" spans="1:9">
      <c r="A60">
        <v>58</v>
      </c>
      <c r="B60" s="35">
        <f ca="1">('normal case'!AJ60*($K$6*'normal case'!D60*('normal case'!AJ60^'external balance'!$K$4)))/'normal case'!D60</f>
        <v>0.30447775876267213</v>
      </c>
      <c r="C60" s="35">
        <f ca="1">($K$5*$K$7*((1+$K$8)^'normal case'!A59)*'normal case'!AJ60^$K$3)/'normal case'!D60</f>
        <v>0.30747746557233269</v>
      </c>
      <c r="D60" s="96">
        <f ca="1">(C60-B60)+((('main page'!$U$38/100)*'normal case'!$D$3)/'normal case'!$D$3)</f>
        <v>2.9997068096605517E-3</v>
      </c>
      <c r="E60" s="35">
        <f ca="1">((('normal case'!T60/100)*'external balance'!H59)/('normal case'!D60/'normal case'!D59))</f>
        <v>1.6234921115754069E-2</v>
      </c>
      <c r="F60" s="35">
        <f t="shared" ca="1" si="0"/>
        <v>1.9234627925414621E-2</v>
      </c>
      <c r="H60" s="35">
        <f ca="1">D60+((1+'normal case'!T60/100)/('normal case'!D60/'normal case'!D59))*'external balance'!H59</f>
        <v>0.4830895208966603</v>
      </c>
      <c r="I60" s="35"/>
    </row>
    <row r="61" spans="1:9">
      <c r="A61">
        <v>59</v>
      </c>
      <c r="B61" s="35">
        <f ca="1">('normal case'!AJ61*($K$6*'normal case'!D61*('normal case'!AJ61^'external balance'!$K$4)))/'normal case'!D61</f>
        <v>0.30447775876267213</v>
      </c>
      <c r="C61" s="35">
        <f ca="1">($K$5*$K$7*((1+$K$8)^'normal case'!A60)*'normal case'!AJ61^$K$3)/'normal case'!D61</f>
        <v>0.30747746557233269</v>
      </c>
      <c r="D61" s="96">
        <f ca="1">(C61-B61)+((('main page'!$U$38/100)*'normal case'!$D$3)/'normal case'!$D$3)</f>
        <v>2.9997068096605517E-3</v>
      </c>
      <c r="E61" s="35">
        <f ca="1">((('normal case'!T61/100)*'external balance'!H60)/('normal case'!D61/'normal case'!D60))</f>
        <v>1.6908133087411216E-2</v>
      </c>
      <c r="F61" s="35">
        <f t="shared" ca="1" si="0"/>
        <v>1.9907839897071768E-2</v>
      </c>
      <c r="H61" s="35">
        <f ca="1">D61+((1+'normal case'!T61/100)/('normal case'!D61/'normal case'!D60))*'external balance'!H60</f>
        <v>0.50299736079373203</v>
      </c>
      <c r="I61" s="35"/>
    </row>
    <row r="62" spans="1:9">
      <c r="A62">
        <v>60</v>
      </c>
      <c r="B62" s="35">
        <f ca="1">('normal case'!AJ62*($K$6*'normal case'!D62*('normal case'!AJ62^'external balance'!$K$4)))/'normal case'!D62</f>
        <v>0.30447775876267213</v>
      </c>
      <c r="C62" s="35">
        <f ca="1">($K$5*$K$7*((1+$K$8)^'normal case'!A61)*'normal case'!AJ62^$K$3)/'normal case'!D62</f>
        <v>0.30747746557233269</v>
      </c>
      <c r="D62" s="96">
        <f ca="1">(C62-B62)+((('main page'!$U$38/100)*'normal case'!$D$3)/'normal case'!$D$3)</f>
        <v>2.9997068096605517E-3</v>
      </c>
      <c r="E62" s="35">
        <f ca="1">((('normal case'!T62/100)*'external balance'!H61)/('normal case'!D62/'normal case'!D61))</f>
        <v>1.7604907477875728E-2</v>
      </c>
      <c r="F62" s="35">
        <f t="shared" ca="1" si="0"/>
        <v>2.060461428753628E-2</v>
      </c>
      <c r="H62" s="35">
        <f ca="1">D62+((1+'normal case'!T62/100)/('normal case'!D62/'normal case'!D61))*'external balance'!H61</f>
        <v>0.52360197508126827</v>
      </c>
      <c r="I62" s="35"/>
    </row>
    <row r="63" spans="1:9">
      <c r="A63">
        <v>61</v>
      </c>
      <c r="B63" s="35">
        <f ca="1">('normal case'!AJ63*($K$6*'normal case'!D63*('normal case'!AJ63^'external balance'!$K$4)))/'normal case'!D63</f>
        <v>0.30447775876267213</v>
      </c>
      <c r="C63" s="35">
        <f ca="1">($K$5*$K$7*((1+$K$8)^'normal case'!A62)*'normal case'!AJ63^$K$3)/'normal case'!D63</f>
        <v>0.30747746557233269</v>
      </c>
      <c r="D63" s="96">
        <f ca="1">(C63-B63)+((('main page'!$U$38/100)*'normal case'!$D$3)/'normal case'!$D$3)</f>
        <v>2.9997068096605517E-3</v>
      </c>
      <c r="E63" s="35">
        <f ca="1">((('normal case'!T63/100)*'external balance'!H62)/('normal case'!D63/'normal case'!D62))</f>
        <v>1.8326068971798844E-2</v>
      </c>
      <c r="F63" s="35">
        <f t="shared" ca="1" si="0"/>
        <v>2.1325775781459395E-2</v>
      </c>
      <c r="H63" s="35">
        <f ca="1">D63+((1+'normal case'!T63/100)/('normal case'!D63/'normal case'!D62))*'external balance'!H62</f>
        <v>0.5449277508627276</v>
      </c>
      <c r="I63" s="35"/>
    </row>
    <row r="64" spans="1:9">
      <c r="A64">
        <v>62</v>
      </c>
      <c r="B64" s="35">
        <f ca="1">('normal case'!AJ64*($K$6*'normal case'!D64*('normal case'!AJ64^'external balance'!$K$4)))/'normal case'!D64</f>
        <v>0.30447775876267213</v>
      </c>
      <c r="C64" s="35">
        <f ca="1">($K$5*$K$7*((1+$K$8)^'normal case'!A63)*'normal case'!AJ64^$K$3)/'normal case'!D64</f>
        <v>0.30747746557233269</v>
      </c>
      <c r="D64" s="96">
        <f ca="1">(C64-B64)+((('main page'!$U$38/100)*'normal case'!$D$3)/'normal case'!$D$3)</f>
        <v>2.9997068096605517E-3</v>
      </c>
      <c r="E64" s="35">
        <f ca="1">((('normal case'!T64/100)*'external balance'!H63)/('normal case'!D64/'normal case'!D63))</f>
        <v>1.9072471117794344E-2</v>
      </c>
      <c r="F64" s="35">
        <f t="shared" ca="1" si="0"/>
        <v>2.2072177927454896E-2</v>
      </c>
      <c r="H64" s="35">
        <f ca="1">D64+((1+'normal case'!T64/100)/('normal case'!D64/'normal case'!D63))*'external balance'!H63</f>
        <v>0.56699992879018246</v>
      </c>
      <c r="I64" s="35"/>
    </row>
    <row r="65" spans="1:9">
      <c r="A65">
        <v>63</v>
      </c>
      <c r="B65" s="35">
        <f ca="1">('normal case'!AJ65*($K$6*'normal case'!D65*('normal case'!AJ65^'external balance'!$K$4)))/'normal case'!D65</f>
        <v>0.30447775876267213</v>
      </c>
      <c r="C65" s="35">
        <f ca="1">($K$5*$K$7*((1+$K$8)^'normal case'!A64)*'normal case'!AJ65^$K$3)/'normal case'!D65</f>
        <v>0.30747746557233269</v>
      </c>
      <c r="D65" s="96">
        <f ca="1">(C65-B65)+((('main page'!$U$38/100)*'normal case'!$D$3)/'normal case'!$D$3)</f>
        <v>2.9997068096605517E-3</v>
      </c>
      <c r="E65" s="35">
        <f ca="1">((('normal case'!T65/100)*'external balance'!H64)/('normal case'!D65/'normal case'!D64))</f>
        <v>1.9844997338677242E-2</v>
      </c>
      <c r="F65" s="35">
        <f t="shared" ca="1" si="0"/>
        <v>2.2844704148337794E-2</v>
      </c>
      <c r="H65" s="35">
        <f ca="1">D65+((1+'normal case'!T65/100)/('normal case'!D65/'normal case'!D64))*'external balance'!H64</f>
        <v>0.5898446329385203</v>
      </c>
      <c r="I65" s="35"/>
    </row>
    <row r="66" spans="1:9">
      <c r="A66">
        <v>64</v>
      </c>
      <c r="B66" s="35">
        <f ca="1">('normal case'!AJ66*($K$6*'normal case'!D66*('normal case'!AJ66^'external balance'!$K$4)))/'normal case'!D66</f>
        <v>0.30447775876267213</v>
      </c>
      <c r="C66" s="35">
        <f ca="1">($K$5*$K$7*((1+$K$8)^'normal case'!A65)*'normal case'!AJ66^$K$3)/'normal case'!D66</f>
        <v>0.30747746557233269</v>
      </c>
      <c r="D66" s="96">
        <f ca="1">(C66-B66)+((('main page'!$U$38/100)*'normal case'!$D$3)/'normal case'!$D$3)</f>
        <v>2.9997068096605517E-3</v>
      </c>
      <c r="E66" s="35">
        <f ca="1">((('normal case'!T66/100)*'external balance'!H65)/('normal case'!D66/'normal case'!D65))</f>
        <v>2.0644561977060813E-2</v>
      </c>
      <c r="F66" s="35">
        <f t="shared" ca="1" si="0"/>
        <v>2.3644268786721365E-2</v>
      </c>
      <c r="H66" s="35">
        <f ca="1">D66+((1+'normal case'!T66/100)/('normal case'!D66/'normal case'!D65))*'external balance'!H65</f>
        <v>0.61348890172524162</v>
      </c>
      <c r="I66" s="35"/>
    </row>
    <row r="67" spans="1:9">
      <c r="A67">
        <v>65</v>
      </c>
      <c r="B67" s="35">
        <f ca="1">('normal case'!AJ67*($K$6*'normal case'!D67*('normal case'!AJ67^'external balance'!$K$4)))/'normal case'!D67</f>
        <v>0.30447775876267213</v>
      </c>
      <c r="C67" s="35">
        <f ca="1">($K$5*$K$7*((1+$K$8)^'normal case'!A66)*'normal case'!AJ67^$K$3)/'normal case'!D67</f>
        <v>0.30747746557233269</v>
      </c>
      <c r="D67" s="96">
        <f ca="1">(C67-B67)+((('main page'!$U$38/100)*'normal case'!$D$3)/'normal case'!$D$3)</f>
        <v>2.9997068096605517E-3</v>
      </c>
      <c r="E67" s="35">
        <f ca="1">((('normal case'!T67/100)*'external balance'!H66)/('normal case'!D67/'normal case'!D66))</f>
        <v>2.1472111377549518E-2</v>
      </c>
      <c r="F67" s="35">
        <f t="shared" ca="1" si="0"/>
        <v>2.447181818721007E-2</v>
      </c>
      <c r="H67" s="35">
        <f ca="1">D67+((1+'normal case'!T67/100)/('normal case'!D67/'normal case'!D66))*'external balance'!H66</f>
        <v>0.63796071991245162</v>
      </c>
      <c r="I67" s="35"/>
    </row>
    <row r="68" spans="1:9">
      <c r="A68">
        <v>66</v>
      </c>
      <c r="B68" s="35">
        <f ca="1">('normal case'!AJ68*($K$6*'normal case'!D68*('normal case'!AJ68^'external balance'!$K$4)))/'normal case'!D68</f>
        <v>0.30447775876267213</v>
      </c>
      <c r="C68" s="35">
        <f ca="1">($K$5*$K$7*((1+$K$8)^'normal case'!A67)*'normal case'!AJ68^$K$3)/'normal case'!D68</f>
        <v>0.30747746557233269</v>
      </c>
      <c r="D68" s="96">
        <f ca="1">(C68-B68)+((('main page'!$U$38/100)*'normal case'!$D$3)/'normal case'!$D$3)</f>
        <v>2.9997068096605517E-3</v>
      </c>
      <c r="E68" s="35">
        <f ca="1">((('normal case'!T68/100)*'external balance'!H67)/('normal case'!D68/'normal case'!D67))</f>
        <v>2.2328625006808697E-2</v>
      </c>
      <c r="F68" s="35">
        <f t="shared" ca="1" si="0"/>
        <v>2.5328331816469249E-2</v>
      </c>
      <c r="H68" s="35">
        <f ca="1">D68+((1+'normal case'!T68/100)/('normal case'!D68/'normal case'!D67))*'external balance'!H67</f>
        <v>0.66328905172892083</v>
      </c>
      <c r="I68" s="35"/>
    </row>
    <row r="69" spans="1:9">
      <c r="A69">
        <v>67</v>
      </c>
      <c r="B69" s="35">
        <f ca="1">('normal case'!AJ69*($K$6*'normal case'!D69*('normal case'!AJ69^'external balance'!$K$4)))/'normal case'!D69</f>
        <v>0.30447775876267213</v>
      </c>
      <c r="C69" s="35">
        <f ca="1">($K$5*$K$7*((1+$K$8)^'normal case'!A68)*'normal case'!AJ69^$K$3)/'normal case'!D69</f>
        <v>0.30747746557233269</v>
      </c>
      <c r="D69" s="96">
        <f ca="1">(C69-B69)+((('main page'!$U$38/100)*'normal case'!$D$3)/'normal case'!$D$3)</f>
        <v>2.9997068096605517E-3</v>
      </c>
      <c r="E69" s="35">
        <f ca="1">((('normal case'!T69/100)*'external balance'!H68)/('normal case'!D69/'normal case'!D68))</f>
        <v>2.3215116612836689E-2</v>
      </c>
      <c r="F69" s="35">
        <f t="shared" ref="F69:F132" ca="1" si="1">IF(ABS(D69+E69-F68)&lt;0.0000001,F68,D69+E69)</f>
        <v>2.621482342249724E-2</v>
      </c>
      <c r="H69" s="35">
        <f ca="1">D69+((1+'normal case'!T69/100)/('normal case'!D69/'normal case'!D68))*'external balance'!H68</f>
        <v>0.68950387515141809</v>
      </c>
      <c r="I69" s="35"/>
    </row>
    <row r="70" spans="1:9">
      <c r="A70">
        <v>68</v>
      </c>
      <c r="B70" s="35">
        <f ca="1">('normal case'!AJ70*($K$6*'normal case'!D70*('normal case'!AJ70^'external balance'!$K$4)))/'normal case'!D70</f>
        <v>0.30447775876267213</v>
      </c>
      <c r="C70" s="35">
        <f ca="1">($K$5*$K$7*((1+$K$8)^'normal case'!A69)*'normal case'!AJ70^$K$3)/'normal case'!D70</f>
        <v>0.30747746557233269</v>
      </c>
      <c r="D70" s="96">
        <f ca="1">(C70-B70)+((('main page'!$U$38/100)*'normal case'!$D$3)/'normal case'!$D$3)</f>
        <v>2.9997068096605517E-3</v>
      </c>
      <c r="E70" s="35">
        <f ca="1">((('normal case'!T70/100)*'external balance'!H69)/('normal case'!D70/'normal case'!D69))</f>
        <v>2.4132635424811467E-2</v>
      </c>
      <c r="F70" s="35">
        <f t="shared" ca="1" si="1"/>
        <v>2.7132342234472018E-2</v>
      </c>
      <c r="H70" s="35">
        <f ca="1">D70+((1+'normal case'!T70/100)/('normal case'!D70/'normal case'!D69))*'external balance'!H69</f>
        <v>0.71663621738589012</v>
      </c>
      <c r="I70" s="35"/>
    </row>
    <row r="71" spans="1:9">
      <c r="A71">
        <v>69</v>
      </c>
      <c r="B71" s="35">
        <f ca="1">('normal case'!AJ71*($K$6*'normal case'!D71*('normal case'!AJ71^'external balance'!$K$4)))/'normal case'!D71</f>
        <v>0.30447775876267213</v>
      </c>
      <c r="C71" s="35">
        <f ca="1">($K$5*$K$7*((1+$K$8)^'normal case'!A70)*'normal case'!AJ71^$K$3)/'normal case'!D71</f>
        <v>0.30747746557233269</v>
      </c>
      <c r="D71" s="96">
        <f ca="1">(C71-B71)+((('main page'!$U$38/100)*'normal case'!$D$3)/'normal case'!$D$3)</f>
        <v>2.9997068096605517E-3</v>
      </c>
      <c r="E71" s="35">
        <f ca="1">((('normal case'!T71/100)*'external balance'!H70)/('normal case'!D71/'normal case'!D70))</f>
        <v>2.5082267394931919E-2</v>
      </c>
      <c r="F71" s="35">
        <f t="shared" ca="1" si="1"/>
        <v>2.8081974204592471E-2</v>
      </c>
      <c r="H71" s="35">
        <f ca="1">D71+((1+'normal case'!T71/100)/('normal case'!D71/'normal case'!D70))*'external balance'!H70</f>
        <v>0.74471819159048258</v>
      </c>
      <c r="I71" s="35"/>
    </row>
    <row r="72" spans="1:9">
      <c r="A72">
        <v>70</v>
      </c>
      <c r="B72" s="35">
        <f ca="1">('normal case'!AJ72*($K$6*'normal case'!D72*('normal case'!AJ72^'external balance'!$K$4)))/'normal case'!D72</f>
        <v>0.30447775876267213</v>
      </c>
      <c r="C72" s="35">
        <f ca="1">($K$5*$K$7*((1+$K$8)^'normal case'!A71)*'normal case'!AJ72^$K$3)/'normal case'!D72</f>
        <v>0.30747746557233269</v>
      </c>
      <c r="D72" s="96">
        <f ca="1">(C72-B72)+((('main page'!$U$38/100)*'normal case'!$D$3)/'normal case'!$D$3)</f>
        <v>2.9997068096605517E-3</v>
      </c>
      <c r="E72" s="35">
        <f ca="1">((('normal case'!T72/100)*'external balance'!H71)/('normal case'!D72/'normal case'!D71))</f>
        <v>2.6065136483723578E-2</v>
      </c>
      <c r="F72" s="35">
        <f t="shared" ca="1" si="1"/>
        <v>2.9064843293384129E-2</v>
      </c>
      <c r="H72" s="35">
        <f ca="1">D72+((1+'normal case'!T72/100)/('normal case'!D72/'normal case'!D71))*'external balance'!H71</f>
        <v>0.77378303488386668</v>
      </c>
      <c r="I72" s="35"/>
    </row>
    <row r="73" spans="1:9">
      <c r="A73">
        <v>71</v>
      </c>
      <c r="B73" s="35">
        <f ca="1">('normal case'!AJ73*($K$6*'normal case'!D73*('normal case'!AJ73^'external balance'!$K$4)))/'normal case'!D73</f>
        <v>0.30447775876267213</v>
      </c>
      <c r="C73" s="35">
        <f ca="1">($K$5*$K$7*((1+$K$8)^'normal case'!A72)*'normal case'!AJ73^$K$3)/'normal case'!D73</f>
        <v>0.30747746557233269</v>
      </c>
      <c r="D73" s="96">
        <f ca="1">(C73-B73)+((('main page'!$U$38/100)*'normal case'!$D$3)/'normal case'!$D$3)</f>
        <v>2.9997068096605517E-3</v>
      </c>
      <c r="E73" s="35">
        <f ca="1">((('normal case'!T73/100)*'external balance'!H72)/('normal case'!D73/'normal case'!D72))</f>
        <v>2.7082405990330023E-2</v>
      </c>
      <c r="F73" s="35">
        <f t="shared" ca="1" si="1"/>
        <v>3.0082112799990575E-2</v>
      </c>
      <c r="H73" s="35">
        <f ca="1">D73+((1+'normal case'!T73/100)/('normal case'!D73/'normal case'!D72))*'external balance'!H72</f>
        <v>0.8038651476838572</v>
      </c>
      <c r="I73" s="35"/>
    </row>
    <row r="74" spans="1:9">
      <c r="A74">
        <v>72</v>
      </c>
      <c r="B74" s="35">
        <f ca="1">('normal case'!AJ74*($K$6*'normal case'!D74*('normal case'!AJ74^'external balance'!$K$4)))/'normal case'!D74</f>
        <v>0.30447775876267213</v>
      </c>
      <c r="C74" s="35">
        <f ca="1">($K$5*$K$7*((1+$K$8)^'normal case'!A73)*'normal case'!AJ74^$K$3)/'normal case'!D74</f>
        <v>0.30747746557233269</v>
      </c>
      <c r="D74" s="96">
        <f ca="1">(C74-B74)+((('main page'!$U$38/100)*'normal case'!$D$3)/'normal case'!$D$3)</f>
        <v>2.9997068096605517E-3</v>
      </c>
      <c r="E74" s="35">
        <f ca="1">((('normal case'!T74/100)*'external balance'!H73)/('normal case'!D74/'normal case'!D73))</f>
        <v>2.8135279929364522E-2</v>
      </c>
      <c r="F74" s="35">
        <f t="shared" ca="1" si="1"/>
        <v>3.1134986739025074E-2</v>
      </c>
      <c r="H74" s="35">
        <f ca="1">D74+((1+'normal case'!T74/100)/('normal case'!D74/'normal case'!D73))*'external balance'!H73</f>
        <v>0.83500013442288223</v>
      </c>
      <c r="I74" s="35"/>
    </row>
    <row r="75" spans="1:9">
      <c r="A75">
        <v>73</v>
      </c>
      <c r="B75" s="35">
        <f ca="1">('normal case'!AJ75*($K$6*'normal case'!D75*('normal case'!AJ75^'external balance'!$K$4)))/'normal case'!D75</f>
        <v>0.30447775876267213</v>
      </c>
      <c r="C75" s="35">
        <f ca="1">($K$5*$K$7*((1+$K$8)^'normal case'!A74)*'normal case'!AJ75^$K$3)/'normal case'!D75</f>
        <v>0.30747746557233269</v>
      </c>
      <c r="D75" s="96">
        <f ca="1">(C75-B75)+((('main page'!$U$38/100)*'normal case'!$D$3)/'normal case'!$D$3)</f>
        <v>2.9997068096605517E-3</v>
      </c>
      <c r="E75" s="35">
        <f ca="1">((('normal case'!T75/100)*'external balance'!H74)/('normal case'!D75/'normal case'!D74))</f>
        <v>2.9225004455951449E-2</v>
      </c>
      <c r="F75" s="35">
        <f t="shared" ca="1" si="1"/>
        <v>3.2224711265612001E-2</v>
      </c>
      <c r="H75" s="35">
        <f ca="1">D75+((1+'normal case'!T75/100)/('normal case'!D75/'normal case'!D74))*'external balance'!H74</f>
        <v>0.86722484568849423</v>
      </c>
      <c r="I75" s="35"/>
    </row>
    <row r="76" spans="1:9">
      <c r="A76">
        <v>74</v>
      </c>
      <c r="B76" s="35">
        <f ca="1">('normal case'!AJ76*($K$6*'normal case'!D76*('normal case'!AJ76^'external balance'!$K$4)))/'normal case'!D76</f>
        <v>0.30447775876267213</v>
      </c>
      <c r="C76" s="35">
        <f ca="1">($K$5*$K$7*((1+$K$8)^'normal case'!A75)*'normal case'!AJ76^$K$3)/'normal case'!D76</f>
        <v>0.30747746557233269</v>
      </c>
      <c r="D76" s="96">
        <f ca="1">(C76-B76)+((('main page'!$U$38/100)*'normal case'!$D$3)/'normal case'!$D$3)</f>
        <v>2.9997068096605517E-3</v>
      </c>
      <c r="E76" s="35">
        <f ca="1">((('normal case'!T76/100)*'external balance'!H75)/('normal case'!D76/'normal case'!D75))</f>
        <v>3.0352869340644156E-2</v>
      </c>
      <c r="F76" s="35">
        <f t="shared" ca="1" si="1"/>
        <v>3.3352576150304708E-2</v>
      </c>
      <c r="H76" s="35">
        <f ca="1">D76+((1+'normal case'!T76/100)/('normal case'!D76/'normal case'!D75))*'external balance'!H75</f>
        <v>0.90057742183879896</v>
      </c>
      <c r="I76" s="35"/>
    </row>
    <row r="77" spans="1:9">
      <c r="A77">
        <v>75</v>
      </c>
      <c r="B77" s="35">
        <f ca="1">('normal case'!AJ77*($K$6*'normal case'!D77*('normal case'!AJ77^'external balance'!$K$4)))/'normal case'!D77</f>
        <v>0.30447775876267213</v>
      </c>
      <c r="C77" s="35">
        <f ca="1">($K$5*$K$7*((1+$K$8)^'normal case'!A76)*'normal case'!AJ77^$K$3)/'normal case'!D77</f>
        <v>0.30747746557233269</v>
      </c>
      <c r="D77" s="96">
        <f ca="1">(C77-B77)+((('main page'!$U$38/100)*'normal case'!$D$3)/'normal case'!$D$3)</f>
        <v>2.9997068096605517E-3</v>
      </c>
      <c r="E77" s="35">
        <f ca="1">((('normal case'!T77/100)*'external balance'!H76)/('normal case'!D77/'normal case'!D76))</f>
        <v>3.1520209495964978E-2</v>
      </c>
      <c r="F77" s="35">
        <f t="shared" ca="1" si="1"/>
        <v>3.451991630562553E-2</v>
      </c>
      <c r="H77" s="35">
        <f ca="1">D77+((1+'normal case'!T77/100)/('normal case'!D77/'normal case'!D76))*'external balance'!H76</f>
        <v>0.93509733814442453</v>
      </c>
      <c r="I77" s="35"/>
    </row>
    <row r="78" spans="1:9">
      <c r="A78">
        <v>76</v>
      </c>
      <c r="B78" s="35">
        <f ca="1">('normal case'!AJ78*($K$6*'normal case'!D78*('normal case'!AJ78^'external balance'!$K$4)))/'normal case'!D78</f>
        <v>0.30447775876267213</v>
      </c>
      <c r="C78" s="35">
        <f ca="1">($K$5*$K$7*((1+$K$8)^'normal case'!A77)*'normal case'!AJ78^$K$3)/'normal case'!D78</f>
        <v>0.30747746557233269</v>
      </c>
      <c r="D78" s="96">
        <f ca="1">(C78-B78)+((('main page'!$U$38/100)*'normal case'!$D$3)/'normal case'!$D$3)</f>
        <v>2.9997068096605517E-3</v>
      </c>
      <c r="E78" s="35">
        <f ca="1">((('normal case'!T78/100)*'external balance'!H77)/('normal case'!D78/'normal case'!D77))</f>
        <v>3.2728406556374136E-2</v>
      </c>
      <c r="F78" s="35">
        <f t="shared" ca="1" si="1"/>
        <v>3.5728113366034688E-2</v>
      </c>
      <c r="H78" s="35">
        <f ca="1">D78+((1+'normal case'!T78/100)/('normal case'!D78/'normal case'!D77))*'external balance'!H77</f>
        <v>0.97082545151045918</v>
      </c>
      <c r="I78" s="35"/>
    </row>
    <row r="79" spans="1:9">
      <c r="A79">
        <v>77</v>
      </c>
      <c r="B79" s="35">
        <f ca="1">('normal case'!AJ79*($K$6*'normal case'!D79*('normal case'!AJ79^'external balance'!$K$4)))/'normal case'!D79</f>
        <v>0.30447775876267213</v>
      </c>
      <c r="C79" s="35">
        <f ca="1">($K$5*$K$7*((1+$K$8)^'normal case'!A78)*'normal case'!AJ79^$K$3)/'normal case'!D79</f>
        <v>0.30747746557233269</v>
      </c>
      <c r="D79" s="96">
        <f ca="1">(C79-B79)+((('main page'!$U$38/100)*'normal case'!$D$3)/'normal case'!$D$3)</f>
        <v>2.9997068096605517E-3</v>
      </c>
      <c r="E79" s="35">
        <f ca="1">((('normal case'!T79/100)*'external balance'!H78)/('normal case'!D79/'normal case'!D78))</f>
        <v>3.3978890513537544E-2</v>
      </c>
      <c r="F79" s="35">
        <f t="shared" ca="1" si="1"/>
        <v>3.6978597323198095E-2</v>
      </c>
      <c r="H79" s="35">
        <f ca="1">D79+((1+'normal case'!T79/100)/('normal case'!D79/'normal case'!D78))*'external balance'!H78</f>
        <v>1.0078040488336573</v>
      </c>
      <c r="I79" s="35"/>
    </row>
    <row r="80" spans="1:9">
      <c r="A80">
        <v>78</v>
      </c>
      <c r="B80" s="35">
        <f ca="1">('normal case'!AJ80*($K$6*'normal case'!D80*('normal case'!AJ80^'external balance'!$K$4)))/'normal case'!D80</f>
        <v>0.30447775876267213</v>
      </c>
      <c r="C80" s="35">
        <f ca="1">($K$5*$K$7*((1+$K$8)^'normal case'!A79)*'normal case'!AJ80^$K$3)/'normal case'!D80</f>
        <v>0.30747746557233269</v>
      </c>
      <c r="D80" s="96">
        <f ca="1">(C80-B80)+((('main page'!$U$38/100)*'normal case'!$D$3)/'normal case'!$D$3)</f>
        <v>2.9997068096605517E-3</v>
      </c>
      <c r="E80" s="35">
        <f ca="1">((('normal case'!T80/100)*'external balance'!H79)/('normal case'!D80/'normal case'!D79))</f>
        <v>3.5273141408828992E-2</v>
      </c>
      <c r="F80" s="35">
        <f t="shared" ca="1" si="1"/>
        <v>3.8272848218489544E-2</v>
      </c>
      <c r="H80" s="35">
        <f ca="1">D80+((1+'normal case'!T80/100)/('normal case'!D80/'normal case'!D79))*'external balance'!H79</f>
        <v>1.0460768970521468</v>
      </c>
      <c r="I80" s="35"/>
    </row>
    <row r="81" spans="1:9">
      <c r="A81">
        <v>79</v>
      </c>
      <c r="B81" s="35">
        <f ca="1">('normal case'!AJ81*($K$6*'normal case'!D81*('normal case'!AJ81^'external balance'!$K$4)))/'normal case'!D81</f>
        <v>0.30447775876267213</v>
      </c>
      <c r="C81" s="35">
        <f ca="1">($K$5*$K$7*((1+$K$8)^'normal case'!A80)*'normal case'!AJ81^$K$3)/'normal case'!D81</f>
        <v>0.30747746557233269</v>
      </c>
      <c r="D81" s="96">
        <f ca="1">(C81-B81)+((('main page'!$U$38/100)*'normal case'!$D$3)/'normal case'!$D$3)</f>
        <v>2.9997068096605517E-3</v>
      </c>
      <c r="E81" s="35">
        <f ca="1">((('normal case'!T81/100)*'external balance'!H80)/('normal case'!D81/'normal case'!D80))</f>
        <v>3.6612691085069933E-2</v>
      </c>
      <c r="F81" s="35">
        <f t="shared" ca="1" si="1"/>
        <v>3.9612397894730485E-2</v>
      </c>
      <c r="H81" s="35">
        <f ca="1">D81+((1+'normal case'!T81/100)/('normal case'!D81/'normal case'!D80))*'external balance'!H80</f>
        <v>1.0856892949468773</v>
      </c>
      <c r="I81" s="35"/>
    </row>
    <row r="82" spans="1:9">
      <c r="A82">
        <v>80</v>
      </c>
      <c r="B82" s="35">
        <f ca="1">('normal case'!AJ82*($K$6*'normal case'!D82*('normal case'!AJ82^'external balance'!$K$4)))/'normal case'!D82</f>
        <v>0.30447775876267213</v>
      </c>
      <c r="C82" s="35">
        <f ca="1">($K$5*$K$7*((1+$K$8)^'normal case'!A81)*'normal case'!AJ82^$K$3)/'normal case'!D82</f>
        <v>0.30747746557233269</v>
      </c>
      <c r="D82" s="96">
        <f ca="1">(C82-B82)+((('main page'!$U$38/100)*'normal case'!$D$3)/'normal case'!$D$3)</f>
        <v>2.9997068096605517E-3</v>
      </c>
      <c r="E82" s="35">
        <f ca="1">((('normal case'!T82/100)*'external balance'!H81)/('normal case'!D82/'normal case'!D81))</f>
        <v>3.7999124999580081E-2</v>
      </c>
      <c r="F82" s="35">
        <f t="shared" ca="1" si="1"/>
        <v>4.0998831809240632E-2</v>
      </c>
      <c r="H82" s="35">
        <f ca="1">D82+((1+'normal case'!T82/100)/('normal case'!D82/'normal case'!D81))*'external balance'!H81</f>
        <v>1.126688126756118</v>
      </c>
      <c r="I82" s="35"/>
    </row>
    <row r="83" spans="1:9">
      <c r="A83">
        <v>81</v>
      </c>
      <c r="B83" s="35">
        <f ca="1">('normal case'!AJ83*($K$6*'normal case'!D83*('normal case'!AJ83^'external balance'!$K$4)))/'normal case'!D83</f>
        <v>0.30447775876267213</v>
      </c>
      <c r="C83" s="35">
        <f ca="1">($K$5*$K$7*((1+$K$8)^'normal case'!A82)*'normal case'!AJ83^$K$3)/'normal case'!D83</f>
        <v>0.30747746557233269</v>
      </c>
      <c r="D83" s="96">
        <f ca="1">(C83-B83)+((('main page'!$U$38/100)*'normal case'!$D$3)/'normal case'!$D$3)</f>
        <v>2.9997068096605517E-3</v>
      </c>
      <c r="E83" s="35">
        <f ca="1">((('normal case'!T83/100)*'external balance'!H82)/('normal case'!D83/'normal case'!D82))</f>
        <v>3.9434084100684906E-2</v>
      </c>
      <c r="F83" s="35">
        <f t="shared" ca="1" si="1"/>
        <v>4.2433790910345458E-2</v>
      </c>
      <c r="H83" s="35">
        <f ca="1">D83+((1+'normal case'!T83/100)/('normal case'!D83/'normal case'!D82))*'external balance'!H82</f>
        <v>1.1691219176664633</v>
      </c>
      <c r="I83" s="35"/>
    </row>
    <row r="84" spans="1:9">
      <c r="A84">
        <v>82</v>
      </c>
      <c r="B84" s="35">
        <f ca="1">('normal case'!AJ84*($K$6*'normal case'!D84*('normal case'!AJ84^'external balance'!$K$4)))/'normal case'!D84</f>
        <v>0.30447775876267213</v>
      </c>
      <c r="C84" s="35">
        <f ca="1">($K$5*$K$7*((1+$K$8)^'normal case'!A83)*'normal case'!AJ84^$K$3)/'normal case'!D84</f>
        <v>0.30747746557233269</v>
      </c>
      <c r="D84" s="96">
        <f ca="1">(C84-B84)+((('main page'!$U$38/100)*'normal case'!$D$3)/'normal case'!$D$3)</f>
        <v>2.9997068096605517E-3</v>
      </c>
      <c r="E84" s="35">
        <f ca="1">((('normal case'!T84/100)*'external balance'!H83)/('normal case'!D84/'normal case'!D83))</f>
        <v>4.0919266769900736E-2</v>
      </c>
      <c r="F84" s="35">
        <f t="shared" ca="1" si="1"/>
        <v>4.3918973579561288E-2</v>
      </c>
      <c r="H84" s="35">
        <f ca="1">D84+((1+'normal case'!T84/100)/('normal case'!D84/'normal case'!D83))*'external balance'!H83</f>
        <v>1.2130408912460247</v>
      </c>
      <c r="I84" s="35"/>
    </row>
    <row r="85" spans="1:9">
      <c r="A85">
        <v>83</v>
      </c>
      <c r="B85" s="35">
        <f ca="1">('normal case'!AJ85*($K$6*'normal case'!D85*('normal case'!AJ85^'external balance'!$K$4)))/'normal case'!D85</f>
        <v>0.30447775876267213</v>
      </c>
      <c r="C85" s="35">
        <f ca="1">($K$5*$K$7*((1+$K$8)^'normal case'!A84)*'normal case'!AJ85^$K$3)/'normal case'!D85</f>
        <v>0.30747746557233269</v>
      </c>
      <c r="D85" s="96">
        <f ca="1">(C85-B85)+((('main page'!$U$38/100)*'normal case'!$D$3)/'normal case'!$D$3)</f>
        <v>2.9997068096605517E-3</v>
      </c>
      <c r="E85" s="35">
        <f ca="1">((('normal case'!T85/100)*'external balance'!H84)/('normal case'!D85/'normal case'!D84))</f>
        <v>4.2456430832096506E-2</v>
      </c>
      <c r="F85" s="35">
        <f t="shared" ca="1" si="1"/>
        <v>4.5456137641757058E-2</v>
      </c>
      <c r="H85" s="35">
        <f ca="1">D85+((1+'normal case'!T85/100)/('normal case'!D85/'normal case'!D84))*'external balance'!H84</f>
        <v>1.2584970288877817</v>
      </c>
      <c r="I85" s="35"/>
    </row>
    <row r="86" spans="1:9">
      <c r="A86">
        <v>84</v>
      </c>
      <c r="B86" s="35">
        <f ca="1">('normal case'!AJ86*($K$6*'normal case'!D86*('normal case'!AJ86^'external balance'!$K$4)))/'normal case'!D86</f>
        <v>0.30447775876267213</v>
      </c>
      <c r="C86" s="35">
        <f ca="1">($K$5*$K$7*((1+$K$8)^'normal case'!A85)*'normal case'!AJ86^$K$3)/'normal case'!D86</f>
        <v>0.30747746557233269</v>
      </c>
      <c r="D86" s="96">
        <f ca="1">(C86-B86)+((('main page'!$U$38/100)*'normal case'!$D$3)/'normal case'!$D$3)</f>
        <v>2.9997068096605517E-3</v>
      </c>
      <c r="E86" s="35">
        <f ca="1">((('normal case'!T86/100)*'external balance'!H85)/('normal case'!D86/'normal case'!D85))</f>
        <v>4.4047395636011025E-2</v>
      </c>
      <c r="F86" s="35">
        <f t="shared" ca="1" si="1"/>
        <v>4.7047102445671576E-2</v>
      </c>
      <c r="H86" s="35">
        <f ca="1">D86+((1+'normal case'!T86/100)/('normal case'!D86/'normal case'!D85))*'external balance'!H85</f>
        <v>1.3055441313334533</v>
      </c>
      <c r="I86" s="35"/>
    </row>
    <row r="87" spans="1:9">
      <c r="A87">
        <v>85</v>
      </c>
      <c r="B87" s="35">
        <f ca="1">('normal case'!AJ87*($K$6*'normal case'!D87*('normal case'!AJ87^'external balance'!$K$4)))/'normal case'!D87</f>
        <v>0.30447775876267213</v>
      </c>
      <c r="C87" s="35">
        <f ca="1">($K$5*$K$7*((1+$K$8)^'normal case'!A86)*'normal case'!AJ87^$K$3)/'normal case'!D87</f>
        <v>0.30747746557233269</v>
      </c>
      <c r="D87" s="96">
        <f ca="1">(C87-B87)+((('main page'!$U$38/100)*'normal case'!$D$3)/'normal case'!$D$3)</f>
        <v>2.9997068096605517E-3</v>
      </c>
      <c r="E87" s="35">
        <f ca="1">((('normal case'!T87/100)*'external balance'!H86)/('normal case'!D87/'normal case'!D86))</f>
        <v>4.5694044207588394E-2</v>
      </c>
      <c r="F87" s="35">
        <f t="shared" ca="1" si="1"/>
        <v>4.8693751017248946E-2</v>
      </c>
      <c r="H87" s="35">
        <f ca="1">D87+((1+'normal case'!T87/100)/('normal case'!D87/'normal case'!D86))*'external balance'!H86</f>
        <v>1.3542378823507022</v>
      </c>
      <c r="I87" s="35"/>
    </row>
    <row r="88" spans="1:9">
      <c r="A88">
        <v>86</v>
      </c>
      <c r="B88" s="35">
        <f ca="1">('normal case'!AJ88*($K$6*'normal case'!D88*('normal case'!AJ88^'external balance'!$K$4)))/'normal case'!D88</f>
        <v>0.30447775876267213</v>
      </c>
      <c r="C88" s="35">
        <f ca="1">($K$5*$K$7*((1+$K$8)^'normal case'!A87)*'normal case'!AJ88^$K$3)/'normal case'!D88</f>
        <v>0.30747746557233269</v>
      </c>
      <c r="D88" s="96">
        <f ca="1">(C88-B88)+((('main page'!$U$38/100)*'normal case'!$D$3)/'normal case'!$D$3)</f>
        <v>2.9997068096605517E-3</v>
      </c>
      <c r="E88" s="35">
        <f ca="1">((('normal case'!T88/100)*'external balance'!H87)/('normal case'!D88/'normal case'!D87))</f>
        <v>4.7398325478680239E-2</v>
      </c>
      <c r="F88" s="35">
        <f t="shared" ca="1" si="1"/>
        <v>5.0398032288340791E-2</v>
      </c>
      <c r="H88" s="35">
        <f ca="1">D88+((1+'normal case'!T88/100)/('normal case'!D88/'normal case'!D87))*'external balance'!H87</f>
        <v>1.404635914639043</v>
      </c>
      <c r="I88" s="35"/>
    </row>
    <row r="89" spans="1:9">
      <c r="A89">
        <v>87</v>
      </c>
      <c r="B89" s="35">
        <f ca="1">('normal case'!AJ89*($K$6*'normal case'!D89*('normal case'!AJ89^'external balance'!$K$4)))/'normal case'!D89</f>
        <v>0.30447775876267213</v>
      </c>
      <c r="C89" s="35">
        <f ca="1">($K$5*$K$7*((1+$K$8)^'normal case'!A88)*'normal case'!AJ89^$K$3)/'normal case'!D89</f>
        <v>0.30747746557233269</v>
      </c>
      <c r="D89" s="96">
        <f ca="1">(C89-B89)+((('main page'!$U$38/100)*'normal case'!$D$3)/'normal case'!$D$3)</f>
        <v>2.9997068096605517E-3</v>
      </c>
      <c r="E89" s="35">
        <f ca="1">((('normal case'!T89/100)*'external balance'!H88)/('normal case'!D89/'normal case'!D88))</f>
        <v>4.9162256593752389E-2</v>
      </c>
      <c r="F89" s="35">
        <f t="shared" ca="1" si="1"/>
        <v>5.2161963403412941E-2</v>
      </c>
      <c r="H89" s="35">
        <f ca="1">D89+((1+'normal case'!T89/100)/('normal case'!D89/'normal case'!D88))*'external balance'!H88</f>
        <v>1.456797878042456</v>
      </c>
      <c r="I89" s="35"/>
    </row>
    <row r="90" spans="1:9">
      <c r="A90">
        <v>88</v>
      </c>
      <c r="B90" s="35">
        <f ca="1">('normal case'!AJ90*($K$6*'normal case'!D90*('normal case'!AJ90^'external balance'!$K$4)))/'normal case'!D90</f>
        <v>0.30447775876267213</v>
      </c>
      <c r="C90" s="35">
        <f ca="1">($K$5*$K$7*((1+$K$8)^'normal case'!A89)*'normal case'!AJ90^$K$3)/'normal case'!D90</f>
        <v>0.30747746557233269</v>
      </c>
      <c r="D90" s="96">
        <f ca="1">(C90-B90)+((('main page'!$U$38/100)*'normal case'!$D$3)/'normal case'!$D$3)</f>
        <v>2.9997068096605517E-3</v>
      </c>
      <c r="E90" s="35">
        <f ca="1">((('normal case'!T90/100)*'external balance'!H89)/('normal case'!D90/'normal case'!D89))</f>
        <v>5.0987925297326361E-2</v>
      </c>
      <c r="F90" s="35">
        <f t="shared" ca="1" si="1"/>
        <v>5.3987632106986913E-2</v>
      </c>
      <c r="H90" s="35">
        <f ca="1">D90+((1+'normal case'!T90/100)/('normal case'!D90/'normal case'!D89))*'external balance'!H89</f>
        <v>1.510785510149443</v>
      </c>
      <c r="I90" s="35"/>
    </row>
    <row r="91" spans="1:9">
      <c r="A91">
        <v>89</v>
      </c>
      <c r="B91" s="35">
        <f ca="1">('normal case'!AJ91*($K$6*'normal case'!D91*('normal case'!AJ91^'external balance'!$K$4)))/'normal case'!D91</f>
        <v>0.30447775876267213</v>
      </c>
      <c r="C91" s="35">
        <f ca="1">($K$5*$K$7*((1+$K$8)^'normal case'!A90)*'normal case'!AJ91^$K$3)/'normal case'!D91</f>
        <v>0.30747746557233269</v>
      </c>
      <c r="D91" s="96">
        <f ca="1">(C91-B91)+((('main page'!$U$38/100)*'normal case'!$D$3)/'normal case'!$D$3)</f>
        <v>2.9997068096605517E-3</v>
      </c>
      <c r="E91" s="35">
        <f ca="1">((('normal case'!T91/100)*'external balance'!H90)/('normal case'!D91/'normal case'!D90))</f>
        <v>5.2877492404981338E-2</v>
      </c>
      <c r="F91" s="35">
        <f t="shared" ca="1" si="1"/>
        <v>5.587719921464189E-2</v>
      </c>
      <c r="H91" s="35">
        <f ca="1">D91+((1+'normal case'!T91/100)/('normal case'!D91/'normal case'!D90))*'external balance'!H90</f>
        <v>1.5666627093640848</v>
      </c>
      <c r="I91" s="35"/>
    </row>
    <row r="92" spans="1:9">
      <c r="A92">
        <v>90</v>
      </c>
      <c r="B92" s="35">
        <f ca="1">('normal case'!AJ92*($K$6*'normal case'!D92*('normal case'!AJ92^'external balance'!$K$4)))/'normal case'!D92</f>
        <v>0.30447775876267213</v>
      </c>
      <c r="C92" s="35">
        <f ca="1">($K$5*$K$7*((1+$K$8)^'normal case'!A91)*'normal case'!AJ92^$K$3)/'normal case'!D92</f>
        <v>0.30747746557233269</v>
      </c>
      <c r="D92" s="96">
        <f ca="1">(C92-B92)+((('main page'!$U$38/100)*'normal case'!$D$3)/'normal case'!$D$3)</f>
        <v>2.9997068096605517E-3</v>
      </c>
      <c r="E92" s="35">
        <f ca="1">((('normal case'!T92/100)*'external balance'!H91)/('normal case'!D92/'normal case'!D91))</f>
        <v>5.4833194360841102E-2</v>
      </c>
      <c r="F92" s="35">
        <f t="shared" ca="1" si="1"/>
        <v>5.7832901170501654E-2</v>
      </c>
      <c r="H92" s="35">
        <f ca="1">D92+((1+'normal case'!T92/100)/('normal case'!D92/'normal case'!D91))*'external balance'!H91</f>
        <v>1.6244956105345865</v>
      </c>
      <c r="I92" s="35"/>
    </row>
    <row r="93" spans="1:9">
      <c r="A93">
        <v>91</v>
      </c>
      <c r="B93" s="35">
        <f ca="1">('normal case'!AJ93*($K$6*'normal case'!D93*('normal case'!AJ93^'external balance'!$K$4)))/'normal case'!D93</f>
        <v>0.30447775876267213</v>
      </c>
      <c r="C93" s="35">
        <f ca="1">($K$5*$K$7*((1+$K$8)^'normal case'!A92)*'normal case'!AJ93^$K$3)/'normal case'!D93</f>
        <v>0.30747746557233269</v>
      </c>
      <c r="D93" s="96">
        <f ca="1">(C93-B93)+((('main page'!$U$38/100)*'normal case'!$D$3)/'normal case'!$D$3)</f>
        <v>2.9997068096605517E-3</v>
      </c>
      <c r="E93" s="35">
        <f ca="1">((('normal case'!T93/100)*'external balance'!H92)/('normal case'!D93/'normal case'!D92))</f>
        <v>5.6857345884573113E-2</v>
      </c>
      <c r="F93" s="35">
        <f t="shared" ca="1" si="1"/>
        <v>5.9857052694233664E-2</v>
      </c>
      <c r="H93" s="35">
        <f ca="1">D93+((1+'normal case'!T93/100)/('normal case'!D93/'normal case'!D92))*'external balance'!H92</f>
        <v>1.6843526632288202</v>
      </c>
      <c r="I93" s="35"/>
    </row>
    <row r="94" spans="1:9">
      <c r="A94">
        <v>92</v>
      </c>
      <c r="B94" s="35">
        <f ca="1">('normal case'!AJ94*($K$6*'normal case'!D94*('normal case'!AJ94^'external balance'!$K$4)))/'normal case'!D94</f>
        <v>0.30447775876267213</v>
      </c>
      <c r="C94" s="35">
        <f ca="1">($K$5*$K$7*((1+$K$8)^'normal case'!A93)*'normal case'!AJ94^$K$3)/'normal case'!D94</f>
        <v>0.30747746557233269</v>
      </c>
      <c r="D94" s="96">
        <f ca="1">(C94-B94)+((('main page'!$U$38/100)*'normal case'!$D$3)/'normal case'!$D$3)</f>
        <v>2.9997068096605517E-3</v>
      </c>
      <c r="E94" s="35">
        <f ca="1">((('normal case'!T94/100)*'external balance'!H93)/('normal case'!D94/'normal case'!D93))</f>
        <v>5.8952342711032502E-2</v>
      </c>
      <c r="F94" s="35">
        <f t="shared" ca="1" si="1"/>
        <v>6.1952049520693053E-2</v>
      </c>
      <c r="H94" s="35">
        <f ca="1">D94+((1+'normal case'!T94/100)/('normal case'!D94/'normal case'!D93))*'external balance'!H93</f>
        <v>1.7463047127495133</v>
      </c>
      <c r="I94" s="35"/>
    </row>
    <row r="95" spans="1:9">
      <c r="A95">
        <v>93</v>
      </c>
      <c r="B95" s="35">
        <f ca="1">('normal case'!AJ95*($K$6*'normal case'!D95*('normal case'!AJ95^'external balance'!$K$4)))/'normal case'!D95</f>
        <v>0.30447775876267213</v>
      </c>
      <c r="C95" s="35">
        <f ca="1">($K$5*$K$7*((1+$K$8)^'normal case'!A94)*'normal case'!AJ95^$K$3)/'normal case'!D95</f>
        <v>0.30747746557233269</v>
      </c>
      <c r="D95" s="96">
        <f ca="1">(C95-B95)+((('main page'!$U$38/100)*'normal case'!$D$3)/'normal case'!$D$3)</f>
        <v>2.9997068096605517E-3</v>
      </c>
      <c r="E95" s="35">
        <f ca="1">((('normal case'!T95/100)*'external balance'!H94)/('normal case'!D95/'normal case'!D94))</f>
        <v>6.1120664425793607E-2</v>
      </c>
      <c r="F95" s="35">
        <f t="shared" ca="1" si="1"/>
        <v>6.4120371235454166E-2</v>
      </c>
      <c r="H95" s="35">
        <f ca="1">D95+((1+'normal case'!T95/100)/('normal case'!D95/'normal case'!D94))*'external balance'!H94</f>
        <v>1.8104250839849674</v>
      </c>
      <c r="I95" s="35"/>
    </row>
    <row r="96" spans="1:9">
      <c r="A96">
        <v>94</v>
      </c>
      <c r="B96" s="35">
        <f ca="1">('normal case'!AJ96*($K$6*'normal case'!D96*('normal case'!AJ96^'external balance'!$K$4)))/'normal case'!D96</f>
        <v>0.30447775876267213</v>
      </c>
      <c r="C96" s="35">
        <f ca="1">($K$5*$K$7*((1+$K$8)^'normal case'!A95)*'normal case'!AJ96^$K$3)/'normal case'!D96</f>
        <v>0.30747746557233269</v>
      </c>
      <c r="D96" s="96">
        <f ca="1">(C96-B96)+((('main page'!$U$38/100)*'normal case'!$D$3)/'normal case'!$D$3)</f>
        <v>2.9997068096605517E-3</v>
      </c>
      <c r="E96" s="35">
        <f ca="1">((('normal case'!T96/100)*'external balance'!H95)/('normal case'!D96/'normal case'!D95))</f>
        <v>6.3364877399925149E-2</v>
      </c>
      <c r="F96" s="35">
        <f t="shared" ca="1" si="1"/>
        <v>6.63645842095857E-2</v>
      </c>
      <c r="H96" s="35">
        <f ca="1">D96+((1+'normal case'!T96/100)/('normal case'!D96/'normal case'!D95))*'external balance'!H95</f>
        <v>1.8767896681945531</v>
      </c>
      <c r="I96" s="35"/>
    </row>
    <row r="97" spans="1:9">
      <c r="A97">
        <v>95</v>
      </c>
      <c r="B97" s="35">
        <f ca="1">('normal case'!AJ97*($K$6*'normal case'!D97*('normal case'!AJ97^'external balance'!$K$4)))/'normal case'!D97</f>
        <v>0.30447775876267213</v>
      </c>
      <c r="C97" s="35">
        <f ca="1">($K$5*$K$7*((1+$K$8)^'normal case'!A96)*'normal case'!AJ97^$K$3)/'normal case'!D97</f>
        <v>0.30747746557233269</v>
      </c>
      <c r="D97" s="96">
        <f ca="1">(C97-B97)+((('main page'!$U$38/100)*'normal case'!$D$3)/'normal case'!$D$3)</f>
        <v>2.9997068096605517E-3</v>
      </c>
      <c r="E97" s="35">
        <f ca="1">((('normal case'!T97/100)*'external balance'!H96)/('normal case'!D97/'normal case'!D96))</f>
        <v>6.5687637827482451E-2</v>
      </c>
      <c r="F97" s="35">
        <f t="shared" ca="1" si="1"/>
        <v>6.8687344637143002E-2</v>
      </c>
      <c r="H97" s="35">
        <f ca="1">D97+((1+'normal case'!T97/100)/('normal case'!D97/'normal case'!D96))*'external balance'!H96</f>
        <v>1.9454770128316961</v>
      </c>
      <c r="I97" s="35"/>
    </row>
    <row r="98" spans="1:9">
      <c r="A98">
        <v>96</v>
      </c>
      <c r="B98" s="35">
        <f ca="1">('normal case'!AJ98*($K$6*'normal case'!D98*('normal case'!AJ98^'external balance'!$K$4)))/'normal case'!D98</f>
        <v>0.30447775876267213</v>
      </c>
      <c r="C98" s="35">
        <f ca="1">($K$5*$K$7*((1+$K$8)^'normal case'!A97)*'normal case'!AJ98^$K$3)/'normal case'!D98</f>
        <v>0.30747746557233269</v>
      </c>
      <c r="D98" s="96">
        <f ca="1">(C98-B98)+((('main page'!$U$38/100)*'normal case'!$D$3)/'normal case'!$D$3)</f>
        <v>2.9997068096605517E-3</v>
      </c>
      <c r="E98" s="35">
        <f ca="1">((('normal case'!T98/100)*'external balance'!H97)/('normal case'!D98/'normal case'!D97))</f>
        <v>6.8091694869312033E-2</v>
      </c>
      <c r="F98" s="35">
        <f t="shared" ca="1" si="1"/>
        <v>7.1091401678972585E-2</v>
      </c>
      <c r="H98" s="35">
        <f ca="1">D98+((1+'normal case'!T98/100)/('normal case'!D98/'normal case'!D97))*'external balance'!H97</f>
        <v>2.0165684145106688</v>
      </c>
      <c r="I98" s="35"/>
    </row>
    <row r="99" spans="1:9">
      <c r="A99">
        <v>97</v>
      </c>
      <c r="B99" s="35">
        <f ca="1">('normal case'!AJ99*($K$6*'normal case'!D99*('normal case'!AJ99^'external balance'!$K$4)))/'normal case'!D99</f>
        <v>0.30447775876267213</v>
      </c>
      <c r="C99" s="35">
        <f ca="1">($K$5*$K$7*((1+$K$8)^'normal case'!A98)*'normal case'!AJ99^$K$3)/'normal case'!D99</f>
        <v>0.30747746557233269</v>
      </c>
      <c r="D99" s="96">
        <f ca="1">(C99-B99)+((('main page'!$U$38/100)*'normal case'!$D$3)/'normal case'!$D$3)</f>
        <v>2.9997068096605517E-3</v>
      </c>
      <c r="E99" s="35">
        <f ca="1">((('normal case'!T99/100)*'external balance'!H98)/('normal case'!D99/'normal case'!D98))</f>
        <v>7.0579893906889193E-2</v>
      </c>
      <c r="F99" s="35">
        <f t="shared" ca="1" si="1"/>
        <v>7.3579600716549745E-2</v>
      </c>
      <c r="H99" s="35">
        <f ca="1">D99+((1+'normal case'!T99/100)/('normal case'!D99/'normal case'!D98))*'external balance'!H98</f>
        <v>2.0901480152272187</v>
      </c>
      <c r="I99" s="35"/>
    </row>
    <row r="100" spans="1:9">
      <c r="A100">
        <v>98</v>
      </c>
      <c r="B100" s="35">
        <f ca="1">('normal case'!AJ100*($K$6*'normal case'!D100*('normal case'!AJ100^'external balance'!$K$4)))/'normal case'!D100</f>
        <v>0.30447775876267213</v>
      </c>
      <c r="C100" s="35">
        <f ca="1">($K$5*$K$7*((1+$K$8)^'normal case'!A99)*'normal case'!AJ100^$K$3)/'normal case'!D100</f>
        <v>0.30747746557233269</v>
      </c>
      <c r="D100" s="96">
        <f ca="1">(C100-B100)+((('main page'!$U$38/100)*'normal case'!$D$3)/'normal case'!$D$3)</f>
        <v>2.9997068096605517E-3</v>
      </c>
      <c r="E100" s="35">
        <f ca="1">((('normal case'!T100/100)*'external balance'!H99)/('normal case'!D100/'normal case'!D99))</f>
        <v>7.3155179910040016E-2</v>
      </c>
      <c r="F100" s="35">
        <f t="shared" ca="1" si="1"/>
        <v>7.6154886719700568E-2</v>
      </c>
      <c r="H100" s="35">
        <f ca="1">D100+((1+'normal case'!T100/100)/('normal case'!D100/'normal case'!D99))*'external balance'!H99</f>
        <v>2.1663029019469193</v>
      </c>
      <c r="I100" s="35"/>
    </row>
    <row r="101" spans="1:9">
      <c r="A101">
        <v>99</v>
      </c>
      <c r="B101" s="35">
        <f ca="1">('normal case'!AJ101*($K$6*'normal case'!D101*('normal case'!AJ101^'external balance'!$K$4)))/'normal case'!D101</f>
        <v>0.30447775876267213</v>
      </c>
      <c r="C101" s="35">
        <f ca="1">($K$5*$K$7*((1+$K$8)^'normal case'!A100)*'normal case'!AJ101^$K$3)/'normal case'!D101</f>
        <v>0.30747746557233269</v>
      </c>
      <c r="D101" s="96">
        <f ca="1">(C101-B101)+((('main page'!$U$38/100)*'normal case'!$D$3)/'normal case'!$D$3)</f>
        <v>2.9997068096605517E-3</v>
      </c>
      <c r="E101" s="35">
        <f ca="1">((('normal case'!T101/100)*'external balance'!H100)/('normal case'!D101/'normal case'!D100))</f>
        <v>7.5820600922533607E-2</v>
      </c>
      <c r="F101" s="35">
        <f t="shared" ca="1" si="1"/>
        <v>7.8820307732194159E-2</v>
      </c>
      <c r="H101" s="35">
        <f ca="1">D101+((1+'normal case'!T101/100)/('normal case'!D101/'normal case'!D100))*'external balance'!H100</f>
        <v>2.2451232096791136</v>
      </c>
      <c r="I101" s="35"/>
    </row>
    <row r="102" spans="1:9">
      <c r="A102">
        <v>100</v>
      </c>
      <c r="B102" s="35">
        <f ca="1">('normal case'!AJ102*($K$6*'normal case'!D102*('normal case'!AJ102^'external balance'!$K$4)))/'normal case'!D102</f>
        <v>0.30447775876267213</v>
      </c>
      <c r="C102" s="35">
        <f ca="1">($K$5*$K$7*((1+$K$8)^'normal case'!A101)*'normal case'!AJ102^$K$3)/'normal case'!D102</f>
        <v>0.30747746557233269</v>
      </c>
      <c r="D102" s="96">
        <f ca="1">(C102-B102)+((('main page'!$U$38/100)*'normal case'!$D$3)/'normal case'!$D$3)</f>
        <v>2.9997068096605517E-3</v>
      </c>
      <c r="E102" s="35">
        <f ca="1">((('normal case'!T102/100)*'external balance'!H101)/('normal case'!D102/'normal case'!D101))</f>
        <v>7.8579311669670124E-2</v>
      </c>
      <c r="F102" s="35">
        <f t="shared" ca="1" si="1"/>
        <v>8.1579018479330676E-2</v>
      </c>
      <c r="H102" s="35">
        <f ca="1">D102+((1+'normal case'!T102/100)/('normal case'!D102/'normal case'!D101))*'external balance'!H101</f>
        <v>2.3267022281584442</v>
      </c>
      <c r="I102" s="35"/>
    </row>
    <row r="103" spans="1:9">
      <c r="A103">
        <v>101</v>
      </c>
      <c r="B103" s="35">
        <f ca="1">('normal case'!AJ103*($K$6*'normal case'!D103*('normal case'!AJ103^'external balance'!$K$4)))/'normal case'!D103</f>
        <v>0.30447775876267213</v>
      </c>
      <c r="C103" s="35">
        <f ca="1">($K$5*$K$7*((1+$K$8)^'normal case'!A102)*'normal case'!AJ103^$K$3)/'normal case'!D103</f>
        <v>0.30747746557233269</v>
      </c>
      <c r="D103" s="96">
        <f ca="1">(C103-B103)+((('main page'!$U$38/100)*'normal case'!$D$3)/'normal case'!$D$3)</f>
        <v>2.9997068096605517E-3</v>
      </c>
      <c r="E103" s="35">
        <f ca="1">((('normal case'!T103/100)*'external balance'!H102)/('normal case'!D103/'normal case'!D102))</f>
        <v>8.1434577292134255E-2</v>
      </c>
      <c r="F103" s="35">
        <f t="shared" ca="1" si="1"/>
        <v>8.4434284101794807E-2</v>
      </c>
      <c r="H103" s="35">
        <f ca="1">D103+((1+'normal case'!T103/100)/('normal case'!D103/'normal case'!D102))*'external balance'!H102</f>
        <v>2.4111365122602391</v>
      </c>
      <c r="I103" s="35"/>
    </row>
    <row r="104" spans="1:9">
      <c r="A104">
        <v>102</v>
      </c>
      <c r="B104" s="35">
        <f ca="1">('normal case'!AJ104*($K$6*'normal case'!D104*('normal case'!AJ104^'external balance'!$K$4)))/'normal case'!D104</f>
        <v>0.30447775876267213</v>
      </c>
      <c r="C104" s="35">
        <f ca="1">($K$5*$K$7*((1+$K$8)^'normal case'!A103)*'normal case'!AJ104^$K$3)/'normal case'!D104</f>
        <v>0.30747746557233269</v>
      </c>
      <c r="D104" s="96">
        <f ca="1">(C104-B104)+((('main page'!$U$38/100)*'normal case'!$D$3)/'normal case'!$D$3)</f>
        <v>2.9997068096605517E-3</v>
      </c>
      <c r="E104" s="35">
        <f ca="1">((('normal case'!T104/100)*'external balance'!H103)/('normal case'!D104/'normal case'!D103))</f>
        <v>8.4389777210533701E-2</v>
      </c>
      <c r="F104" s="35">
        <f t="shared" ca="1" si="1"/>
        <v>8.7389484020194252E-2</v>
      </c>
      <c r="H104" s="35">
        <f ca="1">D104+((1+'normal case'!T104/100)/('normal case'!D104/'normal case'!D103))*'external balance'!H103</f>
        <v>2.4985259962804331</v>
      </c>
      <c r="I104" s="35"/>
    </row>
    <row r="105" spans="1:9">
      <c r="A105">
        <v>103</v>
      </c>
      <c r="B105" s="35">
        <f ca="1">('normal case'!AJ105*($K$6*'normal case'!D105*('normal case'!AJ105^'external balance'!$K$4)))/'normal case'!D105</f>
        <v>0.30447775876267213</v>
      </c>
      <c r="C105" s="35">
        <f ca="1">($K$5*$K$7*((1+$K$8)^'normal case'!A104)*'normal case'!AJ105^$K$3)/'normal case'!D105</f>
        <v>0.30747746557233269</v>
      </c>
      <c r="D105" s="96">
        <f ca="1">(C105-B105)+((('main page'!$U$38/100)*'normal case'!$D$3)/'normal case'!$D$3)</f>
        <v>2.9997068096605517E-3</v>
      </c>
      <c r="E105" s="35">
        <f ca="1">((('normal case'!T105/100)*'external balance'!H104)/('normal case'!D105/'normal case'!D104))</f>
        <v>8.74484091251964E-2</v>
      </c>
      <c r="F105" s="35">
        <f t="shared" ca="1" si="1"/>
        <v>9.0448115934856951E-2</v>
      </c>
      <c r="H105" s="35">
        <f ca="1">D105+((1+'normal case'!T105/100)/('normal case'!D105/'normal case'!D104))*'external balance'!H104</f>
        <v>2.5889741122152898</v>
      </c>
      <c r="I105" s="35"/>
    </row>
    <row r="106" spans="1:9">
      <c r="A106">
        <v>104</v>
      </c>
      <c r="B106" s="35">
        <f ca="1">('normal case'!AJ106*($K$6*'normal case'!D106*('normal case'!AJ106^'external balance'!$K$4)))/'normal case'!D106</f>
        <v>0.30447775876267213</v>
      </c>
      <c r="C106" s="35">
        <f ca="1">($K$5*$K$7*((1+$K$8)^'normal case'!A105)*'normal case'!AJ106^$K$3)/'normal case'!D106</f>
        <v>0.30747746557233269</v>
      </c>
      <c r="D106" s="96">
        <f ca="1">(C106-B106)+((('main page'!$U$38/100)*'normal case'!$D$3)/'normal case'!$D$3)</f>
        <v>2.9997068096605517E-3</v>
      </c>
      <c r="E106" s="35">
        <f ca="1">((('normal case'!T106/100)*'external balance'!H105)/('normal case'!D106/'normal case'!D105))</f>
        <v>9.0614093155960737E-2</v>
      </c>
      <c r="F106" s="35">
        <f t="shared" ca="1" si="1"/>
        <v>9.3613799965621289E-2</v>
      </c>
      <c r="H106" s="35">
        <f ca="1">D106+((1+'normal case'!T106/100)/('normal case'!D106/'normal case'!D105))*'external balance'!H105</f>
        <v>2.6825879121809111</v>
      </c>
      <c r="I106" s="35"/>
    </row>
    <row r="107" spans="1:9">
      <c r="A107">
        <v>105</v>
      </c>
      <c r="B107" s="35">
        <f ca="1">('normal case'!AJ107*($K$6*'normal case'!D107*('normal case'!AJ107^'external balance'!$K$4)))/'normal case'!D107</f>
        <v>0.30447775876267213</v>
      </c>
      <c r="C107" s="35">
        <f ca="1">($K$5*$K$7*((1+$K$8)^'normal case'!A106)*'normal case'!AJ107^$K$3)/'normal case'!D107</f>
        <v>0.30747746557233269</v>
      </c>
      <c r="D107" s="96">
        <f ca="1">(C107-B107)+((('main page'!$U$38/100)*'normal case'!$D$3)/'normal case'!$D$3)</f>
        <v>2.9997068096605517E-3</v>
      </c>
      <c r="E107" s="35">
        <f ca="1">((('normal case'!T107/100)*'external balance'!H106)/('normal case'!D107/'normal case'!D106))</f>
        <v>9.3890576126858402E-2</v>
      </c>
      <c r="F107" s="35">
        <f t="shared" ca="1" si="1"/>
        <v>9.6890282936518954E-2</v>
      </c>
      <c r="H107" s="35">
        <f ca="1">D107+((1+'normal case'!T107/100)/('normal case'!D107/'normal case'!D106))*'external balance'!H106</f>
        <v>2.7794781951174299</v>
      </c>
      <c r="I107" s="35"/>
    </row>
    <row r="108" spans="1:9">
      <c r="A108">
        <v>106</v>
      </c>
      <c r="B108" s="35">
        <f ca="1">('normal case'!AJ108*($K$6*'normal case'!D108*('normal case'!AJ108^'external balance'!$K$4)))/'normal case'!D108</f>
        <v>0.30447775876267213</v>
      </c>
      <c r="C108" s="35">
        <f ca="1">($K$5*$K$7*((1+$K$8)^'normal case'!A107)*'normal case'!AJ108^$K$3)/'normal case'!D108</f>
        <v>0.30747746557233269</v>
      </c>
      <c r="D108" s="96">
        <f ca="1">(C108-B108)+((('main page'!$U$38/100)*'normal case'!$D$3)/'normal case'!$D$3)</f>
        <v>2.9997068096605517E-3</v>
      </c>
      <c r="E108" s="35">
        <f ca="1">((('normal case'!T108/100)*'external balance'!H107)/('normal case'!D108/'normal case'!D107))</f>
        <v>9.7281736000760996E-2</v>
      </c>
      <c r="F108" s="35">
        <f t="shared" ca="1" si="1"/>
        <v>0.10028144281042155</v>
      </c>
      <c r="H108" s="35">
        <f ca="1">D108+((1+'normal case'!T108/100)/('normal case'!D108/'normal case'!D107))*'external balance'!H107</f>
        <v>2.8797596379278514</v>
      </c>
      <c r="I108" s="35"/>
    </row>
    <row r="109" spans="1:9">
      <c r="A109">
        <v>107</v>
      </c>
      <c r="B109" s="35">
        <f ca="1">('normal case'!AJ109*($K$6*'normal case'!D109*('normal case'!AJ109^'external balance'!$K$4)))/'normal case'!D109</f>
        <v>0.30447775876267213</v>
      </c>
      <c r="C109" s="35">
        <f ca="1">($K$5*$K$7*((1+$K$8)^'normal case'!A108)*'normal case'!AJ109^$K$3)/'normal case'!D109</f>
        <v>0.30747746557233269</v>
      </c>
      <c r="D109" s="96">
        <f ca="1">(C109-B109)+((('main page'!$U$38/100)*'normal case'!$D$3)/'normal case'!$D$3)</f>
        <v>2.9997068096605517E-3</v>
      </c>
      <c r="E109" s="35">
        <f ca="1">((('normal case'!T109/100)*'external balance'!H108)/('normal case'!D109/'normal case'!D108))</f>
        <v>0.10079158646923955</v>
      </c>
      <c r="F109" s="35">
        <f t="shared" ca="1" si="1"/>
        <v>0.1037912932789001</v>
      </c>
      <c r="H109" s="35">
        <f ca="1">D109+((1+'normal case'!T109/100)/('normal case'!D109/'normal case'!D108))*'external balance'!H108</f>
        <v>2.9835509312067514</v>
      </c>
      <c r="I109" s="35"/>
    </row>
    <row r="110" spans="1:9">
      <c r="A110">
        <v>108</v>
      </c>
      <c r="B110" s="35">
        <f ca="1">('normal case'!AJ110*($K$6*'normal case'!D110*('normal case'!AJ110^'external balance'!$K$4)))/'normal case'!D110</f>
        <v>0.30447775876267213</v>
      </c>
      <c r="C110" s="35">
        <f ca="1">($K$5*$K$7*((1+$K$8)^'normal case'!A109)*'normal case'!AJ110^$K$3)/'normal case'!D110</f>
        <v>0.30747746557233269</v>
      </c>
      <c r="D110" s="96">
        <f ca="1">(C110-B110)+((('main page'!$U$38/100)*'normal case'!$D$3)/'normal case'!$D$3)</f>
        <v>2.9997068096605517E-3</v>
      </c>
      <c r="E110" s="35">
        <f ca="1">((('normal case'!T110/100)*'external balance'!H109)/('normal case'!D110/'normal case'!D109))</f>
        <v>0.10442428170306885</v>
      </c>
      <c r="F110" s="35">
        <f t="shared" ca="1" si="1"/>
        <v>0.1074239885127294</v>
      </c>
      <c r="H110" s="35">
        <f ca="1">D110+((1+'normal case'!T110/100)/('normal case'!D110/'normal case'!D109))*'external balance'!H109</f>
        <v>3.0909749197194807</v>
      </c>
      <c r="I110" s="35"/>
    </row>
    <row r="111" spans="1:9">
      <c r="A111">
        <v>109</v>
      </c>
      <c r="B111" s="35">
        <f ca="1">('normal case'!AJ111*($K$6*'normal case'!D111*('normal case'!AJ111^'external balance'!$K$4)))/'normal case'!D111</f>
        <v>0.30447775876267213</v>
      </c>
      <c r="C111" s="35">
        <f ca="1">($K$5*$K$7*((1+$K$8)^'normal case'!A110)*'normal case'!AJ111^$K$3)/'normal case'!D111</f>
        <v>0.30747746557233269</v>
      </c>
      <c r="D111" s="96">
        <f ca="1">(C111-B111)+((('main page'!$U$38/100)*'normal case'!$D$3)/'normal case'!$D$3)</f>
        <v>2.9997068096605517E-3</v>
      </c>
      <c r="E111" s="35">
        <f ca="1">((('normal case'!T111/100)*'external balance'!H110)/('normal case'!D111/'normal case'!D110))</f>
        <v>0.10818412126899953</v>
      </c>
      <c r="F111" s="35">
        <f t="shared" ca="1" si="1"/>
        <v>0.11118382807866008</v>
      </c>
      <c r="H111" s="35">
        <f ca="1">D111+((1+'normal case'!T111/100)/('normal case'!D111/'normal case'!D110))*'external balance'!H110</f>
        <v>3.2021587477981406</v>
      </c>
      <c r="I111" s="35"/>
    </row>
    <row r="112" spans="1:9">
      <c r="A112">
        <v>110</v>
      </c>
      <c r="B112" s="35">
        <f ca="1">('normal case'!AJ112*($K$6*'normal case'!D112*('normal case'!AJ112^'external balance'!$K$4)))/'normal case'!D112</f>
        <v>0.30447775876267213</v>
      </c>
      <c r="C112" s="35">
        <f ca="1">($K$5*$K$7*((1+$K$8)^'normal case'!A111)*'normal case'!AJ112^$K$3)/'normal case'!D112</f>
        <v>0.30747746557233269</v>
      </c>
      <c r="D112" s="96">
        <f ca="1">(C112-B112)+((('main page'!$U$38/100)*'normal case'!$D$3)/'normal case'!$D$3)</f>
        <v>2.9997068096605517E-3</v>
      </c>
      <c r="E112" s="35">
        <f ca="1">((('normal case'!T112/100)*'external balance'!H111)/('normal case'!D112/'normal case'!D111))</f>
        <v>0.11207555521861726</v>
      </c>
      <c r="F112" s="35">
        <f t="shared" ca="1" si="1"/>
        <v>0.11507526202827781</v>
      </c>
      <c r="H112" s="35">
        <f ca="1">D112+((1+'normal case'!T112/100)/('normal case'!D112/'normal case'!D111))*'external balance'!H111</f>
        <v>3.3172340098264184</v>
      </c>
      <c r="I112" s="35"/>
    </row>
    <row r="113" spans="1:9">
      <c r="A113">
        <v>111</v>
      </c>
      <c r="B113" s="35">
        <f ca="1">('normal case'!AJ113*($K$6*'normal case'!D113*('normal case'!AJ113^'external balance'!$K$4)))/'normal case'!D113</f>
        <v>0.30447775876267213</v>
      </c>
      <c r="C113" s="35">
        <f ca="1">($K$5*$K$7*((1+$K$8)^'normal case'!A112)*'normal case'!AJ113^$K$3)/'normal case'!D113</f>
        <v>0.30747746557233269</v>
      </c>
      <c r="D113" s="96">
        <f ca="1">(C113-B113)+((('main page'!$U$38/100)*'normal case'!$D$3)/'normal case'!$D$3)</f>
        <v>2.9997068096605517E-3</v>
      </c>
      <c r="E113" s="35">
        <f ca="1">((('normal case'!T113/100)*'external balance'!H112)/('normal case'!D113/'normal case'!D112))</f>
        <v>0.11610318935531187</v>
      </c>
      <c r="F113" s="35">
        <f t="shared" ca="1" si="1"/>
        <v>0.11910289616497242</v>
      </c>
      <c r="H113" s="35">
        <f ca="1">D113+((1+'normal case'!T113/100)/('normal case'!D113/'normal case'!D112))*'external balance'!H112</f>
        <v>3.4363369059913906</v>
      </c>
      <c r="I113" s="35"/>
    </row>
    <row r="114" spans="1:9">
      <c r="A114">
        <v>112</v>
      </c>
      <c r="B114" s="35">
        <f ca="1">('normal case'!AJ114*($K$6*'normal case'!D114*('normal case'!AJ114^'external balance'!$K$4)))/'normal case'!D114</f>
        <v>0.30447775876267213</v>
      </c>
      <c r="C114" s="35">
        <f ca="1">($K$5*$K$7*((1+$K$8)^'normal case'!A113)*'normal case'!AJ114^$K$3)/'normal case'!D114</f>
        <v>0.30747746557233269</v>
      </c>
      <c r="D114" s="96">
        <f ca="1">(C114-B114)+((('main page'!$U$38/100)*'normal case'!$D$3)/'normal case'!$D$3)</f>
        <v>2.9997068096605517E-3</v>
      </c>
      <c r="E114" s="35">
        <f ca="1">((('normal case'!T114/100)*'external balance'!H113)/('normal case'!D114/'normal case'!D113))</f>
        <v>0.12027179068559048</v>
      </c>
      <c r="F114" s="35">
        <f t="shared" ca="1" si="1"/>
        <v>0.12327149749525103</v>
      </c>
      <c r="H114" s="35">
        <f ca="1">D114+((1+'normal case'!T114/100)/('normal case'!D114/'normal case'!D113))*'external balance'!H113</f>
        <v>3.5596084034866418</v>
      </c>
      <c r="I114" s="35"/>
    </row>
    <row r="115" spans="1:9">
      <c r="A115">
        <v>113</v>
      </c>
      <c r="B115" s="35">
        <f ca="1">('normal case'!AJ115*($K$6*'normal case'!D115*('normal case'!AJ115^'external balance'!$K$4)))/'normal case'!D115</f>
        <v>0.30447775876267213</v>
      </c>
      <c r="C115" s="35">
        <f ca="1">($K$5*$K$7*((1+$K$8)^'normal case'!A114)*'normal case'!AJ115^$K$3)/'normal case'!D115</f>
        <v>0.30747746557233269</v>
      </c>
      <c r="D115" s="96">
        <f ca="1">(C115-B115)+((('main page'!$U$38/100)*'normal case'!$D$3)/'normal case'!$D$3)</f>
        <v>2.9997068096605517E-3</v>
      </c>
      <c r="E115" s="35">
        <f ca="1">((('normal case'!T115/100)*'external balance'!H114)/('normal case'!D115/'normal case'!D114))</f>
        <v>0.1245862930611865</v>
      </c>
      <c r="F115" s="35">
        <f t="shared" ca="1" si="1"/>
        <v>0.12758599987084707</v>
      </c>
      <c r="H115" s="35">
        <f ca="1">D115+((1+'normal case'!T115/100)/('normal case'!D115/'normal case'!D114))*'external balance'!H114</f>
        <v>3.6871944033574886</v>
      </c>
      <c r="I115" s="35"/>
    </row>
    <row r="116" spans="1:9">
      <c r="A116">
        <v>114</v>
      </c>
      <c r="B116" s="35">
        <f ca="1">('normal case'!AJ116*($K$6*'normal case'!D116*('normal case'!AJ116^'external balance'!$K$4)))/'normal case'!D116</f>
        <v>0.30447775876267213</v>
      </c>
      <c r="C116" s="35">
        <f ca="1">($K$5*$K$7*((1+$K$8)^'normal case'!A115)*'normal case'!AJ116^$K$3)/'normal case'!D116</f>
        <v>0.30747746557233269</v>
      </c>
      <c r="D116" s="96">
        <f ca="1">(C116-B116)+((('main page'!$U$38/100)*'normal case'!$D$3)/'normal case'!$D$3)</f>
        <v>2.9997068096605517E-3</v>
      </c>
      <c r="E116" s="35">
        <f ca="1">((('normal case'!T116/100)*'external balance'!H115)/('normal case'!D116/'normal case'!D115))</f>
        <v>0.12905180301864255</v>
      </c>
      <c r="F116" s="35">
        <f t="shared" ca="1" si="1"/>
        <v>0.1320515098283031</v>
      </c>
      <c r="H116" s="35">
        <f ca="1">D116+((1+'normal case'!T116/100)/('normal case'!D116/'normal case'!D115))*'external balance'!H115</f>
        <v>3.8192459131857914</v>
      </c>
      <c r="I116" s="35"/>
    </row>
    <row r="117" spans="1:9">
      <c r="A117">
        <v>115</v>
      </c>
      <c r="B117" s="35">
        <f ca="1">('normal case'!AJ117*($K$6*'normal case'!D117*('normal case'!AJ117^'external balance'!$K$4)))/'normal case'!D117</f>
        <v>0.30447775876267213</v>
      </c>
      <c r="C117" s="35">
        <f ca="1">($K$5*$K$7*((1+$K$8)^'normal case'!A116)*'normal case'!AJ117^$K$3)/'normal case'!D117</f>
        <v>0.30747746557233269</v>
      </c>
      <c r="D117" s="96">
        <f ca="1">(C117-B117)+((('main page'!$U$38/100)*'normal case'!$D$3)/'normal case'!$D$3)</f>
        <v>2.9997068096605517E-3</v>
      </c>
      <c r="E117" s="35">
        <f ca="1">((('normal case'!T117/100)*'external balance'!H116)/('normal case'!D117/'normal case'!D116))</f>
        <v>0.13367360582327872</v>
      </c>
      <c r="F117" s="35">
        <f t="shared" ca="1" si="1"/>
        <v>0.13667331263293928</v>
      </c>
      <c r="H117" s="35">
        <f ca="1">D117+((1+'normal case'!T117/100)/('normal case'!D117/'normal case'!D116))*'external balance'!H116</f>
        <v>3.9559192258187306</v>
      </c>
      <c r="I117" s="35"/>
    </row>
    <row r="118" spans="1:9">
      <c r="A118">
        <v>116</v>
      </c>
      <c r="B118" s="35">
        <f ca="1">('normal case'!AJ118*($K$6*'normal case'!D118*('normal case'!AJ118^'external balance'!$K$4)))/'normal case'!D118</f>
        <v>0.30447775876267213</v>
      </c>
      <c r="C118" s="35">
        <f ca="1">($K$5*$K$7*((1+$K$8)^'normal case'!A117)*'normal case'!AJ118^$K$3)/'normal case'!D118</f>
        <v>0.30747746557233269</v>
      </c>
      <c r="D118" s="96">
        <f ca="1">(C118-B118)+((('main page'!$U$38/100)*'normal case'!$D$3)/'normal case'!$D$3)</f>
        <v>2.9997068096605517E-3</v>
      </c>
      <c r="E118" s="35">
        <f ca="1">((('normal case'!T118/100)*'external balance'!H117)/('normal case'!D118/'normal case'!D117))</f>
        <v>0.13845717172469979</v>
      </c>
      <c r="F118" s="35">
        <f t="shared" ca="1" si="1"/>
        <v>0.14145687853436034</v>
      </c>
      <c r="H118" s="35">
        <f ca="1">D118+((1+'normal case'!T118/100)/('normal case'!D118/'normal case'!D117))*'external balance'!H117</f>
        <v>4.0973761043530912</v>
      </c>
      <c r="I118" s="35"/>
    </row>
    <row r="119" spans="1:9">
      <c r="A119">
        <v>117</v>
      </c>
      <c r="B119" s="35">
        <f ca="1">('normal case'!AJ119*($K$6*'normal case'!D119*('normal case'!AJ119^'external balance'!$K$4)))/'normal case'!D119</f>
        <v>0.30447775876267213</v>
      </c>
      <c r="C119" s="35">
        <f ca="1">($K$5*$K$7*((1+$K$8)^'normal case'!A118)*'normal case'!AJ119^$K$3)/'normal case'!D119</f>
        <v>0.30747746557233269</v>
      </c>
      <c r="D119" s="96">
        <f ca="1">(C119-B119)+((('main page'!$U$38/100)*'normal case'!$D$3)/'normal case'!$D$3)</f>
        <v>2.9997068096605517E-3</v>
      </c>
      <c r="E119" s="35">
        <f ca="1">((('normal case'!T119/100)*'external balance'!H118)/('normal case'!D119/'normal case'!D118))</f>
        <v>0.14340816243124496</v>
      </c>
      <c r="F119" s="35">
        <f t="shared" ca="1" si="1"/>
        <v>0.14640786924090551</v>
      </c>
      <c r="H119" s="35">
        <f ca="1">D119+((1+'normal case'!T119/100)/('normal case'!D119/'normal case'!D118))*'external balance'!H118</f>
        <v>4.2437839735939971</v>
      </c>
      <c r="I119" s="35"/>
    </row>
    <row r="120" spans="1:9">
      <c r="A120">
        <v>118</v>
      </c>
      <c r="B120" s="35">
        <f ca="1">('normal case'!AJ120*($K$6*'normal case'!D120*('normal case'!AJ120^'external balance'!$K$4)))/'normal case'!D120</f>
        <v>0.30447775876267213</v>
      </c>
      <c r="C120" s="35">
        <f ca="1">($K$5*$K$7*((1+$K$8)^'normal case'!A119)*'normal case'!AJ120^$K$3)/'normal case'!D120</f>
        <v>0.30747746557233269</v>
      </c>
      <c r="D120" s="96">
        <f ca="1">(C120-B120)+((('main page'!$U$38/100)*'normal case'!$D$3)/'normal case'!$D$3)</f>
        <v>2.9997068096605517E-3</v>
      </c>
      <c r="E120" s="35">
        <f ca="1">((('normal case'!T120/100)*'external balance'!H119)/('normal case'!D120/'normal case'!D119))</f>
        <v>0.14853243781104372</v>
      </c>
      <c r="F120" s="35">
        <f t="shared" ca="1" si="1"/>
        <v>0.15153214462070427</v>
      </c>
      <c r="H120" s="35">
        <f ca="1">D120+((1+'normal case'!T120/100)/('normal case'!D120/'normal case'!D119))*'external balance'!H119</f>
        <v>4.3953161182147014</v>
      </c>
      <c r="I120" s="35"/>
    </row>
    <row r="121" spans="1:9">
      <c r="A121">
        <v>119</v>
      </c>
      <c r="B121" s="35">
        <f ca="1">('normal case'!AJ121*($K$6*'normal case'!D121*('normal case'!AJ121^'external balance'!$K$4)))/'normal case'!D121</f>
        <v>0.30447775876267213</v>
      </c>
      <c r="C121" s="35">
        <f ca="1">($K$5*$K$7*((1+$K$8)^'normal case'!A120)*'normal case'!AJ121^$K$3)/'normal case'!D121</f>
        <v>0.30747746557233269</v>
      </c>
      <c r="D121" s="96">
        <f ca="1">(C121-B121)+((('main page'!$U$38/100)*'normal case'!$D$3)/'normal case'!$D$3)</f>
        <v>2.9997068096605517E-3</v>
      </c>
      <c r="E121" s="35">
        <f ca="1">((('normal case'!T121/100)*'external balance'!H120)/('normal case'!D121/'normal case'!D120))</f>
        <v>0.15383606282760828</v>
      </c>
      <c r="F121" s="35">
        <f t="shared" ca="1" si="1"/>
        <v>0.15683576963726883</v>
      </c>
      <c r="H121" s="35">
        <f ca="1">D121+((1+'normal case'!T121/100)/('normal case'!D121/'normal case'!D120))*'external balance'!H120</f>
        <v>4.55215188785197</v>
      </c>
      <c r="I121" s="35"/>
    </row>
    <row r="122" spans="1:9">
      <c r="A122">
        <v>120</v>
      </c>
      <c r="B122" s="35">
        <f ca="1">('normal case'!AJ122*($K$6*'normal case'!D122*('normal case'!AJ122^'external balance'!$K$4)))/'normal case'!D122</f>
        <v>0.30447775876267213</v>
      </c>
      <c r="C122" s="35">
        <f ca="1">($K$5*$K$7*((1+$K$8)^'normal case'!A121)*'normal case'!AJ122^$K$3)/'normal case'!D122</f>
        <v>0.30747746557233269</v>
      </c>
      <c r="D122" s="96">
        <f ca="1">(C122-B122)+((('main page'!$U$38/100)*'normal case'!$D$3)/'normal case'!$D$3)</f>
        <v>2.9997068096605517E-3</v>
      </c>
      <c r="E122" s="35">
        <f ca="1">((('normal case'!T122/100)*'external balance'!H121)/('normal case'!D122/'normal case'!D121))</f>
        <v>0.15932531471817199</v>
      </c>
      <c r="F122" s="35">
        <f t="shared" ca="1" si="1"/>
        <v>0.16232502152783254</v>
      </c>
      <c r="H122" s="35">
        <f ca="1">D122+((1+'normal case'!T122/100)/('normal case'!D122/'normal case'!D121))*'external balance'!H121</f>
        <v>4.714476909379802</v>
      </c>
      <c r="I122" s="35"/>
    </row>
    <row r="123" spans="1:9">
      <c r="A123">
        <v>121</v>
      </c>
      <c r="B123" s="35">
        <f ca="1">('normal case'!AJ123*($K$6*'normal case'!D123*('normal case'!AJ123^'external balance'!$K$4)))/'normal case'!D123</f>
        <v>0.30447775876267213</v>
      </c>
      <c r="C123" s="35">
        <f ca="1">($K$5*$K$7*((1+$K$8)^'normal case'!A122)*'normal case'!AJ123^$K$3)/'normal case'!D123</f>
        <v>0.30747746557233269</v>
      </c>
      <c r="D123" s="96">
        <f ca="1">(C123-B123)+((('main page'!$U$38/100)*'normal case'!$D$3)/'normal case'!$D$3)</f>
        <v>2.9997068096605517E-3</v>
      </c>
      <c r="E123" s="35">
        <f ca="1">((('normal case'!T123/100)*'external balance'!H122)/('normal case'!D123/'normal case'!D122))</f>
        <v>0.16500669042326949</v>
      </c>
      <c r="F123" s="35">
        <f t="shared" ca="1" si="1"/>
        <v>0.16800639723293004</v>
      </c>
      <c r="H123" s="35">
        <f ca="1">D123+((1+'normal case'!T123/100)/('normal case'!D123/'normal case'!D122))*'external balance'!H122</f>
        <v>4.8824833066127322</v>
      </c>
      <c r="I123" s="35"/>
    </row>
    <row r="124" spans="1:9">
      <c r="A124">
        <v>122</v>
      </c>
      <c r="B124" s="35">
        <f ca="1">('normal case'!AJ124*($K$6*'normal case'!D124*('normal case'!AJ124^'external balance'!$K$4)))/'normal case'!D124</f>
        <v>0.30447775876267213</v>
      </c>
      <c r="C124" s="35">
        <f ca="1">($K$5*$K$7*((1+$K$8)^'normal case'!A123)*'normal case'!AJ124^$K$3)/'normal case'!D124</f>
        <v>0.30747746557233269</v>
      </c>
      <c r="D124" s="96">
        <f ca="1">(C124-B124)+((('main page'!$U$38/100)*'normal case'!$D$3)/'normal case'!$D$3)</f>
        <v>2.9997068096605517E-3</v>
      </c>
      <c r="E124" s="35">
        <f ca="1">((('normal case'!T124/100)*'external balance'!H123)/('normal case'!D124/'normal case'!D123))</f>
        <v>0.17088691427635222</v>
      </c>
      <c r="F124" s="35">
        <f t="shared" ca="1" si="1"/>
        <v>0.17388662108601277</v>
      </c>
      <c r="H124" s="35">
        <f ca="1">D124+((1+'normal case'!T124/100)/('normal case'!D124/'normal case'!D123))*'external balance'!H123</f>
        <v>5.0563699276987446</v>
      </c>
      <c r="I124" s="35"/>
    </row>
    <row r="125" spans="1:9">
      <c r="A125">
        <v>123</v>
      </c>
      <c r="B125" s="35">
        <f ca="1">('normal case'!AJ125*($K$6*'normal case'!D125*('normal case'!AJ125^'external balance'!$K$4)))/'normal case'!D125</f>
        <v>0.30447775876267213</v>
      </c>
      <c r="C125" s="35">
        <f ca="1">($K$5*$K$7*((1+$K$8)^'normal case'!A124)*'normal case'!AJ125^$K$3)/'normal case'!D125</f>
        <v>0.30747746557233269</v>
      </c>
      <c r="D125" s="96">
        <f ca="1">(C125-B125)+((('main page'!$U$38/100)*'normal case'!$D$3)/'normal case'!$D$3)</f>
        <v>2.9997068096605517E-3</v>
      </c>
      <c r="E125" s="35">
        <f ca="1">((('normal case'!T125/100)*'external balance'!H124)/('normal case'!D125/'normal case'!D124))</f>
        <v>0.1769729459625404</v>
      </c>
      <c r="F125" s="35">
        <f t="shared" ca="1" si="1"/>
        <v>0.17997265277220095</v>
      </c>
      <c r="H125" s="35">
        <f ca="1">D125+((1+'normal case'!T125/100)/('normal case'!D125/'normal case'!D124))*'external balance'!H124</f>
        <v>5.2363425804709456</v>
      </c>
      <c r="I125" s="35"/>
    </row>
    <row r="126" spans="1:9">
      <c r="A126">
        <v>124</v>
      </c>
      <c r="B126" s="35">
        <f ca="1">('normal case'!AJ126*($K$6*'normal case'!D126*('normal case'!AJ126^'external balance'!$K$4)))/'normal case'!D126</f>
        <v>0.30447775876267213</v>
      </c>
      <c r="C126" s="35">
        <f ca="1">($K$5*$K$7*((1+$K$8)^'normal case'!A125)*'normal case'!AJ126^$K$3)/'normal case'!D126</f>
        <v>0.30747746557233269</v>
      </c>
      <c r="D126" s="96">
        <f ca="1">(C126-B126)+((('main page'!$U$38/100)*'normal case'!$D$3)/'normal case'!$D$3)</f>
        <v>2.9997068096605517E-3</v>
      </c>
      <c r="E126" s="35">
        <f ca="1">((('normal case'!T126/100)*'external balance'!H125)/('normal case'!D126/'normal case'!D125))</f>
        <v>0.18327198875593143</v>
      </c>
      <c r="F126" s="35">
        <f t="shared" ca="1" si="1"/>
        <v>0.18627169556559198</v>
      </c>
      <c r="H126" s="35">
        <f ca="1">D126+((1+'normal case'!T126/100)/('normal case'!D126/'normal case'!D125))*'external balance'!H125</f>
        <v>5.422614276036537</v>
      </c>
      <c r="I126" s="35"/>
    </row>
    <row r="127" spans="1:9">
      <c r="A127">
        <v>125</v>
      </c>
      <c r="B127" s="35">
        <f ca="1">('normal case'!AJ127*($K$6*'normal case'!D127*('normal case'!AJ127^'external balance'!$K$4)))/'normal case'!D127</f>
        <v>0.30447775876267213</v>
      </c>
      <c r="C127" s="35">
        <f ca="1">($K$5*$K$7*((1+$K$8)^'normal case'!A126)*'normal case'!AJ127^$K$3)/'normal case'!D127</f>
        <v>0.30747746557233269</v>
      </c>
      <c r="D127" s="96">
        <f ca="1">(C127-B127)+((('main page'!$U$38/100)*'normal case'!$D$3)/'normal case'!$D$3)</f>
        <v>2.9997068096605517E-3</v>
      </c>
      <c r="E127" s="35">
        <f ca="1">((('normal case'!T127/100)*'external balance'!H126)/('normal case'!D127/'normal case'!D126))</f>
        <v>0.18979149804521384</v>
      </c>
      <c r="F127" s="35">
        <f t="shared" ca="1" si="1"/>
        <v>0.19279120485487439</v>
      </c>
      <c r="H127" s="35">
        <f ca="1">D127+((1+'normal case'!T127/100)/('normal case'!D127/'normal case'!D126))*'external balance'!H126</f>
        <v>5.6154054808914111</v>
      </c>
      <c r="I127" s="35"/>
    </row>
    <row r="128" spans="1:9">
      <c r="A128">
        <v>126</v>
      </c>
      <c r="B128" s="35">
        <f ca="1">('normal case'!AJ128*($K$6*'normal case'!D128*('normal case'!AJ128^'external balance'!$K$4)))/'normal case'!D128</f>
        <v>0.30447775876267213</v>
      </c>
      <c r="C128" s="35">
        <f ca="1">($K$5*$K$7*((1+$K$8)^'normal case'!A127)*'normal case'!AJ128^$K$3)/'normal case'!D128</f>
        <v>0.30747746557233269</v>
      </c>
      <c r="D128" s="96">
        <f ca="1">(C128-B128)+((('main page'!$U$38/100)*'normal case'!$D$3)/'normal case'!$D$3)</f>
        <v>2.9997068096605517E-3</v>
      </c>
      <c r="E128" s="35">
        <f ca="1">((('normal case'!T128/100)*'external balance'!H127)/('normal case'!D128/'normal case'!D127))</f>
        <v>0.19653919015767815</v>
      </c>
      <c r="F128" s="35">
        <f t="shared" ca="1" si="1"/>
        <v>0.1995388969673387</v>
      </c>
      <c r="H128" s="35">
        <f ca="1">D128+((1+'normal case'!T128/100)/('normal case'!D128/'normal case'!D127))*'external balance'!H127</f>
        <v>5.8149443778587493</v>
      </c>
      <c r="I128" s="35"/>
    </row>
    <row r="129" spans="1:9">
      <c r="A129">
        <v>127</v>
      </c>
      <c r="B129" s="35">
        <f ca="1">('normal case'!AJ129*($K$6*'normal case'!D129*('normal case'!AJ129^'external balance'!$K$4)))/'normal case'!D129</f>
        <v>0.30447775876267213</v>
      </c>
      <c r="C129" s="35">
        <f ca="1">($K$5*$K$7*((1+$K$8)^'normal case'!A128)*'normal case'!AJ129^$K$3)/'normal case'!D129</f>
        <v>0.30747746557233269</v>
      </c>
      <c r="D129" s="96">
        <f ca="1">(C129-B129)+((('main page'!$U$38/100)*'normal case'!$D$3)/'normal case'!$D$3)</f>
        <v>2.9997068096605517E-3</v>
      </c>
      <c r="E129" s="35">
        <f ca="1">((('normal case'!T129/100)*'external balance'!H128)/('normal case'!D129/'normal case'!D128))</f>
        <v>0.20352305149206779</v>
      </c>
      <c r="F129" s="35">
        <f t="shared" ca="1" si="1"/>
        <v>0.20652275830172834</v>
      </c>
      <c r="H129" s="35">
        <f ca="1">D129+((1+'normal case'!T129/100)/('normal case'!D129/'normal case'!D128))*'external balance'!H128</f>
        <v>6.0214671361604779</v>
      </c>
      <c r="I129" s="35"/>
    </row>
    <row r="130" spans="1:9">
      <c r="A130">
        <v>128</v>
      </c>
      <c r="B130" s="35">
        <f ca="1">('normal case'!AJ130*($K$6*'normal case'!D130*('normal case'!AJ130^'external balance'!$K$4)))/'normal case'!D130</f>
        <v>0.30447775876267213</v>
      </c>
      <c r="C130" s="35">
        <f ca="1">($K$5*$K$7*((1+$K$8)^'normal case'!A129)*'normal case'!AJ130^$K$3)/'normal case'!D130</f>
        <v>0.30747746557233269</v>
      </c>
      <c r="D130" s="96">
        <f ca="1">(C130-B130)+((('main page'!$U$38/100)*'normal case'!$D$3)/'normal case'!$D$3)</f>
        <v>2.9997068096605517E-3</v>
      </c>
      <c r="E130" s="35">
        <f ca="1">((('normal case'!T130/100)*'external balance'!H129)/('normal case'!D130/'normal case'!D129))</f>
        <v>0.21075134797107969</v>
      </c>
      <c r="F130" s="35">
        <f t="shared" ca="1" si="1"/>
        <v>0.21375105478074025</v>
      </c>
      <c r="H130" s="35">
        <f ca="1">D130+((1+'normal case'!T130/100)/('normal case'!D130/'normal case'!D129))*'external balance'!H129</f>
        <v>6.2352181909412181</v>
      </c>
      <c r="I130" s="35"/>
    </row>
    <row r="131" spans="1:9">
      <c r="A131">
        <v>129</v>
      </c>
      <c r="B131" s="35">
        <f ca="1">('normal case'!AJ131*($K$6*'normal case'!D131*('normal case'!AJ131^'external balance'!$K$4)))/'normal case'!D131</f>
        <v>0.30447775876267213</v>
      </c>
      <c r="C131" s="35">
        <f ca="1">($K$5*$K$7*((1+$K$8)^'normal case'!A130)*'normal case'!AJ131^$K$3)/'normal case'!D131</f>
        <v>0.30747746557233269</v>
      </c>
      <c r="D131" s="96">
        <f ca="1">(C131-B131)+((('main page'!$U$38/100)*'normal case'!$D$3)/'normal case'!$D$3)</f>
        <v>2.9997068096605517E-3</v>
      </c>
      <c r="E131" s="35">
        <f ca="1">((('normal case'!T131/100)*'external balance'!H130)/('normal case'!D131/'normal case'!D130))</f>
        <v>0.21823263482470281</v>
      </c>
      <c r="F131" s="35">
        <f t="shared" ca="1" si="1"/>
        <v>0.22123234163436337</v>
      </c>
      <c r="H131" s="35">
        <f ca="1">D131+((1+'normal case'!T131/100)/('normal case'!D131/'normal case'!D130))*'external balance'!H130</f>
        <v>6.4564505325755812</v>
      </c>
      <c r="I131" s="35"/>
    </row>
    <row r="132" spans="1:9">
      <c r="A132">
        <v>130</v>
      </c>
      <c r="B132" s="35">
        <f ca="1">('normal case'!AJ132*($K$6*'normal case'!D132*('normal case'!AJ132^'external balance'!$K$4)))/'normal case'!D132</f>
        <v>0.30447775876267213</v>
      </c>
      <c r="C132" s="35">
        <f ca="1">($K$5*$K$7*((1+$K$8)^'normal case'!A131)*'normal case'!AJ132^$K$3)/'normal case'!D132</f>
        <v>0.30747746557233269</v>
      </c>
      <c r="D132" s="96">
        <f ca="1">(C132-B132)+((('main page'!$U$38/100)*'normal case'!$D$3)/'normal case'!$D$3)</f>
        <v>2.9997068096605517E-3</v>
      </c>
      <c r="E132" s="35">
        <f ca="1">((('normal case'!T132/100)*'external balance'!H131)/('normal case'!D132/'normal case'!D131))</f>
        <v>0.22597576671597316</v>
      </c>
      <c r="F132" s="35">
        <f t="shared" ca="1" si="1"/>
        <v>0.22897547352563372</v>
      </c>
      <c r="H132" s="35">
        <f ca="1">D132+((1+'normal case'!T132/100)/('normal case'!D132/'normal case'!D131))*'external balance'!H131</f>
        <v>6.6854260061012152</v>
      </c>
      <c r="I132" s="35"/>
    </row>
    <row r="133" spans="1:9">
      <c r="A133">
        <v>131</v>
      </c>
      <c r="B133" s="35">
        <f ca="1">('normal case'!AJ133*($K$6*'normal case'!D133*('normal case'!AJ133^'external balance'!$K$4)))/'normal case'!D133</f>
        <v>0.30447775876267213</v>
      </c>
      <c r="C133" s="35">
        <f ca="1">($K$5*$K$7*((1+$K$8)^'normal case'!A132)*'normal case'!AJ133^$K$3)/'normal case'!D133</f>
        <v>0.30747746557233269</v>
      </c>
      <c r="D133" s="96">
        <f ca="1">(C133-B133)+((('main page'!$U$38/100)*'normal case'!$D$3)/'normal case'!$D$3)</f>
        <v>2.9997068096605517E-3</v>
      </c>
      <c r="E133" s="35">
        <f ca="1">((('normal case'!T133/100)*'external balance'!H132)/('normal case'!D133/'normal case'!D132))</f>
        <v>0.23398990822113033</v>
      </c>
      <c r="F133" s="35">
        <f t="shared" ref="F133:F196" ca="1" si="2">IF(ABS(D133+E133-F132)&lt;0.0000001,F132,D133+E133)</f>
        <v>0.23698961503079088</v>
      </c>
      <c r="H133" s="35">
        <f ca="1">D133+((1+'normal case'!T133/100)/('normal case'!D133/'normal case'!D132))*'external balance'!H132</f>
        <v>6.9224156211320063</v>
      </c>
      <c r="I133" s="35"/>
    </row>
    <row r="134" spans="1:9">
      <c r="A134">
        <v>132</v>
      </c>
      <c r="B134" s="35">
        <f ca="1">('normal case'!AJ134*($K$6*'normal case'!D134*('normal case'!AJ134^'external balance'!$K$4)))/'normal case'!D134</f>
        <v>0.30447775876267213</v>
      </c>
      <c r="C134" s="35">
        <f ca="1">($K$5*$K$7*((1+$K$8)^'normal case'!A133)*'normal case'!AJ134^$K$3)/'normal case'!D134</f>
        <v>0.30747746557233269</v>
      </c>
      <c r="D134" s="96">
        <f ca="1">(C134-B134)+((('main page'!$U$38/100)*'normal case'!$D$3)/'normal case'!$D$3)</f>
        <v>2.9997068096605517E-3</v>
      </c>
      <c r="E134" s="35">
        <f ca="1">((('normal case'!T134/100)*'external balance'!H133)/('normal case'!D134/'normal case'!D133))</f>
        <v>0.24228454467657962</v>
      </c>
      <c r="F134" s="35">
        <f t="shared" ca="1" si="2"/>
        <v>0.24528425148624017</v>
      </c>
      <c r="H134" s="35">
        <f ca="1">D134+((1+'normal case'!T134/100)/('normal case'!D134/'normal case'!D133))*'external balance'!H133</f>
        <v>7.1676998726182459</v>
      </c>
      <c r="I134" s="35"/>
    </row>
    <row r="135" spans="1:9">
      <c r="A135">
        <v>133</v>
      </c>
      <c r="B135" s="35">
        <f ca="1">('normal case'!AJ135*($K$6*'normal case'!D135*('normal case'!AJ135^'external balance'!$K$4)))/'normal case'!D135</f>
        <v>0.30447775876267213</v>
      </c>
      <c r="C135" s="35">
        <f ca="1">($K$5*$K$7*((1+$K$8)^'normal case'!A134)*'normal case'!AJ135^$K$3)/'normal case'!D135</f>
        <v>0.30747746557233269</v>
      </c>
      <c r="D135" s="96">
        <f ca="1">(C135-B135)+((('main page'!$U$38/100)*'normal case'!$D$3)/'normal case'!$D$3)</f>
        <v>2.9997068096605517E-3</v>
      </c>
      <c r="E135" s="35">
        <f ca="1">((('normal case'!T135/100)*'external balance'!H134)/('normal case'!D135/'normal case'!D134))</f>
        <v>0.25086949340549758</v>
      </c>
      <c r="F135" s="35">
        <f t="shared" ca="1" si="2"/>
        <v>0.25386920021515813</v>
      </c>
      <c r="H135" s="35">
        <f ca="1">D135+((1+'normal case'!T135/100)/('normal case'!D135/'normal case'!D134))*'external balance'!H134</f>
        <v>7.4215690728334041</v>
      </c>
      <c r="I135" s="35"/>
    </row>
    <row r="136" spans="1:9">
      <c r="A136">
        <v>134</v>
      </c>
      <c r="B136" s="35">
        <f ca="1">('normal case'!AJ136*($K$6*'normal case'!D136*('normal case'!AJ136^'external balance'!$K$4)))/'normal case'!D136</f>
        <v>0.30447775876267213</v>
      </c>
      <c r="C136" s="35">
        <f ca="1">($K$5*$K$7*((1+$K$8)^'normal case'!A135)*'normal case'!AJ136^$K$3)/'normal case'!D136</f>
        <v>0.30747746557233269</v>
      </c>
      <c r="D136" s="96">
        <f ca="1">(C136-B136)+((('main page'!$U$38/100)*'normal case'!$D$3)/'normal case'!$D$3)</f>
        <v>2.9997068096605517E-3</v>
      </c>
      <c r="E136" s="35">
        <f ca="1">((('normal case'!T136/100)*'external balance'!H135)/('normal case'!D136/'normal case'!D135))</f>
        <v>0.25975491533736922</v>
      </c>
      <c r="F136" s="35">
        <f t="shared" ca="1" si="2"/>
        <v>0.26275462214702977</v>
      </c>
      <c r="H136" s="35">
        <f ca="1">D136+((1+'normal case'!T136/100)/('normal case'!D136/'normal case'!D135))*'external balance'!H135</f>
        <v>7.6843236949804341</v>
      </c>
      <c r="I136" s="35"/>
    </row>
    <row r="137" spans="1:9">
      <c r="A137">
        <v>135</v>
      </c>
      <c r="B137" s="35">
        <f ca="1">('normal case'!AJ137*($K$6*'normal case'!D137*('normal case'!AJ137^'external balance'!$K$4)))/'normal case'!D137</f>
        <v>0.30447775876267213</v>
      </c>
      <c r="C137" s="35">
        <f ca="1">($K$5*$K$7*((1+$K$8)^'normal case'!A136)*'normal case'!AJ137^$K$3)/'normal case'!D137</f>
        <v>0.30747746557233269</v>
      </c>
      <c r="D137" s="96">
        <f ca="1">(C137-B137)+((('main page'!$U$38/100)*'normal case'!$D$3)/'normal case'!$D$3)</f>
        <v>2.9997068096605517E-3</v>
      </c>
      <c r="E137" s="35">
        <f ca="1">((('normal case'!T137/100)*'external balance'!H136)/('normal case'!D137/'normal case'!D136))</f>
        <v>0.26895132703420832</v>
      </c>
      <c r="F137" s="35">
        <f t="shared" ca="1" si="2"/>
        <v>0.27195103384386887</v>
      </c>
      <c r="H137" s="35">
        <f ca="1">D137+((1+'normal case'!T137/100)/('normal case'!D137/'normal case'!D136))*'external balance'!H136</f>
        <v>7.9562747288243028</v>
      </c>
      <c r="I137" s="35"/>
    </row>
    <row r="138" spans="1:9">
      <c r="A138">
        <v>136</v>
      </c>
      <c r="B138" s="35">
        <f ca="1">('normal case'!AJ138*($K$6*'normal case'!D138*('normal case'!AJ138^'external balance'!$K$4)))/'normal case'!D138</f>
        <v>0.30447775876267213</v>
      </c>
      <c r="C138" s="35">
        <f ca="1">($K$5*$K$7*((1+$K$8)^'normal case'!A137)*'normal case'!AJ138^$K$3)/'normal case'!D138</f>
        <v>0.30747746557233269</v>
      </c>
      <c r="D138" s="96">
        <f ca="1">(C138-B138)+((('main page'!$U$38/100)*'normal case'!$D$3)/'normal case'!$D$3)</f>
        <v>2.9997068096605517E-3</v>
      </c>
      <c r="E138" s="35">
        <f ca="1">((('normal case'!T138/100)*'external balance'!H137)/('normal case'!D138/'normal case'!D137))</f>
        <v>0.27846961313769597</v>
      </c>
      <c r="F138" s="35">
        <f t="shared" ca="1" si="2"/>
        <v>0.28146931994735652</v>
      </c>
      <c r="H138" s="35">
        <f ca="1">D138+((1+'normal case'!T138/100)/('normal case'!D138/'normal case'!D137))*'external balance'!H137</f>
        <v>8.2377440487716598</v>
      </c>
      <c r="I138" s="35"/>
    </row>
    <row r="139" spans="1:9">
      <c r="A139">
        <v>137</v>
      </c>
      <c r="B139" s="35">
        <f ca="1">('normal case'!AJ139*($K$6*'normal case'!D139*('normal case'!AJ139^'external balance'!$K$4)))/'normal case'!D139</f>
        <v>0.30447775876267213</v>
      </c>
      <c r="C139" s="35">
        <f ca="1">($K$5*$K$7*((1+$K$8)^'normal case'!A138)*'normal case'!AJ139^$K$3)/'normal case'!D139</f>
        <v>0.30747746557233269</v>
      </c>
      <c r="D139" s="96">
        <f ca="1">(C139-B139)+((('main page'!$U$38/100)*'normal case'!$D$3)/'normal case'!$D$3)</f>
        <v>2.9997068096605517E-3</v>
      </c>
      <c r="E139" s="35">
        <f ca="1">((('normal case'!T139/100)*'external balance'!H138)/('normal case'!D139/'normal case'!D138))</f>
        <v>0.28832103925196906</v>
      </c>
      <c r="F139" s="35">
        <f t="shared" ca="1" si="2"/>
        <v>0.29132074606162961</v>
      </c>
      <c r="H139" s="35">
        <f ca="1">D139+((1+'normal case'!T139/100)/('normal case'!D139/'normal case'!D138))*'external balance'!H138</f>
        <v>8.5290647948332889</v>
      </c>
      <c r="I139" s="35"/>
    </row>
    <row r="140" spans="1:9">
      <c r="A140">
        <v>138</v>
      </c>
      <c r="B140" s="35">
        <f ca="1">('normal case'!AJ140*($K$6*'normal case'!D140*('normal case'!AJ140^'external balance'!$K$4)))/'normal case'!D140</f>
        <v>0.30447775876267213</v>
      </c>
      <c r="C140" s="35">
        <f ca="1">($K$5*$K$7*((1+$K$8)^'normal case'!A139)*'normal case'!AJ140^$K$3)/'normal case'!D140</f>
        <v>0.30747746557233269</v>
      </c>
      <c r="D140" s="96">
        <f ca="1">(C140-B140)+((('main page'!$U$38/100)*'normal case'!$D$3)/'normal case'!$D$3)</f>
        <v>2.9997068096605517E-3</v>
      </c>
      <c r="E140" s="35">
        <f ca="1">((('normal case'!T140/100)*'external balance'!H139)/('normal case'!D140/'normal case'!D139))</f>
        <v>0.29851726527730577</v>
      </c>
      <c r="F140" s="35">
        <f t="shared" ca="1" si="2"/>
        <v>0.30151697208696632</v>
      </c>
      <c r="H140" s="35">
        <f ca="1">D140+((1+'normal case'!T140/100)/('normal case'!D140/'normal case'!D139))*'external balance'!H139</f>
        <v>8.8305817669202558</v>
      </c>
      <c r="I140" s="35"/>
    </row>
    <row r="141" spans="1:9">
      <c r="A141">
        <v>139</v>
      </c>
      <c r="B141" s="35">
        <f ca="1">('normal case'!AJ141*($K$6*'normal case'!D141*('normal case'!AJ141^'external balance'!$K$4)))/'normal case'!D141</f>
        <v>0.30447775876267213</v>
      </c>
      <c r="C141" s="35">
        <f ca="1">($K$5*$K$7*((1+$K$8)^'normal case'!A140)*'normal case'!AJ141^$K$3)/'normal case'!D141</f>
        <v>0.30747746557233269</v>
      </c>
      <c r="D141" s="96">
        <f ca="1">(C141-B141)+((('main page'!$U$38/100)*'normal case'!$D$3)/'normal case'!$D$3)</f>
        <v>2.9997068096605517E-3</v>
      </c>
      <c r="E141" s="35">
        <f ca="1">((('normal case'!T141/100)*'external balance'!H140)/('normal case'!D141/'normal case'!D140))</f>
        <v>0.30907035921049053</v>
      </c>
      <c r="F141" s="35">
        <f t="shared" ca="1" si="2"/>
        <v>0.31207006602015108</v>
      </c>
      <c r="H141" s="35">
        <f ca="1">D141+((1+'normal case'!T141/100)/('normal case'!D141/'normal case'!D140))*'external balance'!H140</f>
        <v>9.1426518329404072</v>
      </c>
      <c r="I141" s="35"/>
    </row>
    <row r="142" spans="1:9">
      <c r="A142">
        <v>140</v>
      </c>
      <c r="B142" s="35">
        <f ca="1">('normal case'!AJ142*($K$6*'normal case'!D142*('normal case'!AJ142^'external balance'!$K$4)))/'normal case'!D142</f>
        <v>0.30447775876267213</v>
      </c>
      <c r="C142" s="35">
        <f ca="1">($K$5*$K$7*((1+$K$8)^'normal case'!A141)*'normal case'!AJ142^$K$3)/'normal case'!D142</f>
        <v>0.30747746557233269</v>
      </c>
      <c r="D142" s="96">
        <f ca="1">(C142-B142)+((('main page'!$U$38/100)*'normal case'!$D$3)/'normal case'!$D$3)</f>
        <v>2.9997068096605517E-3</v>
      </c>
      <c r="E142" s="35">
        <f ca="1">((('normal case'!T142/100)*'external balance'!H141)/('normal case'!D142/'normal case'!D141))</f>
        <v>0.31999281142819169</v>
      </c>
      <c r="F142" s="35">
        <f t="shared" ca="1" si="2"/>
        <v>0.32299251823785224</v>
      </c>
      <c r="H142" s="35">
        <f ca="1">D142+((1+'normal case'!T142/100)/('normal case'!D142/'normal case'!D141))*'external balance'!H141</f>
        <v>9.4656443511782591</v>
      </c>
      <c r="I142" s="35"/>
    </row>
    <row r="143" spans="1:9">
      <c r="A143">
        <v>141</v>
      </c>
      <c r="B143" s="35">
        <f ca="1">('normal case'!AJ143*($K$6*'normal case'!D143*('normal case'!AJ143^'external balance'!$K$4)))/'normal case'!D143</f>
        <v>0.30447775876267213</v>
      </c>
      <c r="C143" s="35">
        <f ca="1">($K$5*$K$7*((1+$K$8)^'normal case'!A142)*'normal case'!AJ143^$K$3)/'normal case'!D143</f>
        <v>0.30747746557233269</v>
      </c>
      <c r="D143" s="96">
        <f ca="1">(C143-B143)+((('main page'!$U$38/100)*'normal case'!$D$3)/'normal case'!$D$3)</f>
        <v>2.9997068096605517E-3</v>
      </c>
      <c r="E143" s="35">
        <f ca="1">((('normal case'!T143/100)*'external balance'!H142)/('normal case'!D143/'normal case'!D142))</f>
        <v>0.33129754947025725</v>
      </c>
      <c r="F143" s="35">
        <f t="shared" ca="1" si="2"/>
        <v>0.3342972562799178</v>
      </c>
      <c r="H143" s="35">
        <f ca="1">D143+((1+'normal case'!T143/100)/('normal case'!D143/'normal case'!D142))*'external balance'!H142</f>
        <v>9.7999416074581767</v>
      </c>
      <c r="I143" s="35"/>
    </row>
    <row r="144" spans="1:9">
      <c r="A144">
        <v>142</v>
      </c>
      <c r="B144" s="35">
        <f ca="1">('normal case'!AJ144*($K$6*'normal case'!D144*('normal case'!AJ144^'external balance'!$K$4)))/'normal case'!D144</f>
        <v>0.30447775876267213</v>
      </c>
      <c r="C144" s="35">
        <f ca="1">($K$5*$K$7*((1+$K$8)^'normal case'!A143)*'normal case'!AJ144^$K$3)/'normal case'!D144</f>
        <v>0.30747746557233269</v>
      </c>
      <c r="D144" s="96">
        <f ca="1">(C144-B144)+((('main page'!$U$38/100)*'normal case'!$D$3)/'normal case'!$D$3)</f>
        <v>2.9997068096605517E-3</v>
      </c>
      <c r="E144" s="35">
        <f ca="1">((('normal case'!T144/100)*'external balance'!H143)/('normal case'!D144/'normal case'!D143))</f>
        <v>0.34299795334042604</v>
      </c>
      <c r="F144" s="35">
        <f t="shared" ca="1" si="2"/>
        <v>0.34599766015008659</v>
      </c>
      <c r="H144" s="35">
        <f ca="1">D144+((1+'normal case'!T144/100)/('normal case'!D144/'normal case'!D143))*'external balance'!H143</f>
        <v>10.145939267608263</v>
      </c>
      <c r="I144" s="35"/>
    </row>
    <row r="145" spans="1:9">
      <c r="A145">
        <v>143</v>
      </c>
      <c r="B145" s="35">
        <f ca="1">('normal case'!AJ145*($K$6*'normal case'!D145*('normal case'!AJ145^'external balance'!$K$4)))/'normal case'!D145</f>
        <v>0.30447775876267213</v>
      </c>
      <c r="C145" s="35">
        <f ca="1">($K$5*$K$7*((1+$K$8)^'normal case'!A144)*'normal case'!AJ145^$K$3)/'normal case'!D145</f>
        <v>0.30747746557233269</v>
      </c>
      <c r="D145" s="96">
        <f ca="1">(C145-B145)+((('main page'!$U$38/100)*'normal case'!$D$3)/'normal case'!$D$3)</f>
        <v>2.9997068096605517E-3</v>
      </c>
      <c r="E145" s="35">
        <f ca="1">((('normal case'!T145/100)*'external balance'!H144)/('normal case'!D145/'normal case'!D144))</f>
        <v>0.35510787134256372</v>
      </c>
      <c r="F145" s="35">
        <f t="shared" ca="1" si="2"/>
        <v>0.35810757815222427</v>
      </c>
      <c r="H145" s="35">
        <f ca="1">D145+((1+'normal case'!T145/100)/('normal case'!D145/'normal case'!D144))*'external balance'!H144</f>
        <v>10.504046845760486</v>
      </c>
      <c r="I145" s="35"/>
    </row>
    <row r="146" spans="1:9">
      <c r="A146">
        <v>144</v>
      </c>
      <c r="B146" s="35">
        <f ca="1">('normal case'!AJ146*($K$6*'normal case'!D146*('normal case'!AJ146^'external balance'!$K$4)))/'normal case'!D146</f>
        <v>0.30447775876267213</v>
      </c>
      <c r="C146" s="35">
        <f ca="1">($K$5*$K$7*((1+$K$8)^'normal case'!A145)*'normal case'!AJ146^$K$3)/'normal case'!D146</f>
        <v>0.30747746557233269</v>
      </c>
      <c r="D146" s="96">
        <f ca="1">(C146-B146)+((('main page'!$U$38/100)*'normal case'!$D$3)/'normal case'!$D$3)</f>
        <v>2.9997068096605517E-3</v>
      </c>
      <c r="E146" s="35">
        <f ca="1">((('normal case'!T146/100)*'external balance'!H145)/('normal case'!D146/'normal case'!D145))</f>
        <v>0.36764163647116715</v>
      </c>
      <c r="F146" s="35">
        <f t="shared" ca="1" si="2"/>
        <v>0.37064134328082771</v>
      </c>
      <c r="H146" s="35">
        <f ca="1">D146+((1+'normal case'!T146/100)/('normal case'!D146/'normal case'!D145))*'external balance'!H145</f>
        <v>10.874688189041313</v>
      </c>
      <c r="I146" s="35"/>
    </row>
    <row r="147" spans="1:9">
      <c r="A147">
        <v>145</v>
      </c>
      <c r="B147" s="35">
        <f ca="1">('normal case'!AJ147*($K$6*'normal case'!D147*('normal case'!AJ147^'external balance'!$K$4)))/'normal case'!D147</f>
        <v>0.30447775876267213</v>
      </c>
      <c r="C147" s="35">
        <f ca="1">($K$5*$K$7*((1+$K$8)^'normal case'!A146)*'normal case'!AJ147^$K$3)/'normal case'!D147</f>
        <v>0.30747746557233269</v>
      </c>
      <c r="D147" s="96">
        <f ca="1">(C147-B147)+((('main page'!$U$38/100)*'normal case'!$D$3)/'normal case'!$D$3)</f>
        <v>2.9997068096605517E-3</v>
      </c>
      <c r="E147" s="35">
        <f ca="1">((('normal case'!T147/100)*'external balance'!H146)/('normal case'!D147/'normal case'!D146))</f>
        <v>0.38061408337553637</v>
      </c>
      <c r="F147" s="35">
        <f t="shared" ca="1" si="2"/>
        <v>0.38361379018519692</v>
      </c>
      <c r="H147" s="35">
        <f ca="1">D147+((1+'normal case'!T147/100)/('normal case'!D147/'normal case'!D146))*'external balance'!H146</f>
        <v>11.258301979226509</v>
      </c>
      <c r="I147" s="35"/>
    </row>
    <row r="148" spans="1:9">
      <c r="A148">
        <v>146</v>
      </c>
      <c r="B148" s="35">
        <f ca="1">('normal case'!AJ148*($K$6*'normal case'!D148*('normal case'!AJ148^'external balance'!$K$4)))/'normal case'!D148</f>
        <v>0.30447775876267213</v>
      </c>
      <c r="C148" s="35">
        <f ca="1">($K$5*$K$7*((1+$K$8)^'normal case'!A147)*'normal case'!AJ148^$K$3)/'normal case'!D148</f>
        <v>0.30747746557233269</v>
      </c>
      <c r="D148" s="96">
        <f ca="1">(C148-B148)+((('main page'!$U$38/100)*'normal case'!$D$3)/'normal case'!$D$3)</f>
        <v>2.9997068096605517E-3</v>
      </c>
      <c r="E148" s="35">
        <f ca="1">((('normal case'!T148/100)*'external balance'!H147)/('normal case'!D148/'normal case'!D147))</f>
        <v>0.39404056591769238</v>
      </c>
      <c r="F148" s="35">
        <f t="shared" ca="1" si="2"/>
        <v>0.39704027272735293</v>
      </c>
      <c r="H148" s="35">
        <f ca="1">D148+((1+'normal case'!T148/100)/('normal case'!D148/'normal case'!D147))*'external balance'!H147</f>
        <v>11.655342251953861</v>
      </c>
      <c r="I148" s="35"/>
    </row>
    <row r="149" spans="1:9">
      <c r="A149">
        <v>147</v>
      </c>
      <c r="B149" s="35">
        <f ca="1">('normal case'!AJ149*($K$6*'normal case'!D149*('normal case'!AJ149^'external balance'!$K$4)))/'normal case'!D149</f>
        <v>0.30447775876267213</v>
      </c>
      <c r="C149" s="35">
        <f ca="1">($K$5*$K$7*((1+$K$8)^'normal case'!A148)*'normal case'!AJ149^$K$3)/'normal case'!D149</f>
        <v>0.30747746557233269</v>
      </c>
      <c r="D149" s="96">
        <f ca="1">(C149-B149)+((('main page'!$U$38/100)*'normal case'!$D$3)/'normal case'!$D$3)</f>
        <v>2.9997068096605517E-3</v>
      </c>
      <c r="E149" s="35">
        <f ca="1">((('normal case'!T149/100)*'external balance'!H148)/('normal case'!D149/'normal case'!D148))</f>
        <v>0.40793697534482254</v>
      </c>
      <c r="F149" s="35">
        <f t="shared" ca="1" si="2"/>
        <v>0.41093668215448309</v>
      </c>
      <c r="H149" s="35">
        <f ca="1">D149+((1+'normal case'!T149/100)/('normal case'!D149/'normal case'!D148))*'external balance'!H148</f>
        <v>12.066278934108345</v>
      </c>
      <c r="I149" s="35"/>
    </row>
    <row r="150" spans="1:9">
      <c r="A150">
        <v>148</v>
      </c>
      <c r="B150" s="35">
        <f ca="1">('normal case'!AJ150*($K$6*'normal case'!D150*('normal case'!AJ150^'external balance'!$K$4)))/'normal case'!D150</f>
        <v>0.30447775876267213</v>
      </c>
      <c r="C150" s="35">
        <f ca="1">($K$5*$K$7*((1+$K$8)^'normal case'!A149)*'normal case'!AJ150^$K$3)/'normal case'!D150</f>
        <v>0.30747746557233269</v>
      </c>
      <c r="D150" s="96">
        <f ca="1">(C150-B150)+((('main page'!$U$38/100)*'normal case'!$D$3)/'normal case'!$D$3)</f>
        <v>2.9997068096605517E-3</v>
      </c>
      <c r="E150" s="35">
        <f ca="1">((('normal case'!T150/100)*'external balance'!H149)/('normal case'!D150/'normal case'!D149))</f>
        <v>0.42231975909776076</v>
      </c>
      <c r="F150" s="35">
        <f t="shared" ca="1" si="2"/>
        <v>0.42531946590742131</v>
      </c>
      <c r="H150" s="35">
        <f ca="1">D150+((1+'normal case'!T150/100)/('normal case'!D150/'normal case'!D149))*'external balance'!H149</f>
        <v>12.491598400015766</v>
      </c>
      <c r="I150" s="35"/>
    </row>
    <row r="151" spans="1:9">
      <c r="A151">
        <v>149</v>
      </c>
      <c r="B151" s="35">
        <f ca="1">('normal case'!AJ151*($K$6*'normal case'!D151*('normal case'!AJ151^'external balance'!$K$4)))/'normal case'!D151</f>
        <v>0.30447775876267213</v>
      </c>
      <c r="C151" s="35">
        <f ca="1">($K$5*$K$7*((1+$K$8)^'normal case'!A150)*'normal case'!AJ151^$K$3)/'normal case'!D151</f>
        <v>0.30747746557233269</v>
      </c>
      <c r="D151" s="96">
        <f ca="1">(C151-B151)+((('main page'!$U$38/100)*'normal case'!$D$3)/'normal case'!$D$3)</f>
        <v>2.9997068096605517E-3</v>
      </c>
      <c r="E151" s="35">
        <f ca="1">((('normal case'!T151/100)*'external balance'!H150)/('normal case'!D151/'normal case'!D150))</f>
        <v>0.43720594027776544</v>
      </c>
      <c r="F151" s="35">
        <f t="shared" ca="1" si="2"/>
        <v>0.44020564708742599</v>
      </c>
      <c r="H151" s="35">
        <f ca="1">D151+((1+'normal case'!T151/100)/('normal case'!D151/'normal case'!D150))*'external balance'!H150</f>
        <v>12.931804047103192</v>
      </c>
      <c r="I151" s="35"/>
    </row>
    <row r="152" spans="1:9">
      <c r="A152">
        <v>150</v>
      </c>
      <c r="B152" s="35">
        <f ca="1">('normal case'!AJ152*($K$6*'normal case'!D152*('normal case'!AJ152^'external balance'!$K$4)))/'normal case'!D152</f>
        <v>0.30447775876267213</v>
      </c>
      <c r="C152" s="35">
        <f ca="1">($K$5*$K$7*((1+$K$8)^'normal case'!A151)*'normal case'!AJ152^$K$3)/'normal case'!D152</f>
        <v>0.30747746557233269</v>
      </c>
      <c r="D152" s="96">
        <f ca="1">(C152-B152)+((('main page'!$U$38/100)*'normal case'!$D$3)/'normal case'!$D$3)</f>
        <v>2.9997068096605517E-3</v>
      </c>
      <c r="E152" s="35">
        <f ca="1">((('normal case'!T152/100)*'external balance'!H151)/('normal case'!D152/'normal case'!D151))</f>
        <v>0.45261313779463386</v>
      </c>
      <c r="F152" s="35">
        <f t="shared" ca="1" si="2"/>
        <v>0.45561284460429441</v>
      </c>
      <c r="H152" s="35">
        <f ca="1">D152+((1+'normal case'!T152/100)/('normal case'!D152/'normal case'!D151))*'external balance'!H151</f>
        <v>13.387416891707486</v>
      </c>
      <c r="I152" s="35"/>
    </row>
    <row r="153" spans="1:9">
      <c r="A153">
        <v>151</v>
      </c>
      <c r="B153" s="35">
        <f ca="1">('normal case'!AJ153*($K$6*'normal case'!D153*('normal case'!AJ153^'external balance'!$K$4)))/'normal case'!D153</f>
        <v>0.30447775876267213</v>
      </c>
      <c r="C153" s="35">
        <f ca="1">($K$5*$K$7*((1+$K$8)^'normal case'!A152)*'normal case'!AJ153^$K$3)/'normal case'!D153</f>
        <v>0.30747746557233269</v>
      </c>
      <c r="D153" s="96">
        <f ca="1">(C153-B153)+((('main page'!$U$38/100)*'normal case'!$D$3)/'normal case'!$D$3)</f>
        <v>2.9997068096605517E-3</v>
      </c>
      <c r="E153" s="35">
        <f ca="1">((('normal case'!T153/100)*'external balance'!H152)/('normal case'!D153/'normal case'!D152))</f>
        <v>0.46855958722000091</v>
      </c>
      <c r="F153" s="35">
        <f t="shared" ca="1" si="2"/>
        <v>0.47155929402966146</v>
      </c>
      <c r="H153" s="35">
        <f ca="1">D153+((1+'normal case'!T153/100)/('normal case'!D153/'normal case'!D152))*'external balance'!H152</f>
        <v>13.858976185737149</v>
      </c>
      <c r="I153" s="35"/>
    </row>
    <row r="154" spans="1:9">
      <c r="A154">
        <v>152</v>
      </c>
      <c r="B154" s="35">
        <f ca="1">('normal case'!AJ154*($K$6*'normal case'!D154*('normal case'!AJ154^'external balance'!$K$4)))/'normal case'!D154</f>
        <v>0.30447775876267213</v>
      </c>
      <c r="C154" s="35">
        <f ca="1">($K$5*$K$7*((1+$K$8)^'normal case'!A153)*'normal case'!AJ154^$K$3)/'normal case'!D154</f>
        <v>0.30747746557233269</v>
      </c>
      <c r="D154" s="96">
        <f ca="1">(C154-B154)+((('main page'!$U$38/100)*'normal case'!$D$3)/'normal case'!$D$3)</f>
        <v>2.9997068096605517E-3</v>
      </c>
      <c r="E154" s="35">
        <f ca="1">((('normal case'!T154/100)*'external balance'!H153)/('normal case'!D154/'normal case'!D153))</f>
        <v>0.48506416237050348</v>
      </c>
      <c r="F154" s="35">
        <f t="shared" ca="1" si="2"/>
        <v>0.48806386918016403</v>
      </c>
      <c r="H154" s="35">
        <f ca="1">D154+((1+'normal case'!T154/100)/('normal case'!D154/'normal case'!D153))*'external balance'!H153</f>
        <v>14.347040054917311</v>
      </c>
      <c r="I154" s="35"/>
    </row>
    <row r="155" spans="1:9">
      <c r="A155">
        <v>153</v>
      </c>
      <c r="B155" s="35">
        <f ca="1">('normal case'!AJ155*($K$6*'normal case'!D155*('normal case'!AJ155^'external balance'!$K$4)))/'normal case'!D155</f>
        <v>0.30447775876267213</v>
      </c>
      <c r="C155" s="35">
        <f ca="1">($K$5*$K$7*((1+$K$8)^'normal case'!A154)*'normal case'!AJ155^$K$3)/'normal case'!D155</f>
        <v>0.30747746557233269</v>
      </c>
      <c r="D155" s="96">
        <f ca="1">(C155-B155)+((('main page'!$U$38/100)*'normal case'!$D$3)/'normal case'!$D$3)</f>
        <v>2.9997068096605517E-3</v>
      </c>
      <c r="E155" s="35">
        <f ca="1">((('normal case'!T155/100)*'external balance'!H154)/('normal case'!D155/'normal case'!D154))</f>
        <v>0.50214639764635483</v>
      </c>
      <c r="F155" s="35">
        <f t="shared" ca="1" si="2"/>
        <v>0.50514610445601538</v>
      </c>
      <c r="H155" s="35">
        <f ca="1">D155+((1+'normal case'!T155/100)/('normal case'!D155/'normal case'!D154))*'external balance'!H154</f>
        <v>14.852186159373327</v>
      </c>
      <c r="I155" s="35"/>
    </row>
    <row r="156" spans="1:9">
      <c r="A156">
        <v>154</v>
      </c>
      <c r="B156" s="35">
        <f ca="1">('normal case'!AJ156*($K$6*'normal case'!D156*('normal case'!AJ156^'external balance'!$K$4)))/'normal case'!D156</f>
        <v>0.30447775876267213</v>
      </c>
      <c r="C156" s="35">
        <f ca="1">($K$5*$K$7*((1+$K$8)^'normal case'!A155)*'normal case'!AJ156^$K$3)/'normal case'!D156</f>
        <v>0.30747746557233269</v>
      </c>
      <c r="D156" s="96">
        <f ca="1">(C156-B156)+((('main page'!$U$38/100)*'normal case'!$D$3)/'normal case'!$D$3)</f>
        <v>2.9997068096605517E-3</v>
      </c>
      <c r="E156" s="35">
        <f ca="1">((('normal case'!T156/100)*'external balance'!H155)/('normal case'!D156/'normal case'!D155))</f>
        <v>0.51982651115177003</v>
      </c>
      <c r="F156" s="35">
        <f t="shared" ca="1" si="2"/>
        <v>0.52282621796143058</v>
      </c>
      <c r="H156" s="35">
        <f ca="1">D156+((1+'normal case'!T156/100)/('normal case'!D156/'normal case'!D155))*'external balance'!H155</f>
        <v>15.375012377334757</v>
      </c>
      <c r="I156" s="35"/>
    </row>
    <row r="157" spans="1:9">
      <c r="A157">
        <v>155</v>
      </c>
      <c r="B157" s="35">
        <f ca="1">('normal case'!AJ157*($K$6*'normal case'!D157*('normal case'!AJ157^'external balance'!$K$4)))/'normal case'!D157</f>
        <v>0.30447775876267213</v>
      </c>
      <c r="C157" s="35">
        <f ca="1">($K$5*$K$7*((1+$K$8)^'normal case'!A156)*'normal case'!AJ157^$K$3)/'normal case'!D157</f>
        <v>0.30747746557233269</v>
      </c>
      <c r="D157" s="96">
        <f ca="1">(C157-B157)+((('main page'!$U$38/100)*'normal case'!$D$3)/'normal case'!$D$3)</f>
        <v>2.9997068096605517E-3</v>
      </c>
      <c r="E157" s="35">
        <f ca="1">((('normal case'!T157/100)*'external balance'!H156)/('normal case'!D157/'normal case'!D156))</f>
        <v>0.53812542862460577</v>
      </c>
      <c r="F157" s="35">
        <f t="shared" ca="1" si="2"/>
        <v>0.54112513543426632</v>
      </c>
      <c r="H157" s="35">
        <f ca="1">D157+((1+'normal case'!T157/100)/('normal case'!D157/'normal case'!D156))*'external balance'!H156</f>
        <v>15.916137512769023</v>
      </c>
      <c r="I157" s="35"/>
    </row>
    <row r="158" spans="1:9">
      <c r="A158">
        <v>156</v>
      </c>
      <c r="B158" s="35">
        <f ca="1">('normal case'!AJ158*($K$6*'normal case'!D158*('normal case'!AJ158^'external balance'!$K$4)))/'normal case'!D158</f>
        <v>0.30447775876267213</v>
      </c>
      <c r="C158" s="35">
        <f ca="1">($K$5*$K$7*((1+$K$8)^'normal case'!A157)*'normal case'!AJ158^$K$3)/'normal case'!D158</f>
        <v>0.30747746557233269</v>
      </c>
      <c r="D158" s="96">
        <f ca="1">(C158-B158)+((('main page'!$U$38/100)*'normal case'!$D$3)/'normal case'!$D$3)</f>
        <v>2.9997068096605517E-3</v>
      </c>
      <c r="E158" s="35">
        <f ca="1">((('normal case'!T158/100)*'external balance'!H157)/('normal case'!D158/'normal case'!D157))</f>
        <v>0.55706480820353721</v>
      </c>
      <c r="F158" s="35">
        <f t="shared" ca="1" si="2"/>
        <v>0.56006451501319776</v>
      </c>
      <c r="H158" s="35">
        <f ca="1">D158+((1+'normal case'!T158/100)/('normal case'!D158/'normal case'!D157))*'external balance'!H157</f>
        <v>16.476202027782222</v>
      </c>
      <c r="I158" s="35"/>
    </row>
    <row r="159" spans="1:9">
      <c r="A159">
        <v>157</v>
      </c>
      <c r="B159" s="35">
        <f ca="1">('normal case'!AJ159*($K$6*'normal case'!D159*('normal case'!AJ159^'external balance'!$K$4)))/'normal case'!D159</f>
        <v>0.30447775876267213</v>
      </c>
      <c r="C159" s="35">
        <f ca="1">($K$5*$K$7*((1+$K$8)^'normal case'!A158)*'normal case'!AJ159^$K$3)/'normal case'!D159</f>
        <v>0.30747746557233269</v>
      </c>
      <c r="D159" s="96">
        <f ca="1">(C159-B159)+((('main page'!$U$38/100)*'normal case'!$D$3)/'normal case'!$D$3)</f>
        <v>2.9997068096605517E-3</v>
      </c>
      <c r="E159" s="35">
        <f ca="1">((('normal case'!T159/100)*'external balance'!H158)/('normal case'!D159/'normal case'!D158))</f>
        <v>0.57666706606208695</v>
      </c>
      <c r="F159" s="35">
        <f t="shared" ca="1" si="2"/>
        <v>0.5796667728717475</v>
      </c>
      <c r="H159" s="35">
        <f ca="1">D159+((1+'normal case'!T159/100)/('normal case'!D159/'normal case'!D158))*'external balance'!H158</f>
        <v>17.055868800653968</v>
      </c>
      <c r="I159" s="35"/>
    </row>
    <row r="160" spans="1:9">
      <c r="A160">
        <v>158</v>
      </c>
      <c r="B160" s="35">
        <f ca="1">('normal case'!AJ160*($K$6*'normal case'!D160*('normal case'!AJ160^'external balance'!$K$4)))/'normal case'!D160</f>
        <v>0.30447775876267213</v>
      </c>
      <c r="C160" s="35">
        <f ca="1">($K$5*$K$7*((1+$K$8)^'normal case'!A159)*'normal case'!AJ160^$K$3)/'normal case'!D160</f>
        <v>0.30747746557233269</v>
      </c>
      <c r="D160" s="96">
        <f ca="1">(C160-B160)+((('main page'!$U$38/100)*'normal case'!$D$3)/'normal case'!$D$3)</f>
        <v>2.9997068096605517E-3</v>
      </c>
      <c r="E160" s="35">
        <f ca="1">((('normal case'!T160/100)*'external balance'!H159)/('normal case'!D160/'normal case'!D159))</f>
        <v>0.59695540293984395</v>
      </c>
      <c r="F160" s="35">
        <f t="shared" ca="1" si="2"/>
        <v>0.5999551097495045</v>
      </c>
      <c r="H160" s="35">
        <f ca="1">D160+((1+'normal case'!T160/100)/('normal case'!D160/'normal case'!D159))*'external balance'!H159</f>
        <v>17.655823910403473</v>
      </c>
      <c r="I160" s="35"/>
    </row>
    <row r="161" spans="1:9">
      <c r="A161">
        <v>159</v>
      </c>
      <c r="B161" s="35">
        <f ca="1">('normal case'!AJ161*($K$6*'normal case'!D161*('normal case'!AJ161^'external balance'!$K$4)))/'normal case'!D161</f>
        <v>0.30447775876267213</v>
      </c>
      <c r="C161" s="35">
        <f ca="1">($K$5*$K$7*((1+$K$8)^'normal case'!A160)*'normal case'!AJ161^$K$3)/'normal case'!D161</f>
        <v>0.30747746557233269</v>
      </c>
      <c r="D161" s="96">
        <f ca="1">(C161-B161)+((('main page'!$U$38/100)*'normal case'!$D$3)/'normal case'!$D$3)</f>
        <v>2.9997068096605517E-3</v>
      </c>
      <c r="E161" s="35">
        <f ca="1">((('normal case'!T161/100)*'external balance'!H160)/('normal case'!D161/'normal case'!D160))</f>
        <v>0.61795383160227602</v>
      </c>
      <c r="F161" s="35">
        <f t="shared" ca="1" si="2"/>
        <v>0.62095353841193657</v>
      </c>
      <c r="H161" s="35">
        <f ca="1">D161+((1+'normal case'!T161/100)/('normal case'!D161/'normal case'!D160))*'external balance'!H160</f>
        <v>18.276777448815409</v>
      </c>
      <c r="I161" s="35"/>
    </row>
    <row r="162" spans="1:9">
      <c r="A162">
        <v>160</v>
      </c>
      <c r="B162" s="35">
        <f ca="1">('normal case'!AJ162*($K$6*'normal case'!D162*('normal case'!AJ162^'external balance'!$K$4)))/'normal case'!D162</f>
        <v>0.30447775876267213</v>
      </c>
      <c r="C162" s="35">
        <f ca="1">($K$5*$K$7*((1+$K$8)^'normal case'!A161)*'normal case'!AJ162^$K$3)/'normal case'!D162</f>
        <v>0.30747746557233269</v>
      </c>
      <c r="D162" s="96">
        <f ca="1">(C162-B162)+((('main page'!$U$38/100)*'normal case'!$D$3)/'normal case'!$D$3)</f>
        <v>2.9997068096605517E-3</v>
      </c>
      <c r="E162" s="35">
        <f ca="1">((('normal case'!T162/100)*'external balance'!H161)/('normal case'!D162/'normal case'!D161))</f>
        <v>0.63968720526163525</v>
      </c>
      <c r="F162" s="35">
        <f t="shared" ca="1" si="2"/>
        <v>0.6426869120712958</v>
      </c>
      <c r="H162" s="35">
        <f ca="1">D162+((1+'normal case'!T162/100)/('normal case'!D162/'normal case'!D161))*'external balance'!H161</f>
        <v>18.919464360886703</v>
      </c>
      <c r="I162" s="35"/>
    </row>
    <row r="163" spans="1:9">
      <c r="A163">
        <v>161</v>
      </c>
      <c r="B163" s="35">
        <f ca="1">('normal case'!AJ163*($K$6*'normal case'!D163*('normal case'!AJ163^'external balance'!$K$4)))/'normal case'!D163</f>
        <v>0.30447775876267213</v>
      </c>
      <c r="C163" s="35">
        <f ca="1">($K$5*$K$7*((1+$K$8)^'normal case'!A162)*'normal case'!AJ163^$K$3)/'normal case'!D163</f>
        <v>0.30747746557233269</v>
      </c>
      <c r="D163" s="96">
        <f ca="1">(C163-B163)+((('main page'!$U$38/100)*'normal case'!$D$3)/'normal case'!$D$3)</f>
        <v>2.9997068096605517E-3</v>
      </c>
      <c r="E163" s="35">
        <f ca="1">((('normal case'!T163/100)*'external balance'!H162)/('normal case'!D163/'normal case'!D162))</f>
        <v>0.66218124699259495</v>
      </c>
      <c r="F163" s="35">
        <f t="shared" ca="1" si="2"/>
        <v>0.6651809538022555</v>
      </c>
      <c r="H163" s="35">
        <f ca="1">D163+((1+'normal case'!T163/100)/('normal case'!D163/'normal case'!D162))*'external balance'!H162</f>
        <v>19.584645314688959</v>
      </c>
      <c r="I163" s="35"/>
    </row>
    <row r="164" spans="1:9">
      <c r="A164">
        <v>162</v>
      </c>
      <c r="B164" s="35">
        <f ca="1">('normal case'!AJ164*($K$6*'normal case'!D164*('normal case'!AJ164^'external balance'!$K$4)))/'normal case'!D164</f>
        <v>0.30447775876267213</v>
      </c>
      <c r="C164" s="35">
        <f ca="1">($K$5*$K$7*((1+$K$8)^'normal case'!A163)*'normal case'!AJ164^$K$3)/'normal case'!D164</f>
        <v>0.30747746557233269</v>
      </c>
      <c r="D164" s="96">
        <f ca="1">(C164-B164)+((('main page'!$U$38/100)*'normal case'!$D$3)/'normal case'!$D$3)</f>
        <v>2.9997068096605517E-3</v>
      </c>
      <c r="E164" s="35">
        <f ca="1">((('normal case'!T164/100)*'external balance'!H163)/('normal case'!D164/'normal case'!D163))</f>
        <v>0.68546258017743456</v>
      </c>
      <c r="F164" s="35">
        <f t="shared" ca="1" si="2"/>
        <v>0.68846228698709511</v>
      </c>
      <c r="H164" s="35">
        <f ca="1">D164+((1+'normal case'!T164/100)/('normal case'!D164/'normal case'!D163))*'external balance'!H163</f>
        <v>20.273107601676053</v>
      </c>
      <c r="I164" s="35"/>
    </row>
    <row r="165" spans="1:9">
      <c r="A165">
        <v>163</v>
      </c>
      <c r="B165" s="35">
        <f ca="1">('normal case'!AJ165*($K$6*'normal case'!D165*('normal case'!AJ165^'external balance'!$K$4)))/'normal case'!D165</f>
        <v>0.30447775876267213</v>
      </c>
      <c r="C165" s="35">
        <f ca="1">($K$5*$K$7*((1+$K$8)^'normal case'!A164)*'normal case'!AJ165^$K$3)/'normal case'!D165</f>
        <v>0.30747746557233269</v>
      </c>
      <c r="D165" s="96">
        <f ca="1">(C165-B165)+((('main page'!$U$38/100)*'normal case'!$D$3)/'normal case'!$D$3)</f>
        <v>2.9997068096605517E-3</v>
      </c>
      <c r="E165" s="35">
        <f ca="1">((('normal case'!T165/100)*'external balance'!H164)/('normal case'!D165/'normal case'!D164))</f>
        <v>0.70955876001680507</v>
      </c>
      <c r="F165" s="35">
        <f t="shared" ca="1" si="2"/>
        <v>0.71255846682646562</v>
      </c>
      <c r="H165" s="35">
        <f ca="1">D165+((1+'normal case'!T165/100)/('normal case'!D165/'normal case'!D164))*'external balance'!H164</f>
        <v>20.985666068502518</v>
      </c>
      <c r="I165" s="35"/>
    </row>
    <row r="166" spans="1:9">
      <c r="A166">
        <v>164</v>
      </c>
      <c r="B166" s="35">
        <f ca="1">('normal case'!AJ166*($K$6*'normal case'!D166*('normal case'!AJ166^'external balance'!$K$4)))/'normal case'!D166</f>
        <v>0.30447775876267213</v>
      </c>
      <c r="C166" s="35">
        <f ca="1">($K$5*$K$7*((1+$K$8)^'normal case'!A165)*'normal case'!AJ166^$K$3)/'normal case'!D166</f>
        <v>0.30747746557233269</v>
      </c>
      <c r="D166" s="96">
        <f ca="1">(C166-B166)+((('main page'!$U$38/100)*'normal case'!$D$3)/'normal case'!$D$3)</f>
        <v>2.9997068096605517E-3</v>
      </c>
      <c r="E166" s="35">
        <f ca="1">((('normal case'!T166/100)*'external balance'!H165)/('normal case'!D166/'normal case'!D165))</f>
        <v>0.7344983061433723</v>
      </c>
      <c r="F166" s="35">
        <f t="shared" ca="1" si="2"/>
        <v>0.73749801295303286</v>
      </c>
      <c r="H166" s="35">
        <f ca="1">D166+((1+'normal case'!T166/100)/('normal case'!D166/'normal case'!D165))*'external balance'!H165</f>
        <v>21.72316408145555</v>
      </c>
      <c r="I166" s="35"/>
    </row>
    <row r="167" spans="1:9">
      <c r="A167">
        <v>165</v>
      </c>
      <c r="B167" s="35">
        <f ca="1">('normal case'!AJ167*($K$6*'normal case'!D167*('normal case'!AJ167^'external balance'!$K$4)))/'normal case'!D167</f>
        <v>0.30447775876267213</v>
      </c>
      <c r="C167" s="35">
        <f ca="1">($K$5*$K$7*((1+$K$8)^'normal case'!A166)*'normal case'!AJ167^$K$3)/'normal case'!D167</f>
        <v>0.30747746557233269</v>
      </c>
      <c r="D167" s="96">
        <f ca="1">(C167-B167)+((('main page'!$U$38/100)*'normal case'!$D$3)/'normal case'!$D$3)</f>
        <v>2.9997068096605517E-3</v>
      </c>
      <c r="E167" s="35">
        <f ca="1">((('normal case'!T167/100)*'external balance'!H166)/('normal case'!D167/'normal case'!D166))</f>
        <v>0.76031073637693691</v>
      </c>
      <c r="F167" s="35">
        <f t="shared" ca="1" si="2"/>
        <v>0.76331044318659746</v>
      </c>
      <c r="H167" s="35">
        <f ca="1">D167+((1+'normal case'!T167/100)/('normal case'!D167/'normal case'!D166))*'external balance'!H166</f>
        <v>22.486474524642148</v>
      </c>
      <c r="I167" s="35"/>
    </row>
    <row r="168" spans="1:9">
      <c r="A168">
        <v>166</v>
      </c>
      <c r="B168" s="35">
        <f ca="1">('normal case'!AJ168*($K$6*'normal case'!D168*('normal case'!AJ168^'external balance'!$K$4)))/'normal case'!D168</f>
        <v>0.30447775876267213</v>
      </c>
      <c r="C168" s="35">
        <f ca="1">($K$5*$K$7*((1+$K$8)^'normal case'!A167)*'normal case'!AJ168^$K$3)/'normal case'!D168</f>
        <v>0.30747746557233269</v>
      </c>
      <c r="D168" s="96">
        <f ca="1">(C168-B168)+((('main page'!$U$38/100)*'normal case'!$D$3)/'normal case'!$D$3)</f>
        <v>2.9997068096605517E-3</v>
      </c>
      <c r="E168" s="35">
        <f ca="1">((('normal case'!T168/100)*'external balance'!H167)/('normal case'!D168/'normal case'!D167))</f>
        <v>0.78702660166098359</v>
      </c>
      <c r="F168" s="35">
        <f t="shared" ca="1" si="2"/>
        <v>0.79002630847064415</v>
      </c>
      <c r="H168" s="35">
        <f ca="1">D168+((1+'normal case'!T168/100)/('normal case'!D168/'normal case'!D167))*'external balance'!H167</f>
        <v>23.276500833112792</v>
      </c>
      <c r="I168" s="35"/>
    </row>
    <row r="169" spans="1:9">
      <c r="A169">
        <v>167</v>
      </c>
      <c r="B169" s="35">
        <f ca="1">('normal case'!AJ169*($K$6*'normal case'!D169*('normal case'!AJ169^'external balance'!$K$4)))/'normal case'!D169</f>
        <v>0.30447775876267213</v>
      </c>
      <c r="C169" s="35">
        <f ca="1">($K$5*$K$7*((1+$K$8)^'normal case'!A168)*'normal case'!AJ169^$K$3)/'normal case'!D169</f>
        <v>0.30747746557233269</v>
      </c>
      <c r="D169" s="96">
        <f ca="1">(C169-B169)+((('main page'!$U$38/100)*'normal case'!$D$3)/'normal case'!$D$3)</f>
        <v>2.9997068096605517E-3</v>
      </c>
      <c r="E169" s="35">
        <f ca="1">((('normal case'!T169/100)*'external balance'!H168)/('normal case'!D169/'normal case'!D168))</f>
        <v>0.81467752222200995</v>
      </c>
      <c r="F169" s="35">
        <f t="shared" ca="1" si="2"/>
        <v>0.8176772290316705</v>
      </c>
      <c r="H169" s="35">
        <f ca="1">D169+((1+'normal case'!T169/100)/('normal case'!D169/'normal case'!D168))*'external balance'!H168</f>
        <v>24.094178062144461</v>
      </c>
      <c r="I169" s="35"/>
    </row>
    <row r="170" spans="1:9">
      <c r="A170">
        <v>168</v>
      </c>
      <c r="B170" s="35">
        <f ca="1">('normal case'!AJ170*($K$6*'normal case'!D170*('normal case'!AJ170^'external balance'!$K$4)))/'normal case'!D170</f>
        <v>0.30447775876267213</v>
      </c>
      <c r="C170" s="35">
        <f ca="1">($K$5*$K$7*((1+$K$8)^'normal case'!A169)*'normal case'!AJ170^$K$3)/'normal case'!D170</f>
        <v>0.30747746557233269</v>
      </c>
      <c r="D170" s="96">
        <f ca="1">(C170-B170)+((('main page'!$U$38/100)*'normal case'!$D$3)/'normal case'!$D$3)</f>
        <v>2.9997068096605517E-3</v>
      </c>
      <c r="E170" s="35">
        <f ca="1">((('normal case'!T170/100)*'external balance'!H169)/('normal case'!D170/'normal case'!D169))</f>
        <v>0.84329622499443158</v>
      </c>
      <c r="F170" s="35">
        <f t="shared" ca="1" si="2"/>
        <v>0.84629593180409213</v>
      </c>
      <c r="H170" s="35">
        <f ca="1">D170+((1+'normal case'!T170/100)/('normal case'!D170/'normal case'!D169))*'external balance'!H169</f>
        <v>24.940473993948554</v>
      </c>
      <c r="I170" s="35"/>
    </row>
    <row r="171" spans="1:9">
      <c r="A171">
        <v>169</v>
      </c>
      <c r="B171" s="35">
        <f ca="1">('normal case'!AJ171*($K$6*'normal case'!D171*('normal case'!AJ171^'external balance'!$K$4)))/'normal case'!D171</f>
        <v>0.30447775876267213</v>
      </c>
      <c r="C171" s="35">
        <f ca="1">($K$5*$K$7*((1+$K$8)^'normal case'!A170)*'normal case'!AJ171^$K$3)/'normal case'!D171</f>
        <v>0.30747746557233269</v>
      </c>
      <c r="D171" s="96">
        <f ca="1">(C171-B171)+((('main page'!$U$38/100)*'normal case'!$D$3)/'normal case'!$D$3)</f>
        <v>2.9997068096605517E-3</v>
      </c>
      <c r="E171" s="35">
        <f ca="1">((('normal case'!T171/100)*'external balance'!H170)/('normal case'!D171/'normal case'!D170))</f>
        <v>0.87291658235535907</v>
      </c>
      <c r="F171" s="35">
        <f t="shared" ca="1" si="2"/>
        <v>0.87591628916501962</v>
      </c>
      <c r="H171" s="35">
        <f ca="1">D171+((1+'normal case'!T171/100)/('normal case'!D171/'normal case'!D170))*'external balance'!H170</f>
        <v>25.816390283113574</v>
      </c>
      <c r="I171" s="35"/>
    </row>
    <row r="172" spans="1:9">
      <c r="A172">
        <v>170</v>
      </c>
      <c r="B172" s="35">
        <f ca="1">('normal case'!AJ172*($K$6*'normal case'!D172*('normal case'!AJ172^'external balance'!$K$4)))/'normal case'!D172</f>
        <v>0.30447775876267213</v>
      </c>
      <c r="C172" s="35">
        <f ca="1">($K$5*$K$7*((1+$K$8)^'normal case'!A171)*'normal case'!AJ172^$K$3)/'normal case'!D172</f>
        <v>0.30747746557233269</v>
      </c>
      <c r="D172" s="96">
        <f ca="1">(C172-B172)+((('main page'!$U$38/100)*'normal case'!$D$3)/'normal case'!$D$3)</f>
        <v>2.9997068096605517E-3</v>
      </c>
      <c r="E172" s="35">
        <f ca="1">((('normal case'!T172/100)*'external balance'!H171)/('normal case'!D172/'normal case'!D171))</f>
        <v>0.90357365221509134</v>
      </c>
      <c r="F172" s="35">
        <f t="shared" ca="1" si="2"/>
        <v>0.90657335902475189</v>
      </c>
      <c r="H172" s="35">
        <f ca="1">D172+((1+'normal case'!T172/100)/('normal case'!D172/'normal case'!D171))*'external balance'!H171</f>
        <v>26.722963642138325</v>
      </c>
      <c r="I172" s="35"/>
    </row>
    <row r="173" spans="1:9">
      <c r="A173">
        <v>171</v>
      </c>
      <c r="B173" s="35">
        <f ca="1">('normal case'!AJ173*($K$6*'normal case'!D173*('normal case'!AJ173^'external balance'!$K$4)))/'normal case'!D173</f>
        <v>0.30447775876267213</v>
      </c>
      <c r="C173" s="35">
        <f ca="1">($K$5*$K$7*((1+$K$8)^'normal case'!A172)*'normal case'!AJ173^$K$3)/'normal case'!D173</f>
        <v>0.30747746557233269</v>
      </c>
      <c r="D173" s="96">
        <f ca="1">(C173-B173)+((('main page'!$U$38/100)*'normal case'!$D$3)/'normal case'!$D$3)</f>
        <v>2.9997068096605517E-3</v>
      </c>
      <c r="E173" s="35">
        <f ca="1">((('normal case'!T173/100)*'external balance'!H172)/('normal case'!D173/'normal case'!D172))</f>
        <v>0.93530371951077762</v>
      </c>
      <c r="F173" s="35">
        <f t="shared" ca="1" si="2"/>
        <v>0.93830342632043817</v>
      </c>
      <c r="H173" s="35">
        <f ca="1">D173+((1+'normal case'!T173/100)/('normal case'!D173/'normal case'!D172))*'external balance'!H172</f>
        <v>27.661267068458763</v>
      </c>
      <c r="I173" s="35"/>
    </row>
    <row r="174" spans="1:9">
      <c r="A174">
        <v>172</v>
      </c>
      <c r="B174" s="35">
        <f ca="1">('normal case'!AJ174*($K$6*'normal case'!D174*('normal case'!AJ174^'external balance'!$K$4)))/'normal case'!D174</f>
        <v>0.30447775876267213</v>
      </c>
      <c r="C174" s="35">
        <f ca="1">($K$5*$K$7*((1+$K$8)^'normal case'!A173)*'normal case'!AJ174^$K$3)/'normal case'!D174</f>
        <v>0.30747746557233269</v>
      </c>
      <c r="D174" s="96">
        <f ca="1">(C174-B174)+((('main page'!$U$38/100)*'normal case'!$D$3)/'normal case'!$D$3)</f>
        <v>2.9997068096605517E-3</v>
      </c>
      <c r="E174" s="35">
        <f ca="1">((('normal case'!T174/100)*'external balance'!H173)/('normal case'!D174/'normal case'!D173))</f>
        <v>0.96814433915235676</v>
      </c>
      <c r="F174" s="35">
        <f t="shared" ca="1" si="2"/>
        <v>0.97114404596201731</v>
      </c>
      <c r="H174" s="35">
        <f ca="1">D174+((1+'normal case'!T174/100)/('normal case'!D174/'normal case'!D173))*'external balance'!H173</f>
        <v>28.63241111442078</v>
      </c>
      <c r="I174" s="35"/>
    </row>
    <row r="175" spans="1:9">
      <c r="A175">
        <v>173</v>
      </c>
      <c r="B175" s="35">
        <f ca="1">('normal case'!AJ175*($K$6*'normal case'!D175*('normal case'!AJ175^'external balance'!$K$4)))/'normal case'!D175</f>
        <v>0.30447775876267213</v>
      </c>
      <c r="C175" s="35">
        <f ca="1">($K$5*$K$7*((1+$K$8)^'normal case'!A174)*'normal case'!AJ175^$K$3)/'normal case'!D175</f>
        <v>0.30747746557233269</v>
      </c>
      <c r="D175" s="96">
        <f ca="1">(C175-B175)+((('main page'!$U$38/100)*'normal case'!$D$3)/'normal case'!$D$3)</f>
        <v>2.9997068096605517E-3</v>
      </c>
      <c r="E175" s="35">
        <f ca="1">((('normal case'!T175/100)*'external balance'!H174)/('normal case'!D175/'normal case'!D174))</f>
        <v>1.0021343804716039</v>
      </c>
      <c r="F175" s="35">
        <f t="shared" ca="1" si="2"/>
        <v>1.0051340872812644</v>
      </c>
      <c r="H175" s="35">
        <f ca="1">D175+((1+'normal case'!T175/100)/('normal case'!D175/'normal case'!D174))*'external balance'!H174</f>
        <v>29.637545201702043</v>
      </c>
      <c r="I175" s="35"/>
    </row>
    <row r="176" spans="1:9">
      <c r="A176">
        <v>174</v>
      </c>
      <c r="B176" s="35">
        <f ca="1">('normal case'!AJ176*($K$6*'normal case'!D176*('normal case'!AJ176^'external balance'!$K$4)))/'normal case'!D176</f>
        <v>0.30447775876267213</v>
      </c>
      <c r="C176" s="35">
        <f ca="1">($K$5*$K$7*((1+$K$8)^'normal case'!A175)*'normal case'!AJ176^$K$3)/'normal case'!D176</f>
        <v>0.30747746557233269</v>
      </c>
      <c r="D176" s="96">
        <f ca="1">(C176-B176)+((('main page'!$U$38/100)*'normal case'!$D$3)/'normal case'!$D$3)</f>
        <v>2.9997068096605517E-3</v>
      </c>
      <c r="E176" s="35">
        <f ca="1">((('normal case'!T176/100)*'external balance'!H175)/('normal case'!D176/'normal case'!D175))</f>
        <v>1.0373140732268948</v>
      </c>
      <c r="F176" s="35">
        <f t="shared" ca="1" si="2"/>
        <v>1.0403137800365554</v>
      </c>
      <c r="H176" s="35">
        <f ca="1">D176+((1+'normal case'!T176/100)/('normal case'!D176/'normal case'!D175))*'external balance'!H175</f>
        <v>30.677858981738598</v>
      </c>
      <c r="I176" s="35"/>
    </row>
    <row r="177" spans="1:9">
      <c r="A177">
        <v>175</v>
      </c>
      <c r="B177" s="35">
        <f ca="1">('normal case'!AJ177*($K$6*'normal case'!D177*('normal case'!AJ177^'external balance'!$K$4)))/'normal case'!D177</f>
        <v>0.30447775876267213</v>
      </c>
      <c r="C177" s="35">
        <f ca="1">($K$5*$K$7*((1+$K$8)^'normal case'!A176)*'normal case'!AJ177^$K$3)/'normal case'!D177</f>
        <v>0.30747746557233269</v>
      </c>
      <c r="D177" s="96">
        <f ca="1">(C177-B177)+((('main page'!$U$38/100)*'normal case'!$D$3)/'normal case'!$D$3)</f>
        <v>2.9997068096605517E-3</v>
      </c>
      <c r="E177" s="35">
        <f ca="1">((('normal case'!T177/100)*'external balance'!H176)/('normal case'!D177/'normal case'!D176))</f>
        <v>1.0737250552181365</v>
      </c>
      <c r="F177" s="35">
        <f t="shared" ca="1" si="2"/>
        <v>1.0767247620277971</v>
      </c>
      <c r="H177" s="35">
        <f ca="1">D177+((1+'normal case'!T177/100)/('normal case'!D177/'normal case'!D176))*'external balance'!H176</f>
        <v>31.754583743766396</v>
      </c>
      <c r="I177" s="35"/>
    </row>
    <row r="178" spans="1:9">
      <c r="A178">
        <v>176</v>
      </c>
      <c r="B178" s="35">
        <f ca="1">('normal case'!AJ178*($K$6*'normal case'!D178*('normal case'!AJ178^'external balance'!$K$4)))/'normal case'!D178</f>
        <v>0.30447775876267213</v>
      </c>
      <c r="C178" s="35">
        <f ca="1">($K$5*$K$7*((1+$K$8)^'normal case'!A177)*'normal case'!AJ178^$K$3)/'normal case'!D178</f>
        <v>0.30747746557233269</v>
      </c>
      <c r="D178" s="96">
        <f ca="1">(C178-B178)+((('main page'!$U$38/100)*'normal case'!$D$3)/'normal case'!$D$3)</f>
        <v>2.9997068096605517E-3</v>
      </c>
      <c r="E178" s="35">
        <f ca="1">((('normal case'!T178/100)*'external balance'!H177)/('normal case'!D178/'normal case'!D177))</f>
        <v>1.1114104215682206</v>
      </c>
      <c r="F178" s="35">
        <f t="shared" ca="1" si="2"/>
        <v>1.1144101283778811</v>
      </c>
      <c r="H178" s="35">
        <f ca="1">D178+((1+'normal case'!T178/100)/('normal case'!D178/'normal case'!D177))*'external balance'!H177</f>
        <v>32.86899387214428</v>
      </c>
      <c r="I178" s="35"/>
    </row>
    <row r="179" spans="1:9">
      <c r="A179">
        <v>177</v>
      </c>
      <c r="B179" s="35">
        <f ca="1">('normal case'!AJ179*($K$6*'normal case'!D179*('normal case'!AJ179^'external balance'!$K$4)))/'normal case'!D179</f>
        <v>0.30447775876267213</v>
      </c>
      <c r="C179" s="35">
        <f ca="1">($K$5*$K$7*((1+$K$8)^'normal case'!A178)*'normal case'!AJ179^$K$3)/'normal case'!D179</f>
        <v>0.30747746557233269</v>
      </c>
      <c r="D179" s="96">
        <f ca="1">(C179-B179)+((('main page'!$U$38/100)*'normal case'!$D$3)/'normal case'!$D$3)</f>
        <v>2.9997068096605517E-3</v>
      </c>
      <c r="E179" s="35">
        <f ca="1">((('normal case'!T179/100)*'external balance'!H178)/('normal case'!D179/'normal case'!D178))</f>
        <v>1.1504147757293264</v>
      </c>
      <c r="F179" s="35">
        <f t="shared" ca="1" si="2"/>
        <v>1.1534144825389869</v>
      </c>
      <c r="H179" s="35">
        <f ca="1">D179+((1+'normal case'!T179/100)/('normal case'!D179/'normal case'!D178))*'external balance'!H178</f>
        <v>34.022408354683265</v>
      </c>
      <c r="I179" s="35"/>
    </row>
    <row r="180" spans="1:9">
      <c r="A180">
        <v>178</v>
      </c>
      <c r="B180" s="35">
        <f ca="1">('normal case'!AJ180*($K$6*'normal case'!D180*('normal case'!AJ180^'external balance'!$K$4)))/'normal case'!D180</f>
        <v>0.30447775876267213</v>
      </c>
      <c r="C180" s="35">
        <f ca="1">($K$5*$K$7*((1+$K$8)^'normal case'!A179)*'normal case'!AJ180^$K$3)/'normal case'!D180</f>
        <v>0.30747746557233269</v>
      </c>
      <c r="D180" s="96">
        <f ca="1">(C180-B180)+((('main page'!$U$38/100)*'normal case'!$D$3)/'normal case'!$D$3)</f>
        <v>2.9997068096605517E-3</v>
      </c>
      <c r="E180" s="35">
        <f ca="1">((('normal case'!T180/100)*'external balance'!H179)/('normal case'!D180/'normal case'!D179))</f>
        <v>1.1907842822744465</v>
      </c>
      <c r="F180" s="35">
        <f t="shared" ca="1" si="2"/>
        <v>1.1937839890841071</v>
      </c>
      <c r="H180" s="35">
        <f ca="1">D180+((1+'normal case'!T180/100)/('normal case'!D180/'normal case'!D179))*'external balance'!H179</f>
        <v>35.216192343767368</v>
      </c>
      <c r="I180" s="35"/>
    </row>
    <row r="181" spans="1:9">
      <c r="A181">
        <v>179</v>
      </c>
      <c r="B181" s="35">
        <f ca="1">('normal case'!AJ181*($K$6*'normal case'!D181*('normal case'!AJ181^'external balance'!$K$4)))/'normal case'!D181</f>
        <v>0.30447775876267213</v>
      </c>
      <c r="C181" s="35">
        <f ca="1">($K$5*$K$7*((1+$K$8)^'normal case'!A180)*'normal case'!AJ181^$K$3)/'normal case'!D181</f>
        <v>0.30747746557233269</v>
      </c>
      <c r="D181" s="96">
        <f ca="1">(C181-B181)+((('main page'!$U$38/100)*'normal case'!$D$3)/'normal case'!$D$3)</f>
        <v>2.9997068096605517E-3</v>
      </c>
      <c r="E181" s="35">
        <f ca="1">((('normal case'!T181/100)*'external balance'!H180)/('normal case'!D181/'normal case'!D180))</f>
        <v>1.2325667215366147</v>
      </c>
      <c r="F181" s="35">
        <f t="shared" ca="1" si="2"/>
        <v>1.2355664283462753</v>
      </c>
      <c r="H181" s="35">
        <f ca="1">D181+((1+'normal case'!T181/100)/('normal case'!D181/'normal case'!D180))*'external balance'!H180</f>
        <v>36.451758772113642</v>
      </c>
      <c r="I181" s="35"/>
    </row>
    <row r="182" spans="1:9">
      <c r="A182">
        <v>180</v>
      </c>
      <c r="B182" s="35">
        <f ca="1">('normal case'!AJ182*($K$6*'normal case'!D182*('normal case'!AJ182^'external balance'!$K$4)))/'normal case'!D182</f>
        <v>0.30447775876267213</v>
      </c>
      <c r="C182" s="35">
        <f ca="1">($K$5*$K$7*((1+$K$8)^'normal case'!A181)*'normal case'!AJ182^$K$3)/'normal case'!D182</f>
        <v>0.30747746557233269</v>
      </c>
      <c r="D182" s="96">
        <f ca="1">(C182-B182)+((('main page'!$U$38/100)*'normal case'!$D$3)/'normal case'!$D$3)</f>
        <v>2.9997068096605517E-3</v>
      </c>
      <c r="E182" s="35">
        <f ca="1">((('normal case'!T182/100)*'external balance'!H181)/('normal case'!D182/'normal case'!D181))</f>
        <v>1.2758115461605068</v>
      </c>
      <c r="F182" s="35">
        <f t="shared" ca="1" si="2"/>
        <v>1.2788112529701674</v>
      </c>
      <c r="H182" s="35">
        <f ca="1">D182+((1+'normal case'!T182/100)/('normal case'!D182/'normal case'!D181))*'external balance'!H181</f>
        <v>37.730570025083807</v>
      </c>
      <c r="I182" s="35"/>
    </row>
    <row r="183" spans="1:9">
      <c r="A183">
        <v>181</v>
      </c>
      <c r="B183" s="35">
        <f ca="1">('normal case'!AJ183*($K$6*'normal case'!D183*('normal case'!AJ183^'external balance'!$K$4)))/'normal case'!D183</f>
        <v>0.30447775876267213</v>
      </c>
      <c r="C183" s="35">
        <f ca="1">($K$5*$K$7*((1+$K$8)^'normal case'!A182)*'normal case'!AJ183^$K$3)/'normal case'!D183</f>
        <v>0.30747746557233269</v>
      </c>
      <c r="D183" s="96">
        <f ca="1">(C183-B183)+((('main page'!$U$38/100)*'normal case'!$D$3)/'normal case'!$D$3)</f>
        <v>2.9997068096605517E-3</v>
      </c>
      <c r="E183" s="35">
        <f ca="1">((('normal case'!T183/100)*'external balance'!H182)/('normal case'!D183/'normal case'!D182))</f>
        <v>1.3205699396333472</v>
      </c>
      <c r="F183" s="35">
        <f t="shared" ca="1" si="2"/>
        <v>1.3235696464430078</v>
      </c>
      <c r="H183" s="35">
        <f ca="1">D183+((1+'normal case'!T183/100)/('normal case'!D183/'normal case'!D182))*'external balance'!H182</f>
        <v>39.054139671526812</v>
      </c>
      <c r="I183" s="35"/>
    </row>
    <row r="184" spans="1:9">
      <c r="A184">
        <v>182</v>
      </c>
      <c r="B184" s="35">
        <f ca="1">('normal case'!AJ184*($K$6*'normal case'!D184*('normal case'!AJ184^'external balance'!$K$4)))/'normal case'!D184</f>
        <v>0.30447775876267213</v>
      </c>
      <c r="C184" s="35">
        <f ca="1">($K$5*$K$7*((1+$K$8)^'normal case'!A183)*'normal case'!AJ184^$K$3)/'normal case'!D184</f>
        <v>0.30747746557233269</v>
      </c>
      <c r="D184" s="96">
        <f ca="1">(C184-B184)+((('main page'!$U$38/100)*'normal case'!$D$3)/'normal case'!$D$3)</f>
        <v>2.9997068096605517E-3</v>
      </c>
      <c r="E184" s="35">
        <f ca="1">((('normal case'!T184/100)*'external balance'!H183)/('normal case'!D184/'normal case'!D183))</f>
        <v>1.366894876864398</v>
      </c>
      <c r="F184" s="35">
        <f t="shared" ca="1" si="2"/>
        <v>1.3698945836740586</v>
      </c>
      <c r="H184" s="35">
        <f ca="1">D184+((1+'normal case'!T184/100)/('normal case'!D184/'normal case'!D183))*'external balance'!H183</f>
        <v>40.424034255200873</v>
      </c>
      <c r="I184" s="35"/>
    </row>
    <row r="185" spans="1:9">
      <c r="A185">
        <v>183</v>
      </c>
      <c r="B185" s="35">
        <f ca="1">('normal case'!AJ185*($K$6*'normal case'!D185*('normal case'!AJ185^'external balance'!$K$4)))/'normal case'!D185</f>
        <v>0.30447775876267213</v>
      </c>
      <c r="C185" s="35">
        <f ca="1">($K$5*$K$7*((1+$K$8)^'normal case'!A184)*'normal case'!AJ185^$K$3)/'normal case'!D185</f>
        <v>0.30747746557233269</v>
      </c>
      <c r="D185" s="96">
        <f ca="1">(C185-B185)+((('main page'!$U$38/100)*'normal case'!$D$3)/'normal case'!$D$3)</f>
        <v>2.9997068096605517E-3</v>
      </c>
      <c r="E185" s="35">
        <f ca="1">((('normal case'!T185/100)*'external balance'!H184)/('normal case'!D185/'normal case'!D184))</f>
        <v>1.4148411868847297</v>
      </c>
      <c r="F185" s="35">
        <f t="shared" ca="1" si="2"/>
        <v>1.4178408936943903</v>
      </c>
      <c r="H185" s="35">
        <f ca="1">D185+((1+'normal case'!T185/100)/('normal case'!D185/'normal case'!D184))*'external balance'!H184</f>
        <v>41.841875148895262</v>
      </c>
      <c r="I185" s="35"/>
    </row>
    <row r="186" spans="1:9">
      <c r="A186">
        <v>184</v>
      </c>
      <c r="B186" s="35">
        <f ca="1">('normal case'!AJ186*($K$6*'normal case'!D186*('normal case'!AJ186^'external balance'!$K$4)))/'normal case'!D186</f>
        <v>0.30447775876267213</v>
      </c>
      <c r="C186" s="35">
        <f ca="1">($K$5*$K$7*((1+$K$8)^'normal case'!A185)*'normal case'!AJ186^$K$3)/'normal case'!D186</f>
        <v>0.30747746557233269</v>
      </c>
      <c r="D186" s="96">
        <f ca="1">(C186-B186)+((('main page'!$U$38/100)*'normal case'!$D$3)/'normal case'!$D$3)</f>
        <v>2.9997068096605517E-3</v>
      </c>
      <c r="E186" s="35">
        <f ca="1">((('normal case'!T186/100)*'external balance'!H185)/('normal case'!D186/'normal case'!D185))</f>
        <v>1.4644656177414839</v>
      </c>
      <c r="F186" s="35">
        <f t="shared" ca="1" si="2"/>
        <v>1.4674653245511444</v>
      </c>
      <c r="H186" s="35">
        <f ca="1">D186+((1+'normal case'!T186/100)/('normal case'!D186/'normal case'!D185))*'external balance'!H185</f>
        <v>43.309340473446404</v>
      </c>
      <c r="I186" s="35"/>
    </row>
    <row r="187" spans="1:9">
      <c r="A187">
        <v>185</v>
      </c>
      <c r="B187" s="35">
        <f ca="1">('normal case'!AJ187*($K$6*'normal case'!D187*('normal case'!AJ187^'external balance'!$K$4)))/'normal case'!D187</f>
        <v>0.30447775876267213</v>
      </c>
      <c r="C187" s="35">
        <f ca="1">($K$5*$K$7*((1+$K$8)^'normal case'!A186)*'normal case'!AJ187^$K$3)/'normal case'!D187</f>
        <v>0.30747746557233269</v>
      </c>
      <c r="D187" s="96">
        <f ca="1">(C187-B187)+((('main page'!$U$38/100)*'normal case'!$D$3)/'normal case'!$D$3)</f>
        <v>2.9997068096605517E-3</v>
      </c>
      <c r="E187" s="35">
        <f ca="1">((('normal case'!T187/100)*'external balance'!H186)/('normal case'!D187/'normal case'!D186))</f>
        <v>1.5158269036634351</v>
      </c>
      <c r="F187" s="35">
        <f t="shared" ca="1" si="2"/>
        <v>1.5188266104730956</v>
      </c>
      <c r="H187" s="35">
        <f ca="1">D187+((1+'normal case'!T187/100)/('normal case'!D187/'normal case'!D186))*'external balance'!H186</f>
        <v>44.828167083919496</v>
      </c>
      <c r="I187" s="35"/>
    </row>
    <row r="188" spans="1:9">
      <c r="A188">
        <v>186</v>
      </c>
      <c r="B188" s="35">
        <f ca="1">('normal case'!AJ188*($K$6*'normal case'!D188*('normal case'!AJ188^'external balance'!$K$4)))/'normal case'!D188</f>
        <v>0.30447775876267213</v>
      </c>
      <c r="C188" s="35">
        <f ca="1">($K$5*$K$7*((1+$K$8)^'normal case'!A187)*'normal case'!AJ188^$K$3)/'normal case'!D188</f>
        <v>0.30747746557233269</v>
      </c>
      <c r="D188" s="96">
        <f ca="1">(C188-B188)+((('main page'!$U$38/100)*'normal case'!$D$3)/'normal case'!$D$3)</f>
        <v>2.9997068096605517E-3</v>
      </c>
      <c r="E188" s="35">
        <f ca="1">((('normal case'!T188/100)*'external balance'!H187)/('normal case'!D188/'normal case'!D187))</f>
        <v>1.5689858345773475</v>
      </c>
      <c r="F188" s="35">
        <f t="shared" ca="1" si="2"/>
        <v>1.5719855413870081</v>
      </c>
      <c r="H188" s="35">
        <f ca="1">D188+((1+'normal case'!T188/100)/('normal case'!D188/'normal case'!D187))*'external balance'!H187</f>
        <v>46.400152625306504</v>
      </c>
      <c r="I188" s="35"/>
    </row>
    <row r="189" spans="1:9">
      <c r="A189">
        <v>187</v>
      </c>
      <c r="B189" s="35">
        <f ca="1">('normal case'!AJ189*($K$6*'normal case'!D189*('normal case'!AJ189^'external balance'!$K$4)))/'normal case'!D189</f>
        <v>0.30447775876267213</v>
      </c>
      <c r="C189" s="35">
        <f ca="1">($K$5*$K$7*((1+$K$8)^'normal case'!A188)*'normal case'!AJ189^$K$3)/'normal case'!D189</f>
        <v>0.30747746557233269</v>
      </c>
      <c r="D189" s="96">
        <f ca="1">(C189-B189)+((('main page'!$U$38/100)*'normal case'!$D$3)/'normal case'!$D$3)</f>
        <v>2.9997068096605517E-3</v>
      </c>
      <c r="E189" s="35">
        <f ca="1">((('normal case'!T189/100)*'external balance'!H188)/('normal case'!D189/'normal case'!D188))</f>
        <v>1.6240053280574047</v>
      </c>
      <c r="F189" s="35">
        <f t="shared" ca="1" si="2"/>
        <v>1.6270050348670653</v>
      </c>
      <c r="H189" s="35">
        <f ca="1">D189+((1+'normal case'!T189/100)/('normal case'!D189/'normal case'!D188))*'external balance'!H188</f>
        <v>48.027157660173565</v>
      </c>
      <c r="I189" s="35"/>
    </row>
    <row r="190" spans="1:9">
      <c r="A190">
        <v>188</v>
      </c>
      <c r="B190" s="35">
        <f ca="1">('normal case'!AJ190*($K$6*'normal case'!D190*('normal case'!AJ190^'external balance'!$K$4)))/'normal case'!D190</f>
        <v>0.30447775876267213</v>
      </c>
      <c r="C190" s="35">
        <f ca="1">($K$5*$K$7*((1+$K$8)^'normal case'!A189)*'normal case'!AJ190^$K$3)/'normal case'!D190</f>
        <v>0.30747746557233269</v>
      </c>
      <c r="D190" s="96">
        <f ca="1">(C190-B190)+((('main page'!$U$38/100)*'normal case'!$D$3)/'normal case'!$D$3)</f>
        <v>2.9997068096605517E-3</v>
      </c>
      <c r="E190" s="35">
        <f ca="1">((('normal case'!T190/100)*'external balance'!H189)/('normal case'!D190/'normal case'!D189))</f>
        <v>1.6809505037928665</v>
      </c>
      <c r="F190" s="35">
        <f t="shared" ca="1" si="2"/>
        <v>1.683950210602527</v>
      </c>
      <c r="H190" s="35">
        <f ca="1">D190+((1+'normal case'!T190/100)/('normal case'!D190/'normal case'!D189))*'external balance'!H189</f>
        <v>49.71110787077609</v>
      </c>
      <c r="I190" s="35"/>
    </row>
    <row r="191" spans="1:9">
      <c r="A191">
        <v>189</v>
      </c>
      <c r="B191" s="35">
        <f ca="1">('normal case'!AJ191*($K$6*'normal case'!D191*('normal case'!AJ191^'external balance'!$K$4)))/'normal case'!D191</f>
        <v>0.30447775876267213</v>
      </c>
      <c r="C191" s="35">
        <f ca="1">($K$5*$K$7*((1+$K$8)^'normal case'!A190)*'normal case'!AJ191^$K$3)/'normal case'!D191</f>
        <v>0.30747746557233269</v>
      </c>
      <c r="D191" s="96">
        <f ca="1">(C191-B191)+((('main page'!$U$38/100)*'normal case'!$D$3)/'normal case'!$D$3)</f>
        <v>2.9997068096605517E-3</v>
      </c>
      <c r="E191" s="35">
        <f ca="1">((('normal case'!T191/100)*'external balance'!H190)/('normal case'!D191/'normal case'!D190))</f>
        <v>1.7398887606620987</v>
      </c>
      <c r="F191" s="35">
        <f t="shared" ca="1" si="2"/>
        <v>1.7428884674717593</v>
      </c>
      <c r="H191" s="35">
        <f ca="1">D191+((1+'normal case'!T191/100)/('normal case'!D191/'normal case'!D190))*'external balance'!H190</f>
        <v>51.453996338247848</v>
      </c>
      <c r="I191" s="35"/>
    </row>
    <row r="192" spans="1:9">
      <c r="A192">
        <v>190</v>
      </c>
      <c r="B192" s="35">
        <f ca="1">('normal case'!AJ192*($K$6*'normal case'!D192*('normal case'!AJ192^'external balance'!$K$4)))/'normal case'!D192</f>
        <v>0.30447775876267213</v>
      </c>
      <c r="C192" s="35">
        <f ca="1">($K$5*$K$7*((1+$K$8)^'normal case'!A191)*'normal case'!AJ192^$K$3)/'normal case'!D192</f>
        <v>0.30747746557233269</v>
      </c>
      <c r="D192" s="96">
        <f ca="1">(C192-B192)+((('main page'!$U$38/100)*'normal case'!$D$3)/'normal case'!$D$3)</f>
        <v>2.9997068096605517E-3</v>
      </c>
      <c r="E192" s="35">
        <f ca="1">((('normal case'!T192/100)*'external balance'!H191)/('normal case'!D192/'normal case'!D191))</f>
        <v>1.8008898565041889</v>
      </c>
      <c r="F192" s="35">
        <f t="shared" ca="1" si="2"/>
        <v>1.8038895633138494</v>
      </c>
      <c r="H192" s="35">
        <f ca="1">D192+((1+'normal case'!T192/100)/('normal case'!D192/'normal case'!D191))*'external balance'!H191</f>
        <v>53.257885901561693</v>
      </c>
      <c r="I192" s="35"/>
    </row>
    <row r="193" spans="1:9">
      <c r="A193">
        <v>191</v>
      </c>
      <c r="B193" s="35">
        <f ca="1">('normal case'!AJ193*($K$6*'normal case'!D193*('normal case'!AJ193^'external balance'!$K$4)))/'normal case'!D193</f>
        <v>0.30447775876267213</v>
      </c>
      <c r="C193" s="35">
        <f ca="1">($K$5*$K$7*((1+$K$8)^'normal case'!A192)*'normal case'!AJ193^$K$3)/'normal case'!D193</f>
        <v>0.30747746557233269</v>
      </c>
      <c r="D193" s="96">
        <f ca="1">(C193-B193)+((('main page'!$U$38/100)*'normal case'!$D$3)/'normal case'!$D$3)</f>
        <v>2.9997068096605517E-3</v>
      </c>
      <c r="E193" s="35">
        <f ca="1">((('normal case'!T193/100)*'external balance'!H192)/('normal case'!D193/'normal case'!D192))</f>
        <v>1.8640259906825725</v>
      </c>
      <c r="F193" s="35">
        <f t="shared" ca="1" si="2"/>
        <v>1.867025697492233</v>
      </c>
      <c r="H193" s="35">
        <f ca="1">D193+((1+'normal case'!T193/100)/('normal case'!D193/'normal case'!D192))*'external balance'!H192</f>
        <v>55.124911599053924</v>
      </c>
      <c r="I193" s="35"/>
    </row>
    <row r="194" spans="1:9">
      <c r="A194">
        <v>192</v>
      </c>
      <c r="B194" s="35">
        <f ca="1">('normal case'!AJ194*($K$6*'normal case'!D194*('normal case'!AJ194^'external balance'!$K$4)))/'normal case'!D194</f>
        <v>0.30447775876267213</v>
      </c>
      <c r="C194" s="35">
        <f ca="1">($K$5*$K$7*((1+$K$8)^'normal case'!A193)*'normal case'!AJ194^$K$3)/'normal case'!D194</f>
        <v>0.30747746557233269</v>
      </c>
      <c r="D194" s="96">
        <f ca="1">(C194-B194)+((('main page'!$U$38/100)*'normal case'!$D$3)/'normal case'!$D$3)</f>
        <v>2.9997068096605517E-3</v>
      </c>
      <c r="E194" s="35">
        <f ca="1">((('normal case'!T194/100)*'external balance'!H193)/('normal case'!D194/'normal case'!D193))</f>
        <v>1.9293718895383836</v>
      </c>
      <c r="F194" s="35">
        <f t="shared" ca="1" si="2"/>
        <v>1.9323715963480441</v>
      </c>
      <c r="H194" s="35">
        <f ca="1">D194+((1+'normal case'!T194/100)/('normal case'!D194/'normal case'!D193))*'external balance'!H193</f>
        <v>57.057283195401965</v>
      </c>
      <c r="I194" s="35"/>
    </row>
    <row r="195" spans="1:9">
      <c r="A195">
        <v>193</v>
      </c>
      <c r="B195" s="35">
        <f ca="1">('normal case'!AJ195*($K$6*'normal case'!D195*('normal case'!AJ195^'external balance'!$K$4)))/'normal case'!D195</f>
        <v>0.30447775876267213</v>
      </c>
      <c r="C195" s="35">
        <f ca="1">($K$5*$K$7*((1+$K$8)^'normal case'!A194)*'normal case'!AJ195^$K$3)/'normal case'!D195</f>
        <v>0.30747746557233269</v>
      </c>
      <c r="D195" s="96">
        <f ca="1">(C195-B195)+((('main page'!$U$38/100)*'normal case'!$D$3)/'normal case'!$D$3)</f>
        <v>2.9997068096605517E-3</v>
      </c>
      <c r="E195" s="35">
        <f ca="1">((('normal case'!T195/100)*'external balance'!H194)/('normal case'!D195/'normal case'!D194))</f>
        <v>1.9970048948346735</v>
      </c>
      <c r="F195" s="35">
        <f t="shared" ca="1" si="2"/>
        <v>2.000004601644334</v>
      </c>
      <c r="H195" s="35">
        <f ca="1">D195+((1+'normal case'!T195/100)/('normal case'!D195/'normal case'!D194))*'external balance'!H194</f>
        <v>59.0572877970463</v>
      </c>
      <c r="I195" s="35"/>
    </row>
    <row r="196" spans="1:9">
      <c r="A196">
        <v>194</v>
      </c>
      <c r="B196" s="35">
        <f ca="1">('normal case'!AJ196*($K$6*'normal case'!D196*('normal case'!AJ196^'external balance'!$K$4)))/'normal case'!D196</f>
        <v>0.30447775876267213</v>
      </c>
      <c r="C196" s="35">
        <f ca="1">($K$5*$K$7*((1+$K$8)^'normal case'!A195)*'normal case'!AJ196^$K$3)/'normal case'!D196</f>
        <v>0.30747746557233269</v>
      </c>
      <c r="D196" s="96">
        <f ca="1">(C196-B196)+((('main page'!$U$38/100)*'normal case'!$D$3)/'normal case'!$D$3)</f>
        <v>2.9997068096605517E-3</v>
      </c>
      <c r="E196" s="35">
        <f ca="1">((('normal case'!T196/100)*'external balance'!H195)/('normal case'!D196/'normal case'!D195))</f>
        <v>2.0670050552961774</v>
      </c>
      <c r="F196" s="35">
        <f t="shared" ca="1" si="2"/>
        <v>2.0700047621058379</v>
      </c>
      <c r="H196" s="35">
        <f ca="1">D196+((1+'normal case'!T196/100)/('normal case'!D196/'normal case'!D195))*'external balance'!H195</f>
        <v>61.127292559152139</v>
      </c>
      <c r="I196" s="35"/>
    </row>
    <row r="197" spans="1:9">
      <c r="A197">
        <v>195</v>
      </c>
      <c r="B197" s="35">
        <f ca="1">('normal case'!AJ197*($K$6*'normal case'!D197*('normal case'!AJ197^'external balance'!$K$4)))/'normal case'!D197</f>
        <v>0.30447775876267213</v>
      </c>
      <c r="C197" s="35">
        <f ca="1">($K$5*$K$7*((1+$K$8)^'normal case'!A196)*'normal case'!AJ197^$K$3)/'normal case'!D197</f>
        <v>0.30747746557233269</v>
      </c>
      <c r="D197" s="96">
        <f ca="1">(C197-B197)+((('main page'!$U$38/100)*'normal case'!$D$3)/'normal case'!$D$3)</f>
        <v>2.9997068096605517E-3</v>
      </c>
      <c r="E197" s="35">
        <f ca="1">((('normal case'!T197/100)*'external balance'!H196)/('normal case'!D197/'normal case'!D196))</f>
        <v>2.1394552213529723</v>
      </c>
      <c r="F197" s="35">
        <f t="shared" ref="F197:F260" ca="1" si="3">IF(ABS(D197+E197-F196)&lt;0.0000001,F196,D197+E197)</f>
        <v>2.1424549281626328</v>
      </c>
      <c r="H197" s="35">
        <f ca="1">D197+((1+'normal case'!T197/100)/('normal case'!D197/'normal case'!D196))*'external balance'!H196</f>
        <v>63.269747487314767</v>
      </c>
      <c r="I197" s="35"/>
    </row>
    <row r="198" spans="1:9">
      <c r="A198">
        <v>196</v>
      </c>
      <c r="B198" s="35">
        <f ca="1">('normal case'!AJ198*($K$6*'normal case'!D198*('normal case'!AJ198^'external balance'!$K$4)))/'normal case'!D198</f>
        <v>0.30447775876267213</v>
      </c>
      <c r="C198" s="35">
        <f ca="1">($K$5*$K$7*((1+$K$8)^'normal case'!A197)*'normal case'!AJ198^$K$3)/'normal case'!D198</f>
        <v>0.30747746557233269</v>
      </c>
      <c r="D198" s="96">
        <f ca="1">(C198-B198)+((('main page'!$U$38/100)*'normal case'!$D$3)/'normal case'!$D$3)</f>
        <v>2.9997068096605517E-3</v>
      </c>
      <c r="E198" s="35">
        <f ca="1">((('normal case'!T198/100)*'external balance'!H197)/('normal case'!D198/'normal case'!D197))</f>
        <v>2.2144411432001627</v>
      </c>
      <c r="F198" s="35">
        <f t="shared" ca="1" si="3"/>
        <v>2.2174408500098233</v>
      </c>
      <c r="H198" s="35">
        <f ca="1">D198+((1+'normal case'!T198/100)/('normal case'!D198/'normal case'!D197))*'external balance'!H197</f>
        <v>65.487188337324582</v>
      </c>
      <c r="I198" s="35"/>
    </row>
    <row r="199" spans="1:9">
      <c r="A199">
        <v>197</v>
      </c>
      <c r="B199" s="35">
        <f ca="1">('normal case'!AJ199*($K$6*'normal case'!D199*('normal case'!AJ199^'external balance'!$K$4)))/'normal case'!D199</f>
        <v>0.30447775876267213</v>
      </c>
      <c r="C199" s="35">
        <f ca="1">($K$5*$K$7*((1+$K$8)^'normal case'!A198)*'normal case'!AJ199^$K$3)/'normal case'!D199</f>
        <v>0.30747746557233269</v>
      </c>
      <c r="D199" s="96">
        <f ca="1">(C199-B199)+((('main page'!$U$38/100)*'normal case'!$D$3)/'normal case'!$D$3)</f>
        <v>2.9997068096605517E-3</v>
      </c>
      <c r="E199" s="35">
        <f ca="1">((('normal case'!T199/100)*'external balance'!H198)/('normal case'!D199/'normal case'!D198))</f>
        <v>2.2920515722896577</v>
      </c>
      <c r="F199" s="35">
        <f t="shared" ca="1" si="3"/>
        <v>2.2950512790993183</v>
      </c>
      <c r="H199" s="35">
        <f ca="1">D199+((1+'normal case'!T199/100)/('normal case'!D199/'normal case'!D198))*'external balance'!H198</f>
        <v>67.782239616423894</v>
      </c>
      <c r="I199" s="35"/>
    </row>
    <row r="200" spans="1:9">
      <c r="A200">
        <v>198</v>
      </c>
      <c r="B200" s="35">
        <f ca="1">('normal case'!AJ200*($K$6*'normal case'!D200*('normal case'!AJ200^'external balance'!$K$4)))/'normal case'!D200</f>
        <v>0.30447775876267213</v>
      </c>
      <c r="C200" s="35">
        <f ca="1">($K$5*$K$7*((1+$K$8)^'normal case'!A199)*'normal case'!AJ200^$K$3)/'normal case'!D200</f>
        <v>0.30747746557233269</v>
      </c>
      <c r="D200" s="96">
        <f ca="1">(C200-B200)+((('main page'!$U$38/100)*'normal case'!$D$3)/'normal case'!$D$3)</f>
        <v>2.9997068096605517E-3</v>
      </c>
      <c r="E200" s="35">
        <f ca="1">((('normal case'!T200/100)*'external balance'!H199)/('normal case'!D200/'normal case'!D199))</f>
        <v>2.3723783663741549</v>
      </c>
      <c r="F200" s="35">
        <f t="shared" ca="1" si="3"/>
        <v>2.3753780731838154</v>
      </c>
      <c r="H200" s="35">
        <f ca="1">D200+((1+'normal case'!T200/100)/('normal case'!D200/'normal case'!D199))*'external balance'!H199</f>
        <v>70.157617689607704</v>
      </c>
      <c r="I200" s="35"/>
    </row>
    <row r="201" spans="1:9">
      <c r="B201" s="35">
        <f ca="1">('normal case'!AJ201*($K$6*'normal case'!D201*('normal case'!AJ201^'external balance'!$K$4)))/'normal case'!D201</f>
        <v>0.30447775876267213</v>
      </c>
      <c r="C201" s="35">
        <f ca="1">($K$5*$K$7*((1+$K$8)^'normal case'!A200)*'normal case'!AJ201^$K$3)/'normal case'!D201</f>
        <v>0.30747746557233269</v>
      </c>
      <c r="D201" s="96">
        <f ca="1">(C201-B201)+((('main page'!$U$38/100)*'normal case'!$D$3)/'normal case'!$D$3)</f>
        <v>2.9997068096605517E-3</v>
      </c>
      <c r="E201" s="35">
        <f ca="1">((('normal case'!T201/100)*'external balance'!H200)/('normal case'!D201/'normal case'!D200))</f>
        <v>2.4555165982276703</v>
      </c>
      <c r="F201" s="35">
        <f t="shared" ca="1" si="3"/>
        <v>2.4585163050373309</v>
      </c>
      <c r="H201" s="35">
        <f ca="1">D201+((1+'normal case'!T201/100)/('normal case'!D201/'normal case'!D200))*'external balance'!H200</f>
        <v>72.61613399464504</v>
      </c>
      <c r="I201" s="35"/>
    </row>
    <row r="202" spans="1:9">
      <c r="B202" s="35">
        <f ca="1">('normal case'!AJ202*($K$6*'normal case'!D202*('normal case'!AJ202^'external balance'!$K$4)))/'normal case'!D202</f>
        <v>0.30447775876267213</v>
      </c>
      <c r="C202" s="35">
        <f ca="1">($K$5*$K$7*((1+$K$8)^'normal case'!A201)*'normal case'!AJ202^$K$3)/'normal case'!D202</f>
        <v>0.30747746557233269</v>
      </c>
      <c r="D202" s="96">
        <f ca="1">(C202-B202)+((('main page'!$U$38/100)*'normal case'!$D$3)/'normal case'!$D$3)</f>
        <v>2.9997068096605517E-3</v>
      </c>
      <c r="E202" s="35">
        <f ca="1">((('normal case'!T202/100)*'external balance'!H201)/('normal case'!D202/'normal case'!D201))</f>
        <v>2.5415646681712825</v>
      </c>
      <c r="F202" s="35">
        <f t="shared" ca="1" si="3"/>
        <v>2.544564374980943</v>
      </c>
      <c r="H202" s="35">
        <f ca="1">D202+((1+'normal case'!T202/100)/('normal case'!D202/'normal case'!D201))*'external balance'!H201</f>
        <v>75.160698369625976</v>
      </c>
      <c r="I202" s="35"/>
    </row>
    <row r="203" spans="1:9">
      <c r="B203" s="35">
        <f ca="1">('normal case'!AJ203*($K$6*'normal case'!D203*('normal case'!AJ203^'external balance'!$K$4)))/'normal case'!D203</f>
        <v>0.30447775876267213</v>
      </c>
      <c r="C203" s="35">
        <f ca="1">($K$5*$K$7*((1+$K$8)^'normal case'!A202)*'normal case'!AJ203^$K$3)/'normal case'!D203</f>
        <v>0.30747746557233269</v>
      </c>
      <c r="D203" s="96">
        <f ca="1">(C203-B203)+((('main page'!$U$38/100)*'normal case'!$D$3)/'normal case'!$D$3)</f>
        <v>2.9997068096605517E-3</v>
      </c>
      <c r="E203" s="35">
        <f ca="1">((('normal case'!T203/100)*'external balance'!H202)/('normal case'!D203/'normal case'!D202))</f>
        <v>2.6306244205372757</v>
      </c>
      <c r="F203" s="35">
        <f t="shared" ca="1" si="3"/>
        <v>2.6336241273469363</v>
      </c>
      <c r="H203" s="35">
        <f ca="1">D203+((1+'normal case'!T203/100)/('normal case'!D203/'normal case'!D202))*'external balance'!H202</f>
        <v>77.79432249697291</v>
      </c>
      <c r="I203" s="35"/>
    </row>
    <row r="204" spans="1:9">
      <c r="B204" s="35">
        <f ca="1">('normal case'!AJ204*($K$6*'normal case'!D204*('normal case'!AJ204^'external balance'!$K$4)))/'normal case'!D204</f>
        <v>0.30447775876267213</v>
      </c>
      <c r="C204" s="35">
        <f ca="1">($K$5*$K$7*((1+$K$8)^'normal case'!A203)*'normal case'!AJ204^$K$3)/'normal case'!D204</f>
        <v>0.30747746557233269</v>
      </c>
      <c r="D204" s="96">
        <f ca="1">(C204-B204)+((('main page'!$U$38/100)*'normal case'!$D$3)/'normal case'!$D$3)</f>
        <v>2.9997068096605517E-3</v>
      </c>
      <c r="E204" s="35">
        <f ca="1">((('normal case'!T204/100)*'external balance'!H203)/('normal case'!D204/'normal case'!D203))</f>
        <v>2.7228012642095374</v>
      </c>
      <c r="F204" s="35">
        <f t="shared" ca="1" si="3"/>
        <v>2.7258009710191979</v>
      </c>
      <c r="H204" s="35">
        <f ca="1">D204+((1+'normal case'!T204/100)/('normal case'!D204/'normal case'!D203))*'external balance'!H203</f>
        <v>80.520123467992107</v>
      </c>
      <c r="I204" s="35"/>
    </row>
    <row r="205" spans="1:9">
      <c r="B205" s="35">
        <f ca="1">('normal case'!AJ205*($K$6*'normal case'!D205*('normal case'!AJ205^'external balance'!$K$4)))/'normal case'!D205</f>
        <v>0.30447775876267213</v>
      </c>
      <c r="C205" s="35">
        <f ca="1">($K$5*$K$7*((1+$K$8)^'normal case'!A204)*'normal case'!AJ205^$K$3)/'normal case'!D205</f>
        <v>0.30747746557233269</v>
      </c>
      <c r="D205" s="96">
        <f ca="1">(C205-B205)+((('main page'!$U$38/100)*'normal case'!$D$3)/'normal case'!$D$3)</f>
        <v>2.9997068096605517E-3</v>
      </c>
      <c r="E205" s="35">
        <f ca="1">((('normal case'!T205/100)*'external balance'!H204)/('normal case'!D205/'normal case'!D204))</f>
        <v>2.8182042973828572</v>
      </c>
      <c r="F205" s="35">
        <f t="shared" ca="1" si="3"/>
        <v>2.8212040041925177</v>
      </c>
      <c r="H205" s="35">
        <f ca="1">D205+((1+'normal case'!T205/100)/('normal case'!D205/'normal case'!D204))*'external balance'!H204</f>
        <v>83.341327472184616</v>
      </c>
      <c r="I205" s="35"/>
    </row>
    <row r="206" spans="1:9">
      <c r="B206" s="35">
        <f ca="1">('normal case'!AJ206*($K$6*'normal case'!D206*('normal case'!AJ206^'external balance'!$K$4)))/'normal case'!D206</f>
        <v>0.30447775876267213</v>
      </c>
      <c r="C206" s="35">
        <f ca="1">($K$5*$K$7*((1+$K$8)^'normal case'!A205)*'normal case'!AJ206^$K$3)/'normal case'!D206</f>
        <v>0.30747746557233269</v>
      </c>
      <c r="D206" s="96">
        <f ca="1">(C206-B206)+((('main page'!$U$38/100)*'normal case'!$D$3)/'normal case'!$D$3)</f>
        <v>2.9997068096605517E-3</v>
      </c>
      <c r="E206" s="35">
        <f ca="1">((('normal case'!T206/100)*'external balance'!H205)/('normal case'!D206/'normal case'!D205))</f>
        <v>2.9169464366888107</v>
      </c>
      <c r="F206" s="35">
        <f t="shared" ca="1" si="3"/>
        <v>2.9199461434984713</v>
      </c>
      <c r="H206" s="35">
        <f ca="1">D206+((1+'normal case'!T206/100)/('normal case'!D206/'normal case'!D205))*'external balance'!H205</f>
        <v>86.261273615683081</v>
      </c>
      <c r="I206" s="35"/>
    </row>
    <row r="207" spans="1:9">
      <c r="B207" s="35">
        <f ca="1">('normal case'!AJ207*($K$6*'normal case'!D207*('normal case'!AJ207^'external balance'!$K$4)))/'normal case'!D207</f>
        <v>0.30447775876267213</v>
      </c>
      <c r="C207" s="35">
        <f ca="1">($K$5*$K$7*((1+$K$8)^'normal case'!A206)*'normal case'!AJ207^$K$3)/'normal case'!D207</f>
        <v>0.30747746557233269</v>
      </c>
      <c r="D207" s="96">
        <f ca="1">(C207-B207)+((('main page'!$U$38/100)*'normal case'!$D$3)/'normal case'!$D$3)</f>
        <v>2.9997068096605517E-3</v>
      </c>
      <c r="E207" s="35">
        <f ca="1">((('normal case'!T207/100)*'external balance'!H206)/('normal case'!D207/'normal case'!D206))</f>
        <v>3.019144550841045</v>
      </c>
      <c r="F207" s="35">
        <f t="shared" ca="1" si="3"/>
        <v>3.0221442576507056</v>
      </c>
      <c r="H207" s="35">
        <f ca="1">D207+((1+'normal case'!T207/100)/('normal case'!D207/'normal case'!D206))*'external balance'!H206</f>
        <v>89.283417873333789</v>
      </c>
      <c r="I207" s="35"/>
    </row>
    <row r="208" spans="1:9">
      <c r="B208" s="35">
        <f ca="1">('normal case'!AJ208*($K$6*'normal case'!D208*('normal case'!AJ208^'external balance'!$K$4)))/'normal case'!D208</f>
        <v>0.30447775876267213</v>
      </c>
      <c r="C208" s="35">
        <f ca="1">($K$5*$K$7*((1+$K$8)^'normal case'!A207)*'normal case'!AJ208^$K$3)/'normal case'!D208</f>
        <v>0.30747746557233269</v>
      </c>
      <c r="D208" s="96">
        <f ca="1">(C208-B208)+((('main page'!$U$38/100)*'normal case'!$D$3)/'normal case'!$D$3)</f>
        <v>2.9997068096605517E-3</v>
      </c>
      <c r="E208" s="35">
        <f ca="1">((('normal case'!T208/100)*'external balance'!H207)/('normal case'!D208/'normal case'!D207))</f>
        <v>3.1249195989581509</v>
      </c>
      <c r="F208" s="35">
        <f t="shared" ca="1" si="3"/>
        <v>3.1279193057678114</v>
      </c>
      <c r="H208" s="35">
        <f ca="1">D208+((1+'normal case'!T208/100)/('normal case'!D208/'normal case'!D207))*'external balance'!H207</f>
        <v>92.411337179101594</v>
      </c>
      <c r="I208" s="35"/>
    </row>
    <row r="209" spans="2:9">
      <c r="B209" s="35">
        <f ca="1">('normal case'!AJ209*($K$6*'normal case'!D209*('normal case'!AJ209^'external balance'!$K$4)))/'normal case'!D209</f>
        <v>0.30447775876267213</v>
      </c>
      <c r="C209" s="35">
        <f ca="1">($K$5*$K$7*((1+$K$8)^'normal case'!A208)*'normal case'!AJ209^$K$3)/'normal case'!D209</f>
        <v>0.30747746557233269</v>
      </c>
      <c r="D209" s="96">
        <f ca="1">(C209-B209)+((('main page'!$U$38/100)*'normal case'!$D$3)/'normal case'!$D$3)</f>
        <v>2.9997068096605517E-3</v>
      </c>
      <c r="E209" s="35">
        <f ca="1">((('normal case'!T209/100)*'external balance'!H208)/('normal case'!D209/'normal case'!D208))</f>
        <v>3.2343967737278314</v>
      </c>
      <c r="F209" s="35">
        <f t="shared" ca="1" si="3"/>
        <v>3.237396480537492</v>
      </c>
      <c r="H209" s="35">
        <f ca="1">D209+((1+'normal case'!T209/100)/('normal case'!D209/'normal case'!D208))*'external balance'!H208</f>
        <v>95.648733659639078</v>
      </c>
      <c r="I209" s="35"/>
    </row>
    <row r="210" spans="2:9">
      <c r="B210" s="35">
        <f ca="1">('normal case'!AJ210*($K$6*'normal case'!D210*('normal case'!AJ210^'external balance'!$K$4)))/'normal case'!D210</f>
        <v>0.30447775876267213</v>
      </c>
      <c r="C210" s="35">
        <f ca="1">($K$5*$K$7*((1+$K$8)^'normal case'!A209)*'normal case'!AJ210^$K$3)/'normal case'!D210</f>
        <v>0.30747746557233269</v>
      </c>
      <c r="D210" s="96">
        <f ca="1">(C210-B210)+((('main page'!$U$38/100)*'normal case'!$D$3)/'normal case'!$D$3)</f>
        <v>2.9997068096605517E-3</v>
      </c>
      <c r="E210" s="35">
        <f ca="1">((('normal case'!T210/100)*'external balance'!H209)/('normal case'!D210/'normal case'!D209))</f>
        <v>3.3477056495818243</v>
      </c>
      <c r="F210" s="35">
        <f t="shared" ca="1" si="3"/>
        <v>3.3507053563914848</v>
      </c>
      <c r="H210" s="35">
        <f ca="1">D210+((1+'normal case'!T210/100)/('normal case'!D210/'normal case'!D209))*'external balance'!H209</f>
        <v>98.999439016030564</v>
      </c>
      <c r="I210" s="35"/>
    </row>
    <row r="211" spans="2:9">
      <c r="B211" s="35">
        <f ca="1">('normal case'!AJ211*($K$6*'normal case'!D211*('normal case'!AJ211^'external balance'!$K$4)))/'normal case'!D211</f>
        <v>0.30447775876267213</v>
      </c>
      <c r="C211" s="35">
        <f ca="1">($K$5*$K$7*((1+$K$8)^'normal case'!A210)*'normal case'!AJ211^$K$3)/'normal case'!D211</f>
        <v>0.30747746557233269</v>
      </c>
      <c r="D211" s="96">
        <f ca="1">(C211-B211)+((('main page'!$U$38/100)*'normal case'!$D$3)/'normal case'!$D$3)</f>
        <v>2.9997068096605517E-3</v>
      </c>
      <c r="E211" s="35">
        <f ca="1">((('normal case'!T211/100)*'external balance'!H210)/('normal case'!D211/'normal case'!D210))</f>
        <v>3.464980336056938</v>
      </c>
      <c r="F211" s="35">
        <f t="shared" ca="1" si="3"/>
        <v>3.4679800428665986</v>
      </c>
      <c r="H211" s="35">
        <f ca="1">D211+((1+'normal case'!T211/100)/('normal case'!D211/'normal case'!D210))*'external balance'!H210</f>
        <v>102.46741905889716</v>
      </c>
      <c r="I211" s="35"/>
    </row>
    <row r="212" spans="2:9">
      <c r="B212" s="35">
        <f ca="1">('normal case'!AJ212*($K$6*'normal case'!D212*('normal case'!AJ212^'external balance'!$K$4)))/'normal case'!D212</f>
        <v>0.30447775876267213</v>
      </c>
      <c r="C212" s="35">
        <f ca="1">($K$5*$K$7*((1+$K$8)^'normal case'!A211)*'normal case'!AJ212^$K$3)/'normal case'!D212</f>
        <v>0.30747746557233269</v>
      </c>
      <c r="D212" s="96">
        <f ca="1">(C212-B212)+((('main page'!$U$38/100)*'normal case'!$D$3)/'normal case'!$D$3)</f>
        <v>2.9997068096605517E-3</v>
      </c>
      <c r="E212" s="35">
        <f ca="1">((('normal case'!T212/100)*'external balance'!H211)/('normal case'!D212/'normal case'!D211))</f>
        <v>3.5863596365237305</v>
      </c>
      <c r="F212" s="35">
        <f t="shared" ca="1" si="3"/>
        <v>3.589359343333391</v>
      </c>
      <c r="H212" s="35">
        <f ca="1">D212+((1+'normal case'!T212/100)/('normal case'!D212/'normal case'!D211))*'external balance'!H211</f>
        <v>106.05677840223055</v>
      </c>
      <c r="I212" s="35"/>
    </row>
    <row r="213" spans="2:9">
      <c r="B213" s="35">
        <f ca="1">('normal case'!AJ213*($K$6*'normal case'!D213*('normal case'!AJ213^'external balance'!$K$4)))/'normal case'!D213</f>
        <v>0.30447775876267213</v>
      </c>
      <c r="C213" s="35">
        <f ca="1">($K$5*$K$7*((1+$K$8)^'normal case'!A212)*'normal case'!AJ213^$K$3)/'normal case'!D213</f>
        <v>0.30747746557233269</v>
      </c>
      <c r="D213" s="96">
        <f ca="1">(C213-B213)+((('main page'!$U$38/100)*'normal case'!$D$3)/'normal case'!$D$3)</f>
        <v>2.9997068096605517E-3</v>
      </c>
      <c r="E213" s="35">
        <f ca="1">((('normal case'!T213/100)*'external balance'!H212)/('normal case'!D213/'normal case'!D212))</f>
        <v>3.7119872124706865</v>
      </c>
      <c r="F213" s="35">
        <f t="shared" ca="1" si="3"/>
        <v>3.7149869192803471</v>
      </c>
      <c r="H213" s="35">
        <f ca="1">D213+((1+'normal case'!T213/100)/('normal case'!D213/'normal case'!D212))*'external balance'!H212</f>
        <v>109.7717653215109</v>
      </c>
      <c r="I213" s="35"/>
    </row>
    <row r="214" spans="2:9">
      <c r="B214" s="35">
        <f ca="1">('normal case'!AJ214*($K$6*'normal case'!D214*('normal case'!AJ214^'external balance'!$K$4)))/'normal case'!D214</f>
        <v>0.30447775876267213</v>
      </c>
      <c r="C214" s="35">
        <f ca="1">($K$5*$K$7*((1+$K$8)^'normal case'!A213)*'normal case'!AJ214^$K$3)/'normal case'!D214</f>
        <v>0.30747746557233269</v>
      </c>
      <c r="D214" s="96">
        <f ca="1">(C214-B214)+((('main page'!$U$38/100)*'normal case'!$D$3)/'normal case'!$D$3)</f>
        <v>2.9997068096605517E-3</v>
      </c>
      <c r="E214" s="35">
        <f ca="1">((('normal case'!T214/100)*'external balance'!H213)/('normal case'!D214/'normal case'!D213))</f>
        <v>3.8420117535383462</v>
      </c>
      <c r="F214" s="35">
        <f t="shared" ca="1" si="3"/>
        <v>3.8450114603480068</v>
      </c>
      <c r="H214" s="35">
        <f ca="1">D214+((1+'normal case'!T214/100)/('normal case'!D214/'normal case'!D213))*'external balance'!H213</f>
        <v>113.6167767818589</v>
      </c>
      <c r="I214" s="35"/>
    </row>
    <row r="215" spans="2:9">
      <c r="B215" s="35">
        <f ca="1">('normal case'!AJ215*($K$6*'normal case'!D215*('normal case'!AJ215^'external balance'!$K$4)))/'normal case'!D215</f>
        <v>0.30447775876267213</v>
      </c>
      <c r="C215" s="35">
        <f ca="1">($K$5*$K$7*((1+$K$8)^'normal case'!A214)*'normal case'!AJ215^$K$3)/'normal case'!D215</f>
        <v>0.30747746557233269</v>
      </c>
      <c r="D215" s="96">
        <f ca="1">(C215-B215)+((('main page'!$U$38/100)*'normal case'!$D$3)/'normal case'!$D$3)</f>
        <v>2.9997068096605517E-3</v>
      </c>
      <c r="E215" s="35">
        <f ca="1">((('normal case'!T215/100)*'external balance'!H214)/('normal case'!D215/'normal case'!D214))</f>
        <v>3.976587153504624</v>
      </c>
      <c r="F215" s="35">
        <f t="shared" ca="1" si="3"/>
        <v>3.9795868603142845</v>
      </c>
      <c r="H215" s="35">
        <f ca="1">D215+((1+'normal case'!T215/100)/('normal case'!D215/'normal case'!D214))*'external balance'!H214</f>
        <v>117.59636364217319</v>
      </c>
      <c r="I215" s="35"/>
    </row>
    <row r="216" spans="2:9">
      <c r="B216" s="35">
        <f ca="1">('normal case'!AJ216*($K$6*'normal case'!D216*('normal case'!AJ216^'external balance'!$K$4)))/'normal case'!D216</f>
        <v>0.30447775876267213</v>
      </c>
      <c r="C216" s="35">
        <f ca="1">($K$5*$K$7*((1+$K$8)^'normal case'!A215)*'normal case'!AJ216^$K$3)/'normal case'!D216</f>
        <v>0.30747746557233269</v>
      </c>
      <c r="D216" s="96">
        <f ca="1">(C216-B216)+((('main page'!$U$38/100)*'normal case'!$D$3)/'normal case'!$D$3)</f>
        <v>2.9997068096605517E-3</v>
      </c>
      <c r="E216" s="35">
        <f ca="1">((('normal case'!T216/100)*'external balance'!H215)/('normal case'!D216/'normal case'!D215))</f>
        <v>4.1158726924296145</v>
      </c>
      <c r="F216" s="35">
        <f t="shared" ca="1" si="3"/>
        <v>4.1188723992392751</v>
      </c>
      <c r="H216" s="35">
        <f ca="1">D216+((1+'normal case'!T216/100)/('normal case'!D216/'normal case'!D215))*'external balance'!H215</f>
        <v>121.71523604141247</v>
      </c>
      <c r="I216" s="35"/>
    </row>
    <row r="217" spans="2:9">
      <c r="B217" s="35">
        <f ca="1">('normal case'!AJ217*($K$6*'normal case'!D217*('normal case'!AJ217^'external balance'!$K$4)))/'normal case'!D217</f>
        <v>0.30447775876267213</v>
      </c>
      <c r="C217" s="35">
        <f ca="1">($K$5*$K$7*((1+$K$8)^'normal case'!A216)*'normal case'!AJ217^$K$3)/'normal case'!D217</f>
        <v>0.30747746557233269</v>
      </c>
      <c r="D217" s="96">
        <f ca="1">(C217-B217)+((('main page'!$U$38/100)*'normal case'!$D$3)/'normal case'!$D$3)</f>
        <v>2.9997068096605517E-3</v>
      </c>
      <c r="E217" s="35">
        <f ca="1">((('normal case'!T217/100)*'external balance'!H216)/('normal case'!D217/'normal case'!D216))</f>
        <v>4.2600332251754693</v>
      </c>
      <c r="F217" s="35">
        <f t="shared" ca="1" si="3"/>
        <v>4.2630329319851299</v>
      </c>
      <c r="H217" s="35">
        <f ca="1">D217+((1+'normal case'!T217/100)/('normal case'!D217/'normal case'!D216))*'external balance'!H216</f>
        <v>125.97826897339759</v>
      </c>
      <c r="I217" s="35"/>
    </row>
    <row r="218" spans="2:9">
      <c r="B218" s="35">
        <f ca="1">('normal case'!AJ218*($K$6*'normal case'!D218*('normal case'!AJ218^'external balance'!$K$4)))/'normal case'!D218</f>
        <v>0.30447775876267213</v>
      </c>
      <c r="C218" s="35">
        <f ca="1">($K$5*$K$7*((1+$K$8)^'normal case'!A217)*'normal case'!AJ218^$K$3)/'normal case'!D218</f>
        <v>0.30747746557233269</v>
      </c>
      <c r="D218" s="96">
        <f ca="1">(C218-B218)+((('main page'!$U$38/100)*'normal case'!$D$3)/'normal case'!$D$3)</f>
        <v>2.9997068096605517E-3</v>
      </c>
      <c r="E218" s="35">
        <f ca="1">((('normal case'!T218/100)*'external balance'!H217)/('normal case'!D218/'normal case'!D217))</f>
        <v>4.4092393765244662</v>
      </c>
      <c r="F218" s="35">
        <f t="shared" ca="1" si="3"/>
        <v>4.4122390833341267</v>
      </c>
      <c r="H218" s="35">
        <f ca="1">D218+((1+'normal case'!T218/100)/('normal case'!D218/'normal case'!D217))*'external balance'!H217</f>
        <v>130.39050805673173</v>
      </c>
      <c r="I218" s="35"/>
    </row>
    <row r="219" spans="2:9">
      <c r="B219" s="35">
        <f ca="1">('normal case'!AJ219*($K$6*'normal case'!D219*('normal case'!AJ219^'external balance'!$K$4)))/'normal case'!D219</f>
        <v>0.30447775876267213</v>
      </c>
      <c r="C219" s="35">
        <f ca="1">($K$5*$K$7*((1+$K$8)^'normal case'!A218)*'normal case'!AJ219^$K$3)/'normal case'!D219</f>
        <v>0.30747746557233269</v>
      </c>
      <c r="D219" s="96">
        <f ca="1">(C219-B219)+((('main page'!$U$38/100)*'normal case'!$D$3)/'normal case'!$D$3)</f>
        <v>2.9997068096605517E-3</v>
      </c>
      <c r="E219" s="35">
        <f ca="1">((('normal case'!T219/100)*'external balance'!H218)/('normal case'!D219/'normal case'!D218))</f>
        <v>4.5636677431262118</v>
      </c>
      <c r="F219" s="35">
        <f t="shared" ca="1" si="3"/>
        <v>4.5666674499358724</v>
      </c>
      <c r="H219" s="35">
        <f ca="1">D219+((1+'normal case'!T219/100)/('normal case'!D219/'normal case'!D218))*'external balance'!H218</f>
        <v>134.95717550666762</v>
      </c>
      <c r="I219" s="35"/>
    </row>
    <row r="220" spans="2:9">
      <c r="B220" s="35">
        <f ca="1">('normal case'!AJ220*($K$6*'normal case'!D220*('normal case'!AJ220^'external balance'!$K$4)))/'normal case'!D220</f>
        <v>0.30447775876267213</v>
      </c>
      <c r="C220" s="35">
        <f ca="1">($K$5*$K$7*((1+$K$8)^'normal case'!A219)*'normal case'!AJ220^$K$3)/'normal case'!D220</f>
        <v>0.30747746557233269</v>
      </c>
      <c r="D220" s="96">
        <f ca="1">(C220-B220)+((('main page'!$U$38/100)*'normal case'!$D$3)/'normal case'!$D$3)</f>
        <v>2.9997068096605517E-3</v>
      </c>
      <c r="E220" s="35">
        <f ca="1">((('normal case'!T220/100)*'external balance'!H219)/('normal case'!D220/'normal case'!D219))</f>
        <v>4.7235011025129952</v>
      </c>
      <c r="F220" s="35">
        <f t="shared" ca="1" si="3"/>
        <v>4.7265008093226557</v>
      </c>
      <c r="H220" s="35">
        <f ca="1">D220+((1+'normal case'!T220/100)/('normal case'!D220/'normal case'!D219))*'external balance'!H219</f>
        <v>139.68367631599028</v>
      </c>
      <c r="I220" s="35"/>
    </row>
    <row r="221" spans="2:9">
      <c r="B221" s="35">
        <f ca="1">('normal case'!AJ221*($K$6*'normal case'!D221*('normal case'!AJ221^'external balance'!$K$4)))/'normal case'!D221</f>
        <v>0.30447775876267213</v>
      </c>
      <c r="C221" s="35">
        <f ca="1">($K$5*$K$7*((1+$K$8)^'normal case'!A220)*'normal case'!AJ221^$K$3)/'normal case'!D221</f>
        <v>0.30747746557233269</v>
      </c>
      <c r="D221" s="96">
        <f ca="1">(C221-B221)+((('main page'!$U$38/100)*'normal case'!$D$3)/'normal case'!$D$3)</f>
        <v>2.9997068096605517E-3</v>
      </c>
      <c r="E221" s="35">
        <f ca="1">((('normal case'!T221/100)*'external balance'!H220)/('normal case'!D221/'normal case'!D220))</f>
        <v>4.8889286294306809</v>
      </c>
      <c r="F221" s="35">
        <f t="shared" ca="1" si="3"/>
        <v>4.8919283362403414</v>
      </c>
      <c r="H221" s="35">
        <f ca="1">D221+((1+'normal case'!T221/100)/('normal case'!D221/'normal case'!D220))*'external balance'!H220</f>
        <v>144.5756046522306</v>
      </c>
      <c r="I221" s="35"/>
    </row>
    <row r="222" spans="2:9">
      <c r="B222" s="35">
        <f ca="1">('normal case'!AJ222*($K$6*'normal case'!D222*('normal case'!AJ222^'external balance'!$K$4)))/'normal case'!D222</f>
        <v>0.30447775876267213</v>
      </c>
      <c r="C222" s="35">
        <f ca="1">($K$5*$K$7*((1+$K$8)^'normal case'!A221)*'normal case'!AJ222^$K$3)/'normal case'!D222</f>
        <v>0.30747746557233269</v>
      </c>
      <c r="D222" s="96">
        <f ca="1">(C222-B222)+((('main page'!$U$38/100)*'normal case'!$D$3)/'normal case'!$D$3)</f>
        <v>2.9997068096605517E-3</v>
      </c>
      <c r="E222" s="35">
        <f ca="1">((('normal case'!T222/100)*'external balance'!H221)/('normal case'!D222/'normal case'!D221))</f>
        <v>5.0601461197411837</v>
      </c>
      <c r="F222" s="35">
        <f t="shared" ca="1" si="3"/>
        <v>5.0631458265508442</v>
      </c>
      <c r="H222" s="35">
        <f ca="1">D222+((1+'normal case'!T222/100)/('normal case'!D222/'normal case'!D221))*'external balance'!H221</f>
        <v>149.63875047878145</v>
      </c>
      <c r="I222" s="35"/>
    </row>
    <row r="223" spans="2:9">
      <c r="B223" s="35">
        <f ca="1">('normal case'!AJ223*($K$6*'normal case'!D223*('normal case'!AJ223^'external balance'!$K$4)))/'normal case'!D223</f>
        <v>0.30447775876267213</v>
      </c>
      <c r="C223" s="35">
        <f ca="1">($K$5*$K$7*((1+$K$8)^'normal case'!A222)*'normal case'!AJ223^$K$3)/'normal case'!D223</f>
        <v>0.30747746557233269</v>
      </c>
      <c r="D223" s="96">
        <f ca="1">(C223-B223)+((('main page'!$U$38/100)*'normal case'!$D$3)/'normal case'!$D$3)</f>
        <v>2.9997068096605517E-3</v>
      </c>
      <c r="E223" s="35">
        <f ca="1">((('normal case'!T223/100)*'external balance'!H222)/('normal case'!D223/'normal case'!D222))</f>
        <v>5.2373562221615284</v>
      </c>
      <c r="F223" s="35">
        <f t="shared" ca="1" si="3"/>
        <v>5.240355928971189</v>
      </c>
      <c r="H223" s="35">
        <f ca="1">D223+((1+'normal case'!T223/100)/('normal case'!D223/'normal case'!D222))*'external balance'!H222</f>
        <v>154.87910640775266</v>
      </c>
      <c r="I223" s="35"/>
    </row>
    <row r="224" spans="2:9">
      <c r="B224" s="35">
        <f ca="1">('normal case'!AJ224*($K$6*'normal case'!D224*('normal case'!AJ224^'external balance'!$K$4)))/'normal case'!D224</f>
        <v>0.30447775876267213</v>
      </c>
      <c r="C224" s="35">
        <f ca="1">($K$5*$K$7*((1+$K$8)^'normal case'!A223)*'normal case'!AJ224^$K$3)/'normal case'!D224</f>
        <v>0.30747746557233269</v>
      </c>
      <c r="D224" s="96">
        <f ca="1">(C224-B224)+((('main page'!$U$38/100)*'normal case'!$D$3)/'normal case'!$D$3)</f>
        <v>2.9997068096605517E-3</v>
      </c>
      <c r="E224" s="35">
        <f ca="1">((('normal case'!T224/100)*'external balance'!H223)/('normal case'!D224/'normal case'!D223))</f>
        <v>5.4207686781137729</v>
      </c>
      <c r="F224" s="35">
        <f t="shared" ca="1" si="3"/>
        <v>5.4237683849234335</v>
      </c>
      <c r="H224" s="35">
        <f ca="1">D224+((1+'normal case'!T224/100)/('normal case'!D224/'normal case'!D223))*'external balance'!H223</f>
        <v>160.30287479267611</v>
      </c>
      <c r="I224" s="35"/>
    </row>
    <row r="225" spans="2:9">
      <c r="B225" s="35">
        <f ca="1">('normal case'!AJ225*($K$6*'normal case'!D225*('normal case'!AJ225^'external balance'!$K$4)))/'normal case'!D225</f>
        <v>0.30447775876267213</v>
      </c>
      <c r="C225" s="35">
        <f ca="1">($K$5*$K$7*((1+$K$8)^'normal case'!A224)*'normal case'!AJ225^$K$3)/'normal case'!D225</f>
        <v>0.30747746557233269</v>
      </c>
      <c r="D225" s="96">
        <f ca="1">(C225-B225)+((('main page'!$U$38/100)*'normal case'!$D$3)/'normal case'!$D$3)</f>
        <v>2.9997068096605517E-3</v>
      </c>
      <c r="E225" s="35">
        <f ca="1">((('normal case'!T225/100)*'external balance'!H224)/('normal case'!D225/'normal case'!D224))</f>
        <v>5.6106005699696846</v>
      </c>
      <c r="F225" s="35">
        <f t="shared" ca="1" si="3"/>
        <v>5.6136002767793451</v>
      </c>
      <c r="H225" s="35">
        <f ca="1">D225+((1+'normal case'!T225/100)/('normal case'!D225/'normal case'!D224))*'external balance'!H224</f>
        <v>165.91647506945543</v>
      </c>
      <c r="I225" s="35"/>
    </row>
    <row r="226" spans="2:9">
      <c r="B226" s="35">
        <f ca="1">('normal case'!AJ226*($K$6*'normal case'!D226*('normal case'!AJ226^'external balance'!$K$4)))/'normal case'!D226</f>
        <v>0.30447775876267213</v>
      </c>
      <c r="C226" s="35">
        <f ca="1">($K$5*$K$7*((1+$K$8)^'normal case'!A225)*'normal case'!AJ226^$K$3)/'normal case'!D226</f>
        <v>0.30747746557233269</v>
      </c>
      <c r="D226" s="96">
        <f ca="1">(C226-B226)+((('main page'!$U$38/100)*'normal case'!$D$3)/'normal case'!$D$3)</f>
        <v>2.9997068096605517E-3</v>
      </c>
      <c r="E226" s="35">
        <f ca="1">((('normal case'!T226/100)*'external balance'!H225)/('normal case'!D226/'normal case'!D225))</f>
        <v>5.8070765779839775</v>
      </c>
      <c r="F226" s="35">
        <f t="shared" ca="1" si="3"/>
        <v>5.810076284793638</v>
      </c>
      <c r="H226" s="35">
        <f ca="1">D226+((1+'normal case'!T226/100)/('normal case'!D226/'normal case'!D225))*'external balance'!H225</f>
        <v>171.72655135424907</v>
      </c>
      <c r="I226" s="35"/>
    </row>
    <row r="227" spans="2:9">
      <c r="B227" s="35">
        <f ca="1">('normal case'!AJ227*($K$6*'normal case'!D227*('normal case'!AJ227^'external balance'!$K$4)))/'normal case'!D227</f>
        <v>0.30447775876267213</v>
      </c>
      <c r="C227" s="35">
        <f ca="1">($K$5*$K$7*((1+$K$8)^'normal case'!A226)*'normal case'!AJ227^$K$3)/'normal case'!D227</f>
        <v>0.30747746557233269</v>
      </c>
      <c r="D227" s="96">
        <f ca="1">(C227-B227)+((('main page'!$U$38/100)*'normal case'!$D$3)/'normal case'!$D$3)</f>
        <v>2.9997068096605517E-3</v>
      </c>
      <c r="E227" s="35">
        <f ca="1">((('normal case'!T227/100)*'external balance'!H226)/('normal case'!D227/'normal case'!D226))</f>
        <v>6.0104292462202178</v>
      </c>
      <c r="F227" s="35">
        <f t="shared" ca="1" si="3"/>
        <v>6.0134289530298783</v>
      </c>
      <c r="H227" s="35">
        <f ca="1">D227+((1+'normal case'!T227/100)/('normal case'!D227/'normal case'!D226))*'external balance'!H226</f>
        <v>177.73998030727893</v>
      </c>
      <c r="I227" s="35"/>
    </row>
    <row r="228" spans="2:9">
      <c r="B228" s="35">
        <f ca="1">('normal case'!AJ228*($K$6*'normal case'!D228*('normal case'!AJ228^'external balance'!$K$4)))/'normal case'!D228</f>
        <v>0.30447775876267213</v>
      </c>
      <c r="C228" s="35">
        <f ca="1">($K$5*$K$7*((1+$K$8)^'normal case'!A227)*'normal case'!AJ228^$K$3)/'normal case'!D228</f>
        <v>0.30747746557233269</v>
      </c>
      <c r="D228" s="96">
        <f ca="1">(C228-B228)+((('main page'!$U$38/100)*'normal case'!$D$3)/'normal case'!$D$3)</f>
        <v>2.9997068096605517E-3</v>
      </c>
      <c r="E228" s="35">
        <f ca="1">((('normal case'!T228/100)*'external balance'!H227)/('normal case'!D228/'normal case'!D227))</f>
        <v>6.2208992577841213</v>
      </c>
      <c r="F228" s="35">
        <f t="shared" ca="1" si="3"/>
        <v>6.2238989645937819</v>
      </c>
      <c r="H228" s="35">
        <f ca="1">D228+((1+'normal case'!T228/100)/('normal case'!D228/'normal case'!D227))*'external balance'!H227</f>
        <v>183.96387927187271</v>
      </c>
      <c r="I228" s="35"/>
    </row>
    <row r="229" spans="2:9">
      <c r="B229" s="35">
        <f ca="1">('normal case'!AJ229*($K$6*'normal case'!D229*('normal case'!AJ229^'external balance'!$K$4)))/'normal case'!D229</f>
        <v>0.30447775876267213</v>
      </c>
      <c r="C229" s="35">
        <f ca="1">($K$5*$K$7*((1+$K$8)^'normal case'!A228)*'normal case'!AJ229^$K$3)/'normal case'!D229</f>
        <v>0.30747746557233269</v>
      </c>
      <c r="D229" s="96">
        <f ca="1">(C229-B229)+((('main page'!$U$38/100)*'normal case'!$D$3)/'normal case'!$D$3)</f>
        <v>2.9997068096605517E-3</v>
      </c>
      <c r="E229" s="35">
        <f ca="1">((('normal case'!T229/100)*'external balance'!H228)/('normal case'!D229/'normal case'!D228))</f>
        <v>6.4387357196900368</v>
      </c>
      <c r="F229" s="35">
        <f t="shared" ca="1" si="3"/>
        <v>6.4417354264996973</v>
      </c>
      <c r="H229" s="35">
        <f ca="1">D229+((1+'normal case'!T229/100)/('normal case'!D229/'normal case'!D228))*'external balance'!H228</f>
        <v>190.4056146983724</v>
      </c>
      <c r="I229" s="35"/>
    </row>
    <row r="230" spans="2:9">
      <c r="B230" s="35">
        <f ca="1">('normal case'!AJ230*($K$6*'normal case'!D230*('normal case'!AJ230^'external balance'!$K$4)))/'normal case'!D230</f>
        <v>0.30447775876267213</v>
      </c>
      <c r="C230" s="35">
        <f ca="1">($K$5*$K$7*((1+$K$8)^'normal case'!A229)*'normal case'!AJ230^$K$3)/'normal case'!D230</f>
        <v>0.30747746557233269</v>
      </c>
      <c r="D230" s="96">
        <f ca="1">(C230-B230)+((('main page'!$U$38/100)*'normal case'!$D$3)/'normal case'!$D$3)</f>
        <v>2.9997068096605517E-3</v>
      </c>
      <c r="E230" s="35">
        <f ca="1">((('normal case'!T230/100)*'external balance'!H229)/('normal case'!D230/'normal case'!D229))</f>
        <v>6.6641964576977397</v>
      </c>
      <c r="F230" s="35">
        <f t="shared" ca="1" si="3"/>
        <v>6.6671961645074003</v>
      </c>
      <c r="H230" s="35">
        <f ca="1">D230+((1+'normal case'!T230/100)/('normal case'!D230/'normal case'!D229))*'external balance'!H229</f>
        <v>197.07281086287981</v>
      </c>
      <c r="I230" s="35"/>
    </row>
    <row r="231" spans="2:9">
      <c r="B231" s="35">
        <f ca="1">('normal case'!AJ231*($K$6*'normal case'!D231*('normal case'!AJ231^'external balance'!$K$4)))/'normal case'!D231</f>
        <v>0.30447775876267213</v>
      </c>
      <c r="C231" s="35">
        <f ca="1">($K$5*$K$7*((1+$K$8)^'normal case'!A230)*'normal case'!AJ231^$K$3)/'normal case'!D231</f>
        <v>0.30747746557233269</v>
      </c>
      <c r="D231" s="96">
        <f ca="1">(C231-B231)+((('main page'!$U$38/100)*'normal case'!$D$3)/'normal case'!$D$3)</f>
        <v>2.9997068096605517E-3</v>
      </c>
      <c r="E231" s="35">
        <f ca="1">((('normal case'!T231/100)*'external balance'!H230)/('normal case'!D231/'normal case'!D230))</f>
        <v>6.8975483214685189</v>
      </c>
      <c r="F231" s="35">
        <f t="shared" ca="1" si="3"/>
        <v>6.9005480282781795</v>
      </c>
      <c r="H231" s="35">
        <f ca="1">D231+((1+'normal case'!T231/100)/('normal case'!D231/'normal case'!D230))*'external balance'!H230</f>
        <v>203.973358891158</v>
      </c>
      <c r="I231" s="35"/>
    </row>
    <row r="232" spans="2:9">
      <c r="B232" s="35">
        <f ca="1">('normal case'!AJ232*($K$6*'normal case'!D232*('normal case'!AJ232^'external balance'!$K$4)))/'normal case'!D232</f>
        <v>0.30447775876267213</v>
      </c>
      <c r="C232" s="35">
        <f ca="1">($K$5*$K$7*((1+$K$8)^'normal case'!A231)*'normal case'!AJ232^$K$3)/'normal case'!D232</f>
        <v>0.30747746557233269</v>
      </c>
      <c r="D232" s="96">
        <f ca="1">(C232-B232)+((('main page'!$U$38/100)*'normal case'!$D$3)/'normal case'!$D$3)</f>
        <v>2.9997068096605517E-3</v>
      </c>
      <c r="E232" s="35">
        <f ca="1">((('normal case'!T232/100)*'external balance'!H231)/('normal case'!D232/'normal case'!D231))</f>
        <v>7.1390675004017323</v>
      </c>
      <c r="F232" s="35">
        <f t="shared" ca="1" si="3"/>
        <v>7.1420672072113929</v>
      </c>
      <c r="H232" s="35">
        <f ca="1">D232+((1+'normal case'!T232/100)/('normal case'!D232/'normal case'!D231))*'external balance'!H231</f>
        <v>211.11542609836937</v>
      </c>
      <c r="I232" s="35"/>
    </row>
    <row r="233" spans="2:9">
      <c r="B233" s="35">
        <f ca="1">('normal case'!AJ233*($K$6*'normal case'!D233*('normal case'!AJ233^'external balance'!$K$4)))/'normal case'!D233</f>
        <v>0.30447775876267213</v>
      </c>
      <c r="C233" s="35">
        <f ca="1">($K$5*$K$7*((1+$K$8)^'normal case'!A232)*'normal case'!AJ233^$K$3)/'normal case'!D233</f>
        <v>0.30747746557233269</v>
      </c>
      <c r="D233" s="96">
        <f ca="1">(C233-B233)+((('main page'!$U$38/100)*'normal case'!$D$3)/'normal case'!$D$3)</f>
        <v>2.9997068096605517E-3</v>
      </c>
      <c r="E233" s="35">
        <f ca="1">((('normal case'!T233/100)*'external balance'!H232)/('normal case'!D233/'normal case'!D232))</f>
        <v>7.3890398505256289</v>
      </c>
      <c r="F233" s="35">
        <f t="shared" ca="1" si="3"/>
        <v>7.3920395573352895</v>
      </c>
      <c r="H233" s="35">
        <f ca="1">D233+((1+'normal case'!T233/100)/('normal case'!D233/'normal case'!D232))*'external balance'!H232</f>
        <v>218.50746565570466</v>
      </c>
      <c r="I233" s="35"/>
    </row>
    <row r="234" spans="2:9">
      <c r="B234" s="35">
        <f ca="1">('normal case'!AJ234*($K$6*'normal case'!D234*('normal case'!AJ234^'external balance'!$K$4)))/'normal case'!D234</f>
        <v>0.30447775876267213</v>
      </c>
      <c r="C234" s="35">
        <f ca="1">($K$5*$K$7*((1+$K$8)^'normal case'!A233)*'normal case'!AJ234^$K$3)/'normal case'!D234</f>
        <v>0.30747746557233269</v>
      </c>
      <c r="D234" s="96">
        <f ca="1">(C234-B234)+((('main page'!$U$38/100)*'normal case'!$D$3)/'normal case'!$D$3)</f>
        <v>2.9997068096605517E-3</v>
      </c>
      <c r="E234" s="35">
        <f ca="1">((('normal case'!T234/100)*'external balance'!H233)/('normal case'!D234/'normal case'!D233))</f>
        <v>7.6477612328293647</v>
      </c>
      <c r="F234" s="35">
        <f t="shared" ca="1" si="3"/>
        <v>7.6507609396390253</v>
      </c>
      <c r="H234" s="35">
        <f ca="1">D234+((1+'normal case'!T234/100)/('normal case'!D234/'normal case'!D233))*'external balance'!H233</f>
        <v>226.15822659534371</v>
      </c>
      <c r="I234" s="35"/>
    </row>
    <row r="235" spans="2:9">
      <c r="B235" s="35">
        <f ca="1">('normal case'!AJ235*($K$6*'normal case'!D235*('normal case'!AJ235^'external balance'!$K$4)))/'normal case'!D235</f>
        <v>0.30447775876267213</v>
      </c>
      <c r="C235" s="35">
        <f ca="1">($K$5*$K$7*((1+$K$8)^'normal case'!A234)*'normal case'!AJ235^$K$3)/'normal case'!D235</f>
        <v>0.30747746557233269</v>
      </c>
      <c r="D235" s="96">
        <f ca="1">(C235-B235)+((('main page'!$U$38/100)*'normal case'!$D$3)/'normal case'!$D$3)</f>
        <v>2.9997068096605517E-3</v>
      </c>
      <c r="E235" s="35">
        <f ca="1">((('normal case'!T235/100)*'external balance'!H234)/('normal case'!D235/'normal case'!D234))</f>
        <v>7.9155378634366267</v>
      </c>
      <c r="F235" s="35">
        <f t="shared" ca="1" si="3"/>
        <v>7.9185375702462872</v>
      </c>
      <c r="H235" s="35">
        <f ca="1">D235+((1+'normal case'!T235/100)/('normal case'!D235/'normal case'!D234))*'external balance'!H234</f>
        <v>234.07676416558996</v>
      </c>
      <c r="I235" s="35"/>
    </row>
    <row r="236" spans="2:9">
      <c r="B236" s="35">
        <f ca="1">('normal case'!AJ236*($K$6*'normal case'!D236*('normal case'!AJ236^'external balance'!$K$4)))/'normal case'!D236</f>
        <v>0.30447775876267213</v>
      </c>
      <c r="C236" s="35">
        <f ca="1">($K$5*$K$7*((1+$K$8)^'normal case'!A235)*'normal case'!AJ236^$K$3)/'normal case'!D236</f>
        <v>0.30747746557233269</v>
      </c>
      <c r="D236" s="96">
        <f ca="1">(C236-B236)+((('main page'!$U$38/100)*'normal case'!$D$3)/'normal case'!$D$3)</f>
        <v>2.9997068096605517E-3</v>
      </c>
      <c r="E236" s="35">
        <f ca="1">((('normal case'!T236/100)*'external balance'!H235)/('normal case'!D236/'normal case'!D235))</f>
        <v>8.1926866760353381</v>
      </c>
      <c r="F236" s="35">
        <f t="shared" ca="1" si="3"/>
        <v>8.1956863828449986</v>
      </c>
      <c r="H236" s="35">
        <f ca="1">D236+((1+'normal case'!T236/100)/('normal case'!D236/'normal case'!D235))*'external balance'!H235</f>
        <v>242.27245054843496</v>
      </c>
      <c r="I236" s="35"/>
    </row>
    <row r="237" spans="2:9">
      <c r="B237" s="35">
        <f ca="1">('normal case'!AJ237*($K$6*'normal case'!D237*('normal case'!AJ237^'external balance'!$K$4)))/'normal case'!D237</f>
        <v>0.30447775876267213</v>
      </c>
      <c r="C237" s="35">
        <f ca="1">($K$5*$K$7*((1+$K$8)^'normal case'!A236)*'normal case'!AJ237^$K$3)/'normal case'!D237</f>
        <v>0.30747746557233269</v>
      </c>
      <c r="D237" s="96">
        <f ca="1">(C237-B237)+((('main page'!$U$38/100)*'normal case'!$D$3)/'normal case'!$D$3)</f>
        <v>2.9997068096605517E-3</v>
      </c>
      <c r="E237" s="35">
        <f ca="1">((('normal case'!T237/100)*'external balance'!H236)/('normal case'!D237/'normal case'!D236))</f>
        <v>8.4795356969924072</v>
      </c>
      <c r="F237" s="35">
        <f t="shared" ca="1" si="3"/>
        <v>8.4825354038020677</v>
      </c>
      <c r="H237" s="35">
        <f ca="1">D237+((1+'normal case'!T237/100)/('normal case'!D237/'normal case'!D236))*'external balance'!H236</f>
        <v>250.75498595223701</v>
      </c>
      <c r="I237" s="35"/>
    </row>
    <row r="238" spans="2:9">
      <c r="B238" s="35">
        <f ca="1">('normal case'!AJ238*($K$6*'normal case'!D238*('normal case'!AJ238^'external balance'!$K$4)))/'normal case'!D238</f>
        <v>0.30447775876267213</v>
      </c>
      <c r="C238" s="35">
        <f ca="1">($K$5*$K$7*((1+$K$8)^'normal case'!A237)*'normal case'!AJ238^$K$3)/'normal case'!D238</f>
        <v>0.30747746557233269</v>
      </c>
      <c r="D238" s="96">
        <f ca="1">(C238-B238)+((('main page'!$U$38/100)*'normal case'!$D$3)/'normal case'!$D$3)</f>
        <v>2.9997068096605517E-3</v>
      </c>
      <c r="E238" s="35">
        <f ca="1">((('normal case'!T238/100)*'external balance'!H237)/('normal case'!D238/'normal case'!D237))</f>
        <v>8.7764244335974873</v>
      </c>
      <c r="F238" s="35">
        <f t="shared" ca="1" si="3"/>
        <v>8.7794241404071478</v>
      </c>
      <c r="H238" s="35">
        <f ca="1">D238+((1+'normal case'!T238/100)/('normal case'!D238/'normal case'!D237))*'external balance'!H237</f>
        <v>259.53441009264412</v>
      </c>
      <c r="I238" s="35"/>
    </row>
    <row r="239" spans="2:9">
      <c r="B239" s="35">
        <f ca="1">('normal case'!AJ239*($K$6*'normal case'!D239*('normal case'!AJ239^'external balance'!$K$4)))/'normal case'!D239</f>
        <v>0.30447775876267213</v>
      </c>
      <c r="C239" s="35">
        <f ca="1">($K$5*$K$7*((1+$K$8)^'normal case'!A238)*'normal case'!AJ239^$K$3)/'normal case'!D239</f>
        <v>0.30747746557233269</v>
      </c>
      <c r="D239" s="96">
        <f ca="1">(C239-B239)+((('main page'!$U$38/100)*'normal case'!$D$3)/'normal case'!$D$3)</f>
        <v>2.9997068096605517E-3</v>
      </c>
      <c r="E239" s="35">
        <f ca="1">((('normal case'!T239/100)*'external balance'!H238)/('normal case'!D239/'normal case'!D238))</f>
        <v>9.0837042758952631</v>
      </c>
      <c r="F239" s="35">
        <f t="shared" ca="1" si="3"/>
        <v>9.0867039827049236</v>
      </c>
      <c r="H239" s="35">
        <f ca="1">D239+((1+'normal case'!T239/100)/('normal case'!D239/'normal case'!D238))*'external balance'!H238</f>
        <v>268.62111407534906</v>
      </c>
      <c r="I239" s="35"/>
    </row>
    <row r="240" spans="2:9">
      <c r="B240" s="35">
        <f ca="1">('normal case'!AJ240*($K$6*'normal case'!D240*('normal case'!AJ240^'external balance'!$K$4)))/'normal case'!D240</f>
        <v>0.30447775876267213</v>
      </c>
      <c r="C240" s="35">
        <f ca="1">($K$5*$K$7*((1+$K$8)^'normal case'!A239)*'normal case'!AJ240^$K$3)/'normal case'!D240</f>
        <v>0.30747746557233269</v>
      </c>
      <c r="D240" s="96">
        <f ca="1">(C240-B240)+((('main page'!$U$38/100)*'normal case'!$D$3)/'normal case'!$D$3)</f>
        <v>2.9997068096605517E-3</v>
      </c>
      <c r="E240" s="35">
        <f ca="1">((('normal case'!T240/100)*'external balance'!H239)/('normal case'!D240/'normal case'!D239))</f>
        <v>9.4017389125818873</v>
      </c>
      <c r="F240" s="35">
        <f t="shared" ca="1" si="3"/>
        <v>9.4047386193915479</v>
      </c>
      <c r="H240" s="35">
        <f ca="1">D240+((1+'normal case'!T240/100)/('normal case'!D240/'normal case'!D239))*'external balance'!H239</f>
        <v>278.02585269474059</v>
      </c>
      <c r="I240" s="35"/>
    </row>
    <row r="241" spans="2:9">
      <c r="B241" s="35">
        <f ca="1">('normal case'!AJ241*($K$6*'normal case'!D241*('normal case'!AJ241^'external balance'!$K$4)))/'normal case'!D241</f>
        <v>0.30447775876267213</v>
      </c>
      <c r="C241" s="35">
        <f ca="1">($K$5*$K$7*((1+$K$8)^'normal case'!A240)*'normal case'!AJ241^$K$3)/'normal case'!D241</f>
        <v>0.30747746557233269</v>
      </c>
      <c r="D241" s="96">
        <f ca="1">(C241-B241)+((('main page'!$U$38/100)*'normal case'!$D$3)/'normal case'!$D$3)</f>
        <v>2.9997068096605517E-3</v>
      </c>
      <c r="E241" s="35">
        <f ca="1">((('normal case'!T241/100)*'external balance'!H240)/('normal case'!D241/'normal case'!D240))</f>
        <v>9.7309047614577615</v>
      </c>
      <c r="F241" s="35">
        <f t="shared" ca="1" si="3"/>
        <v>9.7339044682674221</v>
      </c>
      <c r="H241" s="35">
        <f ca="1">D241+((1+'normal case'!T241/100)/('normal case'!D241/'normal case'!D240))*'external balance'!H240</f>
        <v>287.75975716300798</v>
      </c>
      <c r="I241" s="35"/>
    </row>
    <row r="242" spans="2:9">
      <c r="B242" s="35">
        <f ca="1">('normal case'!AJ242*($K$6*'normal case'!D242*('normal case'!AJ242^'external balance'!$K$4)))/'normal case'!D242</f>
        <v>0.30447775876267213</v>
      </c>
      <c r="C242" s="35">
        <f ca="1">($K$5*$K$7*((1+$K$8)^'normal case'!A241)*'normal case'!AJ242^$K$3)/'normal case'!D242</f>
        <v>0.30747746557233269</v>
      </c>
      <c r="D242" s="96">
        <f ca="1">(C242-B242)+((('main page'!$U$38/100)*'normal case'!$D$3)/'normal case'!$D$3)</f>
        <v>2.9997068096605517E-3</v>
      </c>
      <c r="E242" s="35">
        <f ca="1">((('normal case'!T242/100)*'external balance'!H241)/('normal case'!D242/'normal case'!D241))</f>
        <v>10.071591414946189</v>
      </c>
      <c r="F242" s="35">
        <f t="shared" ca="1" si="3"/>
        <v>10.07459112175585</v>
      </c>
      <c r="H242" s="35">
        <f ca="1">D242+((1+'normal case'!T242/100)/('normal case'!D242/'normal case'!D241))*'external balance'!H241</f>
        <v>297.83434828476379</v>
      </c>
      <c r="I242" s="35"/>
    </row>
    <row r="243" spans="2:9">
      <c r="B243" s="35">
        <f ca="1">('normal case'!AJ243*($K$6*'normal case'!D243*('normal case'!AJ243^'external balance'!$K$4)))/'normal case'!D243</f>
        <v>0.30447775876267213</v>
      </c>
      <c r="C243" s="35">
        <f ca="1">($K$5*$K$7*((1+$K$8)^'normal case'!A242)*'normal case'!AJ243^$K$3)/'normal case'!D243</f>
        <v>0.30747746557233269</v>
      </c>
      <c r="D243" s="96">
        <f ca="1">(C243-B243)+((('main page'!$U$38/100)*'normal case'!$D$3)/'normal case'!$D$3)</f>
        <v>2.9997068096605517E-3</v>
      </c>
      <c r="E243" s="35">
        <f ca="1">((('normal case'!T243/100)*'external balance'!H242)/('normal case'!D243/'normal case'!D242))</f>
        <v>10.42420210120518</v>
      </c>
      <c r="F243" s="35">
        <f t="shared" ca="1" si="3"/>
        <v>10.427201808014841</v>
      </c>
      <c r="H243" s="35">
        <f ca="1">D243+((1+'normal case'!T243/100)/('normal case'!D243/'normal case'!D242))*'external balance'!H242</f>
        <v>308.26155009277863</v>
      </c>
      <c r="I243" s="35"/>
    </row>
    <row r="244" spans="2:9">
      <c r="B244" s="35">
        <f ca="1">('normal case'!AJ244*($K$6*'normal case'!D244*('normal case'!AJ244^'external balance'!$K$4)))/'normal case'!D244</f>
        <v>0.30447775876267213</v>
      </c>
      <c r="C244" s="35">
        <f ca="1">($K$5*$K$7*((1+$K$8)^'normal case'!A243)*'normal case'!AJ244^$K$3)/'normal case'!D244</f>
        <v>0.30747746557233269</v>
      </c>
      <c r="D244" s="96">
        <f ca="1">(C244-B244)+((('main page'!$U$38/100)*'normal case'!$D$3)/'normal case'!$D$3)</f>
        <v>2.9997068096605517E-3</v>
      </c>
      <c r="E244" s="35">
        <f ca="1">((('normal case'!T244/100)*'external balance'!H243)/('normal case'!D244/'normal case'!D243))</f>
        <v>10.789154161378152</v>
      </c>
      <c r="F244" s="35">
        <f t="shared" ca="1" si="3"/>
        <v>10.792153868187812</v>
      </c>
      <c r="H244" s="35">
        <f ca="1">D244+((1+'normal case'!T244/100)/('normal case'!D244/'normal case'!D243))*'external balance'!H243</f>
        <v>319.0537039609664</v>
      </c>
      <c r="I244" s="35"/>
    </row>
    <row r="245" spans="2:9">
      <c r="B245" s="35">
        <f ca="1">('normal case'!AJ245*($K$6*'normal case'!D245*('normal case'!AJ245^'external balance'!$K$4)))/'normal case'!D245</f>
        <v>0.30447775876267213</v>
      </c>
      <c r="C245" s="35">
        <f ca="1">($K$5*$K$7*((1+$K$8)^'normal case'!A244)*'normal case'!AJ245^$K$3)/'normal case'!D245</f>
        <v>0.30747746557233269</v>
      </c>
      <c r="D245" s="96">
        <f ca="1">(C245-B245)+((('main page'!$U$38/100)*'normal case'!$D$3)/'normal case'!$D$3)</f>
        <v>2.9997068096605517E-3</v>
      </c>
      <c r="E245" s="35">
        <f ca="1">((('normal case'!T245/100)*'external balance'!H244)/('normal case'!D245/'normal case'!D244))</f>
        <v>11.166879543548411</v>
      </c>
      <c r="F245" s="35">
        <f t="shared" ca="1" si="3"/>
        <v>11.169879250358072</v>
      </c>
      <c r="H245" s="35">
        <f ca="1">D245+((1+'normal case'!T245/100)/('normal case'!D245/'normal case'!D244))*'external balance'!H244</f>
        <v>330.22358321132447</v>
      </c>
      <c r="I245" s="35"/>
    </row>
    <row r="246" spans="2:9">
      <c r="B246" s="35">
        <f ca="1">('normal case'!AJ246*($K$6*'normal case'!D246*('normal case'!AJ246^'external balance'!$K$4)))/'normal case'!D246</f>
        <v>0.30447775876267213</v>
      </c>
      <c r="C246" s="35">
        <f ca="1">($K$5*$K$7*((1+$K$8)^'normal case'!A245)*'normal case'!AJ246^$K$3)/'normal case'!D246</f>
        <v>0.30747746557233269</v>
      </c>
      <c r="D246" s="96">
        <f ca="1">(C246-B246)+((('main page'!$U$38/100)*'normal case'!$D$3)/'normal case'!$D$3)</f>
        <v>2.9997068096605517E-3</v>
      </c>
      <c r="E246" s="35">
        <f ca="1">((('normal case'!T246/100)*'external balance'!H245)/('normal case'!D246/'normal case'!D245))</f>
        <v>11.557825313982061</v>
      </c>
      <c r="F246" s="35">
        <f t="shared" ca="1" si="3"/>
        <v>11.560825020791722</v>
      </c>
      <c r="H246" s="35">
        <f ca="1">D246+((1+'normal case'!T246/100)/('normal case'!D246/'normal case'!D245))*'external balance'!H245</f>
        <v>341.78440823211616</v>
      </c>
      <c r="I246" s="35"/>
    </row>
    <row r="247" spans="2:9">
      <c r="B247" s="35">
        <f ca="1">('normal case'!AJ247*($K$6*'normal case'!D247*('normal case'!AJ247^'external balance'!$K$4)))/'normal case'!D247</f>
        <v>0.30447775876267213</v>
      </c>
      <c r="C247" s="35">
        <f ca="1">($K$5*$K$7*((1+$K$8)^'normal case'!A246)*'normal case'!AJ247^$K$3)/'normal case'!D247</f>
        <v>0.30747746557233269</v>
      </c>
      <c r="D247" s="96">
        <f ca="1">(C247-B247)+((('main page'!$U$38/100)*'normal case'!$D$3)/'normal case'!$D$3)</f>
        <v>2.9997068096605517E-3</v>
      </c>
      <c r="E247" s="35">
        <f ca="1">((('normal case'!T247/100)*'external balance'!H246)/('normal case'!D247/'normal case'!D246))</f>
        <v>11.962454186264376</v>
      </c>
      <c r="F247" s="35">
        <f t="shared" ca="1" si="3"/>
        <v>11.965453893074036</v>
      </c>
      <c r="H247" s="35">
        <f ca="1">D247+((1+'normal case'!T247/100)/('normal case'!D247/'normal case'!D246))*'external balance'!H246</f>
        <v>353.74986212519019</v>
      </c>
      <c r="I247" s="35"/>
    </row>
    <row r="248" spans="2:9">
      <c r="B248" s="35">
        <f ca="1">('normal case'!AJ248*($K$6*'normal case'!D248*('normal case'!AJ248^'external balance'!$K$4)))/'normal case'!D248</f>
        <v>0.30447775876267213</v>
      </c>
      <c r="C248" s="35">
        <f ca="1">($K$5*$K$7*((1+$K$8)^'normal case'!A247)*'normal case'!AJ248^$K$3)/'normal case'!D248</f>
        <v>0.30747746557233269</v>
      </c>
      <c r="D248" s="96">
        <f ca="1">(C248-B248)+((('main page'!$U$38/100)*'normal case'!$D$3)/'normal case'!$D$3)</f>
        <v>2.9997068096605517E-3</v>
      </c>
      <c r="E248" s="35">
        <f ca="1">((('normal case'!T248/100)*'external balance'!H247)/('normal case'!D248/'normal case'!D247))</f>
        <v>12.381245068955984</v>
      </c>
      <c r="F248" s="35">
        <f t="shared" ca="1" si="3"/>
        <v>12.384244775765644</v>
      </c>
      <c r="H248" s="35">
        <f ca="1">D248+((1+'normal case'!T248/100)/('normal case'!D248/'normal case'!D247))*'external balance'!H247</f>
        <v>366.13410690095583</v>
      </c>
      <c r="I248" s="35"/>
    </row>
    <row r="249" spans="2:9">
      <c r="B249" s="35">
        <f ca="1">('normal case'!AJ249*($K$6*'normal case'!D249*('normal case'!AJ249^'external balance'!$K$4)))/'normal case'!D249</f>
        <v>0.30447775876267213</v>
      </c>
      <c r="C249" s="35">
        <f ca="1">($K$5*$K$7*((1+$K$8)^'normal case'!A248)*'normal case'!AJ249^$K$3)/'normal case'!D249</f>
        <v>0.30747746557233269</v>
      </c>
      <c r="D249" s="96">
        <f ca="1">(C249-B249)+((('main page'!$U$38/100)*'normal case'!$D$3)/'normal case'!$D$3)</f>
        <v>2.9997068096605517E-3</v>
      </c>
      <c r="E249" s="35">
        <f ca="1">((('normal case'!T249/100)*'external balance'!H248)/('normal case'!D249/'normal case'!D248))</f>
        <v>12.814693632416988</v>
      </c>
      <c r="F249" s="35">
        <f t="shared" ca="1" si="3"/>
        <v>12.817693339226649</v>
      </c>
      <c r="H249" s="35">
        <f ca="1">D249+((1+'normal case'!T249/100)/('normal case'!D249/'normal case'!D248))*'external balance'!H248</f>
        <v>378.95180024018248</v>
      </c>
      <c r="I249" s="35"/>
    </row>
    <row r="250" spans="2:9">
      <c r="B250" s="35">
        <f ca="1">('normal case'!AJ250*($K$6*'normal case'!D250*('normal case'!AJ250^'external balance'!$K$4)))/'normal case'!D250</f>
        <v>0.30447775876267213</v>
      </c>
      <c r="C250" s="35">
        <f ca="1">($K$5*$K$7*((1+$K$8)^'normal case'!A249)*'normal case'!AJ250^$K$3)/'normal case'!D250</f>
        <v>0.30747746557233269</v>
      </c>
      <c r="D250" s="96">
        <f ca="1">(C250-B250)+((('main page'!$U$38/100)*'normal case'!$D$3)/'normal case'!$D$3)</f>
        <v>2.9997068096605517E-3</v>
      </c>
      <c r="E250" s="35">
        <f ca="1">((('normal case'!T250/100)*'external balance'!H249)/('normal case'!D250/'normal case'!D249))</f>
        <v>13.263312895469952</v>
      </c>
      <c r="F250" s="35">
        <f t="shared" ca="1" si="3"/>
        <v>13.266312602279612</v>
      </c>
      <c r="H250" s="35">
        <f ca="1">D250+((1+'normal case'!T250/100)/('normal case'!D250/'normal case'!D249))*'external balance'!H249</f>
        <v>392.21811284246206</v>
      </c>
      <c r="I250" s="35"/>
    </row>
    <row r="251" spans="2:9">
      <c r="B251" s="35">
        <f ca="1">('normal case'!AJ251*($K$6*'normal case'!D251*('normal case'!AJ251^'external balance'!$K$4)))/'normal case'!D251</f>
        <v>0.30447775876267213</v>
      </c>
      <c r="C251" s="35">
        <f ca="1">($K$5*$K$7*((1+$K$8)^'normal case'!A250)*'normal case'!AJ251^$K$3)/'normal case'!D251</f>
        <v>0.30747746557233269</v>
      </c>
      <c r="D251" s="96">
        <f ca="1">(C251-B251)+((('main page'!$U$38/100)*'normal case'!$D$3)/'normal case'!$D$3)</f>
        <v>2.9997068096605517E-3</v>
      </c>
      <c r="E251" s="35">
        <f ca="1">((('normal case'!T251/100)*'external balance'!H250)/('normal case'!D251/'normal case'!D250))</f>
        <v>13.727633832596068</v>
      </c>
      <c r="F251" s="35">
        <f t="shared" ca="1" si="3"/>
        <v>13.730633539405728</v>
      </c>
      <c r="H251" s="35">
        <f ca="1">D251+((1+'normal case'!T251/100)/('normal case'!D251/'normal case'!D250))*'external balance'!H250</f>
        <v>405.94874638186775</v>
      </c>
      <c r="I251" s="35"/>
    </row>
    <row r="252" spans="2:9">
      <c r="B252" s="35">
        <f ca="1">('normal case'!AJ252*($K$6*'normal case'!D252*('normal case'!AJ252^'external balance'!$K$4)))/'normal case'!D252</f>
        <v>0.30447775876267213</v>
      </c>
      <c r="C252" s="35">
        <f ca="1">($K$5*$K$7*((1+$K$8)^'normal case'!A251)*'normal case'!AJ252^$K$3)/'normal case'!D252</f>
        <v>0.30747746557233269</v>
      </c>
      <c r="D252" s="96">
        <f ca="1">(C252-B252)+((('main page'!$U$38/100)*'normal case'!$D$3)/'normal case'!$D$3)</f>
        <v>2.9997068096605517E-3</v>
      </c>
      <c r="E252" s="35">
        <f ca="1">((('normal case'!T252/100)*'external balance'!H251)/('normal case'!D252/'normal case'!D251))</f>
        <v>14.208206002383218</v>
      </c>
      <c r="F252" s="35">
        <f t="shared" ca="1" si="3"/>
        <v>14.211205709192878</v>
      </c>
      <c r="H252" s="35">
        <f ca="1">D252+((1+'normal case'!T252/100)/('normal case'!D252/'normal case'!D251))*'external balance'!H251</f>
        <v>420.15995209106063</v>
      </c>
      <c r="I252" s="35"/>
    </row>
    <row r="253" spans="2:9">
      <c r="B253" s="35">
        <f ca="1">('normal case'!AJ253*($K$6*'normal case'!D253*('normal case'!AJ253^'external balance'!$K$4)))/'normal case'!D253</f>
        <v>0.30447775876267213</v>
      </c>
      <c r="C253" s="35">
        <f ca="1">($K$5*$K$7*((1+$K$8)^'normal case'!A252)*'normal case'!AJ253^$K$3)/'normal case'!D253</f>
        <v>0.30747746557233269</v>
      </c>
      <c r="D253" s="96">
        <f ca="1">(C253-B253)+((('main page'!$U$38/100)*'normal case'!$D$3)/'normal case'!$D$3)</f>
        <v>2.9997068096605517E-3</v>
      </c>
      <c r="E253" s="35">
        <f ca="1">((('normal case'!T253/100)*'external balance'!H252)/('normal case'!D253/'normal case'!D252))</f>
        <v>14.705598197969699</v>
      </c>
      <c r="F253" s="35">
        <f t="shared" ca="1" si="3"/>
        <v>14.70859790477936</v>
      </c>
      <c r="H253" s="35">
        <f ca="1">D253+((1+'normal case'!T253/100)/('normal case'!D253/'normal case'!D252))*'external balance'!H252</f>
        <v>434.86854999583994</v>
      </c>
      <c r="I253" s="35"/>
    </row>
    <row r="254" spans="2:9">
      <c r="B254" s="35">
        <f ca="1">('normal case'!AJ254*($K$6*'normal case'!D254*('normal case'!AJ254^'external balance'!$K$4)))/'normal case'!D254</f>
        <v>0.30447775876267213</v>
      </c>
      <c r="C254" s="35">
        <f ca="1">($K$5*$K$7*((1+$K$8)^'normal case'!A253)*'normal case'!AJ254^$K$3)/'normal case'!D254</f>
        <v>0.30747746557233269</v>
      </c>
      <c r="D254" s="96">
        <f ca="1">(C254-B254)+((('main page'!$U$38/100)*'normal case'!$D$3)/'normal case'!$D$3)</f>
        <v>2.9997068096605517E-3</v>
      </c>
      <c r="E254" s="35">
        <f ca="1">((('normal case'!T254/100)*'external balance'!H253)/('normal case'!D254/'normal case'!D253))</f>
        <v>15.220399120253472</v>
      </c>
      <c r="F254" s="35">
        <f t="shared" ca="1" si="3"/>
        <v>15.223398827063132</v>
      </c>
      <c r="H254" s="35">
        <f ca="1">D254+((1+'normal case'!T254/100)/('normal case'!D254/'normal case'!D253))*'external balance'!H253</f>
        <v>450.09194882290308</v>
      </c>
      <c r="I254" s="35"/>
    </row>
    <row r="255" spans="2:9">
      <c r="B255" s="35">
        <f ca="1">('normal case'!AJ255*($K$6*'normal case'!D255*('normal case'!AJ255^'external balance'!$K$4)))/'normal case'!D255</f>
        <v>0.30447775876267213</v>
      </c>
      <c r="C255" s="35">
        <f ca="1">($K$5*$K$7*((1+$K$8)^'normal case'!A254)*'normal case'!AJ255^$K$3)/'normal case'!D255</f>
        <v>0.30747746557233269</v>
      </c>
      <c r="D255" s="96">
        <f ca="1">(C255-B255)+((('main page'!$U$38/100)*'normal case'!$D$3)/'normal case'!$D$3)</f>
        <v>2.9997068096605517E-3</v>
      </c>
      <c r="E255" s="35">
        <f ca="1">((('normal case'!T255/100)*'external balance'!H254)/('normal case'!D255/'normal case'!D254))</f>
        <v>15.753218074663755</v>
      </c>
      <c r="F255" s="35">
        <f t="shared" ca="1" si="3"/>
        <v>15.756217781473415</v>
      </c>
      <c r="H255" s="35">
        <f ca="1">D255+((1+'normal case'!T255/100)/('normal case'!D255/'normal case'!D254))*'external balance'!H254</f>
        <v>465.84816660437644</v>
      </c>
      <c r="I255" s="35"/>
    </row>
    <row r="256" spans="2:9">
      <c r="B256" s="35">
        <f ca="1">('normal case'!AJ256*($K$6*'normal case'!D256*('normal case'!AJ256^'external balance'!$K$4)))/'normal case'!D256</f>
        <v>0.30447775876267213</v>
      </c>
      <c r="C256" s="35">
        <f ca="1">($K$5*$K$7*((1+$K$8)^'normal case'!A255)*'normal case'!AJ256^$K$3)/'normal case'!D256</f>
        <v>0.30747746557233269</v>
      </c>
      <c r="D256" s="96">
        <f ca="1">(C256-B256)+((('main page'!$U$38/100)*'normal case'!$D$3)/'normal case'!$D$3)</f>
        <v>2.9997068096605517E-3</v>
      </c>
      <c r="E256" s="35">
        <f ca="1">((('normal case'!T256/100)*'external balance'!H255)/('normal case'!D256/'normal case'!D255))</f>
        <v>16.304685692319605</v>
      </c>
      <c r="F256" s="35">
        <f t="shared" ca="1" si="3"/>
        <v>16.307685399129266</v>
      </c>
      <c r="H256" s="35">
        <f ca="1">D256+((1+'normal case'!T256/100)/('normal case'!D256/'normal case'!D255))*'external balance'!H255</f>
        <v>482.15585200350569</v>
      </c>
      <c r="I256" s="35"/>
    </row>
    <row r="257" spans="2:9">
      <c r="B257" s="35">
        <f ca="1">('normal case'!AJ257*($K$6*'normal case'!D257*('normal case'!AJ257^'external balance'!$K$4)))/'normal case'!D257</f>
        <v>0.30447775876267213</v>
      </c>
      <c r="C257" s="35">
        <f ca="1">($K$5*$K$7*((1+$K$8)^'normal case'!A256)*'normal case'!AJ257^$K$3)/'normal case'!D257</f>
        <v>0.30747746557233269</v>
      </c>
      <c r="D257" s="96">
        <f ca="1">(C257-B257)+((('main page'!$U$38/100)*'normal case'!$D$3)/'normal case'!$D$3)</f>
        <v>2.9997068096605517E-3</v>
      </c>
      <c r="E257" s="35">
        <f ca="1">((('normal case'!T257/100)*'external balance'!H256)/('normal case'!D257/'normal case'!D256))</f>
        <v>16.875454676429058</v>
      </c>
      <c r="F257" s="35">
        <f t="shared" ca="1" si="3"/>
        <v>16.878454383238719</v>
      </c>
      <c r="H257" s="35">
        <f ca="1">D257+((1+'normal case'!T257/100)/('normal case'!D257/'normal case'!D256))*'external balance'!H256</f>
        <v>499.03430638674439</v>
      </c>
      <c r="I257" s="35"/>
    </row>
    <row r="258" spans="2:9">
      <c r="B258" s="35">
        <f ca="1">('normal case'!AJ258*($K$6*'normal case'!D258*('normal case'!AJ258^'external balance'!$K$4)))/'normal case'!D258</f>
        <v>0.30447775876267213</v>
      </c>
      <c r="C258" s="35">
        <f ca="1">($K$5*$K$7*((1+$K$8)^'normal case'!A257)*'normal case'!AJ258^$K$3)/'normal case'!D258</f>
        <v>0.30747746557233269</v>
      </c>
      <c r="D258" s="96">
        <f ca="1">(C258-B258)+((('main page'!$U$38/100)*'normal case'!$D$3)/'normal case'!$D$3)</f>
        <v>2.9997068096605517E-3</v>
      </c>
      <c r="E258" s="35">
        <f ca="1">((('normal case'!T258/100)*'external balance'!H257)/('normal case'!D258/'normal case'!D257))</f>
        <v>17.466200574812241</v>
      </c>
      <c r="F258" s="35">
        <f t="shared" ca="1" si="3"/>
        <v>17.469200281621902</v>
      </c>
      <c r="H258" s="35">
        <f ca="1">D258+((1+'normal case'!T258/100)/('normal case'!D258/'normal case'!D257))*'external balance'!H257</f>
        <v>516.5035066683663</v>
      </c>
      <c r="I258" s="35"/>
    </row>
    <row r="259" spans="2:9">
      <c r="B259" s="35">
        <f ca="1">('normal case'!AJ259*($K$6*'normal case'!D259*('normal case'!AJ259^'external balance'!$K$4)))/'normal case'!D259</f>
        <v>0.30447775876267213</v>
      </c>
      <c r="C259" s="35">
        <f ca="1">($K$5*$K$7*((1+$K$8)^'normal case'!A258)*'normal case'!AJ259^$K$3)/'normal case'!D259</f>
        <v>0.30747746557233269</v>
      </c>
      <c r="D259" s="96">
        <f ca="1">(C259-B259)+((('main page'!$U$38/100)*'normal case'!$D$3)/'normal case'!$D$3)</f>
        <v>2.9997068096605517E-3</v>
      </c>
      <c r="E259" s="35">
        <f ca="1">((('normal case'!T259/100)*'external balance'!H258)/('normal case'!D259/'normal case'!D258))</f>
        <v>18.077622579462783</v>
      </c>
      <c r="F259" s="35">
        <f t="shared" ca="1" si="3"/>
        <v>18.080622286272444</v>
      </c>
      <c r="H259" s="35">
        <f ca="1">D259+((1+'normal case'!T259/100)/('normal case'!D259/'normal case'!D258))*'external balance'!H258</f>
        <v>534.58412895463869</v>
      </c>
      <c r="I259" s="35"/>
    </row>
    <row r="260" spans="2:9">
      <c r="B260" s="35">
        <f ca="1">('normal case'!AJ260*($K$6*'normal case'!D260*('normal case'!AJ260^'external balance'!$K$4)))/'normal case'!D260</f>
        <v>0.30447775876267213</v>
      </c>
      <c r="C260" s="35">
        <f ca="1">($K$5*$K$7*((1+$K$8)^'normal case'!A259)*'normal case'!AJ260^$K$3)/'normal case'!D260</f>
        <v>0.30747746557233269</v>
      </c>
      <c r="D260" s="96">
        <f ca="1">(C260-B260)+((('main page'!$U$38/100)*'normal case'!$D$3)/'normal case'!$D$3)</f>
        <v>2.9997068096605517E-3</v>
      </c>
      <c r="E260" s="35">
        <f ca="1">((('normal case'!T260/100)*'external balance'!H259)/('normal case'!D260/'normal case'!D259))</f>
        <v>18.71044435409387</v>
      </c>
      <c r="F260" s="35">
        <f t="shared" ca="1" si="3"/>
        <v>18.71344406090353</v>
      </c>
      <c r="H260" s="35">
        <f ca="1">D260+((1+'normal case'!T260/100)/('normal case'!D260/'normal case'!D259))*'external balance'!H259</f>
        <v>553.29757301554218</v>
      </c>
      <c r="I260" s="35"/>
    </row>
    <row r="261" spans="2:9">
      <c r="B261" s="35">
        <f ca="1">('normal case'!AJ261*($K$6*'normal case'!D261*('normal case'!AJ261^'external balance'!$K$4)))/'normal case'!D261</f>
        <v>0.30447775876267213</v>
      </c>
      <c r="C261" s="35">
        <f ca="1">($K$5*$K$7*((1+$K$8)^'normal case'!A260)*'normal case'!AJ261^$K$3)/'normal case'!D261</f>
        <v>0.30747746557233269</v>
      </c>
      <c r="D261" s="96">
        <f ca="1">(C261-B261)+((('main page'!$U$38/100)*'normal case'!$D$3)/'normal case'!$D$3)</f>
        <v>2.9997068096605517E-3</v>
      </c>
      <c r="E261" s="35">
        <f ca="1">((('normal case'!T261/100)*'external balance'!H260)/('normal case'!D261/'normal case'!D260))</f>
        <v>19.365414890648452</v>
      </c>
      <c r="F261" s="35">
        <f t="shared" ref="F261:F304" ca="1" si="4">IF(ABS(D261+E261-F260)&lt;0.0000001,F260,D261+E261)</f>
        <v>19.368414597458113</v>
      </c>
      <c r="H261" s="35">
        <f ca="1">D261+((1+'normal case'!T261/100)/('normal case'!D261/'normal case'!D260))*'external balance'!H260</f>
        <v>572.66598761300031</v>
      </c>
      <c r="I261" s="35"/>
    </row>
    <row r="262" spans="2:9">
      <c r="B262" s="35">
        <f ca="1">('normal case'!AJ262*($K$6*'normal case'!D262*('normal case'!AJ262^'external balance'!$K$4)))/'normal case'!D262</f>
        <v>0.30447775876267213</v>
      </c>
      <c r="C262" s="35">
        <f ca="1">($K$5*$K$7*((1+$K$8)^'normal case'!A261)*'normal case'!AJ262^$K$3)/'normal case'!D262</f>
        <v>0.30747746557233269</v>
      </c>
      <c r="D262" s="96">
        <f ca="1">(C262-B262)+((('main page'!$U$38/100)*'normal case'!$D$3)/'normal case'!$D$3)</f>
        <v>2.9997068096605517E-3</v>
      </c>
      <c r="E262" s="35">
        <f ca="1">((('normal case'!T262/100)*'external balance'!H261)/('normal case'!D262/'normal case'!D261))</f>
        <v>20.043309395787247</v>
      </c>
      <c r="F262" s="35">
        <f t="shared" ca="1" si="4"/>
        <v>20.046309102596908</v>
      </c>
      <c r="H262" s="35">
        <f ca="1">D262+((1+'normal case'!T262/100)/('normal case'!D262/'normal case'!D261))*'external balance'!H261</f>
        <v>592.71229671559718</v>
      </c>
      <c r="I262" s="35"/>
    </row>
    <row r="263" spans="2:9">
      <c r="B263" s="35">
        <f ca="1">('normal case'!AJ263*($K$6*'normal case'!D263*('normal case'!AJ263^'external balance'!$K$4)))/'normal case'!D263</f>
        <v>0.30447775876267213</v>
      </c>
      <c r="C263" s="35">
        <f ca="1">($K$5*$K$7*((1+$K$8)^'normal case'!A262)*'normal case'!AJ263^$K$3)/'normal case'!D263</f>
        <v>0.30747746557233269</v>
      </c>
      <c r="D263" s="96">
        <f ca="1">(C263-B263)+((('main page'!$U$38/100)*'normal case'!$D$3)/'normal case'!$D$3)</f>
        <v>2.9997068096605517E-3</v>
      </c>
      <c r="E263" s="35">
        <f ca="1">((('normal case'!T263/100)*'external balance'!H262)/('normal case'!D263/'normal case'!D262))</f>
        <v>20.744930208403872</v>
      </c>
      <c r="F263" s="35">
        <f t="shared" ca="1" si="4"/>
        <v>20.747929915213533</v>
      </c>
      <c r="H263" s="35">
        <f ca="1">D263+((1+'normal case'!T263/100)/('normal case'!D263/'normal case'!D262))*'external balance'!H262</f>
        <v>613.46022663081067</v>
      </c>
      <c r="I263" s="35"/>
    </row>
    <row r="264" spans="2:9">
      <c r="B264" s="35">
        <f ca="1">('normal case'!AJ264*($K$6*'normal case'!D264*('normal case'!AJ264^'external balance'!$K$4)))/'normal case'!D264</f>
        <v>0.30447775876267213</v>
      </c>
      <c r="C264" s="35">
        <f ca="1">($K$5*$K$7*((1+$K$8)^'normal case'!A263)*'normal case'!AJ264^$K$3)/'normal case'!D264</f>
        <v>0.30747746557233269</v>
      </c>
      <c r="D264" s="96">
        <f ca="1">(C264-B264)+((('main page'!$U$38/100)*'normal case'!$D$3)/'normal case'!$D$3)</f>
        <v>2.9997068096605517E-3</v>
      </c>
      <c r="E264" s="35">
        <f ca="1">((('normal case'!T264/100)*'external balance'!H263)/('normal case'!D264/'normal case'!D263))</f>
        <v>21.47110774925298</v>
      </c>
      <c r="F264" s="35">
        <f t="shared" ca="1" si="4"/>
        <v>21.47410745606264</v>
      </c>
      <c r="H264" s="35">
        <f ca="1">D264+((1+'normal case'!T264/100)/('normal case'!D264/'normal case'!D263))*'external balance'!H263</f>
        <v>634.93433408687326</v>
      </c>
      <c r="I264" s="35"/>
    </row>
    <row r="265" spans="2:9">
      <c r="B265" s="35">
        <f ca="1">('normal case'!AJ265*($K$6*'normal case'!D265*('normal case'!AJ265^'external balance'!$K$4)))/'normal case'!D265</f>
        <v>0.30447775876267213</v>
      </c>
      <c r="C265" s="35">
        <f ca="1">($K$5*$K$7*((1+$K$8)^'normal case'!A264)*'normal case'!AJ265^$K$3)/'normal case'!D265</f>
        <v>0.30747746557233269</v>
      </c>
      <c r="D265" s="96">
        <f ca="1">(C265-B265)+((('main page'!$U$38/100)*'normal case'!$D$3)/'normal case'!$D$3)</f>
        <v>2.9997068096605517E-3</v>
      </c>
      <c r="E265" s="35">
        <f ca="1">((('normal case'!T265/100)*'external balance'!H264)/('normal case'!D265/'normal case'!D264))</f>
        <v>22.22270150381539</v>
      </c>
      <c r="F265" s="35">
        <f t="shared" ca="1" si="4"/>
        <v>22.225701210625051</v>
      </c>
      <c r="H265" s="35">
        <f ca="1">D265+((1+'normal case'!T265/100)/('normal case'!D265/'normal case'!D264))*'external balance'!H264</f>
        <v>657.16003529749833</v>
      </c>
      <c r="I265" s="35"/>
    </row>
    <row r="266" spans="2:9">
      <c r="B266" s="35">
        <f ca="1">('normal case'!AJ266*($K$6*'normal case'!D266*('normal case'!AJ266^'external balance'!$K$4)))/'normal case'!D266</f>
        <v>0.30447775876267213</v>
      </c>
      <c r="C266" s="35">
        <f ca="1">($K$5*$K$7*((1+$K$8)^'normal case'!A265)*'normal case'!AJ266^$K$3)/'normal case'!D266</f>
        <v>0.30747746557233269</v>
      </c>
      <c r="D266" s="96">
        <f ca="1">(C266-B266)+((('main page'!$U$38/100)*'normal case'!$D$3)/'normal case'!$D$3)</f>
        <v>2.9997068096605517E-3</v>
      </c>
      <c r="E266" s="35">
        <f ca="1">((('normal case'!T266/100)*'external balance'!H265)/('normal case'!D266/'normal case'!D265))</f>
        <v>23.000601039563492</v>
      </c>
      <c r="F266" s="35">
        <f t="shared" ca="1" si="4"/>
        <v>23.003600746373152</v>
      </c>
      <c r="H266" s="35">
        <f ca="1">D266+((1+'normal case'!T266/100)/('normal case'!D266/'normal case'!D265))*'external balance'!H265</f>
        <v>680.16363604387141</v>
      </c>
      <c r="I266" s="35"/>
    </row>
    <row r="267" spans="2:9">
      <c r="B267" s="35">
        <f ca="1">('normal case'!AJ267*($K$6*'normal case'!D267*('normal case'!AJ267^'external balance'!$K$4)))/'normal case'!D267</f>
        <v>0.30447775876267213</v>
      </c>
      <c r="C267" s="35">
        <f ca="1">($K$5*$K$7*((1+$K$8)^'normal case'!A266)*'normal case'!AJ267^$K$3)/'normal case'!D267</f>
        <v>0.30747746557233269</v>
      </c>
      <c r="D267" s="96">
        <f ca="1">(C267-B267)+((('main page'!$U$38/100)*'normal case'!$D$3)/'normal case'!$D$3)</f>
        <v>2.9997068096605517E-3</v>
      </c>
      <c r="E267" s="35">
        <f ca="1">((('normal case'!T267/100)*'external balance'!H266)/('normal case'!D267/'normal case'!D266))</f>
        <v>23.805727058830943</v>
      </c>
      <c r="F267" s="35">
        <f t="shared" ca="1" si="4"/>
        <v>23.808726765640603</v>
      </c>
      <c r="H267" s="35">
        <f ca="1">D267+((1+'normal case'!T267/100)/('normal case'!D267/'normal case'!D266))*'external balance'!H266</f>
        <v>703.97236280951199</v>
      </c>
      <c r="I267" s="35"/>
    </row>
    <row r="268" spans="2:9">
      <c r="B268" s="35">
        <f ca="1">('normal case'!AJ268*($K$6*'normal case'!D268*('normal case'!AJ268^'external balance'!$K$4)))/'normal case'!D268</f>
        <v>0.30447775876267213</v>
      </c>
      <c r="C268" s="35">
        <f ca="1">($K$5*$K$7*((1+$K$8)^'normal case'!A267)*'normal case'!AJ268^$K$3)/'normal case'!D268</f>
        <v>0.30747746557233269</v>
      </c>
      <c r="D268" s="96">
        <f ca="1">(C268-B268)+((('main page'!$U$38/100)*'normal case'!$D$3)/'normal case'!$D$3)</f>
        <v>2.9997068096605517E-3</v>
      </c>
      <c r="E268" s="35">
        <f ca="1">((('normal case'!T268/100)*'external balance'!H267)/('normal case'!D268/'normal case'!D267))</f>
        <v>24.639032488532809</v>
      </c>
      <c r="F268" s="35">
        <f t="shared" ca="1" si="4"/>
        <v>24.64203219534247</v>
      </c>
      <c r="H268" s="35">
        <f ca="1">D268+((1+'normal case'!T268/100)/('normal case'!D268/'normal case'!D267))*'external balance'!H267</f>
        <v>728.61439500485449</v>
      </c>
      <c r="I268" s="35"/>
    </row>
    <row r="269" spans="2:9">
      <c r="B269" s="35">
        <f ca="1">('normal case'!AJ269*($K$6*'normal case'!D269*('normal case'!AJ269^'external balance'!$K$4)))/'normal case'!D269</f>
        <v>0.30447775876267213</v>
      </c>
      <c r="C269" s="35">
        <f ca="1">($K$5*$K$7*((1+$K$8)^'normal case'!A268)*'normal case'!AJ269^$K$3)/'normal case'!D269</f>
        <v>0.30747746557233269</v>
      </c>
      <c r="D269" s="96">
        <f ca="1">(C269-B269)+((('main page'!$U$38/100)*'normal case'!$D$3)/'normal case'!$D$3)</f>
        <v>2.9997068096605517E-3</v>
      </c>
      <c r="E269" s="35">
        <f ca="1">((('normal case'!T269/100)*'external balance'!H268)/('normal case'!D269/'normal case'!D268))</f>
        <v>25.501503608025899</v>
      </c>
      <c r="F269" s="35">
        <f t="shared" ca="1" si="4"/>
        <v>25.50450331483556</v>
      </c>
      <c r="H269" s="35">
        <f ca="1">D269+((1+'normal case'!T269/100)/('normal case'!D269/'normal case'!D268))*'external balance'!H268</f>
        <v>754.11889831969006</v>
      </c>
      <c r="I269" s="35"/>
    </row>
    <row r="270" spans="2:9">
      <c r="B270" s="35">
        <f ca="1">('normal case'!AJ270*($K$6*'normal case'!D270*('normal case'!AJ270^'external balance'!$K$4)))/'normal case'!D270</f>
        <v>0.30447775876267213</v>
      </c>
      <c r="C270" s="35">
        <f ca="1">($K$5*$K$7*((1+$K$8)^'normal case'!A269)*'normal case'!AJ270^$K$3)/'normal case'!D270</f>
        <v>0.30747746557233269</v>
      </c>
      <c r="D270" s="96">
        <f ca="1">(C270-B270)+((('main page'!$U$38/100)*'normal case'!$D$3)/'normal case'!$D$3)</f>
        <v>2.9997068096605517E-3</v>
      </c>
      <c r="E270" s="35">
        <f ca="1">((('normal case'!T270/100)*'external balance'!H269)/('normal case'!D270/'normal case'!D269))</f>
        <v>26.394161216444211</v>
      </c>
      <c r="F270" s="35">
        <f t="shared" ca="1" si="4"/>
        <v>26.397160923253871</v>
      </c>
      <c r="H270" s="35">
        <f ca="1">D270+((1+'normal case'!T270/100)/('normal case'!D270/'normal case'!D269))*'external balance'!H269</f>
        <v>780.51605924294392</v>
      </c>
      <c r="I270" s="35"/>
    </row>
    <row r="271" spans="2:9">
      <c r="B271" s="35">
        <f ca="1">('normal case'!AJ271*($K$6*'normal case'!D271*('normal case'!AJ271^'external balance'!$K$4)))/'normal case'!D271</f>
        <v>0.30447775876267213</v>
      </c>
      <c r="C271" s="35">
        <f ca="1">($K$5*$K$7*((1+$K$8)^'normal case'!A270)*'normal case'!AJ271^$K$3)/'normal case'!D271</f>
        <v>0.30747746557233269</v>
      </c>
      <c r="D271" s="96">
        <f ca="1">(C271-B271)+((('main page'!$U$38/100)*'normal case'!$D$3)/'normal case'!$D$3)</f>
        <v>2.9997068096605517E-3</v>
      </c>
      <c r="E271" s="35">
        <f ca="1">((('normal case'!T271/100)*'external balance'!H270)/('normal case'!D271/'normal case'!D270))</f>
        <v>27.318061840891126</v>
      </c>
      <c r="F271" s="35">
        <f t="shared" ca="1" si="4"/>
        <v>27.321061547700786</v>
      </c>
      <c r="H271" s="35">
        <f ca="1">D271+((1+'normal case'!T271/100)/('normal case'!D271/'normal case'!D270))*'external balance'!H270</f>
        <v>807.83712079064469</v>
      </c>
      <c r="I271" s="35"/>
    </row>
    <row r="272" spans="2:9">
      <c r="B272" s="35">
        <f ca="1">('normal case'!AJ272*($K$6*'normal case'!D272*('normal case'!AJ272^'external balance'!$K$4)))/'normal case'!D272</f>
        <v>0.30447775876267213</v>
      </c>
      <c r="C272" s="35">
        <f ca="1">($K$5*$K$7*((1+$K$8)^'normal case'!A271)*'normal case'!AJ272^$K$3)/'normal case'!D272</f>
        <v>0.30747746557233269</v>
      </c>
      <c r="D272" s="96">
        <f ca="1">(C272-B272)+((('main page'!$U$38/100)*'normal case'!$D$3)/'normal case'!$D$3)</f>
        <v>2.9997068096605517E-3</v>
      </c>
      <c r="E272" s="35">
        <f ca="1">((('normal case'!T272/100)*'external balance'!H271)/('normal case'!D272/'normal case'!D271))</f>
        <v>28.274298986918343</v>
      </c>
      <c r="F272" s="35">
        <f t="shared" ca="1" si="4"/>
        <v>28.277298693728003</v>
      </c>
      <c r="H272" s="35">
        <f ca="1">D272+((1+'normal case'!T272/100)/('normal case'!D272/'normal case'!D271))*'external balance'!H271</f>
        <v>836.11441948437266</v>
      </c>
      <c r="I272" s="35"/>
    </row>
    <row r="273" spans="2:9">
      <c r="B273" s="35">
        <f ca="1">('normal case'!AJ273*($K$6*'normal case'!D273*('normal case'!AJ273^'external balance'!$K$4)))/'normal case'!D273</f>
        <v>0.30447775876267213</v>
      </c>
      <c r="C273" s="35">
        <f ca="1">($K$5*$K$7*((1+$K$8)^'normal case'!A272)*'normal case'!AJ273^$K$3)/'normal case'!D273</f>
        <v>0.30747746557233269</v>
      </c>
      <c r="D273" s="96">
        <f ca="1">(C273-B273)+((('main page'!$U$38/100)*'normal case'!$D$3)/'normal case'!$D$3)</f>
        <v>2.9997068096605517E-3</v>
      </c>
      <c r="E273" s="35">
        <f ca="1">((('normal case'!T273/100)*'external balance'!H272)/('normal case'!D273/'normal case'!D272))</f>
        <v>29.264004432771532</v>
      </c>
      <c r="F273" s="35">
        <f t="shared" ca="1" si="4"/>
        <v>29.267004139581193</v>
      </c>
      <c r="H273" s="35">
        <f ca="1">D273+((1+'normal case'!T273/100)/('normal case'!D273/'normal case'!D272))*'external balance'!H272</f>
        <v>865.38142362395376</v>
      </c>
      <c r="I273" s="35"/>
    </row>
    <row r="274" spans="2:9">
      <c r="B274" s="35">
        <f ca="1">('normal case'!AJ274*($K$6*'normal case'!D274*('normal case'!AJ274^'external balance'!$K$4)))/'normal case'!D274</f>
        <v>0.30447775876267213</v>
      </c>
      <c r="C274" s="35">
        <f ca="1">($K$5*$K$7*((1+$K$8)^'normal case'!A273)*'normal case'!AJ274^$K$3)/'normal case'!D274</f>
        <v>0.30747746557233269</v>
      </c>
      <c r="D274" s="96">
        <f ca="1">(C274-B274)+((('main page'!$U$38/100)*'normal case'!$D$3)/'normal case'!$D$3)</f>
        <v>2.9997068096605517E-3</v>
      </c>
      <c r="E274" s="35">
        <f ca="1">((('normal case'!T274/100)*'external balance'!H273)/('normal case'!D274/'normal case'!D273))</f>
        <v>30.288349568934624</v>
      </c>
      <c r="F274" s="35">
        <f t="shared" ca="1" si="4"/>
        <v>30.291349275744285</v>
      </c>
      <c r="H274" s="35">
        <f ca="1">D274+((1+'normal case'!T274/100)/('normal case'!D274/'normal case'!D273))*'external balance'!H273</f>
        <v>895.67277289969797</v>
      </c>
      <c r="I274" s="35"/>
    </row>
    <row r="275" spans="2:9">
      <c r="B275" s="35">
        <f ca="1">('normal case'!AJ275*($K$6*'normal case'!D275*('normal case'!AJ275^'external balance'!$K$4)))/'normal case'!D275</f>
        <v>0.30447775876267213</v>
      </c>
      <c r="C275" s="35">
        <f ca="1">($K$5*$K$7*((1+$K$8)^'normal case'!A274)*'normal case'!AJ275^$K$3)/'normal case'!D275</f>
        <v>0.30747746557233269</v>
      </c>
      <c r="D275" s="96">
        <f ca="1">(C275-B275)+((('main page'!$U$38/100)*'normal case'!$D$3)/'normal case'!$D$3)</f>
        <v>2.9997068096605517E-3</v>
      </c>
      <c r="E275" s="35">
        <f ca="1">((('normal case'!T275/100)*'external balance'!H274)/('normal case'!D275/'normal case'!D274))</f>
        <v>31.348546784558145</v>
      </c>
      <c r="F275" s="35">
        <f t="shared" ca="1" si="4"/>
        <v>31.351546491367806</v>
      </c>
      <c r="H275" s="35">
        <f ca="1">D275+((1+'normal case'!T275/100)/('normal case'!D275/'normal case'!D274))*'external balance'!H274</f>
        <v>927.02431939106577</v>
      </c>
      <c r="I275" s="35"/>
    </row>
    <row r="276" spans="2:9">
      <c r="B276" s="35">
        <f ca="1">('normal case'!AJ276*($K$6*'normal case'!D276*('normal case'!AJ276^'external balance'!$K$4)))/'normal case'!D276</f>
        <v>0.30447775876267213</v>
      </c>
      <c r="C276" s="35">
        <f ca="1">($K$5*$K$7*((1+$K$8)^'normal case'!A275)*'normal case'!AJ276^$K$3)/'normal case'!D276</f>
        <v>0.30747746557233269</v>
      </c>
      <c r="D276" s="96">
        <f ca="1">(C276-B276)+((('main page'!$U$38/100)*'normal case'!$D$3)/'normal case'!$D$3)</f>
        <v>2.9997068096605517E-3</v>
      </c>
      <c r="E276" s="35">
        <f ca="1">((('normal case'!T276/100)*'external balance'!H275)/('normal case'!D276/'normal case'!D275))</f>
        <v>32.445850902412531</v>
      </c>
      <c r="F276" s="35">
        <f t="shared" ca="1" si="4"/>
        <v>32.448850609222191</v>
      </c>
      <c r="H276" s="35">
        <f ca="1">D276+((1+'normal case'!T276/100)/('normal case'!D276/'normal case'!D275))*'external balance'!H275</f>
        <v>959.47317000028795</v>
      </c>
      <c r="I276" s="35"/>
    </row>
    <row r="277" spans="2:9">
      <c r="B277" s="35">
        <f ca="1">('normal case'!AJ277*($K$6*'normal case'!D277*('normal case'!AJ277^'external balance'!$K$4)))/'normal case'!D277</f>
        <v>0.30447775876267213</v>
      </c>
      <c r="C277" s="35">
        <f ca="1">($K$5*$K$7*((1+$K$8)^'normal case'!A276)*'normal case'!AJ277^$K$3)/'normal case'!D277</f>
        <v>0.30747746557233269</v>
      </c>
      <c r="D277" s="96">
        <f ca="1">(C277-B277)+((('main page'!$U$38/100)*'normal case'!$D$3)/'normal case'!$D$3)</f>
        <v>2.9997068096605517E-3</v>
      </c>
      <c r="E277" s="35">
        <f ca="1">((('normal case'!T277/100)*'external balance'!H276)/('normal case'!D277/'normal case'!D276))</f>
        <v>33.581560664064796</v>
      </c>
      <c r="F277" s="35">
        <f t="shared" ca="1" si="4"/>
        <v>33.584560370874456</v>
      </c>
      <c r="H277" s="35">
        <f ca="1">D277+((1+'normal case'!T277/100)/('normal case'!D277/'normal case'!D276))*'external balance'!H276</f>
        <v>993.05773037116239</v>
      </c>
      <c r="I277" s="35"/>
    </row>
    <row r="278" spans="2:9">
      <c r="B278" s="35">
        <f ca="1">('normal case'!AJ278*($K$6*'normal case'!D278*('normal case'!AJ278^'external balance'!$K$4)))/'normal case'!D278</f>
        <v>0.30447775876267213</v>
      </c>
      <c r="C278" s="35">
        <f ca="1">($K$5*$K$7*((1+$K$8)^'normal case'!A277)*'normal case'!AJ278^$K$3)/'normal case'!D278</f>
        <v>0.30747746557233269</v>
      </c>
      <c r="D278" s="96">
        <f ca="1">(C278-B278)+((('main page'!$U$38/100)*'normal case'!$D$3)/'normal case'!$D$3)</f>
        <v>2.9997068096605517E-3</v>
      </c>
      <c r="E278" s="35">
        <f ca="1">((('normal case'!T278/100)*'external balance'!H277)/('normal case'!D278/'normal case'!D277))</f>
        <v>34.757020267036424</v>
      </c>
      <c r="F278" s="35">
        <f t="shared" ca="1" si="4"/>
        <v>34.760019973846084</v>
      </c>
      <c r="H278" s="35">
        <f ca="1">D278+((1+'normal case'!T278/100)/('normal case'!D278/'normal case'!D277))*'external balance'!H277</f>
        <v>1027.8177503450086</v>
      </c>
      <c r="I278" s="35"/>
    </row>
    <row r="279" spans="2:9">
      <c r="B279" s="35">
        <f ca="1">('normal case'!AJ279*($K$6*'normal case'!D279*('normal case'!AJ279^'external balance'!$K$4)))/'normal case'!D279</f>
        <v>0.30447775876267213</v>
      </c>
      <c r="C279" s="35">
        <f ca="1">($K$5*$K$7*((1+$K$8)^'normal case'!A278)*'normal case'!AJ279^$K$3)/'normal case'!D279</f>
        <v>0.30747746557233269</v>
      </c>
      <c r="D279" s="96">
        <f ca="1">(C279-B279)+((('main page'!$U$38/100)*'normal case'!$D$3)/'normal case'!$D$3)</f>
        <v>2.9997068096605517E-3</v>
      </c>
      <c r="E279" s="35">
        <f ca="1">((('normal case'!T279/100)*'external balance'!H278)/('normal case'!D279/'normal case'!D278))</f>
        <v>35.973620955761746</v>
      </c>
      <c r="F279" s="35">
        <f t="shared" ca="1" si="4"/>
        <v>35.976620662571406</v>
      </c>
      <c r="H279" s="35">
        <f ca="1">D279+((1+'normal case'!T279/100)/('normal case'!D279/'normal case'!D278))*'external balance'!H278</f>
        <v>1063.7943710075801</v>
      </c>
      <c r="I279" s="35"/>
    </row>
    <row r="280" spans="2:9">
      <c r="B280" s="35">
        <f ca="1">('normal case'!AJ280*($K$6*'normal case'!D280*('normal case'!AJ280^'external balance'!$K$4)))/'normal case'!D280</f>
        <v>0.30447775876267213</v>
      </c>
      <c r="C280" s="35">
        <f ca="1">($K$5*$K$7*((1+$K$8)^'normal case'!A279)*'normal case'!AJ280^$K$3)/'normal case'!D280</f>
        <v>0.30747746557233269</v>
      </c>
      <c r="D280" s="96">
        <f ca="1">(C280-B280)+((('main page'!$U$38/100)*'normal case'!$D$3)/'normal case'!$D$3)</f>
        <v>2.9997068096605517E-3</v>
      </c>
      <c r="E280" s="35">
        <f ca="1">((('normal case'!T280/100)*'external balance'!H279)/('normal case'!D280/'normal case'!D279))</f>
        <v>37.23280266822988</v>
      </c>
      <c r="F280" s="35">
        <f t="shared" ca="1" si="4"/>
        <v>37.23580237503954</v>
      </c>
      <c r="H280" s="35">
        <f ca="1">D280+((1+'normal case'!T280/100)/('normal case'!D280/'normal case'!D279))*'external balance'!H279</f>
        <v>1101.0301733826198</v>
      </c>
      <c r="I280" s="35"/>
    </row>
    <row r="281" spans="2:9">
      <c r="B281" s="35">
        <f ca="1">('normal case'!AJ281*($K$6*'normal case'!D281*('normal case'!AJ281^'external balance'!$K$4)))/'normal case'!D281</f>
        <v>0.30447775876267213</v>
      </c>
      <c r="C281" s="35">
        <f ca="1">($K$5*$K$7*((1+$K$8)^'normal case'!A280)*'normal case'!AJ281^$K$3)/'normal case'!D281</f>
        <v>0.30747746557233269</v>
      </c>
      <c r="D281" s="96">
        <f ca="1">(C281-B281)+((('main page'!$U$38/100)*'normal case'!$D$3)/'normal case'!$D$3)</f>
        <v>2.9997068096605517E-3</v>
      </c>
      <c r="E281" s="35">
        <f ca="1">((('normal case'!T281/100)*'external balance'!H280)/('normal case'!D281/'normal case'!D280))</f>
        <v>38.53605574025913</v>
      </c>
      <c r="F281" s="35">
        <f t="shared" ca="1" si="4"/>
        <v>38.53905544706879</v>
      </c>
      <c r="H281" s="35">
        <f ca="1">D281+((1+'normal case'!T281/100)/('normal case'!D281/'normal case'!D280))*'external balance'!H280</f>
        <v>1139.5692288296887</v>
      </c>
      <c r="I281" s="35"/>
    </row>
    <row r="282" spans="2:9">
      <c r="B282" s="35">
        <f ca="1">('normal case'!AJ282*($K$6*'normal case'!D282*('normal case'!AJ282^'external balance'!$K$4)))/'normal case'!D282</f>
        <v>0.30447775876267213</v>
      </c>
      <c r="C282" s="35">
        <f ca="1">($K$5*$K$7*((1+$K$8)^'normal case'!A281)*'normal case'!AJ282^$K$3)/'normal case'!D282</f>
        <v>0.30747746557233269</v>
      </c>
      <c r="D282" s="96">
        <f ca="1">(C282-B282)+((('main page'!$U$38/100)*'normal case'!$D$3)/'normal case'!$D$3)</f>
        <v>2.9997068096605517E-3</v>
      </c>
      <c r="E282" s="35">
        <f ca="1">((('normal case'!T282/100)*'external balance'!H281)/('normal case'!D282/'normal case'!D281))</f>
        <v>39.884922669421009</v>
      </c>
      <c r="F282" s="35">
        <f t="shared" ca="1" si="4"/>
        <v>39.887922376230669</v>
      </c>
      <c r="H282" s="35">
        <f ca="1">D282+((1+'normal case'!T282/100)/('normal case'!D282/'normal case'!D281))*'external balance'!H281</f>
        <v>1179.4571512059194</v>
      </c>
      <c r="I282" s="35"/>
    </row>
    <row r="283" spans="2:9">
      <c r="B283" s="35">
        <f ca="1">('normal case'!AJ283*($K$6*'normal case'!D283*('normal case'!AJ283^'external balance'!$K$4)))/'normal case'!D283</f>
        <v>0.30447775876267213</v>
      </c>
      <c r="C283" s="35">
        <f ca="1">($K$5*$K$7*((1+$K$8)^'normal case'!A282)*'normal case'!AJ283^$K$3)/'normal case'!D283</f>
        <v>0.30747746557233269</v>
      </c>
      <c r="D283" s="96">
        <f ca="1">(C283-B283)+((('main page'!$U$38/100)*'normal case'!$D$3)/'normal case'!$D$3)</f>
        <v>2.9997068096605517E-3</v>
      </c>
      <c r="E283" s="35">
        <f ca="1">((('normal case'!T283/100)*'external balance'!H282)/('normal case'!D283/'normal case'!D282))</f>
        <v>41.280999940701562</v>
      </c>
      <c r="F283" s="35">
        <f t="shared" ca="1" si="4"/>
        <v>41.283999647511223</v>
      </c>
      <c r="H283" s="35">
        <f ca="1">D283+((1+'normal case'!T283/100)/('normal case'!D283/'normal case'!D282))*'external balance'!H282</f>
        <v>1220.7411508534308</v>
      </c>
      <c r="I283" s="35"/>
    </row>
    <row r="284" spans="2:9">
      <c r="B284" s="35">
        <f ca="1">('normal case'!AJ284*($K$6*'normal case'!D284*('normal case'!AJ284^'external balance'!$K$4)))/'normal case'!D284</f>
        <v>0.30447775876267213</v>
      </c>
      <c r="C284" s="35">
        <f ca="1">($K$5*$K$7*((1+$K$8)^'normal case'!A283)*'normal case'!AJ284^$K$3)/'normal case'!D284</f>
        <v>0.30747746557233269</v>
      </c>
      <c r="D284" s="96">
        <f ca="1">(C284-B284)+((('main page'!$U$38/100)*'normal case'!$D$3)/'normal case'!$D$3)</f>
        <v>2.9997068096605517E-3</v>
      </c>
      <c r="E284" s="35">
        <f ca="1">((('normal case'!T284/100)*'external balance'!H283)/('normal case'!D284/'normal case'!D283))</f>
        <v>42.725939916060867</v>
      </c>
      <c r="F284" s="35">
        <f t="shared" ca="1" si="4"/>
        <v>42.728939622870527</v>
      </c>
      <c r="H284" s="35">
        <f ca="1">D284+((1+'normal case'!T284/100)/('normal case'!D284/'normal case'!D283))*'external balance'!H283</f>
        <v>1263.4700904763015</v>
      </c>
      <c r="I284" s="35"/>
    </row>
    <row r="285" spans="2:9">
      <c r="B285" s="35">
        <f ca="1">('normal case'!AJ285*($K$6*'normal case'!D285*('normal case'!AJ285^'external balance'!$K$4)))/'normal case'!D285</f>
        <v>0.30447775876267213</v>
      </c>
      <c r="C285" s="35">
        <f ca="1">($K$5*$K$7*((1+$K$8)^'normal case'!A284)*'normal case'!AJ285^$K$3)/'normal case'!D285</f>
        <v>0.30747746557233269</v>
      </c>
      <c r="D285" s="96">
        <f ca="1">(C285-B285)+((('main page'!$U$38/100)*'normal case'!$D$3)/'normal case'!$D$3)</f>
        <v>2.9997068096605517E-3</v>
      </c>
      <c r="E285" s="35">
        <f ca="1">((('normal case'!T285/100)*'external balance'!H284)/('normal case'!D285/'normal case'!D284))</f>
        <v>44.221452790127124</v>
      </c>
      <c r="F285" s="35">
        <f t="shared" ca="1" si="4"/>
        <v>44.224452496936784</v>
      </c>
      <c r="H285" s="35">
        <f ca="1">D285+((1+'normal case'!T285/100)/('normal case'!D285/'normal case'!D284))*'external balance'!H284</f>
        <v>1307.6945429732384</v>
      </c>
      <c r="I285" s="35"/>
    </row>
    <row r="286" spans="2:9">
      <c r="B286" s="35">
        <f ca="1">('normal case'!AJ286*($K$6*'normal case'!D286*('normal case'!AJ286^'external balance'!$K$4)))/'normal case'!D286</f>
        <v>0.30447775876267213</v>
      </c>
      <c r="C286" s="35">
        <f ca="1">($K$5*$K$7*((1+$K$8)^'normal case'!A285)*'normal case'!AJ286^$K$3)/'normal case'!D286</f>
        <v>0.30747746557233269</v>
      </c>
      <c r="D286" s="96">
        <f ca="1">(C286-B286)+((('main page'!$U$38/100)*'normal case'!$D$3)/'normal case'!$D$3)</f>
        <v>2.9997068096605517E-3</v>
      </c>
      <c r="E286" s="35">
        <f ca="1">((('normal case'!T286/100)*'external balance'!H285)/('normal case'!D286/'normal case'!D285))</f>
        <v>45.769308614340005</v>
      </c>
      <c r="F286" s="35">
        <f t="shared" ca="1" si="4"/>
        <v>45.772308321149666</v>
      </c>
      <c r="H286" s="35">
        <f ca="1">D286+((1+'normal case'!T286/100)/('normal case'!D286/'normal case'!D285))*'external balance'!H285</f>
        <v>1353.4668512943881</v>
      </c>
      <c r="I286" s="35"/>
    </row>
    <row r="287" spans="2:9">
      <c r="B287" s="35">
        <f ca="1">('normal case'!AJ287*($K$6*'normal case'!D287*('normal case'!AJ287^'external balance'!$K$4)))/'normal case'!D287</f>
        <v>0.30447775876267213</v>
      </c>
      <c r="C287" s="35">
        <f ca="1">($K$5*$K$7*((1+$K$8)^'normal case'!A286)*'normal case'!AJ287^$K$3)/'normal case'!D287</f>
        <v>0.30747746557233269</v>
      </c>
      <c r="D287" s="96">
        <f ca="1">(C287-B287)+((('main page'!$U$38/100)*'normal case'!$D$3)/'normal case'!$D$3)</f>
        <v>2.9997068096605517E-3</v>
      </c>
      <c r="E287" s="35">
        <f ca="1">((('normal case'!T287/100)*'external balance'!H286)/('normal case'!D287/'normal case'!D286))</f>
        <v>47.371339391939031</v>
      </c>
      <c r="F287" s="35">
        <f t="shared" ca="1" si="4"/>
        <v>47.374339098748692</v>
      </c>
      <c r="H287" s="35">
        <f ca="1">D287+((1+'normal case'!T287/100)/('normal case'!D287/'normal case'!D286))*'external balance'!H286</f>
        <v>1400.8411903931369</v>
      </c>
      <c r="I287" s="35"/>
    </row>
    <row r="288" spans="2:9">
      <c r="B288" s="35">
        <f ca="1">('normal case'!AJ288*($K$6*'normal case'!D288*('normal case'!AJ288^'external balance'!$K$4)))/'normal case'!D288</f>
        <v>0.30447775876267213</v>
      </c>
      <c r="C288" s="35">
        <f ca="1">($K$5*$K$7*((1+$K$8)^'normal case'!A287)*'normal case'!AJ288^$K$3)/'normal case'!D288</f>
        <v>0.30747746557233269</v>
      </c>
      <c r="D288" s="96">
        <f ca="1">(C288-B288)+((('main page'!$U$38/100)*'normal case'!$D$3)/'normal case'!$D$3)</f>
        <v>2.9997068096605517E-3</v>
      </c>
      <c r="E288" s="35">
        <f ca="1">((('normal case'!T288/100)*'external balance'!H287)/('normal case'!D288/'normal case'!D287))</f>
        <v>49.029441246276591</v>
      </c>
      <c r="F288" s="35">
        <f t="shared" ca="1" si="4"/>
        <v>49.032440953086251</v>
      </c>
      <c r="H288" s="35">
        <f ca="1">D288+((1+'normal case'!T288/100)/('normal case'!D288/'normal case'!D287))*'external balance'!H287</f>
        <v>1449.8736313462232</v>
      </c>
      <c r="I288" s="35"/>
    </row>
    <row r="289" spans="2:9">
      <c r="B289" s="35">
        <f ca="1">('normal case'!AJ289*($K$6*'normal case'!D289*('normal case'!AJ289^'external balance'!$K$4)))/'normal case'!D289</f>
        <v>0.30447775876267213</v>
      </c>
      <c r="C289" s="35">
        <f ca="1">($K$5*$K$7*((1+$K$8)^'normal case'!A288)*'normal case'!AJ289^$K$3)/'normal case'!D289</f>
        <v>0.30747746557233269</v>
      </c>
      <c r="D289" s="96">
        <f ca="1">(C289-B289)+((('main page'!$U$38/100)*'normal case'!$D$3)/'normal case'!$D$3)</f>
        <v>2.9997068096605517E-3</v>
      </c>
      <c r="E289" s="35">
        <f ca="1">((('normal case'!T289/100)*'external balance'!H288)/('normal case'!D289/'normal case'!D288))</f>
        <v>50.745576665021801</v>
      </c>
      <c r="F289" s="35">
        <f t="shared" ca="1" si="4"/>
        <v>50.748576371831462</v>
      </c>
      <c r="H289" s="35">
        <f ca="1">D289+((1+'normal case'!T289/100)/('normal case'!D289/'normal case'!D288))*'external balance'!H288</f>
        <v>1500.6222077180548</v>
      </c>
      <c r="I289" s="35"/>
    </row>
    <row r="290" spans="2:9">
      <c r="B290" s="35">
        <f ca="1">('normal case'!AJ290*($K$6*'normal case'!D290*('normal case'!AJ290^'external balance'!$K$4)))/'normal case'!D290</f>
        <v>0.30447775876267213</v>
      </c>
      <c r="C290" s="35">
        <f ca="1">($K$5*$K$7*((1+$K$8)^'normal case'!A289)*'normal case'!AJ290^$K$3)/'normal case'!D290</f>
        <v>0.30747746557233269</v>
      </c>
      <c r="D290" s="96">
        <f ca="1">(C290-B290)+((('main page'!$U$38/100)*'normal case'!$D$3)/'normal case'!$D$3)</f>
        <v>2.9997068096605517E-3</v>
      </c>
      <c r="E290" s="35">
        <f ca="1">((('normal case'!T290/100)*'external balance'!H289)/('normal case'!D290/'normal case'!D289))</f>
        <v>52.521776822911654</v>
      </c>
      <c r="F290" s="35">
        <f t="shared" ca="1" si="4"/>
        <v>52.524776529721315</v>
      </c>
      <c r="H290" s="35">
        <f ca="1">D290+((1+'normal case'!T290/100)/('normal case'!D290/'normal case'!D289))*'external balance'!H289</f>
        <v>1553.1469842477761</v>
      </c>
      <c r="I290" s="35"/>
    </row>
    <row r="291" spans="2:9">
      <c r="B291" s="35">
        <f ca="1">('normal case'!AJ291*($K$6*'normal case'!D291*('normal case'!AJ291^'external balance'!$K$4)))/'normal case'!D291</f>
        <v>0.30447775876267213</v>
      </c>
      <c r="C291" s="35">
        <f ca="1">($K$5*$K$7*((1+$K$8)^'normal case'!A290)*'normal case'!AJ291^$K$3)/'normal case'!D291</f>
        <v>0.30747746557233269</v>
      </c>
      <c r="D291" s="96">
        <f ca="1">(C291-B291)+((('main page'!$U$38/100)*'normal case'!$D$3)/'normal case'!$D$3)</f>
        <v>2.9997068096605517E-3</v>
      </c>
      <c r="E291" s="35">
        <f ca="1">((('normal case'!T291/100)*'external balance'!H290)/('normal case'!D291/'normal case'!D290))</f>
        <v>54.360143985798295</v>
      </c>
      <c r="F291" s="35">
        <f t="shared" ca="1" si="4"/>
        <v>54.363143692607956</v>
      </c>
      <c r="H291" s="35">
        <f ca="1">D291+((1+'normal case'!T291/100)/('normal case'!D291/'normal case'!D290))*'external balance'!H290</f>
        <v>1607.5101279403841</v>
      </c>
      <c r="I291" s="35"/>
    </row>
    <row r="292" spans="2:9">
      <c r="B292" s="35">
        <f ca="1">('normal case'!AJ292*($K$6*'normal case'!D292*('normal case'!AJ292^'external balance'!$K$4)))/'normal case'!D292</f>
        <v>0.30447775876267213</v>
      </c>
      <c r="C292" s="35">
        <f ca="1">($K$5*$K$7*((1+$K$8)^'normal case'!A291)*'normal case'!AJ292^$K$3)/'normal case'!D292</f>
        <v>0.30747746557233269</v>
      </c>
      <c r="D292" s="96">
        <f ca="1">(C292-B292)+((('main page'!$U$38/100)*'normal case'!$D$3)/'normal case'!$D$3)</f>
        <v>2.9997068096605517E-3</v>
      </c>
      <c r="E292" s="35">
        <f ca="1">((('normal case'!T292/100)*'external balance'!H291)/('normal case'!D292/'normal case'!D291))</f>
        <v>56.262853998838096</v>
      </c>
      <c r="F292" s="35">
        <f t="shared" ca="1" si="4"/>
        <v>56.265853705647757</v>
      </c>
      <c r="H292" s="35">
        <f ca="1">D292+((1+'normal case'!T292/100)/('normal case'!D292/'normal case'!D291))*'external balance'!H291</f>
        <v>1663.7759816460318</v>
      </c>
      <c r="I292" s="35"/>
    </row>
    <row r="293" spans="2:9">
      <c r="B293" s="35">
        <f ca="1">('normal case'!AJ293*($K$6*'normal case'!D293*('normal case'!AJ293^'external balance'!$K$4)))/'normal case'!D293</f>
        <v>0.30447775876267213</v>
      </c>
      <c r="C293" s="35">
        <f ca="1">($K$5*$K$7*((1+$K$8)^'normal case'!A292)*'normal case'!AJ293^$K$3)/'normal case'!D293</f>
        <v>0.30747746557233269</v>
      </c>
      <c r="D293" s="96">
        <f ca="1">(C293-B293)+((('main page'!$U$38/100)*'normal case'!$D$3)/'normal case'!$D$3)</f>
        <v>2.9997068096605517E-3</v>
      </c>
      <c r="E293" s="35">
        <f ca="1">((('normal case'!T293/100)*'external balance'!H292)/('normal case'!D293/'normal case'!D292))</f>
        <v>58.232158861767239</v>
      </c>
      <c r="F293" s="35">
        <f t="shared" ca="1" si="4"/>
        <v>58.2351585685769</v>
      </c>
      <c r="H293" s="35">
        <f ca="1">D293+((1+'normal case'!T293/100)/('normal case'!D293/'normal case'!D292))*'external balance'!H292</f>
        <v>1722.0111402146088</v>
      </c>
      <c r="I293" s="35"/>
    </row>
    <row r="294" spans="2:9">
      <c r="B294" s="35">
        <f ca="1">('normal case'!AJ294*($K$6*'normal case'!D294*('normal case'!AJ294^'external balance'!$K$4)))/'normal case'!D294</f>
        <v>0.30447775876267213</v>
      </c>
      <c r="C294" s="35">
        <f ca="1">($K$5*$K$7*((1+$K$8)^'normal case'!A293)*'normal case'!AJ294^$K$3)/'normal case'!D294</f>
        <v>0.30747746557233269</v>
      </c>
      <c r="D294" s="96">
        <f ca="1">(C294-B294)+((('main page'!$U$38/100)*'normal case'!$D$3)/'normal case'!$D$3)</f>
        <v>2.9997068096605517E-3</v>
      </c>
      <c r="E294" s="35">
        <f ca="1">((('normal case'!T294/100)*'external balance'!H293)/('normal case'!D294/'normal case'!D293))</f>
        <v>60.270389394311998</v>
      </c>
      <c r="F294" s="35">
        <f t="shared" ca="1" si="4"/>
        <v>60.273389101121658</v>
      </c>
      <c r="H294" s="35">
        <f ca="1">D294+((1+'normal case'!T294/100)/('normal case'!D294/'normal case'!D293))*'external balance'!H293</f>
        <v>1782.2845293157304</v>
      </c>
      <c r="I294" s="35"/>
    </row>
    <row r="295" spans="2:9">
      <c r="B295" s="35">
        <f ca="1">('normal case'!AJ295*($K$6*'normal case'!D295*('normal case'!AJ295^'external balance'!$K$4)))/'normal case'!D295</f>
        <v>0.30447775876267213</v>
      </c>
      <c r="C295" s="35">
        <f ca="1">($K$5*$K$7*((1+$K$8)^'normal case'!A294)*'normal case'!AJ295^$K$3)/'normal case'!D295</f>
        <v>0.30747746557233269</v>
      </c>
      <c r="D295" s="96">
        <f ca="1">(C295-B295)+((('main page'!$U$38/100)*'normal case'!$D$3)/'normal case'!$D$3)</f>
        <v>2.9997068096605517E-3</v>
      </c>
      <c r="E295" s="35">
        <f ca="1">((('normal case'!T295/100)*'external balance'!H294)/('normal case'!D295/'normal case'!D294))</f>
        <v>62.379957994888386</v>
      </c>
      <c r="F295" s="35">
        <f t="shared" ca="1" si="4"/>
        <v>62.382957701698047</v>
      </c>
      <c r="H295" s="35">
        <f ca="1">D295+((1+'normal case'!T295/100)/('normal case'!D295/'normal case'!D294))*'external balance'!H294</f>
        <v>1844.6674870174286</v>
      </c>
      <c r="I295" s="35"/>
    </row>
    <row r="296" spans="2:9">
      <c r="B296" s="35">
        <f ca="1">('normal case'!AJ296*($K$6*'normal case'!D296*('normal case'!AJ296^'external balance'!$K$4)))/'normal case'!D296</f>
        <v>0.30447775876267213</v>
      </c>
      <c r="C296" s="35">
        <f ca="1">($K$5*$K$7*((1+$K$8)^'normal case'!A295)*'normal case'!AJ296^$K$3)/'normal case'!D296</f>
        <v>0.30747746557233269</v>
      </c>
      <c r="D296" s="96">
        <f ca="1">(C296-B296)+((('main page'!$U$38/100)*'normal case'!$D$3)/'normal case'!$D$3)</f>
        <v>2.9997068096605517E-3</v>
      </c>
      <c r="E296" s="35">
        <f ca="1">((('normal case'!T296/100)*'external balance'!H295)/('normal case'!D296/'normal case'!D295))</f>
        <v>64.563361495856256</v>
      </c>
      <c r="F296" s="35">
        <f t="shared" ca="1" si="4"/>
        <v>64.566361202665917</v>
      </c>
      <c r="H296" s="35">
        <f ca="1">D296+((1+'normal case'!T296/100)/('normal case'!D296/'normal case'!D295))*'external balance'!H295</f>
        <v>1909.2338482200946</v>
      </c>
      <c r="I296" s="35"/>
    </row>
    <row r="297" spans="2:9">
      <c r="B297" s="35">
        <f ca="1">('normal case'!AJ297*($K$6*'normal case'!D297*('normal case'!AJ297^'external balance'!$K$4)))/'normal case'!D297</f>
        <v>0.30447775876267213</v>
      </c>
      <c r="C297" s="35">
        <f ca="1">($K$5*$K$7*((1+$K$8)^'normal case'!A296)*'normal case'!AJ297^$K$3)/'normal case'!D297</f>
        <v>0.30747746557233269</v>
      </c>
      <c r="D297" s="96">
        <f ca="1">(C297-B297)+((('main page'!$U$38/100)*'normal case'!$D$3)/'normal case'!$D$3)</f>
        <v>2.9997068096605517E-3</v>
      </c>
      <c r="E297" s="35">
        <f ca="1">((('normal case'!T297/100)*'external balance'!H296)/('normal case'!D297/'normal case'!D296))</f>
        <v>66.823184118707289</v>
      </c>
      <c r="F297" s="35">
        <f t="shared" ca="1" si="4"/>
        <v>66.826183825516949</v>
      </c>
      <c r="H297" s="35">
        <f ca="1">D297+((1+'normal case'!T297/100)/('normal case'!D297/'normal case'!D296))*'external balance'!H296</f>
        <v>1976.0600320456117</v>
      </c>
      <c r="I297" s="35"/>
    </row>
    <row r="298" spans="2:9">
      <c r="B298" s="35">
        <f ca="1">('normal case'!AJ298*($K$6*'normal case'!D298*('normal case'!AJ298^'external balance'!$K$4)))/'normal case'!D298</f>
        <v>0.30447775876267213</v>
      </c>
      <c r="C298" s="35">
        <f ca="1">($K$5*$K$7*((1+$K$8)^'normal case'!A297)*'normal case'!AJ298^$K$3)/'normal case'!D298</f>
        <v>0.30747746557233269</v>
      </c>
      <c r="D298" s="96">
        <f ca="1">(C298-B298)+((('main page'!$U$38/100)*'normal case'!$D$3)/'normal case'!$D$3)</f>
        <v>2.9997068096605517E-3</v>
      </c>
      <c r="E298" s="35">
        <f ca="1">((('normal case'!T298/100)*'external balance'!H297)/('normal case'!D298/'normal case'!D297))</f>
        <v>69.162100532684633</v>
      </c>
      <c r="F298" s="35">
        <f t="shared" ca="1" si="4"/>
        <v>69.165100239494294</v>
      </c>
      <c r="H298" s="35">
        <f ca="1">D298+((1+'normal case'!T298/100)/('normal case'!D298/'normal case'!D297))*'external balance'!H297</f>
        <v>2045.2251322851062</v>
      </c>
      <c r="I298" s="35"/>
    </row>
    <row r="299" spans="2:9">
      <c r="B299" s="35">
        <f ca="1">('normal case'!AJ299*($K$6*'normal case'!D299*('normal case'!AJ299^'external balance'!$K$4)))/'normal case'!D299</f>
        <v>0.30447775876267213</v>
      </c>
      <c r="C299" s="35">
        <f ca="1">($K$5*$K$7*((1+$K$8)^'normal case'!A298)*'normal case'!AJ299^$K$3)/'normal case'!D299</f>
        <v>0.30747746557233269</v>
      </c>
      <c r="D299" s="96">
        <f ca="1">(C299-B299)+((('main page'!$U$38/100)*'normal case'!$D$3)/'normal case'!$D$3)</f>
        <v>2.9997068096605517E-3</v>
      </c>
      <c r="E299" s="35">
        <f ca="1">((('normal case'!T299/100)*'external balance'!H298)/('normal case'!D299/'normal case'!D298))</f>
        <v>71.582879020454129</v>
      </c>
      <c r="F299" s="35">
        <f t="shared" ca="1" si="4"/>
        <v>71.58587872726379</v>
      </c>
      <c r="H299" s="35">
        <f ca="1">D299+((1+'normal case'!T299/100)/('normal case'!D299/'normal case'!D298))*'external balance'!H298</f>
        <v>2116.8110110123698</v>
      </c>
      <c r="I299" s="35"/>
    </row>
    <row r="300" spans="2:9">
      <c r="B300" s="35">
        <f ca="1">('normal case'!AJ300*($K$6*'normal case'!D300*('normal case'!AJ300^'external balance'!$K$4)))/'normal case'!D300</f>
        <v>0.30447775876267213</v>
      </c>
      <c r="C300" s="35">
        <f ca="1">($K$5*$K$7*((1+$K$8)^'normal case'!A299)*'normal case'!AJ300^$K$3)/'normal case'!D300</f>
        <v>0.30747746557233269</v>
      </c>
      <c r="D300" s="96">
        <f ca="1">(C300-B300)+((('main page'!$U$38/100)*'normal case'!$D$3)/'normal case'!$D$3)</f>
        <v>2.9997068096605517E-3</v>
      </c>
      <c r="E300" s="35">
        <f ca="1">((('normal case'!T300/100)*'external balance'!H299)/('normal case'!D300/'normal case'!D299))</f>
        <v>74.088384754574108</v>
      </c>
      <c r="F300" s="35">
        <f t="shared" ca="1" si="4"/>
        <v>74.091384461383768</v>
      </c>
      <c r="H300" s="35">
        <f ca="1">D300+((1+'normal case'!T300/100)/('normal case'!D300/'normal case'!D299))*'external balance'!H299</f>
        <v>2190.9023954737536</v>
      </c>
      <c r="I300" s="35"/>
    </row>
    <row r="301" spans="2:9">
      <c r="B301" s="35">
        <f ca="1">('normal case'!AJ301*($K$6*'normal case'!D301*('normal case'!AJ301^'external balance'!$K$4)))/'normal case'!D301</f>
        <v>0.30447775876267213</v>
      </c>
      <c r="C301" s="35">
        <f ca="1">($K$5*$K$7*((1+$K$8)^'normal case'!A300)*'normal case'!AJ301^$K$3)/'normal case'!D301</f>
        <v>0.30747746557233269</v>
      </c>
      <c r="D301" s="96">
        <f ca="1">(C301-B301)+((('main page'!$U$38/100)*'normal case'!$D$3)/'normal case'!$D$3)</f>
        <v>2.9997068096605517E-3</v>
      </c>
      <c r="E301" s="35">
        <f ca="1">((('normal case'!T301/100)*'external balance'!H300)/('normal case'!D301/'normal case'!D300))</f>
        <v>76.681583188641582</v>
      </c>
      <c r="F301" s="35">
        <f t="shared" ca="1" si="4"/>
        <v>76.684582895451243</v>
      </c>
      <c r="H301" s="35">
        <f ca="1">D301+((1+'normal case'!T301/100)/('normal case'!D301/'normal case'!D300))*'external balance'!H300</f>
        <v>2267.5869783692046</v>
      </c>
      <c r="I301" s="35"/>
    </row>
    <row r="302" spans="2:9">
      <c r="B302" s="35">
        <f ca="1">('normal case'!AJ302*($K$6*'normal case'!D302*('normal case'!AJ302^'external balance'!$K$4)))/'normal case'!D302</f>
        <v>0.30447775876267213</v>
      </c>
      <c r="C302" s="35">
        <f ca="1">($K$5*$K$7*((1+$K$8)^'normal case'!A301)*'normal case'!AJ302^$K$3)/'normal case'!D302</f>
        <v>0.30747746557233269</v>
      </c>
      <c r="D302" s="96">
        <f ca="1">(C302-B302)+((('main page'!$U$38/100)*'normal case'!$D$3)/'normal case'!$D$3)</f>
        <v>2.9997068096605517E-3</v>
      </c>
      <c r="E302" s="35">
        <f ca="1">((('normal case'!T302/100)*'external balance'!H301)/('normal case'!D302/'normal case'!D301))</f>
        <v>79.365543567128583</v>
      </c>
      <c r="F302" s="35">
        <f t="shared" ca="1" si="4"/>
        <v>79.368543273938243</v>
      </c>
      <c r="H302" s="35">
        <f ca="1">D302+((1+'normal case'!T302/100)/('normal case'!D302/'normal case'!D301))*'external balance'!H301</f>
        <v>2346.9555216431427</v>
      </c>
      <c r="I302" s="35"/>
    </row>
    <row r="303" spans="2:9">
      <c r="B303" s="35">
        <f ca="1">('normal case'!AJ303*($K$6*'normal case'!D303*('normal case'!AJ303^'external balance'!$K$4)))/'normal case'!D303</f>
        <v>0.30447775876267213</v>
      </c>
      <c r="C303" s="35">
        <f ca="1">($K$5*$K$7*((1+$K$8)^'normal case'!A302)*'normal case'!AJ303^$K$3)/'normal case'!D303</f>
        <v>0.30747746557233269</v>
      </c>
      <c r="D303" s="96">
        <f ca="1">(C303-B303)+((('main page'!$U$38/100)*'normal case'!$D$3)/'normal case'!$D$3)</f>
        <v>2.9997068096605517E-3</v>
      </c>
      <c r="E303" s="35">
        <f ca="1">((('normal case'!T303/100)*'external balance'!H302)/('normal case'!D303/'normal case'!D302))</f>
        <v>82.143442558062745</v>
      </c>
      <c r="F303" s="35">
        <f t="shared" ca="1" si="4"/>
        <v>82.146442264872405</v>
      </c>
      <c r="H303" s="35">
        <f ca="1">D303+((1+'normal case'!T303/100)/('normal case'!D303/'normal case'!D302))*'external balance'!H302</f>
        <v>2429.101963908015</v>
      </c>
      <c r="I303" s="35"/>
    </row>
    <row r="304" spans="2:9">
      <c r="B304" s="35">
        <f ca="1">('normal case'!AJ304*($K$6*'normal case'!D304*('normal case'!AJ304^'external balance'!$K$4)))/'normal case'!D304</f>
        <v>0.30447775876267213</v>
      </c>
      <c r="C304" s="35">
        <f ca="1">($K$5*$K$7*((1+$K$8)^'normal case'!A303)*'normal case'!AJ304^$K$3)/'normal case'!D304</f>
        <v>0.30747746557233269</v>
      </c>
      <c r="D304" s="96">
        <f ca="1">(C304-B304)+((('main page'!$U$38/100)*'normal case'!$D$3)/'normal case'!$D$3)</f>
        <v>2.9997068096605517E-3</v>
      </c>
      <c r="E304" s="35">
        <f ca="1">((('normal case'!T304/100)*'external balance'!H303)/('normal case'!D304/'normal case'!D303))</f>
        <v>85.01856801285173</v>
      </c>
      <c r="F304" s="35">
        <f t="shared" ca="1" si="4"/>
        <v>85.021567719661391</v>
      </c>
      <c r="H304" s="35">
        <f ca="1">D304+((1+'normal case'!T304/100)/('normal case'!D304/'normal case'!D303))*'external balance'!H303</f>
        <v>2514.1235316276761</v>
      </c>
      <c r="I304" s="35"/>
    </row>
    <row r="305" spans="2:8">
      <c r="B305" s="35">
        <f ca="1">('normal case'!AJ305*($K$6*'normal case'!D305*('normal case'!AJ305^'external balance'!$K$4)))/'normal case'!D305</f>
        <v>0.30447775876267213</v>
      </c>
      <c r="C305" s="35">
        <f ca="1">($K$5*$K$7*((1+$K$8)^'normal case'!A304)*'normal case'!AJ305^$K$3)/'normal case'!D305</f>
        <v>0.30747746557233269</v>
      </c>
      <c r="D305" s="96">
        <f ca="1">(C305-B305)+((('main page'!$U$38/100)*'normal case'!$D$3)/'normal case'!$D$3)</f>
        <v>2.9997068096605517E-3</v>
      </c>
      <c r="E305" s="35">
        <f ca="1">((('normal case'!T305/100)*'external balance'!H304)/('normal case'!D305/'normal case'!D304))</f>
        <v>87.994322857701476</v>
      </c>
      <c r="F305" s="35">
        <f t="shared" ref="F305:F368" ca="1" si="5">IF(ABS(D305+E305-F304)&lt;0.0000001,F304,D305+E305)</f>
        <v>87.997322564511137</v>
      </c>
      <c r="H305" s="35">
        <f ca="1">D305+((1+'normal case'!T305/100)/('normal case'!D305/'normal case'!D304))*'external balance'!H304</f>
        <v>2602.1208541921869</v>
      </c>
    </row>
    <row r="306" spans="2:8">
      <c r="B306" s="35">
        <f ca="1">('normal case'!AJ306*($K$6*'normal case'!D306*('normal case'!AJ306^'external balance'!$K$4)))/'normal case'!D306</f>
        <v>0.30447775876267213</v>
      </c>
      <c r="C306" s="35">
        <f ca="1">($K$5*$K$7*((1+$K$8)^'normal case'!A305)*'normal case'!AJ306^$K$3)/'normal case'!D306</f>
        <v>0.30747746557233269</v>
      </c>
      <c r="D306" s="96">
        <f ca="1">(C306-B306)+((('main page'!$U$38/100)*'normal case'!$D$3)/'normal case'!$D$3)</f>
        <v>2.9997068096605517E-3</v>
      </c>
      <c r="E306" s="35">
        <f ca="1">((('normal case'!T306/100)*'external balance'!H305)/('normal case'!D306/'normal case'!D305))</f>
        <v>91.074229121234112</v>
      </c>
      <c r="F306" s="35">
        <f t="shared" ca="1" si="5"/>
        <v>91.077228828043772</v>
      </c>
      <c r="H306" s="35">
        <f ca="1">D306+((1+'normal case'!T306/100)/('normal case'!D306/'normal case'!D305))*'external balance'!H305</f>
        <v>2693.1980830202306</v>
      </c>
    </row>
    <row r="307" spans="2:8">
      <c r="B307" s="35">
        <f ca="1">('normal case'!AJ307*($K$6*'normal case'!D307*('normal case'!AJ307^'external balance'!$K$4)))/'normal case'!D307</f>
        <v>0.30447775876267213</v>
      </c>
      <c r="C307" s="35">
        <f ca="1">($K$5*$K$7*((1+$K$8)^'normal case'!A306)*'normal case'!AJ307^$K$3)/'normal case'!D307</f>
        <v>0.30747746557233269</v>
      </c>
      <c r="D307" s="96">
        <f ca="1">(C307-B307)+((('main page'!$U$38/100)*'normal case'!$D$3)/'normal case'!$D$3)</f>
        <v>2.9997068096605517E-3</v>
      </c>
      <c r="E307" s="35">
        <f ca="1">((('normal case'!T307/100)*'external balance'!H306)/('normal case'!D307/'normal case'!D306))</f>
        <v>94.261932103072496</v>
      </c>
      <c r="F307" s="35">
        <f t="shared" ca="1" si="5"/>
        <v>94.264931809882157</v>
      </c>
      <c r="H307" s="35">
        <f ca="1">D307+((1+'normal case'!T307/100)/('normal case'!D307/'normal case'!D306))*'external balance'!H306</f>
        <v>2787.4630148301126</v>
      </c>
    </row>
    <row r="308" spans="2:8">
      <c r="B308" s="35">
        <f ca="1">('normal case'!AJ308*($K$6*'normal case'!D308*('normal case'!AJ308^'external balance'!$K$4)))/'normal case'!D308</f>
        <v>0.30447775876267213</v>
      </c>
      <c r="C308" s="35">
        <f ca="1">($K$5*$K$7*((1+$K$8)^'normal case'!A307)*'normal case'!AJ308^$K$3)/'normal case'!D308</f>
        <v>0.30747746557233269</v>
      </c>
      <c r="D308" s="96">
        <f ca="1">(C308-B308)+((('main page'!$U$38/100)*'normal case'!$D$3)/'normal case'!$D$3)</f>
        <v>2.9997068096605517E-3</v>
      </c>
      <c r="E308" s="35">
        <f ca="1">((('normal case'!T308/100)*'external balance'!H307)/('normal case'!D308/'normal case'!D307))</f>
        <v>97.561204688325233</v>
      </c>
      <c r="F308" s="35">
        <f t="shared" ca="1" si="5"/>
        <v>97.564204395134894</v>
      </c>
      <c r="H308" s="35">
        <f ca="1">D308+((1+'normal case'!T308/100)/('normal case'!D308/'normal case'!D307))*'external balance'!H307</f>
        <v>2885.0272192252473</v>
      </c>
    </row>
    <row r="309" spans="2:8">
      <c r="B309" s="35">
        <f ca="1">('normal case'!AJ309*($K$6*'normal case'!D309*('normal case'!AJ309^'external balance'!$K$4)))/'normal case'!D309</f>
        <v>0.30447775876267213</v>
      </c>
      <c r="C309" s="35">
        <f ca="1">($K$5*$K$7*((1+$K$8)^'normal case'!A308)*'normal case'!AJ309^$K$3)/'normal case'!D309</f>
        <v>0.30747746557233269</v>
      </c>
      <c r="D309" s="96">
        <f ca="1">(C309-B309)+((('main page'!$U$38/100)*'normal case'!$D$3)/'normal case'!$D$3)</f>
        <v>2.9997068096605517E-3</v>
      </c>
      <c r="E309" s="35">
        <f ca="1">((('normal case'!T309/100)*'external balance'!H308)/('normal case'!D309/'normal case'!D308))</f>
        <v>100.97595181307855</v>
      </c>
      <c r="F309" s="35">
        <f t="shared" ca="1" si="5"/>
        <v>100.97895151988821</v>
      </c>
      <c r="H309" s="35">
        <f ca="1">D309+((1+'normal case'!T309/100)/('normal case'!D309/'normal case'!D308))*'external balance'!H308</f>
        <v>2986.0061707451355</v>
      </c>
    </row>
    <row r="310" spans="2:8">
      <c r="B310" s="35">
        <f ca="1">('normal case'!AJ310*($K$6*'normal case'!D310*('normal case'!AJ310^'external balance'!$K$4)))/'normal case'!D310</f>
        <v>0.30447775876267213</v>
      </c>
      <c r="C310" s="35">
        <f ca="1">($K$5*$K$7*((1+$K$8)^'normal case'!A309)*'normal case'!AJ310^$K$3)/'normal case'!D310</f>
        <v>0.30747746557233269</v>
      </c>
      <c r="D310" s="96">
        <f ca="1">(C310-B310)+((('main page'!$U$38/100)*'normal case'!$D$3)/'normal case'!$D$3)</f>
        <v>2.9997068096605517E-3</v>
      </c>
      <c r="E310" s="35">
        <f ca="1">((('normal case'!T310/100)*'external balance'!H309)/('normal case'!D310/'normal case'!D309))</f>
        <v>104.51021508618057</v>
      </c>
      <c r="F310" s="35">
        <f t="shared" ca="1" si="5"/>
        <v>104.51321479299023</v>
      </c>
      <c r="H310" s="35">
        <f ca="1">D310+((1+'normal case'!T310/100)/('normal case'!D310/'normal case'!D309))*'external balance'!H309</f>
        <v>3090.5193855381253</v>
      </c>
    </row>
    <row r="311" spans="2:8">
      <c r="B311" s="35">
        <f ca="1">('normal case'!AJ311*($K$6*'normal case'!D311*('normal case'!AJ311^'external balance'!$K$4)))/'normal case'!D311</f>
        <v>0.30447775876267213</v>
      </c>
      <c r="C311" s="35">
        <f ca="1">($K$5*$K$7*((1+$K$8)^'normal case'!A310)*'normal case'!AJ311^$K$3)/'normal case'!D311</f>
        <v>0.30747746557233269</v>
      </c>
      <c r="D311" s="96">
        <f ca="1">(C311-B311)+((('main page'!$U$38/100)*'normal case'!$D$3)/'normal case'!$D$3)</f>
        <v>2.9997068096605517E-3</v>
      </c>
      <c r="E311" s="35">
        <f ca="1">((('normal case'!T311/100)*'external balance'!H310)/('normal case'!D311/'normal case'!D310))</f>
        <v>108.16817757278784</v>
      </c>
      <c r="F311" s="35">
        <f t="shared" ca="1" si="5"/>
        <v>108.1711772795975</v>
      </c>
      <c r="H311" s="35">
        <f ca="1">D311+((1+'normal case'!T311/100)/('normal case'!D311/'normal case'!D310))*'external balance'!H310</f>
        <v>3198.6905628177228</v>
      </c>
    </row>
    <row r="312" spans="2:8">
      <c r="B312" s="35">
        <f ca="1">('normal case'!AJ312*($K$6*'normal case'!D312*('normal case'!AJ312^'external balance'!$K$4)))/'normal case'!D312</f>
        <v>0.30447775876267213</v>
      </c>
      <c r="C312" s="35">
        <f ca="1">($K$5*$K$7*((1+$K$8)^'normal case'!A311)*'normal case'!AJ312^$K$3)/'normal case'!D312</f>
        <v>0.30747746557233269</v>
      </c>
      <c r="D312" s="96">
        <f ca="1">(C312-B312)+((('main page'!$U$38/100)*'normal case'!$D$3)/'normal case'!$D$3)</f>
        <v>2.9997068096605517E-3</v>
      </c>
      <c r="E312" s="35">
        <f ca="1">((('normal case'!T312/100)*'external balance'!H311)/('normal case'!D312/'normal case'!D311))</f>
        <v>111.95416874533623</v>
      </c>
      <c r="F312" s="35">
        <f t="shared" ca="1" si="5"/>
        <v>111.95716845214589</v>
      </c>
      <c r="H312" s="35">
        <f ca="1">D312+((1+'normal case'!T312/100)/('normal case'!D312/'normal case'!D311))*'external balance'!H311</f>
        <v>3310.6477312698685</v>
      </c>
    </row>
    <row r="313" spans="2:8">
      <c r="B313" s="35">
        <f ca="1">('normal case'!AJ313*($K$6*'normal case'!D313*('normal case'!AJ313^'external balance'!$K$4)))/'normal case'!D313</f>
        <v>0.30447775876267213</v>
      </c>
      <c r="C313" s="35">
        <f ca="1">($K$5*$K$7*((1+$K$8)^'normal case'!A312)*'normal case'!AJ313^$K$3)/'normal case'!D313</f>
        <v>0.30747746557233269</v>
      </c>
      <c r="D313" s="96">
        <f ca="1">(C313-B313)+((('main page'!$U$38/100)*'normal case'!$D$3)/'normal case'!$D$3)</f>
        <v>2.9997068096605517E-3</v>
      </c>
      <c r="E313" s="35">
        <f ca="1">((('normal case'!T313/100)*'external balance'!H312)/('normal case'!D313/'normal case'!D312))</f>
        <v>115.8726696077955</v>
      </c>
      <c r="F313" s="35">
        <f t="shared" ca="1" si="5"/>
        <v>115.87566931460516</v>
      </c>
      <c r="H313" s="35">
        <f ca="1">D313+((1+'normal case'!T313/100)/('normal case'!D313/'normal case'!D312))*'external balance'!H312</f>
        <v>3426.5234005844736</v>
      </c>
    </row>
    <row r="314" spans="2:8">
      <c r="B314" s="35">
        <f ca="1">('normal case'!AJ314*($K$6*'normal case'!D314*('normal case'!AJ314^'external balance'!$K$4)))/'normal case'!D314</f>
        <v>0.30447775876267213</v>
      </c>
      <c r="C314" s="35">
        <f ca="1">($K$5*$K$7*((1+$K$8)^'normal case'!A313)*'normal case'!AJ314^$K$3)/'normal case'!D314</f>
        <v>0.30747746557233269</v>
      </c>
      <c r="D314" s="96">
        <f ca="1">(C314-B314)+((('main page'!$U$38/100)*'normal case'!$D$3)/'normal case'!$D$3)</f>
        <v>2.9997068096605517E-3</v>
      </c>
      <c r="E314" s="35">
        <f ca="1">((('normal case'!T314/100)*'external balance'!H313)/('normal case'!D314/'normal case'!D313))</f>
        <v>119.92831799927303</v>
      </c>
      <c r="F314" s="35">
        <f t="shared" ca="1" si="5"/>
        <v>119.93131770608269</v>
      </c>
      <c r="H314" s="35">
        <f ca="1">D314+((1+'normal case'!T314/100)/('normal case'!D314/'normal case'!D313))*'external balance'!H313</f>
        <v>3546.4547182905562</v>
      </c>
    </row>
    <row r="315" spans="2:8">
      <c r="B315" s="35">
        <f ca="1">('normal case'!AJ315*($K$6*'normal case'!D315*('normal case'!AJ315^'external balance'!$K$4)))/'normal case'!D315</f>
        <v>0.30447775876267213</v>
      </c>
      <c r="C315" s="35">
        <f ca="1">($K$5*$K$7*((1+$K$8)^'normal case'!A314)*'normal case'!AJ315^$K$3)/'normal case'!D315</f>
        <v>0.30747746557233269</v>
      </c>
      <c r="D315" s="96">
        <f ca="1">(C315-B315)+((('main page'!$U$38/100)*'normal case'!$D$3)/'normal case'!$D$3)</f>
        <v>2.9997068096605517E-3</v>
      </c>
      <c r="E315" s="35">
        <f ca="1">((('normal case'!T315/100)*'external balance'!H314)/('normal case'!D315/'normal case'!D314))</f>
        <v>124.12591408324361</v>
      </c>
      <c r="F315" s="35">
        <f t="shared" ca="1" si="5"/>
        <v>124.12891379005328</v>
      </c>
      <c r="H315" s="35">
        <f ca="1">D315+((1+'normal case'!T315/100)/('normal case'!D315/'normal case'!D314))*'external balance'!H314</f>
        <v>3670.5836320806093</v>
      </c>
    </row>
    <row r="316" spans="2:8">
      <c r="B316" s="35">
        <f ca="1">('normal case'!AJ316*($K$6*'normal case'!D316*('normal case'!AJ316^'external balance'!$K$4)))/'normal case'!D316</f>
        <v>0.30447775876267213</v>
      </c>
      <c r="C316" s="35">
        <f ca="1">($K$5*$K$7*((1+$K$8)^'normal case'!A315)*'normal case'!AJ316^$K$3)/'normal case'!D316</f>
        <v>0.30747746557233269</v>
      </c>
      <c r="D316" s="96">
        <f ca="1">(C316-B316)+((('main page'!$U$38/100)*'normal case'!$D$3)/'normal case'!$D$3)</f>
        <v>2.9997068096605517E-3</v>
      </c>
      <c r="E316" s="35">
        <f ca="1">((('normal case'!T316/100)*'external balance'!H315)/('normal case'!D316/'normal case'!D315))</f>
        <v>128.47042602890218</v>
      </c>
      <c r="F316" s="35">
        <f t="shared" ca="1" si="5"/>
        <v>128.47342573571183</v>
      </c>
      <c r="H316" s="35">
        <f ca="1">D316+((1+'normal case'!T316/100)/('normal case'!D316/'normal case'!D315))*'external balance'!H315</f>
        <v>3799.057057816321</v>
      </c>
    </row>
    <row r="317" spans="2:8">
      <c r="B317" s="35">
        <f ca="1">('normal case'!AJ317*($K$6*'normal case'!D317*('normal case'!AJ317^'external balance'!$K$4)))/'normal case'!D317</f>
        <v>0.30447775876267213</v>
      </c>
      <c r="C317" s="35">
        <f ca="1">($K$5*$K$7*((1+$K$8)^'normal case'!A316)*'normal case'!AJ317^$K$3)/'normal case'!D317</f>
        <v>0.30747746557233269</v>
      </c>
      <c r="D317" s="96">
        <f ca="1">(C317-B317)+((('main page'!$U$38/100)*'normal case'!$D$3)/'normal case'!$D$3)</f>
        <v>2.9997068096605517E-3</v>
      </c>
      <c r="E317" s="35">
        <f ca="1">((('normal case'!T317/100)*'external balance'!H316)/('normal case'!D317/'normal case'!D316))</f>
        <v>132.96699589136401</v>
      </c>
      <c r="F317" s="35">
        <f t="shared" ca="1" si="5"/>
        <v>132.96999559817368</v>
      </c>
      <c r="H317" s="35">
        <f ca="1">D317+((1+'normal case'!T317/100)/('normal case'!D317/'normal case'!D316))*'external balance'!H316</f>
        <v>3932.0270534144947</v>
      </c>
    </row>
    <row r="318" spans="2:8">
      <c r="B318" s="35">
        <f ca="1">('normal case'!AJ318*($K$6*'normal case'!D318*('normal case'!AJ318^'external balance'!$K$4)))/'normal case'!D318</f>
        <v>0.30447775876267213</v>
      </c>
      <c r="C318" s="35">
        <f ca="1">($K$5*$K$7*((1+$K$8)^'normal case'!A317)*'normal case'!AJ318^$K$3)/'normal case'!D318</f>
        <v>0.30747746557233269</v>
      </c>
      <c r="D318" s="96">
        <f ca="1">(C318-B318)+((('main page'!$U$38/100)*'normal case'!$D$3)/'normal case'!$D$3)</f>
        <v>2.9997068096605517E-3</v>
      </c>
      <c r="E318" s="35">
        <f ca="1">((('normal case'!T318/100)*'external balance'!H317)/('normal case'!D318/'normal case'!D317))</f>
        <v>137.62094569767194</v>
      </c>
      <c r="F318" s="35">
        <f t="shared" ca="1" si="5"/>
        <v>137.62394540448162</v>
      </c>
      <c r="H318" s="35">
        <f ca="1">D318+((1+'normal case'!T318/100)/('normal case'!D318/'normal case'!D317))*'external balance'!H317</f>
        <v>4069.6509988189759</v>
      </c>
    </row>
    <row r="319" spans="2:8">
      <c r="B319" s="35">
        <f ca="1">('normal case'!AJ319*($K$6*'normal case'!D319*('normal case'!AJ319^'external balance'!$K$4)))/'normal case'!D319</f>
        <v>0.30447775876267213</v>
      </c>
      <c r="C319" s="35">
        <f ca="1">($K$5*$K$7*((1+$K$8)^'normal case'!A318)*'normal case'!AJ319^$K$3)/'normal case'!D319</f>
        <v>0.30747746557233269</v>
      </c>
      <c r="D319" s="96">
        <f ca="1">(C319-B319)+((('main page'!$U$38/100)*'normal case'!$D$3)/'normal case'!$D$3)</f>
        <v>2.9997068096605517E-3</v>
      </c>
      <c r="E319" s="35">
        <f ca="1">((('normal case'!T319/100)*'external balance'!H318)/('normal case'!D319/'normal case'!D318))</f>
        <v>142.43778374581365</v>
      </c>
      <c r="F319" s="35">
        <f t="shared" ca="1" si="5"/>
        <v>142.44078345262329</v>
      </c>
      <c r="H319" s="35">
        <f ca="1">D319+((1+'normal case'!T319/100)/('normal case'!D319/'normal case'!D318))*'external balance'!H318</f>
        <v>4212.0917822715992</v>
      </c>
    </row>
    <row r="320" spans="2:8">
      <c r="B320" s="35">
        <f ca="1">('normal case'!AJ320*($K$6*'normal case'!D320*('normal case'!AJ320^'external balance'!$K$4)))/'normal case'!D320</f>
        <v>0.30447775876267213</v>
      </c>
      <c r="C320" s="35">
        <f ca="1">($K$5*$K$7*((1+$K$8)^'normal case'!A319)*'normal case'!AJ320^$K$3)/'normal case'!D320</f>
        <v>0.30747746557233269</v>
      </c>
      <c r="D320" s="96">
        <f ca="1">(C320-B320)+((('main page'!$U$38/100)*'normal case'!$D$3)/'normal case'!$D$3)</f>
        <v>2.9997068096605517E-3</v>
      </c>
      <c r="E320" s="35">
        <f ca="1">((('normal case'!T320/100)*'external balance'!H319)/('normal case'!D320/'normal case'!D319))</f>
        <v>147.42321112420481</v>
      </c>
      <c r="F320" s="35">
        <f t="shared" ca="1" si="5"/>
        <v>147.42621083101449</v>
      </c>
      <c r="H320" s="35">
        <f ca="1">D320+((1+'normal case'!T320/100)/('normal case'!D320/'normal case'!D319))*'external balance'!H319</f>
        <v>4359.5179931026132</v>
      </c>
    </row>
    <row r="321" spans="2:8">
      <c r="B321" s="35">
        <f ca="1">('normal case'!AJ321*($K$6*'normal case'!D321*('normal case'!AJ321^'external balance'!$K$4)))/'normal case'!D321</f>
        <v>0.30447775876267213</v>
      </c>
      <c r="C321" s="35">
        <f ca="1">($K$5*$K$7*((1+$K$8)^'normal case'!A320)*'normal case'!AJ321^$K$3)/'normal case'!D321</f>
        <v>0.30747746557233269</v>
      </c>
      <c r="D321" s="96">
        <f ca="1">(C321-B321)+((('main page'!$U$38/100)*'normal case'!$D$3)/'normal case'!$D$3)</f>
        <v>2.9997068096605517E-3</v>
      </c>
      <c r="E321" s="35">
        <f ca="1">((('normal case'!T321/100)*'external balance'!H320)/('normal case'!D321/'normal case'!D320))</f>
        <v>152.58312845935387</v>
      </c>
      <c r="F321" s="35">
        <f t="shared" ca="1" si="5"/>
        <v>152.58612816616352</v>
      </c>
      <c r="H321" s="35">
        <f ca="1">D321+((1+'normal case'!T321/100)/('normal case'!D321/'normal case'!D320))*'external balance'!H320</f>
        <v>4512.1041212687769</v>
      </c>
    </row>
    <row r="322" spans="2:8">
      <c r="B322" s="35">
        <f ca="1">('normal case'!AJ322*($K$6*'normal case'!D322*('normal case'!AJ322^'external balance'!$K$4)))/'normal case'!D322</f>
        <v>0.30447775876267213</v>
      </c>
      <c r="C322" s="35">
        <f ca="1">($K$5*$K$7*((1+$K$8)^'normal case'!A321)*'normal case'!AJ322^$K$3)/'normal case'!D322</f>
        <v>0.30747746557233269</v>
      </c>
      <c r="D322" s="96">
        <f ca="1">(C322-B322)+((('main page'!$U$38/100)*'normal case'!$D$3)/'normal case'!$D$3)</f>
        <v>2.9997068096605517E-3</v>
      </c>
      <c r="E322" s="35">
        <f ca="1">((('normal case'!T322/100)*'external balance'!H321)/('normal case'!D322/'normal case'!D321))</f>
        <v>157.92364289969538</v>
      </c>
      <c r="F322" s="35">
        <f t="shared" ca="1" si="5"/>
        <v>157.92664260650503</v>
      </c>
      <c r="H322" s="35">
        <f ca="1">D322+((1+'normal case'!T322/100)/('normal case'!D322/'normal case'!D321))*'external balance'!H321</f>
        <v>4670.030763875282</v>
      </c>
    </row>
    <row r="323" spans="2:8">
      <c r="B323" s="35">
        <f ca="1">('normal case'!AJ323*($K$6*'normal case'!D323*('normal case'!AJ323^'external balance'!$K$4)))/'normal case'!D323</f>
        <v>0.30447775876267213</v>
      </c>
      <c r="C323" s="35">
        <f ca="1">($K$5*$K$7*((1+$K$8)^'normal case'!A322)*'normal case'!AJ323^$K$3)/'normal case'!D323</f>
        <v>0.30747746557233269</v>
      </c>
      <c r="D323" s="96">
        <f ca="1">(C323-B323)+((('main page'!$U$38/100)*'normal case'!$D$3)/'normal case'!$D$3)</f>
        <v>2.9997068096605517E-3</v>
      </c>
      <c r="E323" s="35">
        <f ca="1">((('normal case'!T323/100)*'external balance'!H322)/('normal case'!D323/'normal case'!D322))</f>
        <v>163.45107534385727</v>
      </c>
      <c r="F323" s="35">
        <f t="shared" ca="1" si="5"/>
        <v>163.45407505066692</v>
      </c>
      <c r="H323" s="35">
        <f ca="1">D323+((1+'normal case'!T323/100)/('normal case'!D323/'normal case'!D322))*'external balance'!H322</f>
        <v>4833.4848389259487</v>
      </c>
    </row>
    <row r="324" spans="2:8">
      <c r="B324" s="35">
        <f ca="1">('normal case'!AJ324*($K$6*'normal case'!D324*('normal case'!AJ324^'external balance'!$K$4)))/'normal case'!D324</f>
        <v>0.30447775876267213</v>
      </c>
      <c r="C324" s="35">
        <f ca="1">($K$5*$K$7*((1+$K$8)^'normal case'!A323)*'normal case'!AJ324^$K$3)/'normal case'!D324</f>
        <v>0.30747746557233269</v>
      </c>
      <c r="D324" s="96">
        <f ca="1">(C324-B324)+((('main page'!$U$38/100)*'normal case'!$D$3)/'normal case'!$D$3)</f>
        <v>2.9997068096605517E-3</v>
      </c>
      <c r="E324" s="35">
        <f ca="1">((('normal case'!T324/100)*'external balance'!H323)/('normal case'!D324/'normal case'!D323))</f>
        <v>169.17196792191749</v>
      </c>
      <c r="F324" s="35">
        <f t="shared" ca="1" si="5"/>
        <v>169.17496762872713</v>
      </c>
      <c r="H324" s="35">
        <f ca="1">D324+((1+'normal case'!T324/100)/('normal case'!D324/'normal case'!D323))*'external balance'!H323</f>
        <v>5002.6598065546759</v>
      </c>
    </row>
    <row r="325" spans="2:8">
      <c r="B325" s="35">
        <f ca="1">('normal case'!AJ325*($K$6*'normal case'!D325*('normal case'!AJ325^'external balance'!$K$4)))/'normal case'!D325</f>
        <v>0.30447775876267213</v>
      </c>
      <c r="C325" s="35">
        <f ca="1">($K$5*$K$7*((1+$K$8)^'normal case'!A324)*'normal case'!AJ325^$K$3)/'normal case'!D325</f>
        <v>0.30747746557233269</v>
      </c>
      <c r="D325" s="96">
        <f ca="1">(C325-B325)+((('main page'!$U$38/100)*'normal case'!$D$3)/'normal case'!$D$3)</f>
        <v>2.9997068096605517E-3</v>
      </c>
      <c r="E325" s="35">
        <f ca="1">((('normal case'!T325/100)*'external balance'!H324)/('normal case'!D325/'normal case'!D324))</f>
        <v>175.09309173850488</v>
      </c>
      <c r="F325" s="35">
        <f t="shared" ca="1" si="5"/>
        <v>175.09609144531453</v>
      </c>
      <c r="H325" s="35">
        <f ca="1">D325+((1+'normal case'!T325/100)/('normal case'!D325/'normal case'!D324))*'external balance'!H324</f>
        <v>5177.7558979999903</v>
      </c>
    </row>
    <row r="326" spans="2:8">
      <c r="B326" s="35">
        <f ca="1">('normal case'!AJ326*($K$6*'normal case'!D326*('normal case'!AJ326^'external balance'!$K$4)))/'normal case'!D326</f>
        <v>0.30447775876267213</v>
      </c>
      <c r="C326" s="35">
        <f ca="1">($K$5*$K$7*((1+$K$8)^'normal case'!A325)*'normal case'!AJ326^$K$3)/'normal case'!D326</f>
        <v>0.30747746557233269</v>
      </c>
      <c r="D326" s="96">
        <f ca="1">(C326-B326)+((('main page'!$U$38/100)*'normal case'!$D$3)/'normal case'!$D$3)</f>
        <v>2.9997068096605517E-3</v>
      </c>
      <c r="E326" s="35">
        <f ca="1">((('normal case'!T326/100)*'external balance'!H325)/('normal case'!D326/'normal case'!D325))</f>
        <v>181.22145488690816</v>
      </c>
      <c r="F326" s="35">
        <f t="shared" ca="1" si="5"/>
        <v>181.22445459371784</v>
      </c>
      <c r="H326" s="35">
        <f ca="1">D326+((1+'normal case'!T326/100)/('normal case'!D326/'normal case'!D325))*'external balance'!H325</f>
        <v>5358.9803525937077</v>
      </c>
    </row>
    <row r="327" spans="2:8">
      <c r="B327" s="35">
        <f ca="1">('normal case'!AJ327*($K$6*'normal case'!D327*('normal case'!AJ327^'external balance'!$K$4)))/'normal case'!D327</f>
        <v>0.30447775876267213</v>
      </c>
      <c r="C327" s="35">
        <f ca="1">($K$5*$K$7*((1+$K$8)^'normal case'!A326)*'normal case'!AJ327^$K$3)/'normal case'!D327</f>
        <v>0.30747746557233269</v>
      </c>
      <c r="D327" s="96">
        <f ca="1">(C327-B327)+((('main page'!$U$38/100)*'normal case'!$D$3)/'normal case'!$D$3)</f>
        <v>2.9997068096605517E-3</v>
      </c>
      <c r="E327" s="35">
        <f ca="1">((('normal case'!T327/100)*'external balance'!H326)/('normal case'!D327/'normal case'!D326))</f>
        <v>187.56431074367919</v>
      </c>
      <c r="F327" s="35">
        <f t="shared" ca="1" si="5"/>
        <v>187.56731045048883</v>
      </c>
      <c r="H327" s="35">
        <f ca="1">D327+((1+'normal case'!T327/100)/('normal case'!D327/'normal case'!D326))*'external balance'!H326</f>
        <v>5546.5476630441963</v>
      </c>
    </row>
    <row r="328" spans="2:8">
      <c r="B328" s="35">
        <f ca="1">('normal case'!AJ328*($K$6*'normal case'!D328*('normal case'!AJ328^'external balance'!$K$4)))/'normal case'!D328</f>
        <v>0.30447775876267213</v>
      </c>
      <c r="C328" s="35">
        <f ca="1">($K$5*$K$7*((1+$K$8)^'normal case'!A327)*'normal case'!AJ328^$K$3)/'normal case'!D328</f>
        <v>0.30747746557233269</v>
      </c>
      <c r="D328" s="96">
        <f ca="1">(C328-B328)+((('main page'!$U$38/100)*'normal case'!$D$3)/'normal case'!$D$3)</f>
        <v>2.9997068096605517E-3</v>
      </c>
      <c r="E328" s="35">
        <f ca="1">((('normal case'!T328/100)*'external balance'!H327)/('normal case'!D328/'normal case'!D327))</f>
        <v>194.12916655354687</v>
      </c>
      <c r="F328" s="35">
        <f t="shared" ca="1" si="5"/>
        <v>194.13216626035654</v>
      </c>
      <c r="H328" s="35">
        <f ca="1">D328+((1+'normal case'!T328/100)/('normal case'!D328/'normal case'!D327))*'external balance'!H327</f>
        <v>5740.6798293045522</v>
      </c>
    </row>
    <row r="329" spans="2:8">
      <c r="B329" s="35">
        <f ca="1">('normal case'!AJ329*($K$6*'normal case'!D329*('normal case'!AJ329^'external balance'!$K$4)))/'normal case'!D329</f>
        <v>0.30447775876267213</v>
      </c>
      <c r="C329" s="35">
        <f ca="1">($K$5*$K$7*((1+$K$8)^'normal case'!A328)*'normal case'!AJ329^$K$3)/'normal case'!D329</f>
        <v>0.30747746557233269</v>
      </c>
      <c r="D329" s="96">
        <f ca="1">(C329-B329)+((('main page'!$U$38/100)*'normal case'!$D$3)/'normal case'!$D$3)</f>
        <v>2.9997068096605517E-3</v>
      </c>
      <c r="E329" s="35">
        <f ca="1">((('normal case'!T329/100)*'external balance'!H328)/('normal case'!D329/'normal case'!D328))</f>
        <v>200.92379231480342</v>
      </c>
      <c r="F329" s="35">
        <f t="shared" ca="1" si="5"/>
        <v>200.9267920216131</v>
      </c>
      <c r="H329" s="35">
        <f ca="1">D329+((1+'normal case'!T329/100)/('normal case'!D329/'normal case'!D328))*'external balance'!H328</f>
        <v>5941.6066213261647</v>
      </c>
    </row>
    <row r="330" spans="2:8">
      <c r="B330" s="35">
        <f ca="1">('normal case'!AJ330*($K$6*'normal case'!D330*('normal case'!AJ330^'external balance'!$K$4)))/'normal case'!D330</f>
        <v>0.30447775876267213</v>
      </c>
      <c r="C330" s="35">
        <f ca="1">($K$5*$K$7*((1+$K$8)^'normal case'!A329)*'normal case'!AJ330^$K$3)/'normal case'!D330</f>
        <v>0.30747746557233269</v>
      </c>
      <c r="D330" s="96">
        <f ca="1">(C330-B330)+((('main page'!$U$38/100)*'normal case'!$D$3)/'normal case'!$D$3)</f>
        <v>2.9997068096605517E-3</v>
      </c>
      <c r="E330" s="35">
        <f ca="1">((('normal case'!T330/100)*'external balance'!H329)/('normal case'!D330/'normal case'!D329))</f>
        <v>207.95622997567904</v>
      </c>
      <c r="F330" s="35">
        <f t="shared" ca="1" si="5"/>
        <v>207.95922968248868</v>
      </c>
      <c r="H330" s="35">
        <f ca="1">D330+((1+'normal case'!T330/100)/('normal case'!D330/'normal case'!D329))*'external balance'!H329</f>
        <v>6149.5658510086532</v>
      </c>
    </row>
    <row r="331" spans="2:8">
      <c r="B331" s="35">
        <f ca="1">('normal case'!AJ331*($K$6*'normal case'!D331*('normal case'!AJ331^'external balance'!$K$4)))/'normal case'!D331</f>
        <v>0.30447775876267213</v>
      </c>
      <c r="C331" s="35">
        <f ca="1">($K$5*$K$7*((1+$K$8)^'normal case'!A330)*'normal case'!AJ331^$K$3)/'normal case'!D331</f>
        <v>0.30747746557233269</v>
      </c>
      <c r="D331" s="96">
        <f ca="1">(C331-B331)+((('main page'!$U$38/100)*'normal case'!$D$3)/'normal case'!$D$3)</f>
        <v>2.9997068096605517E-3</v>
      </c>
      <c r="E331" s="35">
        <f ca="1">((('normal case'!T331/100)*'external balance'!H330)/('normal case'!D331/'normal case'!D330))</f>
        <v>215.23480295258943</v>
      </c>
      <c r="F331" s="35">
        <f t="shared" ca="1" si="5"/>
        <v>215.23780265939911</v>
      </c>
      <c r="H331" s="35">
        <f ca="1">D331+((1+'normal case'!T331/100)/('normal case'!D331/'normal case'!D330))*'external balance'!H330</f>
        <v>6364.803653668052</v>
      </c>
    </row>
    <row r="332" spans="2:8">
      <c r="B332" s="35">
        <f ca="1">('normal case'!AJ332*($K$6*'normal case'!D332*('normal case'!AJ332^'external balance'!$K$4)))/'normal case'!D332</f>
        <v>0.30447775876267213</v>
      </c>
      <c r="C332" s="35">
        <f ca="1">($K$5*$K$7*((1+$K$8)^'normal case'!A331)*'normal case'!AJ332^$K$3)/'normal case'!D332</f>
        <v>0.30747746557233269</v>
      </c>
      <c r="D332" s="96">
        <f ca="1">(C332-B332)+((('main page'!$U$38/100)*'normal case'!$D$3)/'normal case'!$D$3)</f>
        <v>2.9997068096605517E-3</v>
      </c>
      <c r="E332" s="35">
        <f ca="1">((('normal case'!T332/100)*'external balance'!H331)/('normal case'!D332/'normal case'!D331))</f>
        <v>222.76812598152253</v>
      </c>
      <c r="F332" s="35">
        <f t="shared" ca="1" si="5"/>
        <v>222.77112568833218</v>
      </c>
      <c r="H332" s="35">
        <f ca="1">D332+((1+'normal case'!T332/100)/('normal case'!D332/'normal case'!D331))*'external balance'!H331</f>
        <v>6587.5747793563842</v>
      </c>
    </row>
    <row r="333" spans="2:8">
      <c r="B333" s="35">
        <f ca="1">('normal case'!AJ333*($K$6*'normal case'!D333*('normal case'!AJ333^'external balance'!$K$4)))/'normal case'!D333</f>
        <v>0.30447775876267213</v>
      </c>
      <c r="C333" s="35">
        <f ca="1">($K$5*$K$7*((1+$K$8)^'normal case'!A332)*'normal case'!AJ333^$K$3)/'normal case'!D333</f>
        <v>0.30747746557233269</v>
      </c>
      <c r="D333" s="96">
        <f ca="1">(C333-B333)+((('main page'!$U$38/100)*'normal case'!$D$3)/'normal case'!$D$3)</f>
        <v>2.9997068096605517E-3</v>
      </c>
      <c r="E333" s="35">
        <f ca="1">((('normal case'!T333/100)*'external balance'!H332)/('normal case'!D333/'normal case'!D332))</f>
        <v>230.56511531422319</v>
      </c>
      <c r="F333" s="35">
        <f t="shared" ca="1" si="5"/>
        <v>230.56811502103284</v>
      </c>
      <c r="H333" s="35">
        <f ca="1">D333+((1+'normal case'!T333/100)/('normal case'!D333/'normal case'!D332))*'external balance'!H332</f>
        <v>6818.1428943774172</v>
      </c>
    </row>
    <row r="334" spans="2:8">
      <c r="B334" s="35">
        <f ca="1">('normal case'!AJ334*($K$6*'normal case'!D334*('normal case'!AJ334^'external balance'!$K$4)))/'normal case'!D334</f>
        <v>0.30447775876267213</v>
      </c>
      <c r="C334" s="35">
        <f ca="1">($K$5*$K$7*((1+$K$8)^'normal case'!A333)*'normal case'!AJ334^$K$3)/'normal case'!D334</f>
        <v>0.30747746557233269</v>
      </c>
      <c r="D334" s="96">
        <f ca="1">(C334-B334)+((('main page'!$U$38/100)*'normal case'!$D$3)/'normal case'!$D$3)</f>
        <v>2.9997068096605517E-3</v>
      </c>
      <c r="E334" s="35">
        <f ca="1">((('normal case'!T334/100)*'external balance'!H333)/('normal case'!D334/'normal case'!D333))</f>
        <v>238.63499927124471</v>
      </c>
      <c r="F334" s="35">
        <f t="shared" ca="1" si="5"/>
        <v>238.63799897805438</v>
      </c>
      <c r="H334" s="35">
        <f ca="1">D334+((1+'normal case'!T334/100)/('normal case'!D334/'normal case'!D333))*'external balance'!H333</f>
        <v>7056.7808933554716</v>
      </c>
    </row>
    <row r="335" spans="2:8">
      <c r="B335" s="35">
        <f ca="1">('normal case'!AJ335*($K$6*'normal case'!D335*('normal case'!AJ335^'external balance'!$K$4)))/'normal case'!D335</f>
        <v>0.30447775876267213</v>
      </c>
      <c r="C335" s="35">
        <f ca="1">($K$5*$K$7*((1+$K$8)^'normal case'!A334)*'normal case'!AJ335^$K$3)/'normal case'!D335</f>
        <v>0.30747746557233269</v>
      </c>
      <c r="D335" s="96">
        <f ca="1">(C335-B335)+((('main page'!$U$38/100)*'normal case'!$D$3)/'normal case'!$D$3)</f>
        <v>2.9997068096605517E-3</v>
      </c>
      <c r="E335" s="35">
        <f ca="1">((('normal case'!T335/100)*'external balance'!H334)/('normal case'!D335/'normal case'!D334))</f>
        <v>246.98732916435694</v>
      </c>
      <c r="F335" s="35">
        <f t="shared" ca="1" si="5"/>
        <v>246.99032887116658</v>
      </c>
      <c r="H335" s="35">
        <f ca="1">D335+((1+'normal case'!T335/100)/('normal case'!D335/'normal case'!D334))*'external balance'!H334</f>
        <v>7303.7712222266382</v>
      </c>
    </row>
    <row r="336" spans="2:8">
      <c r="B336" s="35">
        <f ca="1">('normal case'!AJ336*($K$6*'normal case'!D336*('normal case'!AJ336^'external balance'!$K$4)))/'normal case'!D336</f>
        <v>0.30447775876267213</v>
      </c>
      <c r="C336" s="35">
        <f ca="1">($K$5*$K$7*((1+$K$8)^'normal case'!A335)*'normal case'!AJ336^$K$3)/'normal case'!D336</f>
        <v>0.30747746557233269</v>
      </c>
      <c r="D336" s="96">
        <f ca="1">(C336-B336)+((('main page'!$U$38/100)*'normal case'!$D$3)/'normal case'!$D$3)</f>
        <v>2.9997068096605517E-3</v>
      </c>
      <c r="E336" s="35">
        <f ca="1">((('normal case'!T336/100)*'external balance'!H335)/('normal case'!D336/'normal case'!D335))</f>
        <v>255.63199060123893</v>
      </c>
      <c r="F336" s="35">
        <f t="shared" ca="1" si="5"/>
        <v>255.6349903080486</v>
      </c>
      <c r="H336" s="35">
        <f ca="1">D336+((1+'normal case'!T336/100)/('normal case'!D336/'normal case'!D335))*'external balance'!H335</f>
        <v>7559.4062125346863</v>
      </c>
    </row>
    <row r="337" spans="2:8">
      <c r="B337" s="35">
        <f ca="1">('normal case'!AJ337*($K$6*'normal case'!D337*('normal case'!AJ337^'external balance'!$K$4)))/'normal case'!D337</f>
        <v>0.30447775876267213</v>
      </c>
      <c r="C337" s="35">
        <f ca="1">($K$5*$K$7*((1+$K$8)^'normal case'!A336)*'normal case'!AJ337^$K$3)/'normal case'!D337</f>
        <v>0.30747746557233269</v>
      </c>
      <c r="D337" s="96">
        <f ca="1">(C337-B337)+((('main page'!$U$38/100)*'normal case'!$D$3)/'normal case'!$D$3)</f>
        <v>2.9997068096605517E-3</v>
      </c>
      <c r="E337" s="35">
        <f ca="1">((('normal case'!T337/100)*'external balance'!H336)/('normal case'!D337/'normal case'!D336))</f>
        <v>264.57921518583544</v>
      </c>
      <c r="F337" s="35">
        <f t="shared" ca="1" si="5"/>
        <v>264.58221489264508</v>
      </c>
      <c r="H337" s="35">
        <f ca="1">D337+((1+'normal case'!T337/100)/('normal case'!D337/'normal case'!D336))*'external balance'!H336</f>
        <v>7823.9884274273309</v>
      </c>
    </row>
    <row r="338" spans="2:8">
      <c r="B338" s="35">
        <f ca="1">('normal case'!AJ338*($K$6*'normal case'!D338*('normal case'!AJ338^'external balance'!$K$4)))/'normal case'!D338</f>
        <v>0.30447775876267213</v>
      </c>
      <c r="C338" s="35">
        <f ca="1">($K$5*$K$7*((1+$K$8)^'normal case'!A337)*'normal case'!AJ338^$K$3)/'normal case'!D338</f>
        <v>0.30747746557233269</v>
      </c>
      <c r="D338" s="96">
        <f ca="1">(C338-B338)+((('main page'!$U$38/100)*'normal case'!$D$3)/'normal case'!$D$3)</f>
        <v>2.9997068096605517E-3</v>
      </c>
      <c r="E338" s="35">
        <f ca="1">((('normal case'!T338/100)*'external balance'!H337)/('normal case'!D338/'normal case'!D337))</f>
        <v>273.83959262822634</v>
      </c>
      <c r="F338" s="35">
        <f t="shared" ca="1" si="5"/>
        <v>273.84259233503599</v>
      </c>
      <c r="H338" s="35">
        <f ca="1">D338+((1+'normal case'!T338/100)/('normal case'!D338/'normal case'!D337))*'external balance'!H337</f>
        <v>8097.8310197623669</v>
      </c>
    </row>
    <row r="339" spans="2:8">
      <c r="B339" s="35">
        <f ca="1">('normal case'!AJ339*($K$6*'normal case'!D339*('normal case'!AJ339^'external balance'!$K$4)))/'normal case'!D339</f>
        <v>0.30447775876267213</v>
      </c>
      <c r="C339" s="35">
        <f ca="1">($K$5*$K$7*((1+$K$8)^'normal case'!A338)*'normal case'!AJ339^$K$3)/'normal case'!D339</f>
        <v>0.30747746557233269</v>
      </c>
      <c r="D339" s="96">
        <f ca="1">(C339-B339)+((('main page'!$U$38/100)*'normal case'!$D$3)/'normal case'!$D$3)</f>
        <v>2.9997068096605517E-3</v>
      </c>
      <c r="E339" s="35">
        <f ca="1">((('normal case'!T339/100)*'external balance'!H338)/('normal case'!D339/'normal case'!D338))</f>
        <v>283.42408327834113</v>
      </c>
      <c r="F339" s="35">
        <f t="shared" ca="1" si="5"/>
        <v>283.42708298515078</v>
      </c>
      <c r="H339" s="35">
        <f ca="1">D339+((1+'normal case'!T339/100)/('normal case'!D339/'normal case'!D338))*'external balance'!H338</f>
        <v>8381.2581027475189</v>
      </c>
    </row>
    <row r="340" spans="2:8">
      <c r="B340" s="35">
        <f ca="1">('normal case'!AJ340*($K$6*'normal case'!D340*('normal case'!AJ340^'external balance'!$K$4)))/'normal case'!D340</f>
        <v>0.30447775876267213</v>
      </c>
      <c r="C340" s="35">
        <f ca="1">($K$5*$K$7*((1+$K$8)^'normal case'!A339)*'normal case'!AJ340^$K$3)/'normal case'!D340</f>
        <v>0.30747746557233269</v>
      </c>
      <c r="D340" s="96">
        <f ca="1">(C340-B340)+((('main page'!$U$38/100)*'normal case'!$D$3)/'normal case'!$D$3)</f>
        <v>2.9997068096605517E-3</v>
      </c>
      <c r="E340" s="35">
        <f ca="1">((('normal case'!T340/100)*'external balance'!H339)/('normal case'!D340/'normal case'!D339))</f>
        <v>293.34403109835364</v>
      </c>
      <c r="F340" s="35">
        <f t="shared" ca="1" si="5"/>
        <v>293.34703080516329</v>
      </c>
      <c r="H340" s="35">
        <f ca="1">D340+((1+'normal case'!T340/100)/('normal case'!D340/'normal case'!D339))*'external balance'!H339</f>
        <v>8674.6051335526827</v>
      </c>
    </row>
    <row r="341" spans="2:8">
      <c r="B341" s="35">
        <f ca="1">('normal case'!AJ341*($K$6*'normal case'!D341*('normal case'!AJ341^'external balance'!$K$4)))/'normal case'!D341</f>
        <v>0.30447775876267213</v>
      </c>
      <c r="C341" s="35">
        <f ca="1">($K$5*$K$7*((1+$K$8)^'normal case'!A340)*'normal case'!AJ341^$K$3)/'normal case'!D341</f>
        <v>0.30747746557233269</v>
      </c>
      <c r="D341" s="96">
        <f ca="1">(C341-B341)+((('main page'!$U$38/100)*'normal case'!$D$3)/'normal case'!$D$3)</f>
        <v>2.9997068096605517E-3</v>
      </c>
      <c r="E341" s="35">
        <f ca="1">((('normal case'!T341/100)*'external balance'!H340)/('normal case'!D341/'normal case'!D340))</f>
        <v>303.61117708911013</v>
      </c>
      <c r="F341" s="35">
        <f t="shared" ca="1" si="5"/>
        <v>303.61417679591978</v>
      </c>
      <c r="H341" s="35">
        <f ca="1">D341+((1+'normal case'!T341/100)/('normal case'!D341/'normal case'!D340))*'external balance'!H340</f>
        <v>8978.2193103486024</v>
      </c>
    </row>
    <row r="342" spans="2:8">
      <c r="B342" s="35">
        <f ca="1">('normal case'!AJ342*($K$6*'normal case'!D342*('normal case'!AJ342^'external balance'!$K$4)))/'normal case'!D342</f>
        <v>0.30447775876267213</v>
      </c>
      <c r="C342" s="35">
        <f ca="1">($K$5*$K$7*((1+$K$8)^'normal case'!A341)*'normal case'!AJ342^$K$3)/'normal case'!D342</f>
        <v>0.30747746557233269</v>
      </c>
      <c r="D342" s="96">
        <f ca="1">(C342-B342)+((('main page'!$U$38/100)*'normal case'!$D$3)/'normal case'!$D$3)</f>
        <v>2.9997068096605517E-3</v>
      </c>
      <c r="E342" s="35">
        <f ca="1">((('normal case'!T342/100)*'external balance'!H341)/('normal case'!D342/'normal case'!D341))</f>
        <v>314.23767318648328</v>
      </c>
      <c r="F342" s="35">
        <f t="shared" ca="1" si="5"/>
        <v>314.24067289329292</v>
      </c>
      <c r="H342" s="35">
        <f ca="1">D342+((1+'normal case'!T342/100)/('normal case'!D342/'normal case'!D341))*'external balance'!H341</f>
        <v>9292.4599832418953</v>
      </c>
    </row>
    <row r="343" spans="2:8">
      <c r="B343" s="35">
        <f ca="1">('normal case'!AJ343*($K$6*'normal case'!D343*('normal case'!AJ343^'external balance'!$K$4)))/'normal case'!D343</f>
        <v>0.30447775876267213</v>
      </c>
      <c r="C343" s="35">
        <f ca="1">($K$5*$K$7*((1+$K$8)^'normal case'!A342)*'normal case'!AJ343^$K$3)/'normal case'!D343</f>
        <v>0.30747746557233269</v>
      </c>
      <c r="D343" s="96">
        <f ca="1">(C343-B343)+((('main page'!$U$38/100)*'normal case'!$D$3)/'normal case'!$D$3)</f>
        <v>2.9997068096605517E-3</v>
      </c>
      <c r="E343" s="35">
        <f ca="1">((('normal case'!T343/100)*'external balance'!H342)/('normal case'!D343/'normal case'!D342))</f>
        <v>325.23609664409747</v>
      </c>
      <c r="F343" s="35">
        <f t="shared" ca="1" si="5"/>
        <v>325.23909635090712</v>
      </c>
      <c r="H343" s="35">
        <f ca="1">D343+((1+'normal case'!T343/100)/('normal case'!D343/'normal case'!D342))*'external balance'!H342</f>
        <v>9617.6990795928032</v>
      </c>
    </row>
    <row r="344" spans="2:8">
      <c r="B344" s="35">
        <f ca="1">('normal case'!AJ344*($K$6*'normal case'!D344*('normal case'!AJ344^'external balance'!$K$4)))/'normal case'!D344</f>
        <v>0.30447775876267213</v>
      </c>
      <c r="C344" s="35">
        <f ca="1">($K$5*$K$7*((1+$K$8)^'normal case'!A343)*'normal case'!AJ344^$K$3)/'normal case'!D344</f>
        <v>0.30747746557233269</v>
      </c>
      <c r="D344" s="96">
        <f ca="1">(C344-B344)+((('main page'!$U$38/100)*'normal case'!$D$3)/'normal case'!$D$3)</f>
        <v>2.9997068096605517E-3</v>
      </c>
      <c r="E344" s="35">
        <f ca="1">((('normal case'!T344/100)*'external balance'!H343)/('normal case'!D344/'normal case'!D343))</f>
        <v>336.61946491945048</v>
      </c>
      <c r="F344" s="35">
        <f t="shared" ca="1" si="5"/>
        <v>336.62246462626013</v>
      </c>
      <c r="H344" s="35">
        <f ca="1">D344+((1+'normal case'!T344/100)/('normal case'!D344/'normal case'!D343))*'external balance'!H343</f>
        <v>9954.3215442190631</v>
      </c>
    </row>
    <row r="345" spans="2:8">
      <c r="B345" s="35">
        <f ca="1">('normal case'!AJ345*($K$6*'normal case'!D345*('normal case'!AJ345^'external balance'!$K$4)))/'normal case'!D345</f>
        <v>0.30447775876267213</v>
      </c>
      <c r="C345" s="35">
        <f ca="1">($K$5*$K$7*((1+$K$8)^'normal case'!A344)*'normal case'!AJ345^$K$3)/'normal case'!D345</f>
        <v>0.30747746557233269</v>
      </c>
      <c r="D345" s="96">
        <f ca="1">(C345-B345)+((('main page'!$U$38/100)*'normal case'!$D$3)/'normal case'!$D$3)</f>
        <v>2.9997068096605517E-3</v>
      </c>
      <c r="E345" s="35">
        <f ca="1">((('normal case'!T345/100)*'external balance'!H344)/('normal case'!D345/'normal case'!D344))</f>
        <v>348.40125108104826</v>
      </c>
      <c r="F345" s="35">
        <f t="shared" ca="1" si="5"/>
        <v>348.4042507878579</v>
      </c>
      <c r="H345" s="35">
        <f ca="1">D345+((1+'normal case'!T345/100)/('normal case'!D345/'normal case'!D344))*'external balance'!H344</f>
        <v>10302.725795006922</v>
      </c>
    </row>
    <row r="346" spans="2:8">
      <c r="B346" s="35">
        <f ca="1">('normal case'!AJ346*($K$6*'normal case'!D346*('normal case'!AJ346^'external balance'!$K$4)))/'normal case'!D346</f>
        <v>0.30447775876267213</v>
      </c>
      <c r="C346" s="35">
        <f ca="1">($K$5*$K$7*((1+$K$8)^'normal case'!A345)*'normal case'!AJ346^$K$3)/'normal case'!D346</f>
        <v>0.30747746557233269</v>
      </c>
      <c r="D346" s="96">
        <f ca="1">(C346-B346)+((('main page'!$U$38/100)*'normal case'!$D$3)/'normal case'!$D$3)</f>
        <v>2.9997068096605517E-3</v>
      </c>
      <c r="E346" s="35">
        <f ca="1">((('normal case'!T346/100)*'external balance'!H345)/('normal case'!D346/'normal case'!D345))</f>
        <v>360.59539975479072</v>
      </c>
      <c r="F346" s="35">
        <f t="shared" ca="1" si="5"/>
        <v>360.59839946160037</v>
      </c>
      <c r="H346" s="35">
        <f ca="1">D346+((1+'normal case'!T346/100)/('normal case'!D346/'normal case'!D345))*'external balance'!H345</f>
        <v>10663.324194468523</v>
      </c>
    </row>
    <row r="347" spans="2:8">
      <c r="B347" s="35">
        <f ca="1">('normal case'!AJ347*($K$6*'normal case'!D347*('normal case'!AJ347^'external balance'!$K$4)))/'normal case'!D347</f>
        <v>0.30447775876267213</v>
      </c>
      <c r="C347" s="35">
        <f ca="1">($K$5*$K$7*((1+$K$8)^'normal case'!A346)*'normal case'!AJ347^$K$3)/'normal case'!D347</f>
        <v>0.30747746557233269</v>
      </c>
      <c r="D347" s="96">
        <f ca="1">(C347-B347)+((('main page'!$U$38/100)*'normal case'!$D$3)/'normal case'!$D$3)</f>
        <v>2.9997068096605517E-3</v>
      </c>
      <c r="E347" s="35">
        <f ca="1">((('normal case'!T347/100)*'external balance'!H346)/('normal case'!D347/'normal case'!D346))</f>
        <v>373.2163436284801</v>
      </c>
      <c r="F347" s="35">
        <f t="shared" ca="1" si="5"/>
        <v>373.21934333528975</v>
      </c>
      <c r="H347" s="35">
        <f ca="1">D347+((1+'normal case'!T347/100)/('normal case'!D347/'normal case'!D346))*'external balance'!H346</f>
        <v>11036.543537803813</v>
      </c>
    </row>
    <row r="348" spans="2:8">
      <c r="B348" s="35">
        <f ca="1">('normal case'!AJ348*($K$6*'normal case'!D348*('normal case'!AJ348^'external balance'!$K$4)))/'normal case'!D348</f>
        <v>0.30447775876267213</v>
      </c>
      <c r="C348" s="35">
        <f ca="1">($K$5*$K$7*((1+$K$8)^'normal case'!A347)*'normal case'!AJ348^$K$3)/'normal case'!D348</f>
        <v>0.30747746557233269</v>
      </c>
      <c r="D348" s="96">
        <f ca="1">(C348-B348)+((('main page'!$U$38/100)*'normal case'!$D$3)/'normal case'!$D$3)</f>
        <v>2.9997068096605517E-3</v>
      </c>
      <c r="E348" s="35">
        <f ca="1">((('normal case'!T348/100)*'external balance'!H347)/('normal case'!D348/'normal case'!D347))</f>
        <v>386.27902053398719</v>
      </c>
      <c r="F348" s="35">
        <f t="shared" ca="1" si="5"/>
        <v>386.28202024079684</v>
      </c>
      <c r="H348" s="35">
        <f ca="1">D348+((1+'normal case'!T348/100)/('normal case'!D348/'normal case'!D347))*'external balance'!H347</f>
        <v>11422.825558044609</v>
      </c>
    </row>
    <row r="349" spans="2:8">
      <c r="B349" s="35">
        <f ca="1">('normal case'!AJ349*($K$6*'normal case'!D349*('normal case'!AJ349^'external balance'!$K$4)))/'normal case'!D349</f>
        <v>0.30447775876267213</v>
      </c>
      <c r="C349" s="35">
        <f ca="1">($K$5*$K$7*((1+$K$8)^'normal case'!A348)*'normal case'!AJ349^$K$3)/'normal case'!D349</f>
        <v>0.30747746557233269</v>
      </c>
      <c r="D349" s="96">
        <f ca="1">(C349-B349)+((('main page'!$U$38/100)*'normal case'!$D$3)/'normal case'!$D$3)</f>
        <v>2.9997068096605517E-3</v>
      </c>
      <c r="E349" s="35">
        <f ca="1">((('normal case'!T349/100)*'external balance'!H348)/('normal case'!D349/'normal case'!D348))</f>
        <v>399.79889112729404</v>
      </c>
      <c r="F349" s="35">
        <f t="shared" ca="1" si="5"/>
        <v>399.80189083410369</v>
      </c>
      <c r="H349" s="35">
        <f ca="1">D349+((1+'normal case'!T349/100)/('normal case'!D349/'normal case'!D348))*'external balance'!H348</f>
        <v>11822.627448878713</v>
      </c>
    </row>
    <row r="350" spans="2:8">
      <c r="B350" s="35">
        <f ca="1">('normal case'!AJ350*($K$6*'normal case'!D350*('normal case'!AJ350^'external balance'!$K$4)))/'normal case'!D350</f>
        <v>0.30447775876267213</v>
      </c>
      <c r="C350" s="35">
        <f ca="1">($K$5*$K$7*((1+$K$8)^'normal case'!A349)*'normal case'!AJ350^$K$3)/'normal case'!D350</f>
        <v>0.30747746557233269</v>
      </c>
      <c r="D350" s="96">
        <f ca="1">(C350-B350)+((('main page'!$U$38/100)*'normal case'!$D$3)/'normal case'!$D$3)</f>
        <v>2.9997068096605517E-3</v>
      </c>
      <c r="E350" s="35">
        <f ca="1">((('normal case'!T350/100)*'external balance'!H349)/('normal case'!D350/'normal case'!D349))</f>
        <v>413.79195718733746</v>
      </c>
      <c r="F350" s="35">
        <f t="shared" ca="1" si="5"/>
        <v>413.79495689414711</v>
      </c>
      <c r="H350" s="35">
        <f ca="1">D350+((1+'normal case'!T350/100)/('normal case'!D350/'normal case'!D349))*'external balance'!H349</f>
        <v>12236.422405772861</v>
      </c>
    </row>
    <row r="351" spans="2:8">
      <c r="B351" s="35">
        <f ca="1">('normal case'!AJ351*($K$6*'normal case'!D351*('normal case'!AJ351^'external balance'!$K$4)))/'normal case'!D351</f>
        <v>0.30447775876267213</v>
      </c>
      <c r="C351" s="35">
        <f ca="1">($K$5*$K$7*((1+$K$8)^'normal case'!A350)*'normal case'!AJ351^$K$3)/'normal case'!D351</f>
        <v>0.30747746557233269</v>
      </c>
      <c r="D351" s="96">
        <f ca="1">(C351-B351)+((('main page'!$U$38/100)*'normal case'!$D$3)/'normal case'!$D$3)</f>
        <v>2.9997068096605517E-3</v>
      </c>
      <c r="E351" s="35">
        <f ca="1">((('normal case'!T351/100)*'external balance'!H350)/('normal case'!D351/'normal case'!D350))</f>
        <v>428.27478055531213</v>
      </c>
      <c r="F351" s="35">
        <f t="shared" ca="1" si="5"/>
        <v>428.27778026212178</v>
      </c>
      <c r="H351" s="35">
        <f ca="1">D351+((1+'normal case'!T351/100)/('normal case'!D351/'normal case'!D350))*'external balance'!H350</f>
        <v>12664.700186034983</v>
      </c>
    </row>
    <row r="352" spans="2:8">
      <c r="B352" s="35">
        <f ca="1">('normal case'!AJ352*($K$6*'normal case'!D352*('normal case'!AJ352^'external balance'!$K$4)))/'normal case'!D352</f>
        <v>0.30447775876267213</v>
      </c>
      <c r="C352" s="35">
        <f ca="1">($K$5*$K$7*((1+$K$8)^'normal case'!A351)*'normal case'!AJ352^$K$3)/'normal case'!D352</f>
        <v>0.30747746557233269</v>
      </c>
      <c r="D352" s="96">
        <f ca="1">(C352-B352)+((('main page'!$U$38/100)*'normal case'!$D$3)/'normal case'!$D$3)</f>
        <v>2.9997068096605517E-3</v>
      </c>
      <c r="E352" s="35">
        <f ca="1">((('normal case'!T352/100)*'external balance'!H351)/('normal case'!D352/'normal case'!D351))</f>
        <v>443.26450273684964</v>
      </c>
      <c r="F352" s="35">
        <f t="shared" ca="1" si="5"/>
        <v>443.26750244365928</v>
      </c>
      <c r="H352" s="35">
        <f ca="1">D352+((1+'normal case'!T352/100)/('normal case'!D352/'normal case'!D351))*'external balance'!H351</f>
        <v>13107.967688478642</v>
      </c>
    </row>
    <row r="353" spans="2:8">
      <c r="B353" s="35">
        <f ca="1">('normal case'!AJ353*($K$6*'normal case'!D353*('normal case'!AJ353^'external balance'!$K$4)))/'normal case'!D353</f>
        <v>0.30447775876267213</v>
      </c>
      <c r="C353" s="35">
        <f ca="1">($K$5*$K$7*((1+$K$8)^'normal case'!A352)*'normal case'!AJ353^$K$3)/'normal case'!D353</f>
        <v>0.30747746557233269</v>
      </c>
      <c r="D353" s="96">
        <f ca="1">(C353-B353)+((('main page'!$U$38/100)*'normal case'!$D$3)/'normal case'!$D$3)</f>
        <v>2.9997068096605517E-3</v>
      </c>
      <c r="E353" s="35">
        <f ca="1">((('normal case'!T353/100)*'external balance'!H352)/('normal case'!D353/'normal case'!D352))</f>
        <v>458.77886519027373</v>
      </c>
      <c r="F353" s="35">
        <f t="shared" ca="1" si="5"/>
        <v>458.78186489708338</v>
      </c>
      <c r="H353" s="35">
        <f ca="1">D353+((1+'normal case'!T353/100)/('normal case'!D353/'normal case'!D352))*'external balance'!H352</f>
        <v>13566.749553375726</v>
      </c>
    </row>
    <row r="354" spans="2:8">
      <c r="B354" s="35">
        <f ca="1">('normal case'!AJ354*($K$6*'normal case'!D354*('normal case'!AJ354^'external balance'!$K$4)))/'normal case'!D354</f>
        <v>0.30447775876267213</v>
      </c>
      <c r="C354" s="35">
        <f ca="1">($K$5*$K$7*((1+$K$8)^'normal case'!A353)*'normal case'!AJ354^$K$3)/'normal case'!D354</f>
        <v>0.30747746557233269</v>
      </c>
      <c r="D354" s="96">
        <f ca="1">(C354-B354)+((('main page'!$U$38/100)*'normal case'!$D$3)/'normal case'!$D$3)</f>
        <v>2.9997068096605517E-3</v>
      </c>
      <c r="E354" s="35">
        <f ca="1">((('normal case'!T354/100)*'external balance'!H353)/('normal case'!D354/'normal case'!D353))</f>
        <v>474.83623032494404</v>
      </c>
      <c r="F354" s="35">
        <f t="shared" ca="1" si="5"/>
        <v>474.83923003175369</v>
      </c>
      <c r="H354" s="35">
        <f ca="1">D354+((1+'normal case'!T354/100)/('normal case'!D354/'normal case'!D353))*'external balance'!H353</f>
        <v>14041.58878340748</v>
      </c>
    </row>
    <row r="355" spans="2:8">
      <c r="B355" s="35">
        <f ca="1">('normal case'!AJ355*($K$6*'normal case'!D355*('normal case'!AJ355^'external balance'!$K$4)))/'normal case'!D355</f>
        <v>0.30447775876267213</v>
      </c>
      <c r="C355" s="35">
        <f ca="1">($K$5*$K$7*((1+$K$8)^'normal case'!A354)*'normal case'!AJ355^$K$3)/'normal case'!D355</f>
        <v>0.30747746557233269</v>
      </c>
      <c r="D355" s="96">
        <f ca="1">(C355-B355)+((('main page'!$U$38/100)*'normal case'!$D$3)/'normal case'!$D$3)</f>
        <v>2.9997068096605517E-3</v>
      </c>
      <c r="E355" s="35">
        <f ca="1">((('normal case'!T355/100)*'external balance'!H354)/('normal case'!D355/'normal case'!D354))</f>
        <v>491.45560323454231</v>
      </c>
      <c r="F355" s="35">
        <f t="shared" ca="1" si="5"/>
        <v>491.45860294135196</v>
      </c>
      <c r="H355" s="35">
        <f ca="1">D355+((1+'normal case'!T355/100)/('normal case'!D355/'normal case'!D354))*'external balance'!H354</f>
        <v>14533.047386348833</v>
      </c>
    </row>
    <row r="356" spans="2:8">
      <c r="B356" s="35">
        <f ca="1">('normal case'!AJ356*($K$6*'normal case'!D356*('normal case'!AJ356^'external balance'!$K$4)))/'normal case'!D356</f>
        <v>0.30447775876267213</v>
      </c>
      <c r="C356" s="35">
        <f ca="1">($K$5*$K$7*((1+$K$8)^'normal case'!A355)*'normal case'!AJ356^$K$3)/'normal case'!D356</f>
        <v>0.30747746557233269</v>
      </c>
      <c r="D356" s="96">
        <f ca="1">(C356-B356)+((('main page'!$U$38/100)*'normal case'!$D$3)/'normal case'!$D$3)</f>
        <v>2.9997068096605517E-3</v>
      </c>
      <c r="E356" s="35">
        <f ca="1">((('normal case'!T356/100)*'external balance'!H355)/('normal case'!D356/'normal case'!D355))</f>
        <v>508.65665419102356</v>
      </c>
      <c r="F356" s="35">
        <f t="shared" ca="1" si="5"/>
        <v>508.65965389783321</v>
      </c>
      <c r="H356" s="35">
        <f ca="1">D356+((1+'normal case'!T356/100)/('normal case'!D356/'normal case'!D355))*'external balance'!H355</f>
        <v>15041.707040246667</v>
      </c>
    </row>
    <row r="357" spans="2:8">
      <c r="B357" s="35">
        <f ca="1">('normal case'!AJ357*($K$6*'normal case'!D357*('normal case'!AJ357^'external balance'!$K$4)))/'normal case'!D357</f>
        <v>0.30447775876267213</v>
      </c>
      <c r="C357" s="35">
        <f ca="1">($K$5*$K$7*((1+$K$8)^'normal case'!A356)*'normal case'!AJ357^$K$3)/'normal case'!D357</f>
        <v>0.30747746557233269</v>
      </c>
      <c r="D357" s="96">
        <f ca="1">(C357-B357)+((('main page'!$U$38/100)*'normal case'!$D$3)/'normal case'!$D$3)</f>
        <v>2.9997068096605517E-3</v>
      </c>
      <c r="E357" s="35">
        <f ca="1">((('normal case'!T357/100)*'external balance'!H356)/('normal case'!D357/'normal case'!D356))</f>
        <v>526.45974192585538</v>
      </c>
      <c r="F357" s="35">
        <f t="shared" ca="1" si="5"/>
        <v>526.46274163266503</v>
      </c>
      <c r="H357" s="35">
        <f ca="1">D357+((1+'normal case'!T357/100)/('normal case'!D357/'normal case'!D356))*'external balance'!H356</f>
        <v>15568.169781879333</v>
      </c>
    </row>
    <row r="358" spans="2:8">
      <c r="B358" s="35">
        <f ca="1">('normal case'!AJ358*($K$6*'normal case'!D358*('normal case'!AJ358^'external balance'!$K$4)))/'normal case'!D358</f>
        <v>0.30447775876267213</v>
      </c>
      <c r="C358" s="35">
        <f ca="1">($K$5*$K$7*((1+$K$8)^'normal case'!A357)*'normal case'!AJ358^$K$3)/'normal case'!D358</f>
        <v>0.30747746557233269</v>
      </c>
      <c r="D358" s="96">
        <f ca="1">(C358-B358)+((('main page'!$U$38/100)*'normal case'!$D$3)/'normal case'!$D$3)</f>
        <v>2.9997068096605517E-3</v>
      </c>
      <c r="E358" s="35">
        <f ca="1">((('normal case'!T358/100)*'external balance'!H357)/('normal case'!D358/'normal case'!D357))</f>
        <v>544.88593772610056</v>
      </c>
      <c r="F358" s="35">
        <f t="shared" ca="1" si="5"/>
        <v>544.88893743291021</v>
      </c>
      <c r="H358" s="35">
        <f ca="1">D358+((1+'normal case'!T358/100)/('normal case'!D358/'normal case'!D357))*'external balance'!H357</f>
        <v>16113.058719312243</v>
      </c>
    </row>
    <row r="359" spans="2:8">
      <c r="B359" s="35">
        <f ca="1">('normal case'!AJ359*($K$6*'normal case'!D359*('normal case'!AJ359^'external balance'!$K$4)))/'normal case'!D359</f>
        <v>0.30447775876267213</v>
      </c>
      <c r="C359" s="35">
        <f ca="1">($K$5*$K$7*((1+$K$8)^'normal case'!A358)*'normal case'!AJ359^$K$3)/'normal case'!D359</f>
        <v>0.30747746557233269</v>
      </c>
      <c r="D359" s="96">
        <f ca="1">(C359-B359)+((('main page'!$U$38/100)*'normal case'!$D$3)/'normal case'!$D$3)</f>
        <v>2.9997068096605517E-3</v>
      </c>
      <c r="E359" s="35">
        <f ca="1">((('normal case'!T359/100)*'external balance'!H358)/('normal case'!D359/'normal case'!D358))</f>
        <v>563.9570503738629</v>
      </c>
      <c r="F359" s="35">
        <f t="shared" ca="1" si="5"/>
        <v>563.96005008067254</v>
      </c>
      <c r="H359" s="35">
        <f ca="1">D359+((1+'normal case'!T359/100)/('normal case'!D359/'normal case'!D358))*'external balance'!H358</f>
        <v>16677.018769392915</v>
      </c>
    </row>
    <row r="360" spans="2:8">
      <c r="B360" s="35">
        <f ca="1">('normal case'!AJ360*($K$6*'normal case'!D360*('normal case'!AJ360^'external balance'!$K$4)))/'normal case'!D360</f>
        <v>0.30447775876267213</v>
      </c>
      <c r="C360" s="35">
        <f ca="1">($K$5*$K$7*((1+$K$8)^'normal case'!A359)*'normal case'!AJ360^$K$3)/'normal case'!D360</f>
        <v>0.30747746557233269</v>
      </c>
      <c r="D360" s="96">
        <f ca="1">(C360-B360)+((('main page'!$U$38/100)*'normal case'!$D$3)/'normal case'!$D$3)</f>
        <v>2.9997068096605517E-3</v>
      </c>
      <c r="E360" s="35">
        <f ca="1">((('normal case'!T360/100)*'external balance'!H359)/('normal case'!D360/'normal case'!D359))</f>
        <v>583.69565195861321</v>
      </c>
      <c r="F360" s="35">
        <f t="shared" ca="1" si="5"/>
        <v>583.69865166542286</v>
      </c>
      <c r="H360" s="35">
        <f ca="1">D360+((1+'normal case'!T360/100)/('normal case'!D360/'normal case'!D359))*'external balance'!H359</f>
        <v>17260.717421058336</v>
      </c>
    </row>
    <row r="361" spans="2:8">
      <c r="B361" s="35">
        <f ca="1">('normal case'!AJ361*($K$6*'normal case'!D361*('normal case'!AJ361^'external balance'!$K$4)))/'normal case'!D361</f>
        <v>0.30447775876267213</v>
      </c>
      <c r="C361" s="35">
        <f ca="1">($K$5*$K$7*((1+$K$8)^'normal case'!A360)*'normal case'!AJ361^$K$3)/'normal case'!D361</f>
        <v>0.30747746557233269</v>
      </c>
      <c r="D361" s="96">
        <f ca="1">(C361-B361)+((('main page'!$U$38/100)*'normal case'!$D$3)/'normal case'!$D$3)</f>
        <v>2.9997068096605517E-3</v>
      </c>
      <c r="E361" s="35">
        <f ca="1">((('normal case'!T361/100)*'external balance'!H360)/('normal case'!D361/'normal case'!D360))</f>
        <v>604.1251045929472</v>
      </c>
      <c r="F361" s="35">
        <f t="shared" ca="1" si="5"/>
        <v>604.12810429975684</v>
      </c>
      <c r="H361" s="35">
        <f ca="1">D361+((1+'normal case'!T361/100)/('normal case'!D361/'normal case'!D360))*'external balance'!H360</f>
        <v>17864.845525358091</v>
      </c>
    </row>
    <row r="362" spans="2:8">
      <c r="B362" s="35">
        <f ca="1">('normal case'!AJ362*($K$6*'normal case'!D362*('normal case'!AJ362^'external balance'!$K$4)))/'normal case'!D362</f>
        <v>0.30447775876267213</v>
      </c>
      <c r="C362" s="35">
        <f ca="1">($K$5*$K$7*((1+$K$8)^'normal case'!A361)*'normal case'!AJ362^$K$3)/'normal case'!D362</f>
        <v>0.30747746557233269</v>
      </c>
      <c r="D362" s="96">
        <f ca="1">(C362-B362)+((('main page'!$U$38/100)*'normal case'!$D$3)/'normal case'!$D$3)</f>
        <v>2.9997068096605517E-3</v>
      </c>
      <c r="E362" s="35">
        <f ca="1">((('normal case'!T362/100)*'external balance'!H361)/('normal case'!D362/'normal case'!D361))</f>
        <v>625.26958806339439</v>
      </c>
      <c r="F362" s="35">
        <f t="shared" ca="1" si="5"/>
        <v>625.27258777020404</v>
      </c>
      <c r="H362" s="35">
        <f ca="1">D362+((1+'normal case'!T362/100)/('normal case'!D362/'normal case'!D361))*'external balance'!H361</f>
        <v>18490.118113128294</v>
      </c>
    </row>
    <row r="363" spans="2:8">
      <c r="B363" s="35">
        <f ca="1">('normal case'!AJ363*($K$6*'normal case'!D363*('normal case'!AJ363^'external balance'!$K$4)))/'normal case'!D363</f>
        <v>0.30447775876267213</v>
      </c>
      <c r="C363" s="35">
        <f ca="1">($K$5*$K$7*((1+$K$8)^'normal case'!A362)*'normal case'!AJ363^$K$3)/'normal case'!D363</f>
        <v>0.30747746557233269</v>
      </c>
      <c r="D363" s="96">
        <f ca="1">(C363-B363)+((('main page'!$U$38/100)*'normal case'!$D$3)/'normal case'!$D$3)</f>
        <v>2.9997068096605517E-3</v>
      </c>
      <c r="E363" s="35">
        <f ca="1">((('normal case'!T363/100)*'external balance'!H362)/('normal case'!D363/'normal case'!D362))</f>
        <v>647.15412844900573</v>
      </c>
      <c r="F363" s="35">
        <f t="shared" ca="1" si="5"/>
        <v>647.15712815581537</v>
      </c>
      <c r="H363" s="35">
        <f ca="1">D363+((1+'normal case'!T363/100)/('normal case'!D363/'normal case'!D362))*'external balance'!H362</f>
        <v>19137.275241284107</v>
      </c>
    </row>
    <row r="364" spans="2:8">
      <c r="B364" s="35">
        <f ca="1">('normal case'!AJ364*($K$6*'normal case'!D364*('normal case'!AJ364^'external balance'!$K$4)))/'normal case'!D364</f>
        <v>0.30447775876267213</v>
      </c>
      <c r="C364" s="35">
        <f ca="1">($K$5*$K$7*((1+$K$8)^'normal case'!A363)*'normal case'!AJ364^$K$3)/'normal case'!D364</f>
        <v>0.30747746557233269</v>
      </c>
      <c r="D364" s="96">
        <f ca="1">(C364-B364)+((('main page'!$U$38/100)*'normal case'!$D$3)/'normal case'!$D$3)</f>
        <v>2.9997068096605517E-3</v>
      </c>
      <c r="E364" s="35">
        <f ca="1">((('normal case'!T364/100)*'external balance'!H363)/('normal case'!D364/'normal case'!D363))</f>
        <v>669.80462774159139</v>
      </c>
      <c r="F364" s="35">
        <f t="shared" ca="1" si="5"/>
        <v>669.80762744840104</v>
      </c>
      <c r="H364" s="35">
        <f ca="1">D364+((1+'normal case'!T364/100)/('normal case'!D364/'normal case'!D363))*'external balance'!H363</f>
        <v>19807.082868732508</v>
      </c>
    </row>
    <row r="365" spans="2:8">
      <c r="B365" s="35">
        <f ca="1">('normal case'!AJ365*($K$6*'normal case'!D365*('normal case'!AJ365^'external balance'!$K$4)))/'normal case'!D365</f>
        <v>0.30447775876267213</v>
      </c>
      <c r="C365" s="35">
        <f ca="1">($K$5*$K$7*((1+$K$8)^'normal case'!A364)*'normal case'!AJ365^$K$3)/'normal case'!D365</f>
        <v>0.30747746557233269</v>
      </c>
      <c r="D365" s="96">
        <f ca="1">(C365-B365)+((('main page'!$U$38/100)*'normal case'!$D$3)/'normal case'!$D$3)</f>
        <v>2.9997068096605517E-3</v>
      </c>
      <c r="E365" s="35">
        <f ca="1">((('normal case'!T365/100)*'external balance'!H364)/('normal case'!D365/'normal case'!D364))</f>
        <v>693.24789450266712</v>
      </c>
      <c r="F365" s="35">
        <f t="shared" ca="1" si="5"/>
        <v>693.25089420947677</v>
      </c>
      <c r="H365" s="35">
        <f ca="1">D365+((1+'normal case'!T365/100)/('normal case'!D365/'normal case'!D364))*'external balance'!H364</f>
        <v>20500.333762941984</v>
      </c>
    </row>
    <row r="366" spans="2:8">
      <c r="B366" s="35">
        <f ca="1">('normal case'!AJ366*($K$6*'normal case'!D366*('normal case'!AJ366^'external balance'!$K$4)))/'normal case'!D366</f>
        <v>0.30447775876267213</v>
      </c>
      <c r="C366" s="35">
        <f ca="1">($K$5*$K$7*((1+$K$8)^'normal case'!A365)*'normal case'!AJ366^$K$3)/'normal case'!D366</f>
        <v>0.30747746557233269</v>
      </c>
      <c r="D366" s="96">
        <f ca="1">(C366-B366)+((('main page'!$U$38/100)*'normal case'!$D$3)/'normal case'!$D$3)</f>
        <v>2.9997068096605517E-3</v>
      </c>
      <c r="E366" s="35">
        <f ca="1">((('normal case'!T366/100)*'external balance'!H365)/('normal case'!D366/'normal case'!D365))</f>
        <v>717.51167559339399</v>
      </c>
      <c r="F366" s="35">
        <f t="shared" ca="1" si="5"/>
        <v>717.51467530020363</v>
      </c>
      <c r="H366" s="35">
        <f ca="1">D366+((1+'normal case'!T366/100)/('normal case'!D366/'normal case'!D365))*'external balance'!H365</f>
        <v>21217.848438242185</v>
      </c>
    </row>
    <row r="367" spans="2:8">
      <c r="B367" s="35">
        <f ca="1">('normal case'!AJ367*($K$6*'normal case'!D367*('normal case'!AJ367^'external balance'!$K$4)))/'normal case'!D367</f>
        <v>0.30447775876267213</v>
      </c>
      <c r="C367" s="35">
        <f ca="1">($K$5*$K$7*((1+$K$8)^'normal case'!A366)*'normal case'!AJ367^$K$3)/'normal case'!D367</f>
        <v>0.30747746557233269</v>
      </c>
      <c r="D367" s="96">
        <f ca="1">(C367-B367)+((('main page'!$U$38/100)*'normal case'!$D$3)/'normal case'!$D$3)</f>
        <v>2.9997068096605517E-3</v>
      </c>
      <c r="E367" s="35">
        <f ca="1">((('normal case'!T367/100)*'external balance'!H366)/('normal case'!D367/'normal case'!D366))</f>
        <v>742.62468901506497</v>
      </c>
      <c r="F367" s="35">
        <f t="shared" ca="1" si="5"/>
        <v>742.62768872187462</v>
      </c>
      <c r="H367" s="35">
        <f ca="1">D367+((1+'normal case'!T367/100)/('normal case'!D367/'normal case'!D366))*'external balance'!H366</f>
        <v>21960.476126964058</v>
      </c>
    </row>
    <row r="368" spans="2:8">
      <c r="B368" s="35">
        <f ca="1">('normal case'!AJ368*($K$6*'normal case'!D368*('normal case'!AJ368^'external balance'!$K$4)))/'normal case'!D368</f>
        <v>0.30447775876267213</v>
      </c>
      <c r="C368" s="35">
        <f ca="1">($K$5*$K$7*((1+$K$8)^'normal case'!A367)*'normal case'!AJ368^$K$3)/'normal case'!D368</f>
        <v>0.30747746557233269</v>
      </c>
      <c r="D368" s="96">
        <f ca="1">(C368-B368)+((('main page'!$U$38/100)*'normal case'!$D$3)/'normal case'!$D$3)</f>
        <v>2.9997068096605517E-3</v>
      </c>
      <c r="E368" s="35">
        <f ca="1">((('normal case'!T368/100)*'external balance'!H367)/('normal case'!D368/'normal case'!D367))</f>
        <v>768.61665789901019</v>
      </c>
      <c r="F368" s="35">
        <f t="shared" ca="1" si="5"/>
        <v>768.61965760581984</v>
      </c>
      <c r="H368" s="35">
        <f ca="1">D368+((1+'normal case'!T368/100)/('normal case'!D368/'normal case'!D367))*'external balance'!H367</f>
        <v>22729.095784569876</v>
      </c>
    </row>
    <row r="369" spans="2:8">
      <c r="B369" s="35">
        <f ca="1">('normal case'!AJ369*($K$6*'normal case'!D369*('normal case'!AJ369^'external balance'!$K$4)))/'normal case'!D369</f>
        <v>0.30447775876267213</v>
      </c>
      <c r="C369" s="35">
        <f ca="1">($K$5*$K$7*((1+$K$8)^'normal case'!A368)*'normal case'!AJ369^$K$3)/'normal case'!D369</f>
        <v>0.30747746557233269</v>
      </c>
      <c r="D369" s="96">
        <f ca="1">(C369-B369)+((('main page'!$U$38/100)*'normal case'!$D$3)/'normal case'!$D$3)</f>
        <v>2.9997068096605517E-3</v>
      </c>
      <c r="E369" s="35">
        <f ca="1">((('normal case'!T369/100)*'external balance'!H368)/('normal case'!D369/'normal case'!D368))</f>
        <v>795.51834568614731</v>
      </c>
      <c r="F369" s="35">
        <f t="shared" ref="F369:F432" ca="1" si="6">IF(ABS(D369+E369-F368)&lt;0.0000001,F368,D369+E369)</f>
        <v>795.52134539295696</v>
      </c>
      <c r="H369" s="35">
        <f ca="1">D369+((1+'normal case'!T369/100)/('normal case'!D369/'normal case'!D368))*'external balance'!H368</f>
        <v>23524.617129962829</v>
      </c>
    </row>
    <row r="370" spans="2:8">
      <c r="B370" s="35">
        <f ca="1">('normal case'!AJ370*($K$6*'normal case'!D370*('normal case'!AJ370^'external balance'!$K$4)))/'normal case'!D370</f>
        <v>0.30447775876267213</v>
      </c>
      <c r="C370" s="35">
        <f ca="1">($K$5*$K$7*((1+$K$8)^'normal case'!A369)*'normal case'!AJ370^$K$3)/'normal case'!D370</f>
        <v>0.30747746557233269</v>
      </c>
      <c r="D370" s="96">
        <f ca="1">(C370-B370)+((('main page'!$U$38/100)*'normal case'!$D$3)/'normal case'!$D$3)</f>
        <v>2.9997068096605517E-3</v>
      </c>
      <c r="E370" s="35">
        <f ca="1">((('normal case'!T370/100)*'external balance'!H369)/('normal case'!D370/'normal case'!D369))</f>
        <v>823.36159253781682</v>
      </c>
      <c r="F370" s="35">
        <f t="shared" ca="1" si="6"/>
        <v>823.36459224462646</v>
      </c>
      <c r="H370" s="35">
        <f ca="1">D370+((1+'normal case'!T370/100)/('normal case'!D370/'normal case'!D369))*'external balance'!H369</f>
        <v>24347.981722207456</v>
      </c>
    </row>
    <row r="371" spans="2:8">
      <c r="B371" s="35">
        <f ca="1">('normal case'!AJ371*($K$6*'normal case'!D371*('normal case'!AJ371^'external balance'!$K$4)))/'normal case'!D371</f>
        <v>0.30447775876267213</v>
      </c>
      <c r="C371" s="35">
        <f ca="1">($K$5*$K$7*((1+$K$8)^'normal case'!A370)*'normal case'!AJ371^$K$3)/'normal case'!D371</f>
        <v>0.30747746557233269</v>
      </c>
      <c r="D371" s="96">
        <f ca="1">(C371-B371)+((('main page'!$U$38/100)*'normal case'!$D$3)/'normal case'!$D$3)</f>
        <v>2.9997068096605517E-3</v>
      </c>
      <c r="E371" s="35">
        <f ca="1">((('normal case'!T371/100)*'external balance'!H370)/('normal case'!D371/'normal case'!D370))</f>
        <v>852.17935302099704</v>
      </c>
      <c r="F371" s="35">
        <f t="shared" ca="1" si="6"/>
        <v>852.18235272780669</v>
      </c>
      <c r="H371" s="35">
        <f ca="1">D371+((1+'normal case'!T371/100)/('normal case'!D371/'normal case'!D370))*'external balance'!H370</f>
        <v>25200.164074935263</v>
      </c>
    </row>
    <row r="372" spans="2:8">
      <c r="B372" s="35">
        <f ca="1">('normal case'!AJ372*($K$6*'normal case'!D372*('normal case'!AJ372^'external balance'!$K$4)))/'normal case'!D372</f>
        <v>0.30447775876267213</v>
      </c>
      <c r="C372" s="35">
        <f ca="1">($K$5*$K$7*((1+$K$8)^'normal case'!A371)*'normal case'!AJ372^$K$3)/'normal case'!D372</f>
        <v>0.30747746557233269</v>
      </c>
      <c r="D372" s="96">
        <f ca="1">(C372-B372)+((('main page'!$U$38/100)*'normal case'!$D$3)/'normal case'!$D$3)</f>
        <v>2.9997068096605517E-3</v>
      </c>
      <c r="E372" s="35">
        <f ca="1">((('normal case'!T372/100)*'external balance'!H371)/('normal case'!D372/'normal case'!D371))</f>
        <v>882.00573511250013</v>
      </c>
      <c r="F372" s="35">
        <f t="shared" ca="1" si="6"/>
        <v>882.00873481930978</v>
      </c>
      <c r="H372" s="35">
        <f ca="1">D372+((1+'normal case'!T372/100)/('normal case'!D372/'normal case'!D371))*'external balance'!H371</f>
        <v>26082.172809754571</v>
      </c>
    </row>
    <row r="373" spans="2:8">
      <c r="B373" s="35">
        <f ca="1">('normal case'!AJ373*($K$6*'normal case'!D373*('normal case'!AJ373^'external balance'!$K$4)))/'normal case'!D373</f>
        <v>0.30447775876267213</v>
      </c>
      <c r="C373" s="35">
        <f ca="1">($K$5*$K$7*((1+$K$8)^'normal case'!A372)*'normal case'!AJ373^$K$3)/'normal case'!D373</f>
        <v>0.30747746557233269</v>
      </c>
      <c r="D373" s="96">
        <f ca="1">(C373-B373)+((('main page'!$U$38/100)*'normal case'!$D$3)/'normal case'!$D$3)</f>
        <v>2.9997068096605517E-3</v>
      </c>
      <c r="E373" s="35">
        <f ca="1">((('normal case'!T373/100)*'external balance'!H372)/('normal case'!D373/'normal case'!D372))</f>
        <v>912.87604056831685</v>
      </c>
      <c r="F373" s="35">
        <f t="shared" ca="1" si="6"/>
        <v>912.8790402751265</v>
      </c>
      <c r="H373" s="35">
        <f ca="1">D373+((1+'normal case'!T373/100)/('normal case'!D373/'normal case'!D372))*'external balance'!H372</f>
        <v>26995.051850029697</v>
      </c>
    </row>
    <row r="374" spans="2:8">
      <c r="B374" s="35">
        <f ca="1">('normal case'!AJ374*($K$6*'normal case'!D374*('normal case'!AJ374^'external balance'!$K$4)))/'normal case'!D374</f>
        <v>0.30447775876267213</v>
      </c>
      <c r="C374" s="35">
        <f ca="1">($K$5*$K$7*((1+$K$8)^'normal case'!A373)*'normal case'!AJ374^$K$3)/'normal case'!D374</f>
        <v>0.30747746557233269</v>
      </c>
      <c r="D374" s="96">
        <f ca="1">(C374-B374)+((('main page'!$U$38/100)*'normal case'!$D$3)/'normal case'!$D$3)</f>
        <v>2.9997068096605517E-3</v>
      </c>
      <c r="E374" s="35">
        <f ca="1">((('normal case'!T374/100)*'external balance'!H373)/('normal case'!D374/'normal case'!D373))</f>
        <v>944.82680670588707</v>
      </c>
      <c r="F374" s="35">
        <f t="shared" ca="1" si="6"/>
        <v>944.82980641269671</v>
      </c>
      <c r="H374" s="35">
        <f ca="1">D374+((1+'normal case'!T374/100)/('normal case'!D374/'normal case'!D373))*'external balance'!H373</f>
        <v>27939.881656442391</v>
      </c>
    </row>
    <row r="375" spans="2:8">
      <c r="B375" s="35">
        <f ca="1">('normal case'!AJ375*($K$6*'normal case'!D375*('normal case'!AJ375^'external balance'!$K$4)))/'normal case'!D375</f>
        <v>0.30447775876267213</v>
      </c>
      <c r="C375" s="35">
        <f ca="1">($K$5*$K$7*((1+$K$8)^'normal case'!A374)*'normal case'!AJ375^$K$3)/'normal case'!D375</f>
        <v>0.30747746557233269</v>
      </c>
      <c r="D375" s="96">
        <f ca="1">(C375-B375)+((('main page'!$U$38/100)*'normal case'!$D$3)/'normal case'!$D$3)</f>
        <v>2.9997068096605517E-3</v>
      </c>
      <c r="E375" s="35">
        <f ca="1">((('normal case'!T375/100)*'external balance'!H374)/('normal case'!D375/'normal case'!D374))</f>
        <v>977.89584964875019</v>
      </c>
      <c r="F375" s="35">
        <f t="shared" ca="1" si="6"/>
        <v>977.89884935555983</v>
      </c>
      <c r="H375" s="35">
        <f ca="1">D375+((1+'normal case'!T375/100)/('normal case'!D375/'normal case'!D374))*'external balance'!H374</f>
        <v>28917.780505797949</v>
      </c>
    </row>
    <row r="376" spans="2:8">
      <c r="B376" s="35">
        <f ca="1">('normal case'!AJ376*($K$6*'normal case'!D376*('normal case'!AJ376^'external balance'!$K$4)))/'normal case'!D376</f>
        <v>0.30447775876267213</v>
      </c>
      <c r="C376" s="35">
        <f ca="1">($K$5*$K$7*((1+$K$8)^'normal case'!A375)*'normal case'!AJ376^$K$3)/'normal case'!D376</f>
        <v>0.30747746557233269</v>
      </c>
      <c r="D376" s="96">
        <f ca="1">(C376-B376)+((('main page'!$U$38/100)*'normal case'!$D$3)/'normal case'!$D$3)</f>
        <v>2.9997068096605517E-3</v>
      </c>
      <c r="E376" s="35">
        <f ca="1">((('normal case'!T376/100)*'external balance'!H375)/('normal case'!D376/'normal case'!D375))</f>
        <v>1012.1223090847582</v>
      </c>
      <c r="F376" s="35">
        <f t="shared" ca="1" si="6"/>
        <v>1012.1253087915678</v>
      </c>
      <c r="H376" s="35">
        <f ca="1">D376+((1+'normal case'!T376/100)/('normal case'!D376/'normal case'!D375))*'external balance'!H375</f>
        <v>29929.905814589514</v>
      </c>
    </row>
    <row r="377" spans="2:8">
      <c r="B377" s="35">
        <f ca="1">('normal case'!AJ377*($K$6*'normal case'!D377*('normal case'!AJ377^'external balance'!$K$4)))/'normal case'!D377</f>
        <v>0.30447775876267213</v>
      </c>
      <c r="C377" s="35">
        <f ca="1">($K$5*$K$7*((1+$K$8)^'normal case'!A376)*'normal case'!AJ377^$K$3)/'normal case'!D377</f>
        <v>0.30747746557233269</v>
      </c>
      <c r="D377" s="96">
        <f ca="1">(C377-B377)+((('main page'!$U$38/100)*'normal case'!$D$3)/'normal case'!$D$3)</f>
        <v>2.9997068096605517E-3</v>
      </c>
      <c r="E377" s="35">
        <f ca="1">((('normal case'!T377/100)*'external balance'!H376)/('normal case'!D377/'normal case'!D376))</f>
        <v>1047.5466945908261</v>
      </c>
      <c r="F377" s="35">
        <f t="shared" ca="1" si="6"/>
        <v>1047.5496942976358</v>
      </c>
      <c r="H377" s="35">
        <f ca="1">D377+((1+'normal case'!T377/100)/('normal case'!D377/'normal case'!D376))*'external balance'!H376</f>
        <v>30977.455508887149</v>
      </c>
    </row>
    <row r="378" spans="2:8">
      <c r="B378" s="35">
        <f ca="1">('normal case'!AJ378*($K$6*'normal case'!D378*('normal case'!AJ378^'external balance'!$K$4)))/'normal case'!D378</f>
        <v>0.30447775876267213</v>
      </c>
      <c r="C378" s="35">
        <f ca="1">($K$5*$K$7*((1+$K$8)^'normal case'!A377)*'normal case'!AJ378^$K$3)/'normal case'!D378</f>
        <v>0.30747746557233269</v>
      </c>
      <c r="D378" s="96">
        <f ca="1">(C378-B378)+((('main page'!$U$38/100)*'normal case'!$D$3)/'normal case'!$D$3)</f>
        <v>2.9997068096605517E-3</v>
      </c>
      <c r="E378" s="35">
        <f ca="1">((('normal case'!T378/100)*'external balance'!H377)/('normal case'!D378/'normal case'!D377))</f>
        <v>1084.2109335790492</v>
      </c>
      <c r="F378" s="35">
        <f t="shared" ca="1" si="6"/>
        <v>1084.213933285859</v>
      </c>
      <c r="H378" s="35">
        <f ca="1">D378+((1+'normal case'!T378/100)/('normal case'!D378/'normal case'!D377))*'external balance'!H377</f>
        <v>32061.669442173006</v>
      </c>
    </row>
    <row r="379" spans="2:8">
      <c r="B379" s="35">
        <f ca="1">('normal case'!AJ379*($K$6*'normal case'!D379*('normal case'!AJ379^'external balance'!$K$4)))/'normal case'!D379</f>
        <v>0.30447775876267213</v>
      </c>
      <c r="C379" s="35">
        <f ca="1">($K$5*$K$7*((1+$K$8)^'normal case'!A378)*'normal case'!AJ379^$K$3)/'normal case'!D379</f>
        <v>0.30747746557233269</v>
      </c>
      <c r="D379" s="96">
        <f ca="1">(C379-B379)+((('main page'!$U$38/100)*'normal case'!$D$3)/'normal case'!$D$3)</f>
        <v>2.9997068096605517E-3</v>
      </c>
      <c r="E379" s="35">
        <f ca="1">((('normal case'!T379/100)*'external balance'!H378)/('normal case'!D379/'normal case'!D378))</f>
        <v>1122.1584209209332</v>
      </c>
      <c r="F379" s="35">
        <f t="shared" ca="1" si="6"/>
        <v>1122.1614206277429</v>
      </c>
      <c r="H379" s="35">
        <f ca="1">D379+((1+'normal case'!T379/100)/('normal case'!D379/'normal case'!D378))*'external balance'!H378</f>
        <v>33183.830862800751</v>
      </c>
    </row>
    <row r="380" spans="2:8">
      <c r="B380" s="35">
        <f ca="1">('normal case'!AJ380*($K$6*'normal case'!D380*('normal case'!AJ380^'external balance'!$K$4)))/'normal case'!D380</f>
        <v>0.30447775876267213</v>
      </c>
      <c r="C380" s="35">
        <f ca="1">($K$5*$K$7*((1+$K$8)^'normal case'!A379)*'normal case'!AJ380^$K$3)/'normal case'!D380</f>
        <v>0.30747746557233269</v>
      </c>
      <c r="D380" s="96">
        <f ca="1">(C380-B380)+((('main page'!$U$38/100)*'normal case'!$D$3)/'normal case'!$D$3)</f>
        <v>2.9997068096605517E-3</v>
      </c>
      <c r="E380" s="35">
        <f ca="1">((('normal case'!T380/100)*'external balance'!H379)/('normal case'!D380/'normal case'!D379))</f>
        <v>1161.434070308474</v>
      </c>
      <c r="F380" s="35">
        <f t="shared" ca="1" si="6"/>
        <v>1161.4370700152838</v>
      </c>
      <c r="H380" s="35">
        <f ca="1">D380+((1+'normal case'!T380/100)/('normal case'!D380/'normal case'!D379))*'external balance'!H379</f>
        <v>34345.267932816038</v>
      </c>
    </row>
    <row r="381" spans="2:8">
      <c r="B381" s="35">
        <f ca="1">('normal case'!AJ381*($K$6*'normal case'!D381*('normal case'!AJ381^'external balance'!$K$4)))/'normal case'!D381</f>
        <v>0.30447775876267213</v>
      </c>
      <c r="C381" s="35">
        <f ca="1">($K$5*$K$7*((1+$K$8)^'normal case'!A380)*'normal case'!AJ381^$K$3)/'normal case'!D381</f>
        <v>0.30747746557233269</v>
      </c>
      <c r="D381" s="96">
        <f ca="1">(C381-B381)+((('main page'!$U$38/100)*'normal case'!$D$3)/'normal case'!$D$3)</f>
        <v>2.9997068096605517E-3</v>
      </c>
      <c r="E381" s="35">
        <f ca="1">((('normal case'!T381/100)*'external balance'!H380)/('normal case'!D381/'normal case'!D380))</f>
        <v>1202.0843674128739</v>
      </c>
      <c r="F381" s="35">
        <f t="shared" ca="1" si="6"/>
        <v>1202.0873671196837</v>
      </c>
      <c r="H381" s="35">
        <f ca="1">D381+((1+'normal case'!T381/100)/('normal case'!D381/'normal case'!D380))*'external balance'!H380</f>
        <v>35547.35529993572</v>
      </c>
    </row>
    <row r="382" spans="2:8">
      <c r="B382" s="35">
        <f ca="1">('normal case'!AJ382*($K$6*'normal case'!D382*('normal case'!AJ382^'external balance'!$K$4)))/'normal case'!D382</f>
        <v>0.30447775876267213</v>
      </c>
      <c r="C382" s="35">
        <f ca="1">($K$5*$K$7*((1+$K$8)^'normal case'!A381)*'normal case'!AJ382^$K$3)/'normal case'!D382</f>
        <v>0.30747746557233269</v>
      </c>
      <c r="D382" s="96">
        <f ca="1">(C382-B382)+((('main page'!$U$38/100)*'normal case'!$D$3)/'normal case'!$D$3)</f>
        <v>2.9997068096605517E-3</v>
      </c>
      <c r="E382" s="35">
        <f ca="1">((('normal case'!T382/100)*'external balance'!H381)/('normal case'!D382/'normal case'!D381))</f>
        <v>1244.1574249038129</v>
      </c>
      <c r="F382" s="35">
        <f t="shared" ca="1" si="6"/>
        <v>1244.1604246106226</v>
      </c>
      <c r="H382" s="35">
        <f ca="1">D382+((1+'normal case'!T382/100)/('normal case'!D382/'normal case'!D381))*'external balance'!H381</f>
        <v>36791.515724546342</v>
      </c>
    </row>
    <row r="383" spans="2:8">
      <c r="B383" s="35">
        <f ca="1">('normal case'!AJ383*($K$6*'normal case'!D383*('normal case'!AJ383^'external balance'!$K$4)))/'normal case'!D383</f>
        <v>0.30447775876267213</v>
      </c>
      <c r="C383" s="35">
        <f ca="1">($K$5*$K$7*((1+$K$8)^'normal case'!A382)*'normal case'!AJ383^$K$3)/'normal case'!D383</f>
        <v>0.30747746557233269</v>
      </c>
      <c r="D383" s="96">
        <f ca="1">(C383-B383)+((('main page'!$U$38/100)*'normal case'!$D$3)/'normal case'!$D$3)</f>
        <v>2.9997068096605517E-3</v>
      </c>
      <c r="E383" s="35">
        <f ca="1">((('normal case'!T383/100)*'external balance'!H382)/('normal case'!D383/'normal case'!D382))</f>
        <v>1287.703039394396</v>
      </c>
      <c r="F383" s="35">
        <f t="shared" ca="1" si="6"/>
        <v>1287.7060391012058</v>
      </c>
      <c r="H383" s="35">
        <f ca="1">D383+((1+'normal case'!T383/100)/('normal case'!D383/'normal case'!D382))*'external balance'!H382</f>
        <v>38079.221763647547</v>
      </c>
    </row>
    <row r="384" spans="2:8">
      <c r="B384" s="35">
        <f ca="1">('normal case'!AJ384*($K$6*'normal case'!D384*('normal case'!AJ384^'external balance'!$K$4)))/'normal case'!D384</f>
        <v>0.30447775876267213</v>
      </c>
      <c r="C384" s="35">
        <f ca="1">($K$5*$K$7*((1+$K$8)^'normal case'!A383)*'normal case'!AJ384^$K$3)/'normal case'!D384</f>
        <v>0.30747746557233269</v>
      </c>
      <c r="D384" s="96">
        <f ca="1">(C384-B384)+((('main page'!$U$38/100)*'normal case'!$D$3)/'normal case'!$D$3)</f>
        <v>2.9997068096605517E-3</v>
      </c>
      <c r="E384" s="35">
        <f ca="1">((('normal case'!T384/100)*'external balance'!H383)/('normal case'!D384/'normal case'!D383))</f>
        <v>1332.7727503791718</v>
      </c>
      <c r="F384" s="35">
        <f t="shared" ca="1" si="6"/>
        <v>1332.7757500859816</v>
      </c>
      <c r="H384" s="35">
        <f ca="1">D384+((1+'normal case'!T384/100)/('normal case'!D384/'normal case'!D383))*'external balance'!H383</f>
        <v>39411.997513733528</v>
      </c>
    </row>
    <row r="385" spans="2:8">
      <c r="B385" s="35">
        <f ca="1">('normal case'!AJ385*($K$6*'normal case'!D385*('normal case'!AJ385^'external balance'!$K$4)))/'normal case'!D385</f>
        <v>0.30447775876267213</v>
      </c>
      <c r="C385" s="35">
        <f ca="1">($K$5*$K$7*((1+$K$8)^'normal case'!A384)*'normal case'!AJ385^$K$3)/'normal case'!D385</f>
        <v>0.30747746557233269</v>
      </c>
      <c r="D385" s="96">
        <f ca="1">(C385-B385)+((('main page'!$U$38/100)*'normal case'!$D$3)/'normal case'!$D$3)</f>
        <v>2.9997068096605517E-3</v>
      </c>
      <c r="E385" s="35">
        <f ca="1">((('normal case'!T385/100)*'external balance'!H384)/('normal case'!D385/'normal case'!D384))</f>
        <v>1379.4199012349829</v>
      </c>
      <c r="F385" s="35">
        <f t="shared" ca="1" si="6"/>
        <v>1379.4229009417927</v>
      </c>
      <c r="H385" s="35">
        <f ca="1">D385+((1+'normal case'!T385/100)/('normal case'!D385/'normal case'!D384))*'external balance'!H384</f>
        <v>40791.420414675325</v>
      </c>
    </row>
    <row r="386" spans="2:8">
      <c r="B386" s="35">
        <f ca="1">('normal case'!AJ386*($K$6*'normal case'!D386*('normal case'!AJ386^'external balance'!$K$4)))/'normal case'!D386</f>
        <v>0.30447775876267213</v>
      </c>
      <c r="C386" s="35">
        <f ca="1">($K$5*$K$7*((1+$K$8)^'normal case'!A385)*'normal case'!AJ386^$K$3)/'normal case'!D386</f>
        <v>0.30747746557233269</v>
      </c>
      <c r="D386" s="96">
        <f ca="1">(C386-B386)+((('main page'!$U$38/100)*'normal case'!$D$3)/'normal case'!$D$3)</f>
        <v>2.9997068096605517E-3</v>
      </c>
      <c r="E386" s="35">
        <f ca="1">((('normal case'!T386/100)*'external balance'!H385)/('normal case'!D386/'normal case'!D385))</f>
        <v>1427.6997023568458</v>
      </c>
      <c r="F386" s="35">
        <f t="shared" ca="1" si="6"/>
        <v>1427.7027020636556</v>
      </c>
      <c r="H386" s="35">
        <f ca="1">D386+((1+'normal case'!T386/100)/('normal case'!D386/'normal case'!D385))*'external balance'!H385</f>
        <v>42219.123116738985</v>
      </c>
    </row>
    <row r="387" spans="2:8">
      <c r="B387" s="35">
        <f ca="1">('normal case'!AJ387*($K$6*'normal case'!D387*('normal case'!AJ387^'external balance'!$K$4)))/'normal case'!D387</f>
        <v>0.30447775876267213</v>
      </c>
      <c r="C387" s="35">
        <f ca="1">($K$5*$K$7*((1+$K$8)^'normal case'!A386)*'normal case'!AJ387^$K$3)/'normal case'!D387</f>
        <v>0.30747746557233269</v>
      </c>
      <c r="D387" s="96">
        <f ca="1">(C387-B387)+((('main page'!$U$38/100)*'normal case'!$D$3)/'normal case'!$D$3)</f>
        <v>2.9997068096605517E-3</v>
      </c>
      <c r="E387" s="35">
        <f ca="1">((('normal case'!T387/100)*'external balance'!H386)/('normal case'!D387/'normal case'!D386))</f>
        <v>1477.6692965035854</v>
      </c>
      <c r="F387" s="35">
        <f t="shared" ca="1" si="6"/>
        <v>1477.6722962103952</v>
      </c>
      <c r="H387" s="35">
        <f ca="1">D387+((1+'normal case'!T387/100)/('normal case'!D387/'normal case'!D386))*'external balance'!H386</f>
        <v>43696.795412949381</v>
      </c>
    </row>
    <row r="388" spans="2:8">
      <c r="B388" s="35">
        <f ca="1">('normal case'!AJ388*($K$6*'normal case'!D388*('normal case'!AJ388^'external balance'!$K$4)))/'normal case'!D388</f>
        <v>0.30447775876267213</v>
      </c>
      <c r="C388" s="35">
        <f ca="1">($K$5*$K$7*((1+$K$8)^'normal case'!A387)*'normal case'!AJ388^$K$3)/'normal case'!D388</f>
        <v>0.30747746557233269</v>
      </c>
      <c r="D388" s="96">
        <f ca="1">(C388-B388)+((('main page'!$U$38/100)*'normal case'!$D$3)/'normal case'!$D$3)</f>
        <v>2.9997068096605517E-3</v>
      </c>
      <c r="E388" s="35">
        <f ca="1">((('normal case'!T388/100)*'external balance'!H387)/('normal case'!D388/'normal case'!D387))</f>
        <v>1529.3878264305686</v>
      </c>
      <c r="F388" s="35">
        <f t="shared" ca="1" si="6"/>
        <v>1529.3908261373783</v>
      </c>
      <c r="H388" s="35">
        <f ca="1">D388+((1+'normal case'!T388/100)/('normal case'!D388/'normal case'!D387))*'external balance'!H387</f>
        <v>45226.186239086761</v>
      </c>
    </row>
    <row r="389" spans="2:8">
      <c r="B389" s="35">
        <f ca="1">('normal case'!AJ389*($K$6*'normal case'!D389*('normal case'!AJ389^'external balance'!$K$4)))/'normal case'!D389</f>
        <v>0.30447775876267213</v>
      </c>
      <c r="C389" s="35">
        <f ca="1">($K$5*$K$7*((1+$K$8)^'normal case'!A388)*'normal case'!AJ389^$K$3)/'normal case'!D389</f>
        <v>0.30747746557233269</v>
      </c>
      <c r="D389" s="96">
        <f ca="1">(C389-B389)+((('main page'!$U$38/100)*'normal case'!$D$3)/'normal case'!$D$3)</f>
        <v>2.9997068096605517E-3</v>
      </c>
      <c r="E389" s="35">
        <f ca="1">((('normal case'!T389/100)*'external balance'!H388)/('normal case'!D389/'normal case'!D388))</f>
        <v>1582.9165048895829</v>
      </c>
      <c r="F389" s="35">
        <f t="shared" ca="1" si="6"/>
        <v>1582.9195045963927</v>
      </c>
      <c r="H389" s="35">
        <f ca="1">D389+((1+'normal case'!T389/100)/('normal case'!D389/'normal case'!D388))*'external balance'!H388</f>
        <v>46809.105743683154</v>
      </c>
    </row>
    <row r="390" spans="2:8">
      <c r="B390" s="35">
        <f ca="1">('normal case'!AJ390*($K$6*'normal case'!D390*('normal case'!AJ390^'external balance'!$K$4)))/'normal case'!D390</f>
        <v>0.30447775876267213</v>
      </c>
      <c r="C390" s="35">
        <f ca="1">($K$5*$K$7*((1+$K$8)^'normal case'!A389)*'normal case'!AJ390^$K$3)/'normal case'!D390</f>
        <v>0.30747746557233269</v>
      </c>
      <c r="D390" s="96">
        <f ca="1">(C390-B390)+((('main page'!$U$38/100)*'normal case'!$D$3)/'normal case'!$D$3)</f>
        <v>2.9997068096605517E-3</v>
      </c>
      <c r="E390" s="35">
        <f ca="1">((('normal case'!T390/100)*'external balance'!H389)/('normal case'!D390/'normal case'!D389))</f>
        <v>1638.3186870787099</v>
      </c>
      <c r="F390" s="35">
        <f t="shared" ca="1" si="6"/>
        <v>1638.3216867855197</v>
      </c>
      <c r="H390" s="35">
        <f ca="1">D390+((1+'normal case'!T390/100)/('normal case'!D390/'normal case'!D389))*'external balance'!H389</f>
        <v>48447.427430468677</v>
      </c>
    </row>
    <row r="391" spans="2:8">
      <c r="B391" s="35">
        <f ca="1">('normal case'!AJ391*($K$6*'normal case'!D391*('normal case'!AJ391^'external balance'!$K$4)))/'normal case'!D391</f>
        <v>0.30447775876267213</v>
      </c>
      <c r="C391" s="35">
        <f ca="1">($K$5*$K$7*((1+$K$8)^'normal case'!A390)*'normal case'!AJ391^$K$3)/'normal case'!D391</f>
        <v>0.30747746557233269</v>
      </c>
      <c r="D391" s="96">
        <f ca="1">(C391-B391)+((('main page'!$U$38/100)*'normal case'!$D$3)/'normal case'!$D$3)</f>
        <v>2.9997068096605517E-3</v>
      </c>
      <c r="E391" s="35">
        <f ca="1">((('normal case'!T391/100)*'external balance'!H390)/('normal case'!D391/'normal case'!D390))</f>
        <v>1695.6599456279453</v>
      </c>
      <c r="F391" s="35">
        <f t="shared" ca="1" si="6"/>
        <v>1695.662945334755</v>
      </c>
      <c r="H391" s="35">
        <f ca="1">D391+((1+'normal case'!T391/100)/('normal case'!D391/'normal case'!D390))*'external balance'!H390</f>
        <v>50143.090375803433</v>
      </c>
    </row>
    <row r="392" spans="2:8">
      <c r="B392" s="35">
        <f ca="1">('normal case'!AJ392*($K$6*'normal case'!D392*('normal case'!AJ392^'external balance'!$K$4)))/'normal case'!D392</f>
        <v>0.30447775876267213</v>
      </c>
      <c r="C392" s="35">
        <f ca="1">($K$5*$K$7*((1+$K$8)^'normal case'!A391)*'normal case'!AJ392^$K$3)/'normal case'!D392</f>
        <v>0.30747746557233269</v>
      </c>
      <c r="D392" s="96">
        <f ca="1">(C392-B392)+((('main page'!$U$38/100)*'normal case'!$D$3)/'normal case'!$D$3)</f>
        <v>2.9997068096605517E-3</v>
      </c>
      <c r="E392" s="35">
        <f ca="1">((('normal case'!T392/100)*'external balance'!H391)/('normal case'!D392/'normal case'!D391))</f>
        <v>1755.0081482093149</v>
      </c>
      <c r="F392" s="35">
        <f t="shared" ca="1" si="6"/>
        <v>1755.0111479161246</v>
      </c>
      <c r="H392" s="35">
        <f ca="1">D392+((1+'normal case'!T392/100)/('normal case'!D392/'normal case'!D391))*'external balance'!H391</f>
        <v>51898.101523719561</v>
      </c>
    </row>
    <row r="393" spans="2:8">
      <c r="B393" s="35">
        <f ca="1">('normal case'!AJ393*($K$6*'normal case'!D393*('normal case'!AJ393^'external balance'!$K$4)))/'normal case'!D393</f>
        <v>0.30447775876267213</v>
      </c>
      <c r="C393" s="35">
        <f ca="1">($K$5*$K$7*((1+$K$8)^'normal case'!A392)*'normal case'!AJ393^$K$3)/'normal case'!D393</f>
        <v>0.30747746557233269</v>
      </c>
      <c r="D393" s="96">
        <f ca="1">(C393-B393)+((('main page'!$U$38/100)*'normal case'!$D$3)/'normal case'!$D$3)</f>
        <v>2.9997068096605517E-3</v>
      </c>
      <c r="E393" s="35">
        <f ca="1">((('normal case'!T393/100)*'external balance'!H392)/('normal case'!D393/'normal case'!D392))</f>
        <v>1816.4335378633452</v>
      </c>
      <c r="F393" s="35">
        <f t="shared" ca="1" si="6"/>
        <v>1816.436537570155</v>
      </c>
      <c r="H393" s="35">
        <f ca="1">D393+((1+'normal case'!T393/100)/('normal case'!D393/'normal case'!D392))*'external balance'!H392</f>
        <v>53714.538061289721</v>
      </c>
    </row>
    <row r="394" spans="2:8">
      <c r="B394" s="35">
        <f ca="1">('normal case'!AJ394*($K$6*'normal case'!D394*('normal case'!AJ394^'external balance'!$K$4)))/'normal case'!D394</f>
        <v>0.30447775876267213</v>
      </c>
      <c r="C394" s="35">
        <f ca="1">($K$5*$K$7*((1+$K$8)^'normal case'!A393)*'normal case'!AJ394^$K$3)/'normal case'!D394</f>
        <v>0.30747746557233269</v>
      </c>
      <c r="D394" s="96">
        <f ca="1">(C394-B394)+((('main page'!$U$38/100)*'normal case'!$D$3)/'normal case'!$D$3)</f>
        <v>2.9997068096605517E-3</v>
      </c>
      <c r="E394" s="35">
        <f ca="1">((('normal case'!T394/100)*'external balance'!H393)/('normal case'!D394/'normal case'!D393))</f>
        <v>1880.0088161369606</v>
      </c>
      <c r="F394" s="35">
        <f t="shared" ca="1" si="6"/>
        <v>1880.0118158437704</v>
      </c>
      <c r="H394" s="35">
        <f ca="1">D394+((1+'normal case'!T394/100)/('normal case'!D394/'normal case'!D393))*'external balance'!H393</f>
        <v>55594.54987713349</v>
      </c>
    </row>
    <row r="395" spans="2:8">
      <c r="B395" s="35">
        <f ca="1">('normal case'!AJ395*($K$6*'normal case'!D395*('normal case'!AJ395^'external balance'!$K$4)))/'normal case'!D395</f>
        <v>0.30447775876267213</v>
      </c>
      <c r="C395" s="35">
        <f ca="1">($K$5*$K$7*((1+$K$8)^'normal case'!A394)*'normal case'!AJ395^$K$3)/'normal case'!D395</f>
        <v>0.30747746557233269</v>
      </c>
      <c r="D395" s="96">
        <f ca="1">(C395-B395)+((('main page'!$U$38/100)*'normal case'!$D$3)/'normal case'!$D$3)</f>
        <v>2.9997068096605517E-3</v>
      </c>
      <c r="E395" s="35">
        <f ca="1">((('normal case'!T395/100)*'external balance'!H394)/('normal case'!D395/'normal case'!D394))</f>
        <v>1945.8092291312053</v>
      </c>
      <c r="F395" s="35">
        <f t="shared" ca="1" si="6"/>
        <v>1945.812228838015</v>
      </c>
      <c r="H395" s="35">
        <f ca="1">D395+((1+'normal case'!T395/100)/('normal case'!D395/'normal case'!D394))*'external balance'!H394</f>
        <v>57540.362105971508</v>
      </c>
    </row>
    <row r="396" spans="2:8">
      <c r="B396" s="35">
        <f ca="1">('normal case'!AJ396*($K$6*'normal case'!D396*('normal case'!AJ396^'external balance'!$K$4)))/'normal case'!D396</f>
        <v>0.30447775876267213</v>
      </c>
      <c r="C396" s="35">
        <f ca="1">($K$5*$K$7*((1+$K$8)^'normal case'!A395)*'normal case'!AJ396^$K$3)/'normal case'!D396</f>
        <v>0.30747746557233269</v>
      </c>
      <c r="D396" s="96">
        <f ca="1">(C396-B396)+((('main page'!$U$38/100)*'normal case'!$D$3)/'normal case'!$D$3)</f>
        <v>2.9997068096605517E-3</v>
      </c>
      <c r="E396" s="35">
        <f ca="1">((('normal case'!T396/100)*'external balance'!H395)/('normal case'!D396/'normal case'!D395))</f>
        <v>2013.9126565606387</v>
      </c>
      <c r="F396" s="35">
        <f t="shared" ca="1" si="6"/>
        <v>2013.9156562674484</v>
      </c>
      <c r="H396" s="35">
        <f ca="1">D396+((1+'normal case'!T396/100)/('normal case'!D396/'normal case'!D395))*'external balance'!H395</f>
        <v>59554.277762238955</v>
      </c>
    </row>
    <row r="397" spans="2:8">
      <c r="B397" s="35">
        <f ca="1">('normal case'!AJ397*($K$6*'normal case'!D397*('normal case'!AJ397^'external balance'!$K$4)))/'normal case'!D397</f>
        <v>0.30447775876267213</v>
      </c>
      <c r="C397" s="35">
        <f ca="1">($K$5*$K$7*((1+$K$8)^'normal case'!A396)*'normal case'!AJ397^$K$3)/'normal case'!D397</f>
        <v>0.30747746557233269</v>
      </c>
      <c r="D397" s="96">
        <f ca="1">(C397-B397)+((('main page'!$U$38/100)*'normal case'!$D$3)/'normal case'!$D$3)</f>
        <v>2.9997068096605517E-3</v>
      </c>
      <c r="E397" s="35">
        <f ca="1">((('normal case'!T397/100)*'external balance'!H396)/('normal case'!D397/'normal case'!D396))</f>
        <v>2084.3997039298056</v>
      </c>
      <c r="F397" s="35">
        <f t="shared" ca="1" si="6"/>
        <v>2084.4027036366151</v>
      </c>
      <c r="H397" s="35">
        <f ca="1">D397+((1+'normal case'!T397/100)/('normal case'!D397/'normal case'!D396))*'external balance'!H396</f>
        <v>61638.680465875572</v>
      </c>
    </row>
    <row r="398" spans="2:8">
      <c r="B398" s="35">
        <f ca="1">('normal case'!AJ398*($K$6*'normal case'!D398*('normal case'!AJ398^'external balance'!$K$4)))/'normal case'!D398</f>
        <v>0.30447775876267213</v>
      </c>
      <c r="C398" s="35">
        <f ca="1">($K$5*$K$7*((1+$K$8)^'normal case'!A397)*'normal case'!AJ398^$K$3)/'normal case'!D398</f>
        <v>0.30747746557233269</v>
      </c>
      <c r="D398" s="96">
        <f ca="1">(C398-B398)+((('main page'!$U$38/100)*'normal case'!$D$3)/'normal case'!$D$3)</f>
        <v>2.9997068096605517E-3</v>
      </c>
      <c r="E398" s="35">
        <f ca="1">((('normal case'!T398/100)*'external balance'!H397)/('normal case'!D398/'normal case'!D397))</f>
        <v>2157.3537979358871</v>
      </c>
      <c r="F398" s="35">
        <f t="shared" ca="1" si="6"/>
        <v>2157.3567976426966</v>
      </c>
      <c r="H398" s="35">
        <f ca="1">D398+((1+'normal case'!T398/100)/('normal case'!D398/'normal case'!D397))*'external balance'!H397</f>
        <v>63796.037263518272</v>
      </c>
    </row>
    <row r="399" spans="2:8">
      <c r="B399" s="35">
        <f ca="1">('normal case'!AJ399*($K$6*'normal case'!D399*('normal case'!AJ399^'external balance'!$K$4)))/'normal case'!D399</f>
        <v>0.30447775876267213</v>
      </c>
      <c r="C399" s="35">
        <f ca="1">($K$5*$K$7*((1+$K$8)^'normal case'!A398)*'normal case'!AJ399^$K$3)/'normal case'!D399</f>
        <v>0.30747746557233269</v>
      </c>
      <c r="D399" s="96">
        <f ca="1">(C399-B399)+((('main page'!$U$38/100)*'normal case'!$D$3)/'normal case'!$D$3)</f>
        <v>2.9997068096605517E-3</v>
      </c>
      <c r="E399" s="35">
        <f ca="1">((('normal case'!T399/100)*'external balance'!H398)/('normal case'!D399/'normal case'!D398))</f>
        <v>2232.8612852104388</v>
      </c>
      <c r="F399" s="35">
        <f t="shared" ca="1" si="6"/>
        <v>2232.8642849172484</v>
      </c>
      <c r="H399" s="35">
        <f ca="1">D399+((1+'normal case'!T399/100)/('normal case'!D399/'normal case'!D398))*'external balance'!H398</f>
        <v>66028.901548435519</v>
      </c>
    </row>
    <row r="400" spans="2:8">
      <c r="B400" s="35">
        <f ca="1">('normal case'!AJ400*($K$6*'normal case'!D400*('normal case'!AJ400^'external balance'!$K$4)))/'normal case'!D400</f>
        <v>0.30447775876267213</v>
      </c>
      <c r="C400" s="35">
        <f ca="1">($K$5*$K$7*((1+$K$8)^'normal case'!A399)*'normal case'!AJ400^$K$3)/'normal case'!D400</f>
        <v>0.30747746557233269</v>
      </c>
      <c r="D400" s="96">
        <f ca="1">(C400-B400)+((('main page'!$U$38/100)*'normal case'!$D$3)/'normal case'!$D$3)</f>
        <v>2.9997068096605517E-3</v>
      </c>
      <c r="E400" s="35">
        <f ca="1">((('normal case'!T400/100)*'external balance'!H399)/('normal case'!D400/'normal case'!D399))</f>
        <v>2311.0115345170971</v>
      </c>
      <c r="F400" s="35">
        <f t="shared" ca="1" si="6"/>
        <v>2311.0145342239066</v>
      </c>
      <c r="H400" s="35">
        <f ca="1">D400+((1+'normal case'!T400/100)/('normal case'!D400/'normal case'!D399))*'external balance'!H399</f>
        <v>68339.916082659416</v>
      </c>
    </row>
    <row r="401" spans="2:8">
      <c r="B401" s="35">
        <f ca="1">('normal case'!AJ401*($K$6*'normal case'!D401*('normal case'!AJ401^'external balance'!$K$4)))/'normal case'!D401</f>
        <v>0.30447775876267213</v>
      </c>
      <c r="C401" s="35">
        <f ca="1">($K$5*$K$7*((1+$K$8)^'normal case'!A400)*'normal case'!AJ401^$K$3)/'normal case'!D401</f>
        <v>0.30747746557233269</v>
      </c>
      <c r="D401" s="96">
        <f ca="1">(C401-B401)+((('main page'!$U$38/100)*'normal case'!$D$3)/'normal case'!$D$3)</f>
        <v>2.9997068096605517E-3</v>
      </c>
      <c r="E401" s="35">
        <f ca="1">((('normal case'!T401/100)*'external balance'!H400)/('normal case'!D401/'normal case'!D400))</f>
        <v>2391.8970425261978</v>
      </c>
      <c r="F401" s="35">
        <f t="shared" ca="1" si="6"/>
        <v>2391.9000422330073</v>
      </c>
      <c r="H401" s="35">
        <f ca="1">D401+((1+'normal case'!T401/100)/('normal case'!D401/'normal case'!D400))*'external balance'!H400</f>
        <v>70731.816124892415</v>
      </c>
    </row>
    <row r="402" spans="2:8">
      <c r="B402" s="35">
        <f ca="1">('normal case'!AJ402*($K$6*'normal case'!D402*('normal case'!AJ402^'external balance'!$K$4)))/'normal case'!D402</f>
        <v>0.30447775876267213</v>
      </c>
      <c r="C402" s="35">
        <f ca="1">($K$5*$K$7*((1+$K$8)^'normal case'!A401)*'normal case'!AJ402^$K$3)/'normal case'!D402</f>
        <v>0.30747746557233269</v>
      </c>
      <c r="D402" s="96">
        <f ca="1">(C402-B402)+((('main page'!$U$38/100)*'normal case'!$D$3)/'normal case'!$D$3)</f>
        <v>2.9997068096605517E-3</v>
      </c>
      <c r="E402" s="35">
        <f ca="1">((('normal case'!T402/100)*'external balance'!H401)/('normal case'!D402/'normal case'!D401))</f>
        <v>2475.6135432915107</v>
      </c>
      <c r="F402" s="35">
        <f t="shared" ca="1" si="6"/>
        <v>2475.6165429983203</v>
      </c>
      <c r="H402" s="35">
        <f ca="1">D402+((1+'normal case'!T402/100)/('normal case'!D402/'normal case'!D401))*'external balance'!H401</f>
        <v>73207.432667890724</v>
      </c>
    </row>
    <row r="403" spans="2:8">
      <c r="B403" s="35">
        <f ca="1">('normal case'!AJ403*($K$6*'normal case'!D403*('normal case'!AJ403^'external balance'!$K$4)))/'normal case'!D403</f>
        <v>0.30447775876267213</v>
      </c>
      <c r="C403" s="35">
        <f ca="1">($K$5*$K$7*((1+$K$8)^'normal case'!A402)*'normal case'!AJ403^$K$3)/'normal case'!D403</f>
        <v>0.30747746557233269</v>
      </c>
      <c r="D403" s="96">
        <f ca="1">(C403-B403)+((('main page'!$U$38/100)*'normal case'!$D$3)/'normal case'!$D$3)</f>
        <v>2.9997068096605517E-3</v>
      </c>
      <c r="E403" s="35">
        <f ca="1">((('normal case'!T403/100)*'external balance'!H402)/('normal case'!D403/'normal case'!D402))</f>
        <v>2562.2601215586606</v>
      </c>
      <c r="F403" s="35">
        <f t="shared" ca="1" si="6"/>
        <v>2562.2631212654701</v>
      </c>
      <c r="H403" s="35">
        <f ca="1">D403+((1+'normal case'!T403/100)/('normal case'!D403/'normal case'!D402))*'external balance'!H402</f>
        <v>75769.695789156191</v>
      </c>
    </row>
    <row r="404" spans="2:8">
      <c r="B404" s="35">
        <f ca="1">('normal case'!AJ404*($K$6*'normal case'!D404*('normal case'!AJ404^'external balance'!$K$4)))/'normal case'!D404</f>
        <v>0.30447775876267213</v>
      </c>
      <c r="C404" s="35">
        <f ca="1">($K$5*$K$7*((1+$K$8)^'normal case'!A403)*'normal case'!AJ404^$K$3)/'normal case'!D404</f>
        <v>0.30747746557233269</v>
      </c>
      <c r="D404" s="96">
        <f ca="1">(C404-B404)+((('main page'!$U$38/100)*'normal case'!$D$3)/'normal case'!$D$3)</f>
        <v>2.9997068096605517E-3</v>
      </c>
      <c r="E404" s="35">
        <f ca="1">((('normal case'!T404/100)*'external balance'!H403)/('normal case'!D404/'normal case'!D403))</f>
        <v>2651.9393300393381</v>
      </c>
      <c r="F404" s="35">
        <f t="shared" ca="1" si="6"/>
        <v>2651.9423297461476</v>
      </c>
      <c r="H404" s="35">
        <f ca="1">D404+((1+'normal case'!T404/100)/('normal case'!D404/'normal case'!D403))*'external balance'!H403</f>
        <v>78421.638118902338</v>
      </c>
    </row>
    <row r="405" spans="2:8">
      <c r="B405" s="35">
        <f ca="1">('normal case'!AJ405*($K$6*'normal case'!D405*('normal case'!AJ405^'external balance'!$K$4)))/'normal case'!D405</f>
        <v>0.30447775876267213</v>
      </c>
      <c r="C405" s="35">
        <f ca="1">($K$5*$K$7*((1+$K$8)^'normal case'!A404)*'normal case'!AJ405^$K$3)/'normal case'!D405</f>
        <v>0.30747746557233269</v>
      </c>
      <c r="D405" s="96">
        <f ca="1">(C405-B405)+((('main page'!$U$38/100)*'normal case'!$D$3)/'normal case'!$D$3)</f>
        <v>2.9997068096605517E-3</v>
      </c>
      <c r="E405" s="35">
        <f ca="1">((('normal case'!T405/100)*'external balance'!H404)/('normal case'!D405/'normal case'!D404))</f>
        <v>2744.7573107901126</v>
      </c>
      <c r="F405" s="35">
        <f t="shared" ca="1" si="6"/>
        <v>2744.7603104969221</v>
      </c>
      <c r="H405" s="35">
        <f ca="1">D405+((1+'normal case'!T405/100)/('normal case'!D405/'normal case'!D404))*'external balance'!H404</f>
        <v>81166.398429399254</v>
      </c>
    </row>
    <row r="406" spans="2:8">
      <c r="B406" s="35">
        <f ca="1">('normal case'!AJ406*($K$6*'normal case'!D406*('normal case'!AJ406^'external balance'!$K$4)))/'normal case'!D406</f>
        <v>0.30447775876267213</v>
      </c>
      <c r="C406" s="35">
        <f ca="1">($K$5*$K$7*((1+$K$8)^'normal case'!A405)*'normal case'!AJ406^$K$3)/'normal case'!D406</f>
        <v>0.30747746557233269</v>
      </c>
      <c r="D406" s="96">
        <f ca="1">(C406-B406)+((('main page'!$U$38/100)*'normal case'!$D$3)/'normal case'!$D$3)</f>
        <v>2.9997068096605517E-3</v>
      </c>
      <c r="E406" s="35">
        <f ca="1">((('normal case'!T406/100)*'external balance'!H405)/('normal case'!D406/'normal case'!D405))</f>
        <v>2840.8239208395025</v>
      </c>
      <c r="F406" s="35">
        <f t="shared" ca="1" si="6"/>
        <v>2840.8269205463121</v>
      </c>
      <c r="H406" s="35">
        <f ca="1">D406+((1+'normal case'!T406/100)/('normal case'!D406/'normal case'!D405))*'external balance'!H405</f>
        <v>84007.225349945555</v>
      </c>
    </row>
    <row r="407" spans="2:8">
      <c r="B407" s="35">
        <f ca="1">('normal case'!AJ407*($K$6*'normal case'!D407*('normal case'!AJ407^'external balance'!$K$4)))/'normal case'!D407</f>
        <v>0.30447775876267213</v>
      </c>
      <c r="C407" s="35">
        <f ca="1">($K$5*$K$7*((1+$K$8)^'normal case'!A406)*'normal case'!AJ407^$K$3)/'normal case'!D407</f>
        <v>0.30747746557233269</v>
      </c>
      <c r="D407" s="96">
        <f ca="1">(C407-B407)+((('main page'!$U$38/100)*'normal case'!$D$3)/'normal case'!$D$3)</f>
        <v>2.9997068096605517E-3</v>
      </c>
      <c r="E407" s="35">
        <f ca="1">((('normal case'!T407/100)*'external balance'!H406)/('normal case'!D407/'normal case'!D406))</f>
        <v>2940.2528622119908</v>
      </c>
      <c r="F407" s="35">
        <f t="shared" ca="1" si="6"/>
        <v>2940.2558619188003</v>
      </c>
      <c r="H407" s="35">
        <f ca="1">D407+((1+'normal case'!T407/100)/('normal case'!D407/'normal case'!D406))*'external balance'!H406</f>
        <v>86947.481211864346</v>
      </c>
    </row>
    <row r="408" spans="2:8">
      <c r="B408" s="35">
        <f ca="1">('normal case'!AJ408*($K$6*'normal case'!D408*('normal case'!AJ408^'external balance'!$K$4)))/'normal case'!D408</f>
        <v>0.30447775876267213</v>
      </c>
      <c r="C408" s="35">
        <f ca="1">($K$5*$K$7*((1+$K$8)^'normal case'!A407)*'normal case'!AJ408^$K$3)/'normal case'!D408</f>
        <v>0.30747746557233269</v>
      </c>
      <c r="D408" s="96">
        <f ca="1">(C408-B408)+((('main page'!$U$38/100)*'normal case'!$D$3)/'normal case'!$D$3)</f>
        <v>2.9997068096605517E-3</v>
      </c>
      <c r="E408" s="35">
        <f ca="1">((('normal case'!T408/100)*'external balance'!H407)/('normal case'!D408/'normal case'!D407))</f>
        <v>3043.1618165028835</v>
      </c>
      <c r="F408" s="35">
        <f t="shared" ca="1" si="6"/>
        <v>3043.1648162096931</v>
      </c>
      <c r="H408" s="35">
        <f ca="1">D408+((1+'normal case'!T408/100)/('normal case'!D408/'normal case'!D407))*'external balance'!H407</f>
        <v>89990.646028074028</v>
      </c>
    </row>
    <row r="409" spans="2:8">
      <c r="B409" s="35">
        <f ca="1">('normal case'!AJ409*($K$6*'normal case'!D409*('normal case'!AJ409^'external balance'!$K$4)))/'normal case'!D409</f>
        <v>0.30447775876267213</v>
      </c>
      <c r="C409" s="35">
        <f ca="1">($K$5*$K$7*((1+$K$8)^'normal case'!A408)*'normal case'!AJ409^$K$3)/'normal case'!D409</f>
        <v>0.30747746557233269</v>
      </c>
      <c r="D409" s="96">
        <f ca="1">(C409-B409)+((('main page'!$U$38/100)*'normal case'!$D$3)/'normal case'!$D$3)</f>
        <v>2.9997068096605517E-3</v>
      </c>
      <c r="E409" s="35">
        <f ca="1">((('normal case'!T409/100)*'external balance'!H408)/('normal case'!D409/'normal case'!D408))</f>
        <v>3149.6725841632888</v>
      </c>
      <c r="F409" s="35">
        <f t="shared" ca="1" si="6"/>
        <v>3149.6755838700983</v>
      </c>
      <c r="H409" s="35">
        <f ca="1">D409+((1+'normal case'!T409/100)/('normal case'!D409/'normal case'!D408))*'external balance'!H408</f>
        <v>93140.32161194412</v>
      </c>
    </row>
    <row r="410" spans="2:8">
      <c r="B410" s="35">
        <f ca="1">('normal case'!AJ410*($K$6*'normal case'!D410*('normal case'!AJ410^'external balance'!$K$4)))/'normal case'!D410</f>
        <v>0.30447775876267213</v>
      </c>
      <c r="C410" s="35">
        <f ca="1">($K$5*$K$7*((1+$K$8)^'normal case'!A409)*'normal case'!AJ410^$K$3)/'normal case'!D410</f>
        <v>0.30747746557233269</v>
      </c>
      <c r="D410" s="96">
        <f ca="1">(C410-B410)+((('main page'!$U$38/100)*'normal case'!$D$3)/'normal case'!$D$3)</f>
        <v>2.9997068096605517E-3</v>
      </c>
      <c r="E410" s="35">
        <f ca="1">((('normal case'!T410/100)*'external balance'!H409)/('normal case'!D410/'normal case'!D409))</f>
        <v>3259.9112286600657</v>
      </c>
      <c r="F410" s="35">
        <f t="shared" ca="1" si="6"/>
        <v>3259.9142283668752</v>
      </c>
      <c r="H410" s="35">
        <f ca="1">D410+((1+'normal case'!T410/100)/('normal case'!D410/'normal case'!D409))*'external balance'!H409</f>
        <v>96400.235840310983</v>
      </c>
    </row>
    <row r="411" spans="2:8">
      <c r="B411" s="35">
        <f ca="1">('normal case'!AJ411*($K$6*'normal case'!D411*('normal case'!AJ411^'external balance'!$K$4)))/'normal case'!D411</f>
        <v>0.30447775876267213</v>
      </c>
      <c r="C411" s="35">
        <f ca="1">($K$5*$K$7*((1+$K$8)^'normal case'!A410)*'normal case'!AJ411^$K$3)/'normal case'!D411</f>
        <v>0.30747746557233269</v>
      </c>
      <c r="D411" s="96">
        <f ca="1">(C411-B411)+((('main page'!$U$38/100)*'normal case'!$D$3)/'normal case'!$D$3)</f>
        <v>2.9997068096605517E-3</v>
      </c>
      <c r="E411" s="35">
        <f ca="1">((('normal case'!T411/100)*'external balance'!H410)/('normal case'!D411/'normal case'!D410))</f>
        <v>3374.0082256813757</v>
      </c>
      <c r="F411" s="35">
        <f t="shared" ca="1" si="6"/>
        <v>3374.0112253881853</v>
      </c>
      <c r="H411" s="35">
        <f ca="1">D411+((1+'normal case'!T411/100)/('normal case'!D411/'normal case'!D410))*'external balance'!H410</f>
        <v>99774.247065699165</v>
      </c>
    </row>
    <row r="412" spans="2:8">
      <c r="B412" s="35">
        <f ca="1">('normal case'!AJ412*($K$6*'normal case'!D412*('normal case'!AJ412^'external balance'!$K$4)))/'normal case'!D412</f>
        <v>0.30447775876267213</v>
      </c>
      <c r="C412" s="35">
        <f ca="1">($K$5*$K$7*((1+$K$8)^'normal case'!A411)*'normal case'!AJ412^$K$3)/'normal case'!D412</f>
        <v>0.30747746557233269</v>
      </c>
      <c r="D412" s="96">
        <f ca="1">(C412-B412)+((('main page'!$U$38/100)*'normal case'!$D$3)/'normal case'!$D$3)</f>
        <v>2.9997068096605517E-3</v>
      </c>
      <c r="E412" s="35">
        <f ca="1">((('normal case'!T412/100)*'external balance'!H411)/('normal case'!D412/'normal case'!D411))</f>
        <v>3492.0986175644284</v>
      </c>
      <c r="F412" s="35">
        <f t="shared" ca="1" si="6"/>
        <v>3492.101617271238</v>
      </c>
      <c r="H412" s="35">
        <f ca="1">D412+((1+'normal case'!T412/100)/('normal case'!D412/'normal case'!D411))*'external balance'!H411</f>
        <v>103266.34868297039</v>
      </c>
    </row>
    <row r="413" spans="2:8">
      <c r="B413" s="35">
        <f ca="1">('normal case'!AJ413*($K$6*'normal case'!D413*('normal case'!AJ413^'external balance'!$K$4)))/'normal case'!D413</f>
        <v>0.30447775876267213</v>
      </c>
      <c r="C413" s="35">
        <f ca="1">($K$5*$K$7*((1+$K$8)^'normal case'!A412)*'normal case'!AJ413^$K$3)/'normal case'!D413</f>
        <v>0.30747746557233269</v>
      </c>
      <c r="D413" s="96">
        <f ca="1">(C413-B413)+((('main page'!$U$38/100)*'normal case'!$D$3)/'normal case'!$D$3)</f>
        <v>2.9997068096605517E-3</v>
      </c>
      <c r="E413" s="35">
        <f ca="1">((('normal case'!T413/100)*'external balance'!H412)/('normal case'!D413/'normal case'!D412))</f>
        <v>3614.3221731281938</v>
      </c>
      <c r="F413" s="35">
        <f t="shared" ca="1" si="6"/>
        <v>3614.3251728350033</v>
      </c>
      <c r="H413" s="35">
        <f ca="1">D413+((1+'normal case'!T413/100)/('normal case'!D413/'normal case'!D412))*'external balance'!H412</f>
        <v>106880.67385580539</v>
      </c>
    </row>
    <row r="414" spans="2:8">
      <c r="B414" s="35">
        <f ca="1">('normal case'!AJ414*($K$6*'normal case'!D414*('normal case'!AJ414^'external balance'!$K$4)))/'normal case'!D414</f>
        <v>0.30447775876267213</v>
      </c>
      <c r="C414" s="35">
        <f ca="1">($K$5*$K$7*((1+$K$8)^'normal case'!A413)*'normal case'!AJ414^$K$3)/'normal case'!D414</f>
        <v>0.30747746557233269</v>
      </c>
      <c r="D414" s="96">
        <f ca="1">(C414-B414)+((('main page'!$U$38/100)*'normal case'!$D$3)/'normal case'!$D$3)</f>
        <v>2.9997068096605517E-3</v>
      </c>
      <c r="E414" s="35">
        <f ca="1">((('normal case'!T414/100)*'external balance'!H413)/('normal case'!D414/'normal case'!D413))</f>
        <v>3740.8235531002661</v>
      </c>
      <c r="F414" s="35">
        <f t="shared" ca="1" si="6"/>
        <v>3740.8265528070756</v>
      </c>
      <c r="H414" s="35">
        <f ca="1">D414+((1+'normal case'!T414/100)/('normal case'!D414/'normal case'!D413))*'external balance'!H413</f>
        <v>110621.50040861245</v>
      </c>
    </row>
    <row r="415" spans="2:8">
      <c r="B415" s="35">
        <f ca="1">('normal case'!AJ415*($K$6*'normal case'!D415*('normal case'!AJ415^'external balance'!$K$4)))/'normal case'!D415</f>
        <v>0.30447775876267213</v>
      </c>
      <c r="C415" s="35">
        <f ca="1">($K$5*$K$7*((1+$K$8)^'normal case'!A414)*'normal case'!AJ415^$K$3)/'normal case'!D415</f>
        <v>0.30747746557233269</v>
      </c>
      <c r="D415" s="96">
        <f ca="1">(C415-B415)+((('main page'!$U$38/100)*'normal case'!$D$3)/'normal case'!$D$3)</f>
        <v>2.9997068096605517E-3</v>
      </c>
      <c r="E415" s="35">
        <f ca="1">((('normal case'!T415/100)*'external balance'!H414)/('normal case'!D415/'normal case'!D414))</f>
        <v>3871.7524813336599</v>
      </c>
      <c r="F415" s="35">
        <f t="shared" ca="1" si="6"/>
        <v>3871.7554810404695</v>
      </c>
      <c r="H415" s="35">
        <f ca="1">D415+((1+'normal case'!T415/100)/('normal case'!D415/'normal case'!D414))*'external balance'!H414</f>
        <v>114493.25588965292</v>
      </c>
    </row>
    <row r="416" spans="2:8">
      <c r="B416" s="35">
        <f ca="1">('normal case'!AJ416*($K$6*'normal case'!D416*('normal case'!AJ416^'external balance'!$K$4)))/'normal case'!D416</f>
        <v>0.30447775876267213</v>
      </c>
      <c r="C416" s="35">
        <f ca="1">($K$5*$K$7*((1+$K$8)^'normal case'!A415)*'normal case'!AJ416^$K$3)/'normal case'!D416</f>
        <v>0.30747746557233269</v>
      </c>
      <c r="D416" s="96">
        <f ca="1">(C416-B416)+((('main page'!$U$38/100)*'normal case'!$D$3)/'normal case'!$D$3)</f>
        <v>2.9997068096605517E-3</v>
      </c>
      <c r="E416" s="35">
        <f ca="1">((('normal case'!T416/100)*'external balance'!H415)/('normal case'!D416/'normal case'!D415))</f>
        <v>4007.2639220162032</v>
      </c>
      <c r="F416" s="35">
        <f t="shared" ca="1" si="6"/>
        <v>4007.2669217230127</v>
      </c>
      <c r="H416" s="35">
        <f ca="1">D416+((1+'normal case'!T416/100)/('normal case'!D416/'normal case'!D415))*'external balance'!H415</f>
        <v>118500.52281137592</v>
      </c>
    </row>
    <row r="417" spans="2:8">
      <c r="B417" s="35">
        <f ca="1">('normal case'!AJ417*($K$6*'normal case'!D417*('normal case'!AJ417^'external balance'!$K$4)))/'normal case'!D417</f>
        <v>0.30447775876267213</v>
      </c>
      <c r="C417" s="35">
        <f ca="1">($K$5*$K$7*((1+$K$8)^'normal case'!A416)*'normal case'!AJ417^$K$3)/'normal case'!D417</f>
        <v>0.30747746557233269</v>
      </c>
      <c r="D417" s="96">
        <f ca="1">(C417-B417)+((('main page'!$U$38/100)*'normal case'!$D$3)/'normal case'!$D$3)</f>
        <v>2.9997068096605517E-3</v>
      </c>
      <c r="E417" s="35">
        <f ca="1">((('normal case'!T417/100)*'external balance'!H416)/('normal case'!D417/'normal case'!D416))</f>
        <v>4147.5182630822501</v>
      </c>
      <c r="F417" s="35">
        <f t="shared" ca="1" si="6"/>
        <v>4147.5212627890596</v>
      </c>
      <c r="H417" s="35">
        <f ca="1">D417+((1+'normal case'!T417/100)/('normal case'!D417/'normal case'!D416))*'external balance'!H416</f>
        <v>122648.04407416498</v>
      </c>
    </row>
    <row r="418" spans="2:8">
      <c r="B418" s="35">
        <f ca="1">('normal case'!AJ418*($K$6*'normal case'!D418*('normal case'!AJ418^'external balance'!$K$4)))/'normal case'!D418</f>
        <v>0.30447775876267213</v>
      </c>
      <c r="C418" s="35">
        <f ca="1">($K$5*$K$7*((1+$K$8)^'normal case'!A417)*'normal case'!AJ418^$K$3)/'normal case'!D418</f>
        <v>0.30747746557233269</v>
      </c>
      <c r="D418" s="96">
        <f ca="1">(C418-B418)+((('main page'!$U$38/100)*'normal case'!$D$3)/'normal case'!$D$3)</f>
        <v>2.9997068096605517E-3</v>
      </c>
      <c r="E418" s="35">
        <f ca="1">((('normal case'!T418/100)*'external balance'!H417)/('normal case'!D418/'normal case'!D417))</f>
        <v>4292.6815060438093</v>
      </c>
      <c r="F418" s="35">
        <f t="shared" ca="1" si="6"/>
        <v>4292.6845057506189</v>
      </c>
      <c r="H418" s="35">
        <f ca="1">D418+((1+'normal case'!T418/100)/('normal case'!D418/'normal case'!D417))*'external balance'!H417</f>
        <v>126940.72857991559</v>
      </c>
    </row>
    <row r="419" spans="2:8">
      <c r="B419" s="35">
        <f ca="1">('normal case'!AJ419*($K$6*'normal case'!D419*('normal case'!AJ419^'external balance'!$K$4)))/'normal case'!D419</f>
        <v>0.30447775876267213</v>
      </c>
      <c r="C419" s="35">
        <f ca="1">($K$5*$K$7*((1+$K$8)^'normal case'!A418)*'normal case'!AJ419^$K$3)/'normal case'!D419</f>
        <v>0.30747746557233269</v>
      </c>
      <c r="D419" s="96">
        <f ca="1">(C419-B419)+((('main page'!$U$38/100)*'normal case'!$D$3)/'normal case'!$D$3)</f>
        <v>2.9997068096605517E-3</v>
      </c>
      <c r="E419" s="35">
        <f ca="1">((('normal case'!T419/100)*'external balance'!H418)/('normal case'!D419/'normal case'!D418))</f>
        <v>4442.9254624657606</v>
      </c>
      <c r="F419" s="35">
        <f t="shared" ca="1" si="6"/>
        <v>4442.9284621725701</v>
      </c>
      <c r="H419" s="35">
        <f ca="1">D419+((1+'normal case'!T419/100)/('normal case'!D419/'normal case'!D418))*'external balance'!H418</f>
        <v>131383.65704208816</v>
      </c>
    </row>
    <row r="420" spans="2:8">
      <c r="B420" s="35">
        <f ca="1">('normal case'!AJ420*($K$6*'normal case'!D420*('normal case'!AJ420^'external balance'!$K$4)))/'normal case'!D420</f>
        <v>0.30447775876267213</v>
      </c>
      <c r="C420" s="35">
        <f ca="1">($K$5*$K$7*((1+$K$8)^'normal case'!A419)*'normal case'!AJ420^$K$3)/'normal case'!D420</f>
        <v>0.30747746557233269</v>
      </c>
      <c r="D420" s="96">
        <f ca="1">(C420-B420)+((('main page'!$U$38/100)*'normal case'!$D$3)/'normal case'!$D$3)</f>
        <v>2.9997068096605517E-3</v>
      </c>
      <c r="E420" s="35">
        <f ca="1">((('normal case'!T420/100)*'external balance'!H419)/('normal case'!D420/'normal case'!D419))</f>
        <v>4598.4279573177055</v>
      </c>
      <c r="F420" s="35">
        <f t="shared" ca="1" si="6"/>
        <v>4598.430957024515</v>
      </c>
      <c r="H420" s="35">
        <f ca="1">D420+((1+'normal case'!T420/100)/('normal case'!D420/'normal case'!D419))*'external balance'!H419</f>
        <v>135982.08799911267</v>
      </c>
    </row>
    <row r="421" spans="2:8">
      <c r="B421" s="35">
        <f ca="1">('normal case'!AJ421*($K$6*'normal case'!D421*('normal case'!AJ421^'external balance'!$K$4)))/'normal case'!D421</f>
        <v>0.30447775876267213</v>
      </c>
      <c r="C421" s="35">
        <f ca="1">($K$5*$K$7*((1+$K$8)^'normal case'!A420)*'normal case'!AJ421^$K$3)/'normal case'!D421</f>
        <v>0.30747746557233269</v>
      </c>
      <c r="D421" s="96">
        <f ca="1">(C421-B421)+((('main page'!$U$38/100)*'normal case'!$D$3)/'normal case'!$D$3)</f>
        <v>2.9997068096605517E-3</v>
      </c>
      <c r="E421" s="35">
        <f ca="1">((('normal case'!T421/100)*'external balance'!H420)/('normal case'!D421/'normal case'!D420))</f>
        <v>4759.3730394431241</v>
      </c>
      <c r="F421" s="35">
        <f t="shared" ca="1" si="6"/>
        <v>4759.3760391499336</v>
      </c>
      <c r="H421" s="35">
        <f ca="1">D421+((1+'normal case'!T421/100)/('normal case'!D421/'normal case'!D420))*'external balance'!H420</f>
        <v>140741.46403826261</v>
      </c>
    </row>
    <row r="422" spans="2:8">
      <c r="B422" s="35">
        <f ca="1">('normal case'!AJ422*($K$6*'normal case'!D422*('normal case'!AJ422^'external balance'!$K$4)))/'normal case'!D422</f>
        <v>0.30447775876267213</v>
      </c>
      <c r="C422" s="35">
        <f ca="1">($K$5*$K$7*((1+$K$8)^'normal case'!A421)*'normal case'!AJ422^$K$3)/'normal case'!D422</f>
        <v>0.30747746557233269</v>
      </c>
      <c r="D422" s="96">
        <f ca="1">(C422-B422)+((('main page'!$U$38/100)*'normal case'!$D$3)/'normal case'!$D$3)</f>
        <v>2.9997068096605517E-3</v>
      </c>
      <c r="E422" s="35">
        <f ca="1">((('normal case'!T422/100)*'external balance'!H421)/('normal case'!D422/'normal case'!D421))</f>
        <v>4925.9511993949673</v>
      </c>
      <c r="F422" s="35">
        <f t="shared" ca="1" si="6"/>
        <v>4925.9541991017768</v>
      </c>
      <c r="H422" s="35">
        <f ca="1">D422+((1+'normal case'!T422/100)/('normal case'!D422/'normal case'!D421))*'external balance'!H421</f>
        <v>145667.41823736439</v>
      </c>
    </row>
    <row r="423" spans="2:8">
      <c r="B423" s="35">
        <f ca="1">('normal case'!AJ423*($K$6*'normal case'!D423*('normal case'!AJ423^'external balance'!$K$4)))/'normal case'!D423</f>
        <v>0.30447775876267213</v>
      </c>
      <c r="C423" s="35">
        <f ca="1">($K$5*$K$7*((1+$K$8)^'normal case'!A422)*'normal case'!AJ423^$K$3)/'normal case'!D423</f>
        <v>0.30747746557233269</v>
      </c>
      <c r="D423" s="96">
        <f ca="1">(C423-B423)+((('main page'!$U$38/100)*'normal case'!$D$3)/'normal case'!$D$3)</f>
        <v>2.9997068096605517E-3</v>
      </c>
      <c r="E423" s="35">
        <f ca="1">((('normal case'!T423/100)*'external balance'!H422)/('normal case'!D423/'normal case'!D422))</f>
        <v>5098.3595948954808</v>
      </c>
      <c r="F423" s="35">
        <f t="shared" ca="1" si="6"/>
        <v>5098.3625946022903</v>
      </c>
      <c r="H423" s="35">
        <f ca="1">D423+((1+'normal case'!T423/100)/('normal case'!D423/'normal case'!D422))*'external balance'!H422</f>
        <v>150765.78083196667</v>
      </c>
    </row>
    <row r="424" spans="2:8">
      <c r="B424" s="35">
        <f ca="1">('normal case'!AJ424*($K$6*'normal case'!D424*('normal case'!AJ424^'external balance'!$K$4)))/'normal case'!D424</f>
        <v>0.30447775876267213</v>
      </c>
      <c r="C424" s="35">
        <f ca="1">($K$5*$K$7*((1+$K$8)^'normal case'!A423)*'normal case'!AJ424^$K$3)/'normal case'!D424</f>
        <v>0.30747746557233269</v>
      </c>
      <c r="D424" s="96">
        <f ca="1">(C424-B424)+((('main page'!$U$38/100)*'normal case'!$D$3)/'normal case'!$D$3)</f>
        <v>2.9997068096605517E-3</v>
      </c>
      <c r="E424" s="35">
        <f ca="1">((('normal case'!T424/100)*'external balance'!H423)/('normal case'!D424/'normal case'!D423))</f>
        <v>5276.8022841871298</v>
      </c>
      <c r="F424" s="35">
        <f t="shared" ca="1" si="6"/>
        <v>5276.8052838939393</v>
      </c>
      <c r="H424" s="35">
        <f ca="1">D424+((1+'normal case'!T424/100)/('normal case'!D424/'normal case'!D423))*'external balance'!H423</f>
        <v>156042.58611586058</v>
      </c>
    </row>
    <row r="425" spans="2:8">
      <c r="B425" s="35">
        <f ca="1">('normal case'!AJ425*($K$6*'normal case'!D425*('normal case'!AJ425^'external balance'!$K$4)))/'normal case'!D425</f>
        <v>0.30447775876267213</v>
      </c>
      <c r="C425" s="35">
        <f ca="1">($K$5*$K$7*((1+$K$8)^'normal case'!A424)*'normal case'!AJ425^$K$3)/'normal case'!D425</f>
        <v>0.30747746557233269</v>
      </c>
      <c r="D425" s="96">
        <f ca="1">(C425-B425)+((('main page'!$U$38/100)*'normal case'!$D$3)/'normal case'!$D$3)</f>
        <v>2.9997068096605517E-3</v>
      </c>
      <c r="E425" s="35">
        <f ca="1">((('normal case'!T425/100)*'external balance'!H424)/('normal case'!D425/'normal case'!D424))</f>
        <v>5461.490467550806</v>
      </c>
      <c r="F425" s="35">
        <f t="shared" ca="1" si="6"/>
        <v>5461.4934672576155</v>
      </c>
      <c r="H425" s="35">
        <f ca="1">D425+((1+'normal case'!T425/100)/('normal case'!D425/'normal case'!D424))*'external balance'!H424</f>
        <v>161504.0795831182</v>
      </c>
    </row>
    <row r="426" spans="2:8">
      <c r="B426" s="35">
        <f ca="1">('normal case'!AJ426*($K$6*'normal case'!D426*('normal case'!AJ426^'external balance'!$K$4)))/'normal case'!D426</f>
        <v>0.30447775876267213</v>
      </c>
      <c r="C426" s="35">
        <f ca="1">($K$5*$K$7*((1+$K$8)^'normal case'!A425)*'normal case'!AJ426^$K$3)/'normal case'!D426</f>
        <v>0.30747746557233269</v>
      </c>
      <c r="D426" s="96">
        <f ca="1">(C426-B426)+((('main page'!$U$38/100)*'normal case'!$D$3)/'normal case'!$D$3)</f>
        <v>2.9997068096605517E-3</v>
      </c>
      <c r="E426" s="35">
        <f ca="1">((('normal case'!T426/100)*'external balance'!H425)/('normal case'!D426/'normal case'!D425))</f>
        <v>5652.6427372771714</v>
      </c>
      <c r="F426" s="35">
        <f t="shared" ca="1" si="6"/>
        <v>5652.6457369839809</v>
      </c>
      <c r="H426" s="35">
        <f ca="1">D426+((1+'normal case'!T426/100)/('normal case'!D426/'normal case'!D425))*'external balance'!H425</f>
        <v>167156.72532010218</v>
      </c>
    </row>
    <row r="427" spans="2:8">
      <c r="B427" s="35">
        <f ca="1">('normal case'!AJ427*($K$6*'normal case'!D427*('normal case'!AJ427^'external balance'!$K$4)))/'normal case'!D427</f>
        <v>0.30447775876267213</v>
      </c>
      <c r="C427" s="35">
        <f ca="1">($K$5*$K$7*((1+$K$8)^'normal case'!A426)*'normal case'!AJ427^$K$3)/'normal case'!D427</f>
        <v>0.30747746557233269</v>
      </c>
      <c r="D427" s="96">
        <f ca="1">(C427-B427)+((('main page'!$U$38/100)*'normal case'!$D$3)/'normal case'!$D$3)</f>
        <v>2.9997068096605517E-3</v>
      </c>
      <c r="E427" s="35">
        <f ca="1">((('normal case'!T427/100)*'external balance'!H426)/('normal case'!D427/'normal case'!D426))</f>
        <v>5850.4853363869906</v>
      </c>
      <c r="F427" s="35">
        <f t="shared" ca="1" si="6"/>
        <v>5850.4883360938002</v>
      </c>
      <c r="H427" s="35">
        <f ca="1">D427+((1+'normal case'!T427/100)/('normal case'!D427/'normal case'!D426))*'external balance'!H426</f>
        <v>173007.21365619596</v>
      </c>
    </row>
    <row r="428" spans="2:8">
      <c r="B428" s="35">
        <f ca="1">('normal case'!AJ428*($K$6*'normal case'!D428*('normal case'!AJ428^'external balance'!$K$4)))/'normal case'!D428</f>
        <v>0.30447775876267213</v>
      </c>
      <c r="C428" s="35">
        <f ca="1">($K$5*$K$7*((1+$K$8)^'normal case'!A427)*'normal case'!AJ428^$K$3)/'normal case'!D428</f>
        <v>0.30747746557233269</v>
      </c>
      <c r="D428" s="96">
        <f ca="1">(C428-B428)+((('main page'!$U$38/100)*'normal case'!$D$3)/'normal case'!$D$3)</f>
        <v>2.9997068096605517E-3</v>
      </c>
      <c r="E428" s="35">
        <f ca="1">((('normal case'!T428/100)*'external balance'!H427)/('normal case'!D428/'normal case'!D427))</f>
        <v>6055.2524264066915</v>
      </c>
      <c r="F428" s="35">
        <f t="shared" ca="1" si="6"/>
        <v>6055.255426113501</v>
      </c>
      <c r="H428" s="35">
        <f ca="1">D428+((1+'normal case'!T428/100)/('normal case'!D428/'normal case'!D427))*'external balance'!H427</f>
        <v>179062.46908230946</v>
      </c>
    </row>
    <row r="429" spans="2:8">
      <c r="B429" s="35">
        <f ca="1">('normal case'!AJ429*($K$6*'normal case'!D429*('normal case'!AJ429^'external balance'!$K$4)))/'normal case'!D429</f>
        <v>0.30447775876267213</v>
      </c>
      <c r="C429" s="35">
        <f ca="1">($K$5*$K$7*((1+$K$8)^'normal case'!A428)*'normal case'!AJ429^$K$3)/'normal case'!D429</f>
        <v>0.30747746557233269</v>
      </c>
      <c r="D429" s="96">
        <f ca="1">(C429-B429)+((('main page'!$U$38/100)*'normal case'!$D$3)/'normal case'!$D$3)</f>
        <v>2.9997068096605517E-3</v>
      </c>
      <c r="E429" s="35">
        <f ca="1">((('normal case'!T429/100)*'external balance'!H428)/('normal case'!D429/'normal case'!D428))</f>
        <v>6267.1863645160574</v>
      </c>
      <c r="F429" s="35">
        <f t="shared" ca="1" si="6"/>
        <v>6267.189364222867</v>
      </c>
      <c r="H429" s="35">
        <f ca="1">D429+((1+'normal case'!T429/100)/('normal case'!D429/'normal case'!D428))*'external balance'!H428</f>
        <v>185329.65844653232</v>
      </c>
    </row>
    <row r="430" spans="2:8">
      <c r="B430" s="35">
        <f ca="1">('normal case'!AJ430*($K$6*'normal case'!D430*('normal case'!AJ430^'external balance'!$K$4)))/'normal case'!D430</f>
        <v>0.30447775876267213</v>
      </c>
      <c r="C430" s="35">
        <f ca="1">($K$5*$K$7*((1+$K$8)^'normal case'!A429)*'normal case'!AJ430^$K$3)/'normal case'!D430</f>
        <v>0.30747746557233269</v>
      </c>
      <c r="D430" s="96">
        <f ca="1">(C430-B430)+((('main page'!$U$38/100)*'normal case'!$D$3)/'normal case'!$D$3)</f>
        <v>2.9997068096605517E-3</v>
      </c>
      <c r="E430" s="35">
        <f ca="1">((('normal case'!T430/100)*'external balance'!H429)/('normal case'!D430/'normal case'!D429))</f>
        <v>6486.5379903960893</v>
      </c>
      <c r="F430" s="35">
        <f t="shared" ca="1" si="6"/>
        <v>6486.5409901028988</v>
      </c>
      <c r="H430" s="35">
        <f ca="1">D430+((1+'normal case'!T430/100)/('normal case'!D430/'normal case'!D429))*'external balance'!H429</f>
        <v>191816.19943663522</v>
      </c>
    </row>
    <row r="431" spans="2:8">
      <c r="B431" s="35">
        <f ca="1">('normal case'!AJ431*($K$6*'normal case'!D431*('normal case'!AJ431^'external balance'!$K$4)))/'normal case'!D431</f>
        <v>0.30447775876267213</v>
      </c>
      <c r="C431" s="35">
        <f ca="1">($K$5*$K$7*((1+$K$8)^'normal case'!A430)*'normal case'!AJ431^$K$3)/'normal case'!D431</f>
        <v>0.30747746557233269</v>
      </c>
      <c r="D431" s="96">
        <f ca="1">(C431-B431)+((('main page'!$U$38/100)*'normal case'!$D$3)/'normal case'!$D$3)</f>
        <v>2.9997068096605517E-3</v>
      </c>
      <c r="E431" s="35">
        <f ca="1">((('normal case'!T431/100)*'external balance'!H430)/('normal case'!D431/'normal case'!D430))</f>
        <v>6713.5669231165512</v>
      </c>
      <c r="F431" s="35">
        <f t="shared" ca="1" si="6"/>
        <v>6713.5699228233607</v>
      </c>
      <c r="H431" s="35">
        <f ca="1">D431+((1+'normal case'!T431/100)/('normal case'!D431/'normal case'!D430))*'external balance'!H430</f>
        <v>198529.76935945856</v>
      </c>
    </row>
    <row r="432" spans="2:8">
      <c r="B432" s="35">
        <f ca="1">('normal case'!AJ432*($K$6*'normal case'!D432*('normal case'!AJ432^'external balance'!$K$4)))/'normal case'!D432</f>
        <v>0.30447775876267213</v>
      </c>
      <c r="C432" s="35">
        <f ca="1">($K$5*$K$7*((1+$K$8)^'normal case'!A431)*'normal case'!AJ432^$K$3)/'normal case'!D432</f>
        <v>0.30747746557233269</v>
      </c>
      <c r="D432" s="96">
        <f ca="1">(C432-B432)+((('main page'!$U$38/100)*'normal case'!$D$3)/'normal case'!$D$3)</f>
        <v>2.9997068096605517E-3</v>
      </c>
      <c r="E432" s="35">
        <f ca="1">((('normal case'!T432/100)*'external balance'!H431)/('normal case'!D432/'normal case'!D431))</f>
        <v>6948.5418684145679</v>
      </c>
      <c r="F432" s="35">
        <f t="shared" ca="1" si="6"/>
        <v>6948.5448681213775</v>
      </c>
      <c r="H432" s="35">
        <f ca="1">D432+((1+'normal case'!T432/100)/('normal case'!D432/'normal case'!D431))*'external balance'!H431</f>
        <v>205478.31422757992</v>
      </c>
    </row>
    <row r="433" spans="2:8">
      <c r="B433" s="35">
        <f ca="1">('normal case'!AJ433*($K$6*'normal case'!D433*('normal case'!AJ433^'external balance'!$K$4)))/'normal case'!D433</f>
        <v>0.30447775876267213</v>
      </c>
      <c r="C433" s="35">
        <f ca="1">($K$5*$K$7*((1+$K$8)^'normal case'!A432)*'normal case'!AJ433^$K$3)/'normal case'!D433</f>
        <v>0.30747746557233269</v>
      </c>
      <c r="D433" s="96">
        <f ca="1">(C433-B433)+((('main page'!$U$38/100)*'normal case'!$D$3)/'normal case'!$D$3)</f>
        <v>2.9997068096605517E-3</v>
      </c>
      <c r="E433" s="35">
        <f ca="1">((('normal case'!T433/100)*'external balance'!H432)/('normal case'!D433/'normal case'!D432))</f>
        <v>7191.7409367279879</v>
      </c>
      <c r="F433" s="35">
        <f t="shared" ref="F433:F496" ca="1" si="7">IF(ABS(D433+E433-F432)&lt;0.0000001,F432,D433+E433)</f>
        <v>7191.7439364347974</v>
      </c>
      <c r="H433" s="35">
        <f ca="1">D433+((1+'normal case'!T433/100)/('normal case'!D433/'normal case'!D432))*'external balance'!H432</f>
        <v>212670.05816401471</v>
      </c>
    </row>
    <row r="434" spans="2:8">
      <c r="B434" s="35">
        <f ca="1">('normal case'!AJ434*($K$6*'normal case'!D434*('normal case'!AJ434^'external balance'!$K$4)))/'normal case'!D434</f>
        <v>0.30447775876267213</v>
      </c>
      <c r="C434" s="35">
        <f ca="1">($K$5*$K$7*((1+$K$8)^'normal case'!A433)*'normal case'!AJ434^$K$3)/'normal case'!D434</f>
        <v>0.30747746557233269</v>
      </c>
      <c r="D434" s="96">
        <f ca="1">(C434-B434)+((('main page'!$U$38/100)*'normal case'!$D$3)/'normal case'!$D$3)</f>
        <v>2.9997068096605517E-3</v>
      </c>
      <c r="E434" s="35">
        <f ca="1">((('normal case'!T434/100)*'external balance'!H433)/('normal case'!D434/'normal case'!D433))</f>
        <v>7443.4519723598996</v>
      </c>
      <c r="F434" s="35">
        <f t="shared" ca="1" si="7"/>
        <v>7443.4549720667092</v>
      </c>
      <c r="H434" s="35">
        <f ca="1">D434+((1+'normal case'!T434/100)/('normal case'!D434/'normal case'!D433))*'external balance'!H433</f>
        <v>220113.51313608143</v>
      </c>
    </row>
    <row r="435" spans="2:8">
      <c r="B435" s="35">
        <f ca="1">('normal case'!AJ435*($K$6*'normal case'!D435*('normal case'!AJ435^'external balance'!$K$4)))/'normal case'!D435</f>
        <v>0.30447775876267213</v>
      </c>
      <c r="C435" s="35">
        <f ca="1">($K$5*$K$7*((1+$K$8)^'normal case'!A434)*'normal case'!AJ435^$K$3)/'normal case'!D435</f>
        <v>0.30747746557233269</v>
      </c>
      <c r="D435" s="96">
        <f ca="1">(C435-B435)+((('main page'!$U$38/100)*'normal case'!$D$3)/'normal case'!$D$3)</f>
        <v>2.9997068096605517E-3</v>
      </c>
      <c r="E435" s="35">
        <f ca="1">((('normal case'!T435/100)*'external balance'!H434)/('normal case'!D435/'normal case'!D434))</f>
        <v>7703.9728941639114</v>
      </c>
      <c r="F435" s="35">
        <f t="shared" ca="1" si="7"/>
        <v>7703.9758938707209</v>
      </c>
      <c r="H435" s="35">
        <f ca="1">D435+((1+'normal case'!T435/100)/('normal case'!D435/'normal case'!D434))*'external balance'!H434</f>
        <v>227817.48902995215</v>
      </c>
    </row>
    <row r="436" spans="2:8">
      <c r="B436" s="35">
        <f ca="1">('normal case'!AJ436*($K$6*'normal case'!D436*('normal case'!AJ436^'external balance'!$K$4)))/'normal case'!D436</f>
        <v>0.30447775876267213</v>
      </c>
      <c r="C436" s="35">
        <f ca="1">($K$5*$K$7*((1+$K$8)^'normal case'!A435)*'normal case'!AJ436^$K$3)/'normal case'!D436</f>
        <v>0.30747746557233269</v>
      </c>
      <c r="D436" s="96">
        <f ca="1">(C436-B436)+((('main page'!$U$38/100)*'normal case'!$D$3)/'normal case'!$D$3)</f>
        <v>2.9997068096605517E-3</v>
      </c>
      <c r="E436" s="35">
        <f ca="1">((('normal case'!T436/100)*'external balance'!H435)/('normal case'!D436/'normal case'!D435))</f>
        <v>7973.6120481534235</v>
      </c>
      <c r="F436" s="35">
        <f t="shared" ca="1" si="7"/>
        <v>7973.6150478602331</v>
      </c>
      <c r="H436" s="35">
        <f ca="1">D436+((1+'normal case'!T436/100)/('normal case'!D436/'normal case'!D435))*'external balance'!H435</f>
        <v>235791.10407781237</v>
      </c>
    </row>
    <row r="437" spans="2:8">
      <c r="B437" s="35">
        <f ca="1">('normal case'!AJ437*($K$6*'normal case'!D437*('normal case'!AJ437^'external balance'!$K$4)))/'normal case'!D437</f>
        <v>0.30447775876267213</v>
      </c>
      <c r="C437" s="35">
        <f ca="1">($K$5*$K$7*((1+$K$8)^'normal case'!A436)*'normal case'!AJ437^$K$3)/'normal case'!D437</f>
        <v>0.30747746557233269</v>
      </c>
      <c r="D437" s="96">
        <f ca="1">(C437-B437)+((('main page'!$U$38/100)*'normal case'!$D$3)/'normal case'!$D$3)</f>
        <v>2.9997068096605517E-3</v>
      </c>
      <c r="E437" s="35">
        <f ca="1">((('normal case'!T437/100)*'external balance'!H436)/('normal case'!D437/'normal case'!D436))</f>
        <v>8252.688572452209</v>
      </c>
      <c r="F437" s="35">
        <f t="shared" ca="1" si="7"/>
        <v>8252.6915721590194</v>
      </c>
      <c r="H437" s="35">
        <f ca="1">D437+((1+'normal case'!T437/100)/('normal case'!D437/'normal case'!D436))*'external balance'!H436</f>
        <v>244043.79564997138</v>
      </c>
    </row>
    <row r="438" spans="2:8">
      <c r="B438" s="35">
        <f ca="1">('normal case'!AJ438*($K$6*'normal case'!D438*('normal case'!AJ438^'external balance'!$K$4)))/'normal case'!D438</f>
        <v>0.30447775876267213</v>
      </c>
      <c r="C438" s="35">
        <f ca="1">($K$5*$K$7*((1+$K$8)^'normal case'!A437)*'normal case'!AJ438^$K$3)/'normal case'!D438</f>
        <v>0.30747746557233269</v>
      </c>
      <c r="D438" s="96">
        <f ca="1">(C438-B438)+((('main page'!$U$38/100)*'normal case'!$D$3)/'normal case'!$D$3)</f>
        <v>2.9997068096605517E-3</v>
      </c>
      <c r="E438" s="35">
        <f ca="1">((('normal case'!T438/100)*'external balance'!H437)/('normal case'!D438/'normal case'!D437))</f>
        <v>8541.5327750182805</v>
      </c>
      <c r="F438" s="35">
        <f t="shared" ca="1" si="7"/>
        <v>8541.535774725091</v>
      </c>
      <c r="H438" s="35">
        <f ca="1">D438+((1+'normal case'!T438/100)/('normal case'!D438/'normal case'!D437))*'external balance'!H437</f>
        <v>252585.33142469646</v>
      </c>
    </row>
    <row r="439" spans="2:8">
      <c r="B439" s="35">
        <f ca="1">('normal case'!AJ439*($K$6*'normal case'!D439*('normal case'!AJ439^'external balance'!$K$4)))/'normal case'!D439</f>
        <v>0.30447775876267213</v>
      </c>
      <c r="C439" s="35">
        <f ca="1">($K$5*$K$7*((1+$K$8)^'normal case'!A438)*'normal case'!AJ439^$K$3)/'normal case'!D439</f>
        <v>0.30747746557233269</v>
      </c>
      <c r="D439" s="96">
        <f ca="1">(C439-B439)+((('main page'!$U$38/100)*'normal case'!$D$3)/'normal case'!$D$3)</f>
        <v>2.9997068096605517E-3</v>
      </c>
      <c r="E439" s="35">
        <f ca="1">((('normal case'!T439/100)*'external balance'!H438)/('normal case'!D439/'normal case'!D438))</f>
        <v>8840.4865245880828</v>
      </c>
      <c r="F439" s="35">
        <f t="shared" ca="1" si="7"/>
        <v>8840.4895242948933</v>
      </c>
      <c r="H439" s="35">
        <f ca="1">D439+((1+'normal case'!T439/100)/('normal case'!D439/'normal case'!D438))*'external balance'!H438</f>
        <v>261425.82094899134</v>
      </c>
    </row>
    <row r="440" spans="2:8">
      <c r="B440" s="35">
        <f ca="1">('normal case'!AJ440*($K$6*'normal case'!D440*('normal case'!AJ440^'external balance'!$K$4)))/'normal case'!D440</f>
        <v>0.30447775876267213</v>
      </c>
      <c r="C440" s="35">
        <f ca="1">($K$5*$K$7*((1+$K$8)^'normal case'!A439)*'normal case'!AJ440^$K$3)/'normal case'!D440</f>
        <v>0.30747746557233269</v>
      </c>
      <c r="D440" s="96">
        <f ca="1">(C440-B440)+((('main page'!$U$38/100)*'normal case'!$D$3)/'normal case'!$D$3)</f>
        <v>2.9997068096605517E-3</v>
      </c>
      <c r="E440" s="35">
        <f ca="1">((('normal case'!T440/100)*'external balance'!H439)/('normal case'!D440/'normal case'!D439))</f>
        <v>9149.9036553037313</v>
      </c>
      <c r="F440" s="35">
        <f t="shared" ca="1" si="7"/>
        <v>9149.9066550105417</v>
      </c>
      <c r="H440" s="35">
        <f ca="1">D440+((1+'normal case'!T440/100)/('normal case'!D440/'normal case'!D439))*'external balance'!H439</f>
        <v>270575.72760400188</v>
      </c>
    </row>
    <row r="441" spans="2:8">
      <c r="B441" s="35">
        <f ca="1">('normal case'!AJ441*($K$6*'normal case'!D441*('normal case'!AJ441^'external balance'!$K$4)))/'normal case'!D441</f>
        <v>0.30447775876267213</v>
      </c>
      <c r="C441" s="35">
        <f ca="1">($K$5*$K$7*((1+$K$8)^'normal case'!A440)*'normal case'!AJ441^$K$3)/'normal case'!D441</f>
        <v>0.30747746557233269</v>
      </c>
      <c r="D441" s="96">
        <f ca="1">(C441-B441)+((('main page'!$U$38/100)*'normal case'!$D$3)/'normal case'!$D$3)</f>
        <v>2.9997068096605517E-3</v>
      </c>
      <c r="E441" s="35">
        <f ca="1">((('normal case'!T441/100)*'external balance'!H440)/('normal case'!D441/'normal case'!D440))</f>
        <v>9470.1503855022165</v>
      </c>
      <c r="F441" s="35">
        <f t="shared" ca="1" si="7"/>
        <v>9470.153385209027</v>
      </c>
      <c r="H441" s="35">
        <f ca="1">D441+((1+'normal case'!T441/100)/('normal case'!D441/'normal case'!D440))*'external balance'!H440</f>
        <v>280045.88098921091</v>
      </c>
    </row>
    <row r="442" spans="2:8">
      <c r="B442" s="35">
        <f ca="1">('normal case'!AJ442*($K$6*'normal case'!D442*('normal case'!AJ442^'external balance'!$K$4)))/'normal case'!D442</f>
        <v>0.30447775876267213</v>
      </c>
      <c r="C442" s="35">
        <f ca="1">($K$5*$K$7*((1+$K$8)^'normal case'!A441)*'normal case'!AJ442^$K$3)/'normal case'!D442</f>
        <v>0.30747746557233269</v>
      </c>
      <c r="D442" s="96">
        <f ca="1">(C442-B442)+((('main page'!$U$38/100)*'normal case'!$D$3)/'normal case'!$D$3)</f>
        <v>2.9997068096605517E-3</v>
      </c>
      <c r="E442" s="35">
        <f ca="1">((('normal case'!T442/100)*'external balance'!H441)/('normal case'!D442/'normal case'!D441))</f>
        <v>9801.6057511622057</v>
      </c>
      <c r="F442" s="35">
        <f t="shared" ca="1" si="7"/>
        <v>9801.6087508690161</v>
      </c>
      <c r="H442" s="35">
        <f ca="1">D442+((1+'normal case'!T442/100)/('normal case'!D442/'normal case'!D441))*'external balance'!H441</f>
        <v>289847.48974007997</v>
      </c>
    </row>
    <row r="443" spans="2:8">
      <c r="B443" s="35">
        <f ca="1">('normal case'!AJ443*($K$6*'normal case'!D443*('normal case'!AJ443^'external balance'!$K$4)))/'normal case'!D443</f>
        <v>0.30447775876267213</v>
      </c>
      <c r="C443" s="35">
        <f ca="1">($K$5*$K$7*((1+$K$8)^'normal case'!A442)*'normal case'!AJ443^$K$3)/'normal case'!D443</f>
        <v>0.30747746557233269</v>
      </c>
      <c r="D443" s="96">
        <f ca="1">(C443-B443)+((('main page'!$U$38/100)*'normal case'!$D$3)/'normal case'!$D$3)</f>
        <v>2.9997068096605517E-3</v>
      </c>
      <c r="E443" s="35">
        <f ca="1">((('normal case'!T443/100)*'external balance'!H442)/('normal case'!D443/'normal case'!D442))</f>
        <v>10144.662054521516</v>
      </c>
      <c r="F443" s="35">
        <f t="shared" ca="1" si="7"/>
        <v>10144.665054228326</v>
      </c>
      <c r="H443" s="35">
        <f ca="1">D443+((1+'normal case'!T443/100)/('normal case'!D443/'normal case'!D442))*'external balance'!H442</f>
        <v>299992.1547943083</v>
      </c>
    </row>
    <row r="444" spans="2:8">
      <c r="B444" s="35">
        <f ca="1">('normal case'!AJ444*($K$6*'normal case'!D444*('normal case'!AJ444^'external balance'!$K$4)))/'normal case'!D444</f>
        <v>0.30447775876267213</v>
      </c>
      <c r="C444" s="35">
        <f ca="1">($K$5*$K$7*((1+$K$8)^'normal case'!A443)*'normal case'!AJ444^$K$3)/'normal case'!D444</f>
        <v>0.30747746557233269</v>
      </c>
      <c r="D444" s="96">
        <f ca="1">(C444-B444)+((('main page'!$U$38/100)*'normal case'!$D$3)/'normal case'!$D$3)</f>
        <v>2.9997068096605517E-3</v>
      </c>
      <c r="E444" s="35">
        <f ca="1">((('normal case'!T444/100)*'external balance'!H443)/('normal case'!D444/'normal case'!D443))</f>
        <v>10499.725328396162</v>
      </c>
      <c r="F444" s="35">
        <f t="shared" ca="1" si="7"/>
        <v>10499.728328102972</v>
      </c>
      <c r="H444" s="35">
        <f ca="1">D444+((1+'normal case'!T444/100)/('normal case'!D444/'normal case'!D443))*'external balance'!H443</f>
        <v>310491.88312241127</v>
      </c>
    </row>
    <row r="445" spans="2:8">
      <c r="B445" s="35">
        <f ca="1">('normal case'!AJ445*($K$6*'normal case'!D445*('normal case'!AJ445^'external balance'!$K$4)))/'normal case'!D445</f>
        <v>0.30447775876267213</v>
      </c>
      <c r="C445" s="35">
        <f ca="1">($K$5*$K$7*((1+$K$8)^'normal case'!A444)*'normal case'!AJ445^$K$3)/'normal case'!D445</f>
        <v>0.30747746557233269</v>
      </c>
      <c r="D445" s="96">
        <f ca="1">(C445-B445)+((('main page'!$U$38/100)*'normal case'!$D$3)/'normal case'!$D$3)</f>
        <v>2.9997068096605517E-3</v>
      </c>
      <c r="E445" s="35">
        <f ca="1">((('normal case'!T445/100)*'external balance'!H444)/('normal case'!D445/'normal case'!D444))</f>
        <v>10867.215816750604</v>
      </c>
      <c r="F445" s="35">
        <f t="shared" ca="1" si="7"/>
        <v>10867.218816457415</v>
      </c>
      <c r="H445" s="35">
        <f ca="1">D445+((1+'normal case'!T445/100)/('normal case'!D445/'normal case'!D444))*'external balance'!H444</f>
        <v>321359.1019388687</v>
      </c>
    </row>
    <row r="446" spans="2:8">
      <c r="B446" s="35">
        <f ca="1">('normal case'!AJ446*($K$6*'normal case'!D446*('normal case'!AJ446^'external balance'!$K$4)))/'normal case'!D446</f>
        <v>0.30447775876267213</v>
      </c>
      <c r="C446" s="35">
        <f ca="1">($K$5*$K$7*((1+$K$8)^'normal case'!A445)*'normal case'!AJ446^$K$3)/'normal case'!D446</f>
        <v>0.30747746557233269</v>
      </c>
      <c r="D446" s="96">
        <f ca="1">(C446-B446)+((('main page'!$U$38/100)*'normal case'!$D$3)/'normal case'!$D$3)</f>
        <v>2.9997068096605517E-3</v>
      </c>
      <c r="E446" s="35">
        <f ca="1">((('normal case'!T446/100)*'external balance'!H445)/('normal case'!D446/'normal case'!D445))</f>
        <v>11247.568472087929</v>
      </c>
      <c r="F446" s="35">
        <f t="shared" ca="1" si="7"/>
        <v>11247.571471794739</v>
      </c>
      <c r="H446" s="35">
        <f ca="1">D446+((1+'normal case'!T446/100)/('normal case'!D446/'normal case'!D445))*'external balance'!H445</f>
        <v>332606.67341066344</v>
      </c>
    </row>
    <row r="447" spans="2:8">
      <c r="B447" s="35">
        <f ca="1">('normal case'!AJ447*($K$6*'normal case'!D447*('normal case'!AJ447^'external balance'!$K$4)))/'normal case'!D447</f>
        <v>0.30447775876267213</v>
      </c>
      <c r="C447" s="35">
        <f ca="1">($K$5*$K$7*((1+$K$8)^'normal case'!A446)*'normal case'!AJ447^$K$3)/'normal case'!D447</f>
        <v>0.30747746557233269</v>
      </c>
      <c r="D447" s="96">
        <f ca="1">(C447-B447)+((('main page'!$U$38/100)*'normal case'!$D$3)/'normal case'!$D$3)</f>
        <v>2.9997068096605517E-3</v>
      </c>
      <c r="E447" s="35">
        <f ca="1">((('normal case'!T447/100)*'external balance'!H446)/('normal case'!D447/'normal case'!D446))</f>
        <v>11641.233470248708</v>
      </c>
      <c r="F447" s="35">
        <f t="shared" ca="1" si="7"/>
        <v>11641.236469955518</v>
      </c>
      <c r="H447" s="35">
        <f ca="1">D447+((1+'normal case'!T447/100)/('normal case'!D447/'normal case'!D446))*'external balance'!H446</f>
        <v>344247.90988061897</v>
      </c>
    </row>
    <row r="448" spans="2:8">
      <c r="B448" s="35">
        <f ca="1">('normal case'!AJ448*($K$6*'normal case'!D448*('normal case'!AJ448^'external balance'!$K$4)))/'normal case'!D448</f>
        <v>0.30447775876267213</v>
      </c>
      <c r="C448" s="35">
        <f ca="1">($K$5*$K$7*((1+$K$8)^'normal case'!A447)*'normal case'!AJ448^$K$3)/'normal case'!D448</f>
        <v>0.30747746557233269</v>
      </c>
      <c r="D448" s="96">
        <f ca="1">(C448-B448)+((('main page'!$U$38/100)*'normal case'!$D$3)/'normal case'!$D$3)</f>
        <v>2.9997068096605517E-3</v>
      </c>
      <c r="E448" s="35">
        <f ca="1">((('normal case'!T448/100)*'external balance'!H447)/('normal case'!D448/'normal case'!D447))</f>
        <v>12048.676743227794</v>
      </c>
      <c r="F448" s="35">
        <f t="shared" ca="1" si="7"/>
        <v>12048.679742934604</v>
      </c>
      <c r="H448" s="35">
        <f ca="1">D448+((1+'normal case'!T448/100)/('normal case'!D448/'normal case'!D447))*'external balance'!H447</f>
        <v>356296.58962355362</v>
      </c>
    </row>
    <row r="449" spans="2:8">
      <c r="B449" s="35">
        <f ca="1">('normal case'!AJ449*($K$6*'normal case'!D449*('normal case'!AJ449^'external balance'!$K$4)))/'normal case'!D449</f>
        <v>0.30447775876267213</v>
      </c>
      <c r="C449" s="35">
        <f ca="1">($K$5*$K$7*((1+$K$8)^'normal case'!A448)*'normal case'!AJ449^$K$3)/'normal case'!D449</f>
        <v>0.30747746557233269</v>
      </c>
      <c r="D449" s="96">
        <f ca="1">(C449-B449)+((('main page'!$U$38/100)*'normal case'!$D$3)/'normal case'!$D$3)</f>
        <v>2.9997068096605517E-3</v>
      </c>
      <c r="E449" s="35">
        <f ca="1">((('normal case'!T449/100)*'external balance'!H448)/('normal case'!D449/'normal case'!D448))</f>
        <v>12470.380530639719</v>
      </c>
      <c r="F449" s="35">
        <f t="shared" ca="1" si="7"/>
        <v>12470.383530346529</v>
      </c>
      <c r="H449" s="35">
        <f ca="1">D449+((1+'normal case'!T449/100)/('normal case'!D449/'normal case'!D448))*'external balance'!H448</f>
        <v>368766.97315390018</v>
      </c>
    </row>
    <row r="450" spans="2:8">
      <c r="B450" s="35">
        <f ca="1">('normal case'!AJ450*($K$6*'normal case'!D450*('normal case'!AJ450^'external balance'!$K$4)))/'normal case'!D450</f>
        <v>0.30447775876267213</v>
      </c>
      <c r="C450" s="35">
        <f ca="1">($K$5*$K$7*((1+$K$8)^'normal case'!A449)*'normal case'!AJ450^$K$3)/'normal case'!D450</f>
        <v>0.30747746557233269</v>
      </c>
      <c r="D450" s="96">
        <f ca="1">(C450-B450)+((('main page'!$U$38/100)*'normal case'!$D$3)/'normal case'!$D$3)</f>
        <v>2.9997068096605517E-3</v>
      </c>
      <c r="E450" s="35">
        <f ca="1">((('normal case'!T450/100)*'external balance'!H449)/('normal case'!D450/'normal case'!D449))</f>
        <v>12906.843950485385</v>
      </c>
      <c r="F450" s="35">
        <f t="shared" ca="1" si="7"/>
        <v>12906.846950192195</v>
      </c>
      <c r="H450" s="35">
        <f ca="1">D450+((1+'normal case'!T450/100)/('normal case'!D450/'normal case'!D449))*'external balance'!H449</f>
        <v>381673.82010409242</v>
      </c>
    </row>
    <row r="451" spans="2:8">
      <c r="B451" s="35">
        <f ca="1">('normal case'!AJ451*($K$6*'normal case'!D451*('normal case'!AJ451^'external balance'!$K$4)))/'normal case'!D451</f>
        <v>0.30447775876267213</v>
      </c>
      <c r="C451" s="35">
        <f ca="1">($K$5*$K$7*((1+$K$8)^'normal case'!A450)*'normal case'!AJ451^$K$3)/'normal case'!D451</f>
        <v>0.30747746557233269</v>
      </c>
      <c r="D451" s="96">
        <f ca="1">(C451-B451)+((('main page'!$U$38/100)*'normal case'!$D$3)/'normal case'!$D$3)</f>
        <v>2.9997068096605517E-3</v>
      </c>
      <c r="E451" s="35">
        <f ca="1">((('normal case'!T451/100)*'external balance'!H450)/('normal case'!D451/'normal case'!D450))</f>
        <v>13358.583589895574</v>
      </c>
      <c r="F451" s="35">
        <f t="shared" ca="1" si="7"/>
        <v>13358.586589602384</v>
      </c>
      <c r="H451" s="35">
        <f ca="1">D451+((1+'normal case'!T451/100)/('normal case'!D451/'normal case'!D450))*'external balance'!H450</f>
        <v>395032.40669369482</v>
      </c>
    </row>
    <row r="452" spans="2:8">
      <c r="B452" s="35">
        <f ca="1">('normal case'!AJ452*($K$6*'normal case'!D452*('normal case'!AJ452^'external balance'!$K$4)))/'normal case'!D452</f>
        <v>0.30447775876267213</v>
      </c>
      <c r="C452" s="35">
        <f ca="1">($K$5*$K$7*((1+$K$8)^'normal case'!A451)*'normal case'!AJ452^$K$3)/'normal case'!D452</f>
        <v>0.30747746557233269</v>
      </c>
      <c r="D452" s="96">
        <f ca="1">(C452-B452)+((('main page'!$U$38/100)*'normal case'!$D$3)/'normal case'!$D$3)</f>
        <v>2.9997068096605517E-3</v>
      </c>
      <c r="E452" s="35">
        <f ca="1">((('normal case'!T452/100)*'external balance'!H451)/('normal case'!D452/'normal case'!D451))</f>
        <v>13826.134116550489</v>
      </c>
      <c r="F452" s="35">
        <f t="shared" ca="1" si="7"/>
        <v>13826.1371162573</v>
      </c>
      <c r="H452" s="35">
        <f ca="1">D452+((1+'normal case'!T452/100)/('normal case'!D452/'normal case'!D451))*'external balance'!H451</f>
        <v>408858.54380995216</v>
      </c>
    </row>
    <row r="453" spans="2:8">
      <c r="B453" s="35">
        <f ca="1">('normal case'!AJ453*($K$6*'normal case'!D453*('normal case'!AJ453^'external balance'!$K$4)))/'normal case'!D453</f>
        <v>0.30447775876267213</v>
      </c>
      <c r="C453" s="35">
        <f ca="1">($K$5*$K$7*((1+$K$8)^'normal case'!A452)*'normal case'!AJ453^$K$3)/'normal case'!D453</f>
        <v>0.30747746557233269</v>
      </c>
      <c r="D453" s="96">
        <f ca="1">(C453-B453)+((('main page'!$U$38/100)*'normal case'!$D$3)/'normal case'!$D$3)</f>
        <v>2.9997068096605517E-3</v>
      </c>
      <c r="E453" s="35">
        <f ca="1">((('normal case'!T453/100)*'external balance'!H452)/('normal case'!D453/'normal case'!D452))</f>
        <v>14310.048911498985</v>
      </c>
      <c r="F453" s="35">
        <f t="shared" ca="1" si="7"/>
        <v>14310.051911205795</v>
      </c>
      <c r="H453" s="35">
        <f ca="1">D453+((1+'normal case'!T453/100)/('normal case'!D453/'normal case'!D452))*'external balance'!H452</f>
        <v>423168.59572115797</v>
      </c>
    </row>
    <row r="454" spans="2:8">
      <c r="B454" s="35">
        <f ca="1">('normal case'!AJ454*($K$6*'normal case'!D454*('normal case'!AJ454^'external balance'!$K$4)))/'normal case'!D454</f>
        <v>0.30447775876267213</v>
      </c>
      <c r="C454" s="35">
        <f ca="1">($K$5*$K$7*((1+$K$8)^'normal case'!A453)*'normal case'!AJ454^$K$3)/'normal case'!D454</f>
        <v>0.30747746557233269</v>
      </c>
      <c r="D454" s="96">
        <f ca="1">(C454-B454)+((('main page'!$U$38/100)*'normal case'!$D$3)/'normal case'!$D$3)</f>
        <v>2.9997068096605517E-3</v>
      </c>
      <c r="E454" s="35">
        <f ca="1">((('normal case'!T454/100)*'external balance'!H453)/('normal case'!D454/'normal case'!D453))</f>
        <v>14810.900724126461</v>
      </c>
      <c r="F454" s="35">
        <f t="shared" ca="1" si="7"/>
        <v>14810.903723833271</v>
      </c>
      <c r="H454" s="35">
        <f ca="1">D454+((1+'normal case'!T454/100)/('normal case'!D454/'normal case'!D453))*'external balance'!H453</f>
        <v>437979.49944499123</v>
      </c>
    </row>
    <row r="455" spans="2:8">
      <c r="B455" s="35">
        <f ca="1">('normal case'!AJ455*($K$6*'normal case'!D455*('normal case'!AJ455^'external balance'!$K$4)))/'normal case'!D455</f>
        <v>0.30447775876267213</v>
      </c>
      <c r="C455" s="35">
        <f ca="1">($K$5*$K$7*((1+$K$8)^'normal case'!A454)*'normal case'!AJ455^$K$3)/'normal case'!D455</f>
        <v>0.30747746557233269</v>
      </c>
      <c r="D455" s="96">
        <f ca="1">(C455-B455)+((('main page'!$U$38/100)*'normal case'!$D$3)/'normal case'!$D$3)</f>
        <v>2.9997068096605517E-3</v>
      </c>
      <c r="E455" s="35">
        <f ca="1">((('normal case'!T455/100)*'external balance'!H454)/('normal case'!D455/'normal case'!D454))</f>
        <v>15329.282350046633</v>
      </c>
      <c r="F455" s="35">
        <f t="shared" ca="1" si="7"/>
        <v>15329.285349753443</v>
      </c>
      <c r="H455" s="35">
        <f ca="1">D455+((1+'normal case'!T455/100)/('normal case'!D455/'normal case'!D454))*'external balance'!H454</f>
        <v>453308.78479474469</v>
      </c>
    </row>
    <row r="456" spans="2:8">
      <c r="B456" s="35">
        <f ca="1">('normal case'!AJ456*($K$6*'normal case'!D456*('normal case'!AJ456^'external balance'!$K$4)))/'normal case'!D456</f>
        <v>0.30447775876267213</v>
      </c>
      <c r="C456" s="35">
        <f ca="1">($K$5*$K$7*((1+$K$8)^'normal case'!A455)*'normal case'!AJ456^$K$3)/'normal case'!D456</f>
        <v>0.30747746557233269</v>
      </c>
      <c r="D456" s="96">
        <f ca="1">(C456-B456)+((('main page'!$U$38/100)*'normal case'!$D$3)/'normal case'!$D$3)</f>
        <v>2.9997068096605517E-3</v>
      </c>
      <c r="E456" s="35">
        <f ca="1">((('normal case'!T456/100)*'external balance'!H455)/('normal case'!D456/'normal case'!D455))</f>
        <v>15865.80733271952</v>
      </c>
      <c r="F456" s="35">
        <f t="shared" ca="1" si="7"/>
        <v>15865.81033242633</v>
      </c>
      <c r="H456" s="35">
        <f ca="1">D456+((1+'normal case'!T456/100)/('normal case'!D456/'normal case'!D455))*'external balance'!H455</f>
        <v>469174.59512717102</v>
      </c>
    </row>
    <row r="457" spans="2:8">
      <c r="B457" s="35">
        <f ca="1">('normal case'!AJ457*($K$6*'normal case'!D457*('normal case'!AJ457^'external balance'!$K$4)))/'normal case'!D457</f>
        <v>0.30447775876267213</v>
      </c>
      <c r="C457" s="35">
        <f ca="1">($K$5*$K$7*((1+$K$8)^'normal case'!A456)*'normal case'!AJ457^$K$3)/'normal case'!D457</f>
        <v>0.30747746557233269</v>
      </c>
      <c r="D457" s="96">
        <f ca="1">(C457-B457)+((('main page'!$U$38/100)*'normal case'!$D$3)/'normal case'!$D$3)</f>
        <v>2.9997068096605517E-3</v>
      </c>
      <c r="E457" s="35">
        <f ca="1">((('normal case'!T457/100)*'external balance'!H456)/('normal case'!D457/'normal case'!D456))</f>
        <v>16421.110689626061</v>
      </c>
      <c r="F457" s="35">
        <f t="shared" ca="1" si="7"/>
        <v>16421.113689332869</v>
      </c>
      <c r="H457" s="35">
        <f ca="1">D457+((1+'normal case'!T457/100)/('normal case'!D457/'normal case'!D456))*'external balance'!H456</f>
        <v>485595.70881650393</v>
      </c>
    </row>
    <row r="458" spans="2:8">
      <c r="B458" s="35">
        <f ca="1">('normal case'!AJ458*($K$6*'normal case'!D458*('normal case'!AJ458^'external balance'!$K$4)))/'normal case'!D458</f>
        <v>0.30447775876267213</v>
      </c>
      <c r="C458" s="35">
        <f ca="1">($K$5*$K$7*((1+$K$8)^'normal case'!A457)*'normal case'!AJ458^$K$3)/'normal case'!D458</f>
        <v>0.30747746557233269</v>
      </c>
      <c r="D458" s="96">
        <f ca="1">(C458-B458)+((('main page'!$U$38/100)*'normal case'!$D$3)/'normal case'!$D$3)</f>
        <v>2.9997068096605517E-3</v>
      </c>
      <c r="E458" s="35">
        <f ca="1">((('normal case'!T458/100)*'external balance'!H457)/('normal case'!D458/'normal case'!D457))</f>
        <v>16995.84966385884</v>
      </c>
      <c r="F458" s="35">
        <f t="shared" ca="1" si="7"/>
        <v>16995.852663565649</v>
      </c>
      <c r="H458" s="35">
        <f ca="1">D458+((1+'normal case'!T458/100)/('normal case'!D458/'normal case'!D457))*'external balance'!H457</f>
        <v>502591.56148006959</v>
      </c>
    </row>
    <row r="459" spans="2:8">
      <c r="B459" s="35">
        <f ca="1">('normal case'!AJ459*($K$6*'normal case'!D459*('normal case'!AJ459^'external balance'!$K$4)))/'normal case'!D459</f>
        <v>0.30447775876267213</v>
      </c>
      <c r="C459" s="35">
        <f ca="1">($K$5*$K$7*((1+$K$8)^'normal case'!A458)*'normal case'!AJ459^$K$3)/'normal case'!D459</f>
        <v>0.30747746557233269</v>
      </c>
      <c r="D459" s="96">
        <f ca="1">(C459-B459)+((('main page'!$U$38/100)*'normal case'!$D$3)/'normal case'!$D$3)</f>
        <v>2.9997068096605517E-3</v>
      </c>
      <c r="E459" s="35">
        <f ca="1">((('normal case'!T459/100)*'external balance'!H458)/('normal case'!D459/'normal case'!D458))</f>
        <v>17590.704502018481</v>
      </c>
      <c r="F459" s="35">
        <f t="shared" ca="1" si="7"/>
        <v>17590.70750172529</v>
      </c>
      <c r="H459" s="35">
        <f ca="1">D459+((1+'normal case'!T459/100)/('normal case'!D459/'normal case'!D458))*'external balance'!H458</f>
        <v>520182.26898179488</v>
      </c>
    </row>
    <row r="460" spans="2:8">
      <c r="B460" s="35">
        <f ca="1">('normal case'!AJ460*($K$6*'normal case'!D460*('normal case'!AJ460^'external balance'!$K$4)))/'normal case'!D460</f>
        <v>0.30447775876267213</v>
      </c>
      <c r="C460" s="35">
        <f ca="1">($K$5*$K$7*((1+$K$8)^'normal case'!A459)*'normal case'!AJ460^$K$3)/'normal case'!D460</f>
        <v>0.30747746557233269</v>
      </c>
      <c r="D460" s="96">
        <f ca="1">(C460-B460)+((('main page'!$U$38/100)*'normal case'!$D$3)/'normal case'!$D$3)</f>
        <v>2.9997068096605517E-3</v>
      </c>
      <c r="E460" s="35">
        <f ca="1">((('normal case'!T460/100)*'external balance'!H459)/('normal case'!D460/'normal case'!D459))</f>
        <v>18206.379259336427</v>
      </c>
      <c r="F460" s="35">
        <f t="shared" ca="1" si="7"/>
        <v>18206.382259043236</v>
      </c>
      <c r="H460" s="35">
        <f ca="1">D460+((1+'normal case'!T460/100)/('normal case'!D460/'normal case'!D459))*'external balance'!H459</f>
        <v>538388.65124083811</v>
      </c>
    </row>
    <row r="461" spans="2:8">
      <c r="B461" s="35">
        <f ca="1">('normal case'!AJ461*($K$6*'normal case'!D461*('normal case'!AJ461^'external balance'!$K$4)))/'normal case'!D461</f>
        <v>0.30447775876267213</v>
      </c>
      <c r="C461" s="35">
        <f ca="1">($K$5*$K$7*((1+$K$8)^'normal case'!A460)*'normal case'!AJ461^$K$3)/'normal case'!D461</f>
        <v>0.30747746557233269</v>
      </c>
      <c r="D461" s="96">
        <f ca="1">(C461-B461)+((('main page'!$U$38/100)*'normal case'!$D$3)/'normal case'!$D$3)</f>
        <v>2.9997068096605517E-3</v>
      </c>
      <c r="E461" s="35">
        <f ca="1">((('normal case'!T461/100)*'external balance'!H460)/('normal case'!D461/'normal case'!D460))</f>
        <v>18843.602632977014</v>
      </c>
      <c r="F461" s="35">
        <f t="shared" ca="1" si="7"/>
        <v>18843.605632683822</v>
      </c>
      <c r="H461" s="35">
        <f ca="1">D461+((1+'normal case'!T461/100)/('normal case'!D461/'normal case'!D460))*'external balance'!H460</f>
        <v>557232.25687352184</v>
      </c>
    </row>
    <row r="462" spans="2:8">
      <c r="B462" s="35">
        <f ca="1">('normal case'!AJ462*($K$6*'normal case'!D462*('normal case'!AJ462^'external balance'!$K$4)))/'normal case'!D462</f>
        <v>0.30447775876267213</v>
      </c>
      <c r="C462" s="35">
        <f ca="1">($K$5*$K$7*((1+$K$8)^'normal case'!A461)*'normal case'!AJ462^$K$3)/'normal case'!D462</f>
        <v>0.30747746557233269</v>
      </c>
      <c r="D462" s="96">
        <f ca="1">(C462-B462)+((('main page'!$U$38/100)*'normal case'!$D$3)/'normal case'!$D$3)</f>
        <v>2.9997068096605517E-3</v>
      </c>
      <c r="E462" s="35">
        <f ca="1">((('normal case'!T462/100)*'external balance'!H461)/('normal case'!D462/'normal case'!D461))</f>
        <v>19503.128824505111</v>
      </c>
      <c r="F462" s="35">
        <f t="shared" ca="1" si="7"/>
        <v>19503.13182421192</v>
      </c>
      <c r="H462" s="35">
        <f ca="1">D462+((1+'normal case'!T462/100)/('normal case'!D462/'normal case'!D461))*'external balance'!H461</f>
        <v>576735.38869773375</v>
      </c>
    </row>
    <row r="463" spans="2:8">
      <c r="B463" s="35">
        <f ca="1">('normal case'!AJ463*($K$6*'normal case'!D463*('normal case'!AJ463^'external balance'!$K$4)))/'normal case'!D463</f>
        <v>0.30447775876267213</v>
      </c>
      <c r="C463" s="35">
        <f ca="1">($K$5*$K$7*((1+$K$8)^'normal case'!A462)*'normal case'!AJ463^$K$3)/'normal case'!D463</f>
        <v>0.30747746557233269</v>
      </c>
      <c r="D463" s="96">
        <f ca="1">(C463-B463)+((('main page'!$U$38/100)*'normal case'!$D$3)/'normal case'!$D$3)</f>
        <v>2.9997068096605517E-3</v>
      </c>
      <c r="E463" s="35">
        <f ca="1">((('normal case'!T463/100)*'external balance'!H462)/('normal case'!D463/'normal case'!D462))</f>
        <v>20185.738432540144</v>
      </c>
      <c r="F463" s="35">
        <f t="shared" ca="1" si="7"/>
        <v>20185.741432246952</v>
      </c>
      <c r="H463" s="35">
        <f ca="1">D463+((1+'normal case'!T463/100)/('normal case'!D463/'normal case'!D462))*'external balance'!H462</f>
        <v>596921.13012998062</v>
      </c>
    </row>
    <row r="464" spans="2:8">
      <c r="B464" s="35">
        <f ca="1">('normal case'!AJ464*($K$6*'normal case'!D464*('normal case'!AJ464^'external balance'!$K$4)))/'normal case'!D464</f>
        <v>0.30447775876267213</v>
      </c>
      <c r="C464" s="35">
        <f ca="1">($K$5*$K$7*((1+$K$8)^'normal case'!A463)*'normal case'!AJ464^$K$3)/'normal case'!D464</f>
        <v>0.30747746557233269</v>
      </c>
      <c r="D464" s="96">
        <f ca="1">(C464-B464)+((('main page'!$U$38/100)*'normal case'!$D$3)/'normal case'!$D$3)</f>
        <v>2.9997068096605517E-3</v>
      </c>
      <c r="E464" s="35">
        <f ca="1">((('normal case'!T464/100)*'external balance'!H463)/('normal case'!D464/'normal case'!D463))</f>
        <v>20892.239376652964</v>
      </c>
      <c r="F464" s="35">
        <f t="shared" ca="1" si="7"/>
        <v>20892.242376359773</v>
      </c>
      <c r="H464" s="35">
        <f ca="1">D464+((1+'normal case'!T464/100)/('normal case'!D464/'normal case'!D463))*'external balance'!H463</f>
        <v>617813.37250634038</v>
      </c>
    </row>
    <row r="465" spans="2:8">
      <c r="B465" s="35">
        <f ca="1">('normal case'!AJ465*($K$6*'normal case'!D465*('normal case'!AJ465^'external balance'!$K$4)))/'normal case'!D465</f>
        <v>0.30447775876267213</v>
      </c>
      <c r="C465" s="35">
        <f ca="1">($K$5*$K$7*((1+$K$8)^'normal case'!A464)*'normal case'!AJ465^$K$3)/'normal case'!D465</f>
        <v>0.30747746557233269</v>
      </c>
      <c r="D465" s="96">
        <f ca="1">(C465-B465)+((('main page'!$U$38/100)*'normal case'!$D$3)/'normal case'!$D$3)</f>
        <v>2.9997068096605517E-3</v>
      </c>
      <c r="E465" s="35">
        <f ca="1">((('normal case'!T465/100)*'external balance'!H464)/('normal case'!D465/'normal case'!D464))</f>
        <v>21623.467853599181</v>
      </c>
      <c r="F465" s="35">
        <f t="shared" ca="1" si="7"/>
        <v>21623.470853305989</v>
      </c>
      <c r="H465" s="35">
        <f ca="1">D465+((1+'normal case'!T465/100)/('normal case'!D465/'normal case'!D464))*'external balance'!H464</f>
        <v>639436.84335964627</v>
      </c>
    </row>
    <row r="466" spans="2:8">
      <c r="B466" s="35">
        <f ca="1">('normal case'!AJ466*($K$6*'normal case'!D466*('normal case'!AJ466^'external balance'!$K$4)))/'normal case'!D466</f>
        <v>0.30447775876267213</v>
      </c>
      <c r="C466" s="35">
        <f ca="1">($K$5*$K$7*((1+$K$8)^'normal case'!A465)*'normal case'!AJ466^$K$3)/'normal case'!D466</f>
        <v>0.30747746557233269</v>
      </c>
      <c r="D466" s="96">
        <f ca="1">(C466-B466)+((('main page'!$U$38/100)*'normal case'!$D$3)/'normal case'!$D$3)</f>
        <v>2.9997068096605517E-3</v>
      </c>
      <c r="E466" s="35">
        <f ca="1">((('normal case'!T466/100)*'external balance'!H465)/('normal case'!D466/'normal case'!D465))</f>
        <v>22380.289327020593</v>
      </c>
      <c r="F466" s="35">
        <f t="shared" ca="1" si="7"/>
        <v>22380.292326727402</v>
      </c>
      <c r="H466" s="35">
        <f ca="1">D466+((1+'normal case'!T466/100)/('normal case'!D466/'normal case'!D465))*'external balance'!H465</f>
        <v>661817.13568637357</v>
      </c>
    </row>
    <row r="467" spans="2:8">
      <c r="B467" s="35">
        <f ca="1">('normal case'!AJ467*($K$6*'normal case'!D467*('normal case'!AJ467^'external balance'!$K$4)))/'normal case'!D467</f>
        <v>0.30447775876267213</v>
      </c>
      <c r="C467" s="35">
        <f ca="1">($K$5*$K$7*((1+$K$8)^'normal case'!A466)*'normal case'!AJ467^$K$3)/'normal case'!D467</f>
        <v>0.30747746557233269</v>
      </c>
      <c r="D467" s="96">
        <f ca="1">(C467-B467)+((('main page'!$U$38/100)*'normal case'!$D$3)/'normal case'!$D$3)</f>
        <v>2.9997068096605517E-3</v>
      </c>
      <c r="E467" s="35">
        <f ca="1">((('normal case'!T467/100)*'external balance'!H466)/('normal case'!D467/'normal case'!D466))</f>
        <v>23163.599551786199</v>
      </c>
      <c r="F467" s="35">
        <f t="shared" ca="1" si="7"/>
        <v>23163.602551493008</v>
      </c>
      <c r="H467" s="35">
        <f ca="1">D467+((1+'normal case'!T467/100)/('normal case'!D467/'normal case'!D466))*'external balance'!H466</f>
        <v>684980.73823786655</v>
      </c>
    </row>
    <row r="468" spans="2:8">
      <c r="B468" s="35">
        <f ca="1">('normal case'!AJ468*($K$6*'normal case'!D468*('normal case'!AJ468^'external balance'!$K$4)))/'normal case'!D468</f>
        <v>0.30447775876267213</v>
      </c>
      <c r="C468" s="35">
        <f ca="1">($K$5*$K$7*((1+$K$8)^'normal case'!A467)*'normal case'!AJ468^$K$3)/'normal case'!D468</f>
        <v>0.30747746557233269</v>
      </c>
      <c r="D468" s="96">
        <f ca="1">(C468-B468)+((('main page'!$U$38/100)*'normal case'!$D$3)/'normal case'!$D$3)</f>
        <v>2.9997068096605517E-3</v>
      </c>
      <c r="E468" s="35">
        <f ca="1">((('normal case'!T468/100)*'external balance'!H467)/('normal case'!D468/'normal case'!D467))</f>
        <v>23974.325634185163</v>
      </c>
      <c r="F468" s="35">
        <f t="shared" ca="1" si="7"/>
        <v>23974.328633891972</v>
      </c>
      <c r="H468" s="35">
        <f ca="1">D468+((1+'normal case'!T468/100)/('normal case'!D468/'normal case'!D467))*'external balance'!H467</f>
        <v>708955.06687175843</v>
      </c>
    </row>
    <row r="469" spans="2:8">
      <c r="B469" s="35">
        <f ca="1">('normal case'!AJ469*($K$6*'normal case'!D469*('normal case'!AJ469^'external balance'!$K$4)))/'normal case'!D469</f>
        <v>0.30447775876267213</v>
      </c>
      <c r="C469" s="35">
        <f ca="1">($K$5*$K$7*((1+$K$8)^'normal case'!A468)*'normal case'!AJ469^$K$3)/'normal case'!D469</f>
        <v>0.30747746557233269</v>
      </c>
      <c r="D469" s="96">
        <f ca="1">(C469-B469)+((('main page'!$U$38/100)*'normal case'!$D$3)/'normal case'!$D$3)</f>
        <v>2.9997068096605517E-3</v>
      </c>
      <c r="E469" s="35">
        <f ca="1">((('normal case'!T469/100)*'external balance'!H468)/('normal case'!D469/'normal case'!D468))</f>
        <v>24813.427129226471</v>
      </c>
      <c r="F469" s="35">
        <f t="shared" ca="1" si="7"/>
        <v>24813.43012893328</v>
      </c>
      <c r="H469" s="35">
        <f ca="1">D469+((1+'normal case'!T469/100)/('normal case'!D469/'normal case'!D468))*'external balance'!H468</f>
        <v>733768.49700069171</v>
      </c>
    </row>
    <row r="470" spans="2:8">
      <c r="B470" s="35">
        <f ca="1">('normal case'!AJ470*($K$6*'normal case'!D470*('normal case'!AJ470^'external balance'!$K$4)))/'normal case'!D470</f>
        <v>0.30447775876267213</v>
      </c>
      <c r="C470" s="35">
        <f ca="1">($K$5*$K$7*((1+$K$8)^'normal case'!A469)*'normal case'!AJ470^$K$3)/'normal case'!D470</f>
        <v>0.30747746557233269</v>
      </c>
      <c r="D470" s="96">
        <f ca="1">(C470-B470)+((('main page'!$U$38/100)*'normal case'!$D$3)/'normal case'!$D$3)</f>
        <v>2.9997068096605517E-3</v>
      </c>
      <c r="E470" s="35">
        <f ca="1">((('normal case'!T470/100)*'external balance'!H469)/('normal case'!D470/'normal case'!D469))</f>
        <v>25681.897176344159</v>
      </c>
      <c r="F470" s="35">
        <f t="shared" ca="1" si="7"/>
        <v>25681.900176050967</v>
      </c>
      <c r="H470" s="35">
        <f ca="1">D470+((1+'normal case'!T470/100)/('normal case'!D470/'normal case'!D469))*'external balance'!H469</f>
        <v>759450.39717674267</v>
      </c>
    </row>
    <row r="471" spans="2:8">
      <c r="B471" s="35">
        <f ca="1">('normal case'!AJ471*($K$6*'normal case'!D471*('normal case'!AJ471^'external balance'!$K$4)))/'normal case'!D471</f>
        <v>0.30447775876267213</v>
      </c>
      <c r="C471" s="35">
        <f ca="1">($K$5*$K$7*((1+$K$8)^'normal case'!A470)*'normal case'!AJ471^$K$3)/'normal case'!D471</f>
        <v>0.30747746557233269</v>
      </c>
      <c r="D471" s="96">
        <f ca="1">(C471-B471)+((('main page'!$U$38/100)*'normal case'!$D$3)/'normal case'!$D$3)</f>
        <v>2.9997068096605517E-3</v>
      </c>
      <c r="E471" s="35">
        <f ca="1">((('normal case'!T471/100)*'external balance'!H470)/('normal case'!D471/'normal case'!D470))</f>
        <v>26580.76367485214</v>
      </c>
      <c r="F471" s="35">
        <f t="shared" ca="1" si="7"/>
        <v>26580.766674558949</v>
      </c>
      <c r="H471" s="35">
        <f ca="1">D471+((1+'normal case'!T471/100)/('normal case'!D471/'normal case'!D470))*'external balance'!H470</f>
        <v>786031.16385130154</v>
      </c>
    </row>
    <row r="472" spans="2:8">
      <c r="B472" s="35">
        <f ca="1">('normal case'!AJ472*($K$6*'normal case'!D472*('normal case'!AJ472^'external balance'!$K$4)))/'normal case'!D472</f>
        <v>0.30447775876267213</v>
      </c>
      <c r="C472" s="35">
        <f ca="1">($K$5*$K$7*((1+$K$8)^'normal case'!A471)*'normal case'!AJ472^$K$3)/'normal case'!D472</f>
        <v>0.30747746557233269</v>
      </c>
      <c r="D472" s="96">
        <f ca="1">(C472-B472)+((('main page'!$U$38/100)*'normal case'!$D$3)/'normal case'!$D$3)</f>
        <v>2.9997068096605517E-3</v>
      </c>
      <c r="E472" s="35">
        <f ca="1">((('normal case'!T472/100)*'external balance'!H471)/('normal case'!D472/'normal case'!D471))</f>
        <v>27511.090500540016</v>
      </c>
      <c r="F472" s="35">
        <f t="shared" ca="1" si="7"/>
        <v>27511.093500246825</v>
      </c>
      <c r="H472" s="35">
        <f ca="1">D472+((1+'normal case'!T472/100)/('normal case'!D472/'normal case'!D471))*'external balance'!H471</f>
        <v>813542.25735154829</v>
      </c>
    </row>
    <row r="473" spans="2:8">
      <c r="B473" s="35">
        <f ca="1">('normal case'!AJ473*($K$6*'normal case'!D473*('normal case'!AJ473^'external balance'!$K$4)))/'normal case'!D473</f>
        <v>0.30447775876267213</v>
      </c>
      <c r="C473" s="35">
        <f ca="1">($K$5*$K$7*((1+$K$8)^'normal case'!A472)*'normal case'!AJ473^$K$3)/'normal case'!D473</f>
        <v>0.30747746557233269</v>
      </c>
      <c r="D473" s="96">
        <f ca="1">(C473-B473)+((('main page'!$U$38/100)*'normal case'!$D$3)/'normal case'!$D$3)</f>
        <v>2.9997068096605517E-3</v>
      </c>
      <c r="E473" s="35">
        <f ca="1">((('normal case'!T473/100)*'external balance'!H472)/('normal case'!D473/'normal case'!D472))</f>
        <v>28473.978764849708</v>
      </c>
      <c r="F473" s="35">
        <f t="shared" ca="1" si="7"/>
        <v>28473.981764556516</v>
      </c>
      <c r="H473" s="35">
        <f ca="1">D473+((1+'normal case'!T473/100)/('normal case'!D473/'normal case'!D472))*'external balance'!H472</f>
        <v>842016.23911610479</v>
      </c>
    </row>
    <row r="474" spans="2:8">
      <c r="B474" s="35">
        <f ca="1">('normal case'!AJ474*($K$6*'normal case'!D474*('normal case'!AJ474^'external balance'!$K$4)))/'normal case'!D474</f>
        <v>0.30447775876267213</v>
      </c>
      <c r="C474" s="35">
        <f ca="1">($K$5*$K$7*((1+$K$8)^'normal case'!A473)*'normal case'!AJ474^$K$3)/'normal case'!D474</f>
        <v>0.30747746557233269</v>
      </c>
      <c r="D474" s="96">
        <f ca="1">(C474-B474)+((('main page'!$U$38/100)*'normal case'!$D$3)/'normal case'!$D$3)</f>
        <v>2.9997068096605517E-3</v>
      </c>
      <c r="E474" s="35">
        <f ca="1">((('normal case'!T474/100)*'external balance'!H473)/('normal case'!D474/'normal case'!D473))</f>
        <v>29470.568118123276</v>
      </c>
      <c r="F474" s="35">
        <f t="shared" ca="1" si="7"/>
        <v>29470.571117830084</v>
      </c>
      <c r="H474" s="35">
        <f ca="1">D474+((1+'normal case'!T474/100)/('normal case'!D474/'normal case'!D473))*'external balance'!H473</f>
        <v>871486.81023393478</v>
      </c>
    </row>
    <row r="475" spans="2:8">
      <c r="B475" s="35">
        <f ca="1">('normal case'!AJ475*($K$6*'normal case'!D475*('normal case'!AJ475^'external balance'!$K$4)))/'normal case'!D475</f>
        <v>0.30447775876267213</v>
      </c>
      <c r="C475" s="35">
        <f ca="1">($K$5*$K$7*((1+$K$8)^'normal case'!A474)*'normal case'!AJ475^$K$3)/'normal case'!D475</f>
        <v>0.30747746557233269</v>
      </c>
      <c r="D475" s="96">
        <f ca="1">(C475-B475)+((('main page'!$U$38/100)*'normal case'!$D$3)/'normal case'!$D$3)</f>
        <v>2.9997068096605517E-3</v>
      </c>
      <c r="E475" s="35">
        <f ca="1">((('normal case'!T475/100)*'external balance'!H474)/('normal case'!D475/'normal case'!D474))</f>
        <v>30502.038098464411</v>
      </c>
      <c r="F475" s="35">
        <f t="shared" ca="1" si="7"/>
        <v>30502.041098171219</v>
      </c>
      <c r="H475" s="35">
        <f ca="1">D475+((1+'normal case'!T475/100)/('normal case'!D475/'normal case'!D474))*'external balance'!H474</f>
        <v>901988.85133210593</v>
      </c>
    </row>
    <row r="476" spans="2:8">
      <c r="B476" s="35">
        <f ca="1">('normal case'!AJ476*($K$6*'normal case'!D476*('normal case'!AJ476^'external balance'!$K$4)))/'normal case'!D476</f>
        <v>0.30447775876267213</v>
      </c>
      <c r="C476" s="35">
        <f ca="1">($K$5*$K$7*((1+$K$8)^'normal case'!A475)*'normal case'!AJ476^$K$3)/'normal case'!D476</f>
        <v>0.30747746557233269</v>
      </c>
      <c r="D476" s="96">
        <f ca="1">(C476-B476)+((('main page'!$U$38/100)*'normal case'!$D$3)/'normal case'!$D$3)</f>
        <v>2.9997068096605517E-3</v>
      </c>
      <c r="E476" s="35">
        <f ca="1">((('normal case'!T476/100)*'external balance'!H475)/('normal case'!D476/'normal case'!D475))</f>
        <v>31569.609527810084</v>
      </c>
      <c r="F476" s="35">
        <f t="shared" ca="1" si="7"/>
        <v>31569.612527516892</v>
      </c>
      <c r="H476" s="35">
        <f ca="1">D476+((1+'normal case'!T476/100)/('normal case'!D476/'normal case'!D475))*'external balance'!H475</f>
        <v>933558.46385962272</v>
      </c>
    </row>
    <row r="477" spans="2:8">
      <c r="B477" s="35">
        <f ca="1">('normal case'!AJ477*($K$6*'normal case'!D477*('normal case'!AJ477^'external balance'!$K$4)))/'normal case'!D477</f>
        <v>0.30447775876267213</v>
      </c>
      <c r="C477" s="35">
        <f ca="1">($K$5*$K$7*((1+$K$8)^'normal case'!A476)*'normal case'!AJ477^$K$3)/'normal case'!D477</f>
        <v>0.30747746557233269</v>
      </c>
      <c r="D477" s="96">
        <f ca="1">(C477-B477)+((('main page'!$U$38/100)*'normal case'!$D$3)/'normal case'!$D$3)</f>
        <v>2.9997068096605517E-3</v>
      </c>
      <c r="E477" s="35">
        <f ca="1">((('normal case'!T477/100)*'external balance'!H476)/('normal case'!D477/'normal case'!D476))</f>
        <v>32674.545956864695</v>
      </c>
      <c r="F477" s="35">
        <f t="shared" ca="1" si="7"/>
        <v>32674.548956571503</v>
      </c>
      <c r="H477" s="35">
        <f ca="1">D477+((1+'normal case'!T477/100)/('normal case'!D477/'normal case'!D476))*'external balance'!H476</f>
        <v>966233.01281619421</v>
      </c>
    </row>
    <row r="478" spans="2:8">
      <c r="B478" s="35">
        <f ca="1">('normal case'!AJ478*($K$6*'normal case'!D478*('normal case'!AJ478^'external balance'!$K$4)))/'normal case'!D478</f>
        <v>0.30447775876267213</v>
      </c>
      <c r="C478" s="35">
        <f ca="1">($K$5*$K$7*((1+$K$8)^'normal case'!A477)*'normal case'!AJ478^$K$3)/'normal case'!D478</f>
        <v>0.30747746557233269</v>
      </c>
      <c r="D478" s="96">
        <f ca="1">(C478-B478)+((('main page'!$U$38/100)*'normal case'!$D$3)/'normal case'!$D$3)</f>
        <v>2.9997068096605517E-3</v>
      </c>
      <c r="E478" s="35">
        <f ca="1">((('normal case'!T478/100)*'external balance'!H477)/('normal case'!D478/'normal case'!D477))</f>
        <v>33818.155160606926</v>
      </c>
      <c r="F478" s="35">
        <f t="shared" ca="1" si="7"/>
        <v>33818.158160313738</v>
      </c>
      <c r="H478" s="35">
        <f ca="1">D478+((1+'normal case'!T478/100)/('normal case'!D478/'normal case'!D477))*'external balance'!H477</f>
        <v>1000051.1709765079</v>
      </c>
    </row>
    <row r="479" spans="2:8">
      <c r="B479" s="35">
        <f ca="1">('normal case'!AJ479*($K$6*'normal case'!D479*('normal case'!AJ479^'external balance'!$K$4)))/'normal case'!D479</f>
        <v>0.30447775876267213</v>
      </c>
      <c r="C479" s="35">
        <f ca="1">($K$5*$K$7*((1+$K$8)^'normal case'!A478)*'normal case'!AJ479^$K$3)/'normal case'!D479</f>
        <v>0.30747746557233269</v>
      </c>
      <c r="D479" s="96">
        <f ca="1">(C479-B479)+((('main page'!$U$38/100)*'normal case'!$D$3)/'normal case'!$D$3)</f>
        <v>2.9997068096605517E-3</v>
      </c>
      <c r="E479" s="35">
        <f ca="1">((('normal case'!T479/100)*'external balance'!H478)/('normal case'!D479/'normal case'!D478))</f>
        <v>35001.790686139306</v>
      </c>
      <c r="F479" s="35">
        <f t="shared" ca="1" si="7"/>
        <v>35001.793685846118</v>
      </c>
      <c r="H479" s="35">
        <f ca="1">D479+((1+'normal case'!T479/100)/('normal case'!D479/'normal case'!D478))*'external balance'!H478</f>
        <v>1035052.964662354</v>
      </c>
    </row>
    <row r="480" spans="2:8">
      <c r="B480" s="35">
        <f ca="1">('normal case'!AJ480*($K$6*'normal case'!D480*('normal case'!AJ480^'external balance'!$K$4)))/'normal case'!D480</f>
        <v>0.30447775876267213</v>
      </c>
      <c r="C480" s="35">
        <f ca="1">($K$5*$K$7*((1+$K$8)^'normal case'!A479)*'normal case'!AJ480^$K$3)/'normal case'!D480</f>
        <v>0.30747746557233269</v>
      </c>
      <c r="D480" s="96">
        <f ca="1">(C480-B480)+((('main page'!$U$38/100)*'normal case'!$D$3)/'normal case'!$D$3)</f>
        <v>2.9997068096605517E-3</v>
      </c>
      <c r="E480" s="35">
        <f ca="1">((('normal case'!T480/100)*'external balance'!H479)/('normal case'!D480/'normal case'!D479))</f>
        <v>36226.853454712567</v>
      </c>
      <c r="F480" s="35">
        <f t="shared" ca="1" si="7"/>
        <v>36226.85645441938</v>
      </c>
      <c r="H480" s="35">
        <f ca="1">D480+((1+'normal case'!T480/100)/('normal case'!D480/'normal case'!D479))*'external balance'!H479</f>
        <v>1071279.8211167734</v>
      </c>
    </row>
    <row r="481" spans="2:8">
      <c r="B481" s="35">
        <f ca="1">('normal case'!AJ481*($K$6*'normal case'!D481*('normal case'!AJ481^'external balance'!$K$4)))/'normal case'!D481</f>
        <v>0.30447775876267213</v>
      </c>
      <c r="C481" s="35">
        <f ca="1">($K$5*$K$7*((1+$K$8)^'normal case'!A480)*'normal case'!AJ481^$K$3)/'normal case'!D481</f>
        <v>0.30747746557233269</v>
      </c>
      <c r="D481" s="96">
        <f ca="1">(C481-B481)+((('main page'!$U$38/100)*'normal case'!$D$3)/'normal case'!$D$3)</f>
        <v>2.9997068096605517E-3</v>
      </c>
      <c r="E481" s="35">
        <f ca="1">((('normal case'!T481/100)*'external balance'!H480)/('normal case'!D481/'normal case'!D480))</f>
        <v>37494.79341982081</v>
      </c>
      <c r="F481" s="35">
        <f t="shared" ca="1" si="7"/>
        <v>37494.796419527622</v>
      </c>
      <c r="H481" s="35">
        <f ca="1">D481+((1+'normal case'!T481/100)/('normal case'!D481/'normal case'!D480))*'external balance'!H480</f>
        <v>1108774.617536301</v>
      </c>
    </row>
    <row r="482" spans="2:8">
      <c r="B482" s="35">
        <f ca="1">('normal case'!AJ482*($K$6*'normal case'!D482*('normal case'!AJ482^'external balance'!$K$4)))/'normal case'!D482</f>
        <v>0.30447775876267213</v>
      </c>
      <c r="C482" s="35">
        <f ca="1">($K$5*$K$7*((1+$K$8)^'normal case'!A481)*'normal case'!AJ482^$K$3)/'normal case'!D482</f>
        <v>0.30747746557233269</v>
      </c>
      <c r="D482" s="96">
        <f ca="1">(C482-B482)+((('main page'!$U$38/100)*'normal case'!$D$3)/'normal case'!$D$3)</f>
        <v>2.9997068096605517E-3</v>
      </c>
      <c r="E482" s="35">
        <f ca="1">((('normal case'!T482/100)*'external balance'!H481)/('normal case'!D482/'normal case'!D481))</f>
        <v>38807.111283329956</v>
      </c>
      <c r="F482" s="35">
        <f t="shared" ca="1" si="7"/>
        <v>38807.114283036768</v>
      </c>
      <c r="H482" s="35">
        <f ca="1">D482+((1+'normal case'!T482/100)/('normal case'!D482/'normal case'!D481))*'external balance'!H481</f>
        <v>1147581.7318193379</v>
      </c>
    </row>
    <row r="483" spans="2:8">
      <c r="B483" s="35">
        <f ca="1">('normal case'!AJ483*($K$6*'normal case'!D483*('normal case'!AJ483^'external balance'!$K$4)))/'normal case'!D483</f>
        <v>0.30447775876267213</v>
      </c>
      <c r="C483" s="35">
        <f ca="1">($K$5*$K$7*((1+$K$8)^'normal case'!A482)*'normal case'!AJ483^$K$3)/'normal case'!D483</f>
        <v>0.30747746557233269</v>
      </c>
      <c r="D483" s="96">
        <f ca="1">(C483-B483)+((('main page'!$U$38/100)*'normal case'!$D$3)/'normal case'!$D$3)</f>
        <v>2.9997068096605517E-3</v>
      </c>
      <c r="E483" s="35">
        <f ca="1">((('normal case'!T483/100)*'external balance'!H482)/('normal case'!D483/'normal case'!D482))</f>
        <v>40165.360271670826</v>
      </c>
      <c r="F483" s="35">
        <f t="shared" ca="1" si="7"/>
        <v>40165.363271377639</v>
      </c>
      <c r="H483" s="35">
        <f ca="1">D483+((1+'normal case'!T483/100)/('normal case'!D483/'normal case'!D482))*'external balance'!H482</f>
        <v>1187747.0950907157</v>
      </c>
    </row>
    <row r="484" spans="2:8">
      <c r="B484" s="35">
        <f ca="1">('normal case'!AJ484*($K$6*'normal case'!D484*('normal case'!AJ484^'external balance'!$K$4)))/'normal case'!D484</f>
        <v>0.30447775876267213</v>
      </c>
      <c r="C484" s="35">
        <f ca="1">($K$5*$K$7*((1+$K$8)^'normal case'!A483)*'normal case'!AJ484^$K$3)/'normal case'!D484</f>
        <v>0.30747746557233269</v>
      </c>
      <c r="D484" s="96">
        <f ca="1">(C484-B484)+((('main page'!$U$38/100)*'normal case'!$D$3)/'normal case'!$D$3)</f>
        <v>2.9997068096605517E-3</v>
      </c>
      <c r="E484" s="35">
        <f ca="1">((('normal case'!T484/100)*'external balance'!H483)/('normal case'!D484/'normal case'!D483))</f>
        <v>41571.147974198837</v>
      </c>
      <c r="F484" s="35">
        <f t="shared" ca="1" si="7"/>
        <v>41571.150973905649</v>
      </c>
      <c r="H484" s="35">
        <f ca="1">D484+((1+'normal case'!T484/100)/('normal case'!D484/'normal case'!D483))*'external balance'!H483</f>
        <v>1229318.2460646215</v>
      </c>
    </row>
    <row r="485" spans="2:8">
      <c r="B485" s="35">
        <f ca="1">('normal case'!AJ485*($K$6*'normal case'!D485*('normal case'!AJ485^'external balance'!$K$4)))/'normal case'!D485</f>
        <v>0.30447775876267213</v>
      </c>
      <c r="C485" s="35">
        <f ca="1">($K$5*$K$7*((1+$K$8)^'normal case'!A484)*'normal case'!AJ485^$K$3)/'normal case'!D485</f>
        <v>0.30747746557233269</v>
      </c>
      <c r="D485" s="96">
        <f ca="1">(C485-B485)+((('main page'!$U$38/100)*'normal case'!$D$3)/'normal case'!$D$3)</f>
        <v>2.9997068096605517E-3</v>
      </c>
      <c r="E485" s="35">
        <f ca="1">((('normal case'!T485/100)*'external balance'!H484)/('normal case'!D485/'normal case'!D484))</f>
        <v>43026.138245896371</v>
      </c>
      <c r="F485" s="35">
        <f t="shared" ca="1" si="7"/>
        <v>43026.141245603183</v>
      </c>
      <c r="H485" s="35">
        <f ca="1">D485+((1+'normal case'!T485/100)/('normal case'!D485/'normal case'!D484))*'external balance'!H484</f>
        <v>1272344.3873102248</v>
      </c>
    </row>
    <row r="486" spans="2:8">
      <c r="B486" s="35">
        <f ca="1">('normal case'!AJ486*($K$6*'normal case'!D486*('normal case'!AJ486^'external balance'!$K$4)))/'normal case'!D486</f>
        <v>0.30447775876267213</v>
      </c>
      <c r="C486" s="35">
        <f ca="1">($K$5*$K$7*((1+$K$8)^'normal case'!A485)*'normal case'!AJ486^$K$3)/'normal case'!D486</f>
        <v>0.30747746557233269</v>
      </c>
      <c r="D486" s="96">
        <f ca="1">(C486-B486)+((('main page'!$U$38/100)*'normal case'!$D$3)/'normal case'!$D$3)</f>
        <v>2.9997068096605517E-3</v>
      </c>
      <c r="E486" s="35">
        <f ca="1">((('normal case'!T486/100)*'external balance'!H485)/('normal case'!D486/'normal case'!D485))</f>
        <v>44532.053176669695</v>
      </c>
      <c r="F486" s="35">
        <f t="shared" ca="1" si="7"/>
        <v>44532.056176376507</v>
      </c>
      <c r="H486" s="35">
        <f ca="1">D486+((1+'normal case'!T486/100)/('normal case'!D486/'normal case'!D485))*'external balance'!H485</f>
        <v>1316876.4434866013</v>
      </c>
    </row>
    <row r="487" spans="2:8">
      <c r="B487" s="35">
        <f ca="1">('normal case'!AJ487*($K$6*'normal case'!D487*('normal case'!AJ487^'external balance'!$K$4)))/'normal case'!D487</f>
        <v>0.30447775876267213</v>
      </c>
      <c r="C487" s="35">
        <f ca="1">($K$5*$K$7*((1+$K$8)^'normal case'!A486)*'normal case'!AJ487^$K$3)/'normal case'!D487</f>
        <v>0.30747746557233269</v>
      </c>
      <c r="D487" s="96">
        <f ca="1">(C487-B487)+((('main page'!$U$38/100)*'normal case'!$D$3)/'normal case'!$D$3)</f>
        <v>2.9997068096605517E-3</v>
      </c>
      <c r="E487" s="35">
        <f ca="1">((('normal case'!T487/100)*'external balance'!H486)/('normal case'!D487/'normal case'!D486))</f>
        <v>46090.675129571289</v>
      </c>
      <c r="F487" s="35">
        <f t="shared" ca="1" si="7"/>
        <v>46090.678129278102</v>
      </c>
      <c r="H487" s="35">
        <f ca="1">D487+((1+'normal case'!T487/100)/('normal case'!D487/'normal case'!D486))*'external balance'!H486</f>
        <v>1362967.1216158795</v>
      </c>
    </row>
    <row r="488" spans="2:8">
      <c r="B488" s="35">
        <f ca="1">('normal case'!AJ488*($K$6*'normal case'!D488*('normal case'!AJ488^'external balance'!$K$4)))/'normal case'!D488</f>
        <v>0.30447775876267213</v>
      </c>
      <c r="C488" s="35">
        <f ca="1">($K$5*$K$7*((1+$K$8)^'normal case'!A487)*'normal case'!AJ488^$K$3)/'normal case'!D488</f>
        <v>0.30747746557233269</v>
      </c>
      <c r="D488" s="96">
        <f ca="1">(C488-B488)+((('main page'!$U$38/100)*'normal case'!$D$3)/'normal case'!$D$3)</f>
        <v>2.9997068096605517E-3</v>
      </c>
      <c r="E488" s="35">
        <f ca="1">((('normal case'!T488/100)*'external balance'!H487)/('normal case'!D488/'normal case'!D487))</f>
        <v>47703.848850359929</v>
      </c>
      <c r="F488" s="35">
        <f t="shared" ca="1" si="7"/>
        <v>47703.851850066741</v>
      </c>
      <c r="H488" s="35">
        <f ca="1">D488+((1+'normal case'!T488/100)/('normal case'!D488/'normal case'!D487))*'external balance'!H487</f>
        <v>1410670.9734659463</v>
      </c>
    </row>
    <row r="489" spans="2:8">
      <c r="B489" s="35">
        <f ca="1">('normal case'!AJ489*($K$6*'normal case'!D489*('normal case'!AJ489^'external balance'!$K$4)))/'normal case'!D489</f>
        <v>0.30447775876267213</v>
      </c>
      <c r="C489" s="35">
        <f ca="1">($K$5*$K$7*((1+$K$8)^'normal case'!A488)*'normal case'!AJ489^$K$3)/'normal case'!D489</f>
        <v>0.30747746557233269</v>
      </c>
      <c r="D489" s="96">
        <f ca="1">(C489-B489)+((('main page'!$U$38/100)*'normal case'!$D$3)/'normal case'!$D$3)</f>
        <v>2.9997068096605517E-3</v>
      </c>
      <c r="E489" s="35">
        <f ca="1">((('normal case'!T489/100)*'external balance'!H488)/('normal case'!D489/'normal case'!D488))</f>
        <v>49373.48365089541</v>
      </c>
      <c r="F489" s="35">
        <f t="shared" ca="1" si="7"/>
        <v>49373.486650602223</v>
      </c>
      <c r="H489" s="35">
        <f ca="1">D489+((1+'normal case'!T489/100)/('normal case'!D489/'normal case'!D488))*'external balance'!H488</f>
        <v>1460044.4601165485</v>
      </c>
    </row>
    <row r="490" spans="2:8">
      <c r="B490" s="35">
        <f ca="1">('normal case'!AJ490*($K$6*'normal case'!D490*('normal case'!AJ490^'external balance'!$K$4)))/'normal case'!D490</f>
        <v>0.30447775876267213</v>
      </c>
      <c r="C490" s="35">
        <f ca="1">($K$5*$K$7*((1+$K$8)^'normal case'!A489)*'normal case'!AJ490^$K$3)/'normal case'!D490</f>
        <v>0.30747746557233269</v>
      </c>
      <c r="D490" s="96">
        <f ca="1">(C490-B490)+((('main page'!$U$38/100)*'normal case'!$D$3)/'normal case'!$D$3)</f>
        <v>2.9997068096605517E-3</v>
      </c>
      <c r="E490" s="35">
        <f ca="1">((('normal case'!T490/100)*'external balance'!H489)/('normal case'!D490/'normal case'!D489))</f>
        <v>51101.555668952045</v>
      </c>
      <c r="F490" s="35">
        <f t="shared" ca="1" si="7"/>
        <v>51101.558668658858</v>
      </c>
      <c r="H490" s="35">
        <f ca="1">D490+((1+'normal case'!T490/100)/('normal case'!D490/'normal case'!D489))*'external balance'!H489</f>
        <v>1511146.0187852073</v>
      </c>
    </row>
    <row r="491" spans="2:8">
      <c r="B491" s="35">
        <f ca="1">('normal case'!AJ491*($K$6*'normal case'!D491*('normal case'!AJ491^'external balance'!$K$4)))/'normal case'!D491</f>
        <v>0.30447775876267213</v>
      </c>
      <c r="C491" s="35">
        <f ca="1">($K$5*$K$7*((1+$K$8)^'normal case'!A490)*'normal case'!AJ491^$K$3)/'normal case'!D491</f>
        <v>0.30747746557233269</v>
      </c>
      <c r="D491" s="96">
        <f ca="1">(C491-B491)+((('main page'!$U$38/100)*'normal case'!$D$3)/'normal case'!$D$3)</f>
        <v>2.9997068096605517E-3</v>
      </c>
      <c r="E491" s="35">
        <f ca="1">((('normal case'!T491/100)*'external balance'!H490)/('normal case'!D491/'normal case'!D490))</f>
        <v>52890.110207125654</v>
      </c>
      <c r="F491" s="35">
        <f t="shared" ca="1" si="7"/>
        <v>52890.113206832466</v>
      </c>
      <c r="H491" s="35">
        <f ca="1">D491+((1+'normal case'!T491/100)/('normal case'!D491/'normal case'!D490))*'external balance'!H490</f>
        <v>1564036.1319920397</v>
      </c>
    </row>
    <row r="492" spans="2:8">
      <c r="B492" s="35">
        <f ca="1">('normal case'!AJ492*($K$6*'normal case'!D492*('normal case'!AJ492^'external balance'!$K$4)))/'normal case'!D492</f>
        <v>0.30447775876267213</v>
      </c>
      <c r="C492" s="35">
        <f ca="1">($K$5*$K$7*((1+$K$8)^'normal case'!A491)*'normal case'!AJ492^$K$3)/'normal case'!D492</f>
        <v>0.30747746557233269</v>
      </c>
      <c r="D492" s="96">
        <f ca="1">(C492-B492)+((('main page'!$U$38/100)*'normal case'!$D$3)/'normal case'!$D$3)</f>
        <v>2.9997068096605517E-3</v>
      </c>
      <c r="E492" s="35">
        <f ca="1">((('normal case'!T492/100)*'external balance'!H491)/('normal case'!D492/'normal case'!D491))</f>
        <v>54741.264153602307</v>
      </c>
      <c r="F492" s="35">
        <f t="shared" ca="1" si="7"/>
        <v>54741.26715330912</v>
      </c>
      <c r="H492" s="35">
        <f ca="1">D492+((1+'normal case'!T492/100)/('normal case'!D492/'normal case'!D491))*'external balance'!H491</f>
        <v>1618777.3991453489</v>
      </c>
    </row>
    <row r="493" spans="2:8">
      <c r="B493" s="35">
        <f ca="1">('normal case'!AJ493*($K$6*'normal case'!D493*('normal case'!AJ493^'external balance'!$K$4)))/'normal case'!D493</f>
        <v>0.30447775876267213</v>
      </c>
      <c r="C493" s="35">
        <f ca="1">($K$5*$K$7*((1+$K$8)^'normal case'!A492)*'normal case'!AJ493^$K$3)/'normal case'!D493</f>
        <v>0.30747746557233269</v>
      </c>
      <c r="D493" s="96">
        <f ca="1">(C493-B493)+((('main page'!$U$38/100)*'normal case'!$D$3)/'normal case'!$D$3)</f>
        <v>2.9997068096605517E-3</v>
      </c>
      <c r="E493" s="35">
        <f ca="1">((('normal case'!T493/100)*'external balance'!H492)/('normal case'!D493/'normal case'!D492))</f>
        <v>56657.208487653959</v>
      </c>
      <c r="F493" s="35">
        <f t="shared" ca="1" si="7"/>
        <v>56657.211487360772</v>
      </c>
      <c r="H493" s="35">
        <f ca="1">D493+((1+'normal case'!T493/100)/('normal case'!D493/'normal case'!D492))*'external balance'!H492</f>
        <v>1675434.6106327097</v>
      </c>
    </row>
    <row r="494" spans="2:8">
      <c r="B494" s="35">
        <f ca="1">('normal case'!AJ494*($K$6*'normal case'!D494*('normal case'!AJ494^'external balance'!$K$4)))/'normal case'!D494</f>
        <v>0.30447775876267213</v>
      </c>
      <c r="C494" s="35">
        <f ca="1">($K$5*$K$7*((1+$K$8)^'normal case'!A493)*'normal case'!AJ494^$K$3)/'normal case'!D494</f>
        <v>0.30747746557233269</v>
      </c>
      <c r="D494" s="96">
        <f ca="1">(C494-B494)+((('main page'!$U$38/100)*'normal case'!$D$3)/'normal case'!$D$3)</f>
        <v>2.9997068096605517E-3</v>
      </c>
      <c r="E494" s="35">
        <f ca="1">((('normal case'!T494/100)*'external balance'!H493)/('normal case'!D494/'normal case'!D493))</f>
        <v>58640.210872826421</v>
      </c>
      <c r="F494" s="35">
        <f t="shared" ca="1" si="7"/>
        <v>58640.213872533233</v>
      </c>
      <c r="H494" s="35">
        <f ca="1">D494+((1+'normal case'!T494/100)/('normal case'!D494/'normal case'!D493))*'external balance'!H493</f>
        <v>1734074.824505243</v>
      </c>
    </row>
    <row r="495" spans="2:8">
      <c r="B495" s="35">
        <f ca="1">('normal case'!AJ495*($K$6*'normal case'!D495*('normal case'!AJ495^'external balance'!$K$4)))/'normal case'!D495</f>
        <v>0.30447775876267213</v>
      </c>
      <c r="C495" s="35">
        <f ca="1">($K$5*$K$7*((1+$K$8)^'normal case'!A494)*'normal case'!AJ495^$K$3)/'normal case'!D495</f>
        <v>0.30747746557233269</v>
      </c>
      <c r="D495" s="96">
        <f ca="1">(C495-B495)+((('main page'!$U$38/100)*'normal case'!$D$3)/'normal case'!$D$3)</f>
        <v>2.9997068096605517E-3</v>
      </c>
      <c r="E495" s="35">
        <f ca="1">((('normal case'!T495/100)*'external balance'!H494)/('normal case'!D495/'normal case'!D494))</f>
        <v>60692.618340888941</v>
      </c>
      <c r="F495" s="35">
        <f t="shared" ca="1" si="7"/>
        <v>60692.621340595753</v>
      </c>
      <c r="H495" s="35">
        <f ca="1">D495+((1+'normal case'!T495/100)/('normal case'!D495/'normal case'!D494))*'external balance'!H494</f>
        <v>1794767.4458458389</v>
      </c>
    </row>
    <row r="496" spans="2:8">
      <c r="B496" s="35">
        <f ca="1">('normal case'!AJ496*($K$6*'normal case'!D496*('normal case'!AJ496^'external balance'!$K$4)))/'normal case'!D496</f>
        <v>0.30447775876267213</v>
      </c>
      <c r="C496" s="35">
        <f ca="1">($K$5*$K$7*((1+$K$8)^'normal case'!A495)*'normal case'!AJ496^$K$3)/'normal case'!D496</f>
        <v>0.30747746557233269</v>
      </c>
      <c r="D496" s="96">
        <f ca="1">(C496-B496)+((('main page'!$U$38/100)*'normal case'!$D$3)/'normal case'!$D$3)</f>
        <v>2.9997068096605517E-3</v>
      </c>
      <c r="E496" s="35">
        <f ca="1">((('normal case'!T496/100)*'external balance'!H495)/('normal case'!D496/'normal case'!D495))</f>
        <v>62816.860069721988</v>
      </c>
      <c r="F496" s="35">
        <f t="shared" ca="1" si="7"/>
        <v>62816.8630694288</v>
      </c>
      <c r="H496" s="35">
        <f ca="1">D496+((1+'normal case'!T496/100)/('normal case'!D496/'normal case'!D495))*'external balance'!H495</f>
        <v>1857584.3089152677</v>
      </c>
    </row>
    <row r="497" spans="2:8">
      <c r="B497" s="35">
        <f ca="1">('normal case'!AJ497*($K$6*'normal case'!D497*('normal case'!AJ497^'external balance'!$K$4)))/'normal case'!D497</f>
        <v>0.30447775876267213</v>
      </c>
      <c r="C497" s="35">
        <f ca="1">($K$5*$K$7*((1+$K$8)^'normal case'!A496)*'normal case'!AJ497^$K$3)/'normal case'!D497</f>
        <v>0.30747746557233269</v>
      </c>
      <c r="D497" s="96">
        <f ca="1">(C497-B497)+((('main page'!$U$38/100)*'normal case'!$D$3)/'normal case'!$D$3)</f>
        <v>2.9997068096605517E-3</v>
      </c>
      <c r="E497" s="35">
        <f ca="1">((('normal case'!T497/100)*'external balance'!H496)/('normal case'!D497/'normal case'!D496))</f>
        <v>65015.450258431112</v>
      </c>
      <c r="F497" s="35">
        <f t="shared" ref="F497:F502" ca="1" si="8">IF(ABS(D497+E497-F496)&lt;0.0000001,F496,D497+E497)</f>
        <v>65015.453258137924</v>
      </c>
      <c r="H497" s="35">
        <f ca="1">D497+((1+'normal case'!T497/100)/('normal case'!D497/'normal case'!D496))*'external balance'!H496</f>
        <v>1922599.7621734056</v>
      </c>
    </row>
    <row r="498" spans="2:8">
      <c r="B498" s="35">
        <f ca="1">('normal case'!AJ498*($K$6*'normal case'!D498*('normal case'!AJ498^'external balance'!$K$4)))/'normal case'!D498</f>
        <v>0.30447775876267213</v>
      </c>
      <c r="C498" s="35">
        <f ca="1">($K$5*$K$7*((1+$K$8)^'normal case'!A497)*'normal case'!AJ498^$K$3)/'normal case'!D498</f>
        <v>0.30747746557233269</v>
      </c>
      <c r="D498" s="96">
        <f ca="1">(C498-B498)+((('main page'!$U$38/100)*'normal case'!$D$3)/'normal case'!$D$3)</f>
        <v>2.9997068096605517E-3</v>
      </c>
      <c r="E498" s="35">
        <f ca="1">((('normal case'!T498/100)*'external balance'!H497)/('normal case'!D498/'normal case'!D497))</f>
        <v>67290.991103089822</v>
      </c>
      <c r="F498" s="35">
        <f t="shared" ca="1" si="8"/>
        <v>67290.994102796627</v>
      </c>
      <c r="H498" s="35">
        <f ca="1">D498+((1+'normal case'!T498/100)/('normal case'!D498/'normal case'!D497))*'external balance'!H497</f>
        <v>1989890.7562762024</v>
      </c>
    </row>
    <row r="499" spans="2:8">
      <c r="B499" s="35">
        <f ca="1">('normal case'!AJ499*($K$6*'normal case'!D499*('normal case'!AJ499^'external balance'!$K$4)))/'normal case'!D499</f>
        <v>0.30447775876267213</v>
      </c>
      <c r="C499" s="35">
        <f ca="1">($K$5*$K$7*((1+$K$8)^'normal case'!A498)*'normal case'!AJ499^$K$3)/'normal case'!D499</f>
        <v>0.30747746557233269</v>
      </c>
      <c r="D499" s="96">
        <f ca="1">(C499-B499)+((('main page'!$U$38/100)*'normal case'!$D$3)/'normal case'!$D$3)</f>
        <v>2.9997068096605517E-3</v>
      </c>
      <c r="E499" s="35">
        <f ca="1">((('normal case'!T499/100)*'external balance'!H498)/('normal case'!D499/'normal case'!D498))</f>
        <v>69646.175876633424</v>
      </c>
      <c r="F499" s="35">
        <f t="shared" ca="1" si="8"/>
        <v>69646.178876340229</v>
      </c>
      <c r="H499" s="35">
        <f ca="1">D499+((1+'normal case'!T499/100)/('normal case'!D499/'normal case'!D498))*'external balance'!H498</f>
        <v>2059536.9351525428</v>
      </c>
    </row>
    <row r="500" spans="2:8">
      <c r="B500" s="35">
        <f ca="1">('normal case'!AJ500*($K$6*'normal case'!D500*('normal case'!AJ500^'external balance'!$K$4)))/'normal case'!D500</f>
        <v>0.30447775876267213</v>
      </c>
      <c r="C500" s="35">
        <f ca="1">($K$5*$K$7*((1+$K$8)^'normal case'!A499)*'normal case'!AJ500^$K$3)/'normal case'!D500</f>
        <v>0.30747746557233269</v>
      </c>
      <c r="D500" s="96">
        <f ca="1">(C500-B500)+((('main page'!$U$38/100)*'normal case'!$D$3)/'normal case'!$D$3)</f>
        <v>2.9997068096605517E-3</v>
      </c>
      <c r="E500" s="35">
        <f ca="1">((('normal case'!T500/100)*'external balance'!H499)/('normal case'!D500/'normal case'!D499))</f>
        <v>72083.792116549172</v>
      </c>
      <c r="F500" s="35">
        <f t="shared" ca="1" si="8"/>
        <v>72083.795116255977</v>
      </c>
      <c r="H500" s="35">
        <f ca="1">D500+((1+'normal case'!T500/100)/('normal case'!D500/'normal case'!D499))*'external balance'!H499</f>
        <v>2131620.7302687988</v>
      </c>
    </row>
    <row r="501" spans="2:8">
      <c r="B501" s="35">
        <f ca="1">('normal case'!AJ501*($K$6*'normal case'!D501*('normal case'!AJ501^'external balance'!$K$4)))/'normal case'!D501</f>
        <v>0.30447775876267213</v>
      </c>
      <c r="C501" s="35">
        <f ca="1">($K$5*$K$7*((1+$K$8)^'normal case'!A500)*'normal case'!AJ501^$K$3)/'normal case'!D501</f>
        <v>0.30747746557233269</v>
      </c>
      <c r="D501" s="96">
        <f ca="1">(C501-B501)+((('main page'!$U$38/100)*'normal case'!$D$3)/'normal case'!$D$3)</f>
        <v>2.9997068096605517E-3</v>
      </c>
      <c r="E501" s="35">
        <f ca="1">((('normal case'!T501/100)*'external balance'!H500)/('normal case'!D501/'normal case'!D500))</f>
        <v>74606.724924135488</v>
      </c>
      <c r="F501" s="35">
        <f t="shared" ca="1" si="8"/>
        <v>74606.727923842293</v>
      </c>
      <c r="H501" s="35">
        <f ca="1">D501+((1+'normal case'!T501/100)/('normal case'!D501/'normal case'!D500))*'external balance'!H500</f>
        <v>2206227.4581926409</v>
      </c>
    </row>
    <row r="502" spans="2:8">
      <c r="B502" s="35">
        <f ca="1">('normal case'!AJ502*($K$6*'normal case'!D502*('normal case'!AJ502^'external balance'!$K$4)))/'normal case'!D502</f>
        <v>0.33775035081813964</v>
      </c>
      <c r="C502" s="35">
        <f ca="1">($K$5*$K$7*((1+$K$8)^'normal case'!A501)*'normal case'!AJ502^$K$3)/'normal case'!D502</f>
        <v>0.39165815480267846</v>
      </c>
      <c r="D502" s="96">
        <f ca="1">(C502-B502)+((('main page'!$U$38/100)*'normal case'!$D$3)/'normal case'!$D$3)</f>
        <v>5.3907803984538816E-2</v>
      </c>
      <c r="E502" s="35">
        <f ca="1">((('normal case'!T502/100)*'external balance'!H501)/('normal case'!D502/'normal case'!D501))</f>
        <v>-6.5750701969642666E-4</v>
      </c>
      <c r="F502" s="35">
        <f t="shared" ca="1" si="8"/>
        <v>5.3250296964842389E-2</v>
      </c>
      <c r="H502" s="35">
        <f ca="1">D502+((1+'normal case'!T502/100)/('normal case'!D502/'normal case'!D501))*'external balance'!H501</f>
        <v>2206227.5114429379</v>
      </c>
    </row>
    <row r="503" spans="2:8">
      <c r="F503" s="35"/>
    </row>
    <row r="504" spans="2:8">
      <c r="F504" s="35"/>
    </row>
    <row r="505" spans="2:8">
      <c r="F505" s="35"/>
    </row>
    <row r="506" spans="2:8">
      <c r="F506" s="35"/>
    </row>
    <row r="507" spans="2:8">
      <c r="F507" s="35"/>
    </row>
    <row r="508" spans="2:8">
      <c r="F508" s="35"/>
    </row>
    <row r="509" spans="2:8">
      <c r="F509" s="35"/>
    </row>
    <row r="510" spans="2:8">
      <c r="F510" s="35"/>
    </row>
  </sheetData>
  <phoneticPr fontId="3" type="noConversion"/>
  <pageMargins left="0.75" right="0.75" top="1" bottom="1" header="0" footer="0"/>
  <pageSetup paperSize="9"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6"/>
  <dimension ref="A1"/>
  <sheetViews>
    <sheetView zoomScale="70" zoomScaleNormal="70" workbookViewId="0">
      <selection activeCell="N81" sqref="N81"/>
    </sheetView>
  </sheetViews>
  <sheetFormatPr defaultColWidth="10.90625" defaultRowHeight="1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21"/>
  <dimension ref="A1:IV67"/>
  <sheetViews>
    <sheetView showGridLines="0" showRowColHeaders="0" zoomScale="91" zoomScaleNormal="91" workbookViewId="0">
      <selection activeCell="G9" sqref="G9"/>
    </sheetView>
  </sheetViews>
  <sheetFormatPr defaultColWidth="11.453125" defaultRowHeight="12.5"/>
  <cols>
    <col min="1" max="1" width="23.1796875" customWidth="1"/>
    <col min="2" max="2" width="4.26953125" customWidth="1"/>
    <col min="3" max="4" width="4" customWidth="1"/>
    <col min="18" max="18" width="0" hidden="1" customWidth="1"/>
  </cols>
  <sheetData>
    <row r="1" spans="1:256" s="115" customFormat="1">
      <c r="R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15" customFormat="1">
      <c r="R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15" customFormat="1">
      <c r="R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15" customFormat="1">
      <c r="R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15" customFormat="1">
      <c r="R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15" customFormat="1">
      <c r="R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15" customFormat="1" ht="13" thickBot="1">
      <c r="R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ht="14" thickTop="1" thickBot="1">
      <c r="A8" s="627" t="s">
        <v>123</v>
      </c>
      <c r="B8" s="628"/>
      <c r="C8" s="628"/>
      <c r="D8" s="629"/>
      <c r="E8" s="115"/>
      <c r="F8" s="115"/>
      <c r="G8" s="115"/>
      <c r="H8" s="115"/>
      <c r="I8" s="115"/>
      <c r="J8" s="115"/>
      <c r="K8" s="115"/>
      <c r="L8" s="115"/>
      <c r="M8" s="115"/>
      <c r="N8" s="115"/>
      <c r="O8" s="115"/>
      <c r="P8" s="115"/>
      <c r="Q8" s="115"/>
      <c r="S8" s="115"/>
      <c r="T8" s="115"/>
      <c r="U8" s="115"/>
      <c r="V8" s="115"/>
      <c r="W8" s="115"/>
    </row>
    <row r="9" spans="1:256" ht="13" thickTop="1">
      <c r="A9" s="630" t="str">
        <f>'main page'!A2</f>
        <v>Main page-Closed economy</v>
      </c>
      <c r="B9" s="631"/>
      <c r="C9" s="631"/>
      <c r="D9" s="632"/>
      <c r="E9" s="115"/>
      <c r="F9" s="115"/>
      <c r="G9" s="115"/>
      <c r="H9" s="115"/>
      <c r="I9" s="115"/>
      <c r="J9" s="115"/>
      <c r="K9" s="115"/>
      <c r="L9" s="115"/>
      <c r="M9" s="115"/>
      <c r="N9" s="115"/>
      <c r="O9" s="115"/>
      <c r="P9" s="115"/>
      <c r="Q9" s="115"/>
      <c r="S9" s="115"/>
      <c r="T9" s="115"/>
      <c r="U9" s="115"/>
      <c r="V9" s="115"/>
      <c r="W9" s="115"/>
    </row>
    <row r="10" spans="1:256">
      <c r="A10" s="633"/>
      <c r="B10" s="634"/>
      <c r="C10" s="634"/>
      <c r="D10" s="635"/>
      <c r="E10" s="115"/>
      <c r="F10" s="115"/>
      <c r="G10" s="115"/>
      <c r="H10" s="115"/>
      <c r="I10" s="115"/>
      <c r="J10" s="115"/>
      <c r="K10" s="115"/>
      <c r="L10" s="115"/>
      <c r="M10" s="115"/>
      <c r="N10" s="115"/>
      <c r="O10" s="115"/>
      <c r="P10" s="115"/>
      <c r="Q10" s="115"/>
      <c r="S10" s="115"/>
      <c r="T10" s="115"/>
      <c r="U10" s="115"/>
      <c r="V10" s="115"/>
      <c r="W10" s="115"/>
    </row>
    <row r="11" spans="1:256" ht="13">
      <c r="A11" s="636" t="s">
        <v>101</v>
      </c>
      <c r="B11" s="622"/>
      <c r="C11" s="623"/>
      <c r="D11" s="243" t="str">
        <f>IF('main page'!$G$8="","no","yes")</f>
        <v>yes</v>
      </c>
      <c r="E11" s="115"/>
      <c r="F11" s="115"/>
      <c r="G11" s="115"/>
      <c r="H11" s="115"/>
      <c r="I11" s="115"/>
      <c r="J11" s="115"/>
      <c r="K11" s="115"/>
      <c r="L11" s="115"/>
      <c r="M11" s="115"/>
      <c r="N11" s="115"/>
      <c r="O11" s="115"/>
      <c r="P11" s="115"/>
      <c r="Q11" s="115"/>
      <c r="S11" s="115"/>
      <c r="T11" s="115"/>
      <c r="U11" s="115"/>
      <c r="V11" s="115"/>
      <c r="W11" s="115"/>
    </row>
    <row r="12" spans="1:256" ht="13">
      <c r="A12" s="636" t="s">
        <v>100</v>
      </c>
      <c r="B12" s="622"/>
      <c r="C12" s="623"/>
      <c r="D12" s="243" t="str">
        <f>IF('main page'!$K$8="","no","yes")</f>
        <v>no</v>
      </c>
      <c r="E12" s="115"/>
      <c r="F12" s="115"/>
      <c r="G12" s="115"/>
      <c r="H12" s="115"/>
      <c r="I12" s="115"/>
      <c r="J12" s="115"/>
      <c r="K12" s="115"/>
      <c r="L12" s="115"/>
      <c r="M12" s="115"/>
      <c r="N12" s="115"/>
      <c r="O12" s="115"/>
      <c r="P12" s="115"/>
      <c r="Q12" s="115"/>
      <c r="S12" s="115"/>
      <c r="T12" s="115"/>
      <c r="U12" s="115"/>
      <c r="V12" s="115"/>
      <c r="W12" s="115"/>
    </row>
    <row r="13" spans="1:256" ht="13">
      <c r="A13" s="636" t="s">
        <v>184</v>
      </c>
      <c r="B13" s="622"/>
      <c r="C13" s="623"/>
      <c r="D13" s="244" t="str">
        <f>IF(controls!$B$4=2,"no",IF('main page'!$H$16="","no","yes"))</f>
        <v>no</v>
      </c>
      <c r="E13" s="115"/>
      <c r="F13" s="115"/>
      <c r="G13" s="115"/>
      <c r="H13" s="115"/>
      <c r="I13" s="115"/>
      <c r="J13" s="115"/>
      <c r="K13" s="115"/>
      <c r="L13" s="115"/>
      <c r="M13" s="115"/>
      <c r="N13" s="115"/>
      <c r="O13" s="115"/>
      <c r="P13" s="115"/>
      <c r="Q13" s="115"/>
      <c r="S13" s="115"/>
      <c r="T13" s="115"/>
      <c r="U13" s="115"/>
      <c r="V13" s="115"/>
      <c r="W13" s="115"/>
    </row>
    <row r="14" spans="1:256" ht="13">
      <c r="A14" s="636" t="s">
        <v>102</v>
      </c>
      <c r="B14" s="622"/>
      <c r="C14" s="623"/>
      <c r="D14" s="244" t="str">
        <f>IF(controls!$B$8=FALSE,"no",IF(controls!$B$8=TRUE,"yes",""))</f>
        <v>no</v>
      </c>
      <c r="E14" s="115"/>
      <c r="F14" s="115"/>
      <c r="G14" s="115"/>
      <c r="H14" s="115"/>
      <c r="I14" s="115"/>
      <c r="J14" s="115"/>
      <c r="K14" s="115"/>
      <c r="L14" s="115"/>
      <c r="M14" s="115"/>
      <c r="N14" s="115"/>
      <c r="O14" s="115"/>
      <c r="P14" s="115"/>
      <c r="Q14" s="115"/>
      <c r="S14" s="115"/>
      <c r="T14" s="115"/>
      <c r="U14" s="115"/>
      <c r="V14" s="115"/>
      <c r="W14" s="115"/>
    </row>
    <row r="15" spans="1:256" ht="13">
      <c r="A15" s="624" t="str">
        <f>IF('main page'!S43=1,"","Stabilization fiscal measure")</f>
        <v>Stabilization fiscal measure</v>
      </c>
      <c r="B15" s="625"/>
      <c r="C15" s="626"/>
      <c r="D15" s="244" t="str">
        <f>IF('main page'!S43=1,"",IF('main page'!$U$22="","no","yes"))</f>
        <v>no</v>
      </c>
      <c r="E15" s="115"/>
      <c r="F15" s="115"/>
      <c r="G15" s="115"/>
      <c r="H15" s="115"/>
      <c r="I15" s="115"/>
      <c r="J15" s="115"/>
      <c r="K15" s="115"/>
      <c r="L15" s="115"/>
      <c r="M15" s="115"/>
      <c r="N15" s="115"/>
      <c r="O15" s="115"/>
      <c r="P15" s="115"/>
      <c r="Q15" s="115"/>
      <c r="S15" s="115"/>
      <c r="T15" s="115"/>
      <c r="U15" s="115"/>
      <c r="V15" s="115"/>
      <c r="W15" s="115"/>
    </row>
    <row r="16" spans="1:256" ht="13">
      <c r="A16" s="624" t="str">
        <f>IF(controls!B44=0,"Hysteresis","")</f>
        <v>Hysteresis</v>
      </c>
      <c r="B16" s="625"/>
      <c r="C16" s="626"/>
      <c r="D16" s="244" t="str">
        <f>IF(controls!B44=0,IF('inflation, income and interest'!B38=1,"yes","no"),"")</f>
        <v>no</v>
      </c>
      <c r="E16" s="115"/>
      <c r="F16" s="115"/>
      <c r="G16" s="115"/>
      <c r="H16" s="115"/>
      <c r="I16" s="115"/>
      <c r="J16" s="115"/>
      <c r="K16" s="115"/>
      <c r="L16" s="115"/>
      <c r="M16" s="115"/>
      <c r="N16" s="115"/>
      <c r="O16" s="115"/>
      <c r="P16" s="115"/>
      <c r="Q16" s="115"/>
      <c r="S16" s="115"/>
      <c r="T16" s="115"/>
      <c r="U16" s="115"/>
      <c r="V16" s="115"/>
      <c r="W16" s="115"/>
    </row>
    <row r="17" spans="1:23">
      <c r="A17" s="115"/>
      <c r="B17" s="115"/>
      <c r="C17" s="115"/>
      <c r="D17" s="115"/>
      <c r="E17" s="115"/>
      <c r="F17" s="115"/>
      <c r="G17" s="115"/>
      <c r="H17" s="115"/>
      <c r="I17" s="115"/>
      <c r="J17" s="115"/>
      <c r="K17" s="115"/>
      <c r="L17" s="115"/>
      <c r="M17" s="115"/>
      <c r="N17" s="115"/>
      <c r="O17" s="115"/>
      <c r="P17" s="115"/>
      <c r="Q17" s="115"/>
      <c r="S17" s="115"/>
      <c r="T17" s="115"/>
      <c r="U17" s="115"/>
      <c r="V17" s="115"/>
      <c r="W17" s="115"/>
    </row>
    <row r="18" spans="1:23">
      <c r="A18" s="115"/>
      <c r="B18" s="115"/>
      <c r="C18" s="115"/>
      <c r="D18" s="115"/>
      <c r="E18" s="115"/>
      <c r="F18" s="115"/>
      <c r="G18" s="115"/>
      <c r="H18" s="115"/>
      <c r="I18" s="115"/>
      <c r="J18" s="115"/>
      <c r="K18" s="115"/>
      <c r="L18" s="115"/>
      <c r="M18" s="115"/>
      <c r="N18" s="115"/>
      <c r="O18" s="115"/>
      <c r="P18" s="115"/>
      <c r="Q18" s="115"/>
      <c r="S18" s="115"/>
      <c r="T18" s="115"/>
      <c r="U18" s="115"/>
      <c r="V18" s="115"/>
      <c r="W18" s="115"/>
    </row>
    <row r="19" spans="1:23">
      <c r="A19" s="115"/>
      <c r="B19" s="115"/>
      <c r="C19" s="115"/>
      <c r="D19" s="115"/>
      <c r="E19" s="115"/>
      <c r="F19" s="115"/>
      <c r="G19" s="115"/>
      <c r="H19" s="115"/>
      <c r="I19" s="115"/>
      <c r="J19" s="115"/>
      <c r="K19" s="115"/>
      <c r="L19" s="115"/>
      <c r="M19" s="115"/>
      <c r="N19" s="115"/>
      <c r="O19" s="115"/>
      <c r="P19" s="115"/>
      <c r="Q19" s="115"/>
      <c r="S19" s="115"/>
      <c r="T19" s="115"/>
      <c r="U19" s="115"/>
      <c r="V19" s="115"/>
      <c r="W19" s="115"/>
    </row>
    <row r="20" spans="1:23">
      <c r="A20" s="115"/>
      <c r="B20" s="115"/>
      <c r="C20" s="115"/>
      <c r="D20" s="115"/>
      <c r="E20" s="115"/>
      <c r="F20" s="115"/>
      <c r="G20" s="115"/>
      <c r="H20" s="115"/>
      <c r="I20" s="115"/>
      <c r="J20" s="115"/>
      <c r="K20" s="115"/>
      <c r="L20" s="115"/>
      <c r="M20" s="115"/>
      <c r="N20" s="115"/>
      <c r="O20" s="115"/>
      <c r="P20" s="115"/>
      <c r="Q20" s="115"/>
      <c r="S20" s="115"/>
      <c r="T20" s="115"/>
      <c r="U20" s="115"/>
      <c r="V20" s="115"/>
      <c r="W20" s="115"/>
    </row>
    <row r="21" spans="1:23">
      <c r="A21" s="115"/>
      <c r="B21" s="115"/>
      <c r="C21" s="115"/>
      <c r="D21" s="115"/>
      <c r="E21" s="115"/>
      <c r="F21" s="115">
        <f>controls!B44</f>
        <v>0</v>
      </c>
      <c r="G21" s="115"/>
      <c r="H21" s="115"/>
      <c r="I21" s="115"/>
      <c r="J21" s="115"/>
      <c r="K21" s="115"/>
      <c r="L21" s="115"/>
      <c r="M21" s="115"/>
      <c r="N21" s="115"/>
      <c r="O21" s="115"/>
      <c r="P21" s="115"/>
      <c r="Q21" s="115"/>
      <c r="S21" s="115"/>
      <c r="T21" s="115"/>
      <c r="U21" s="115"/>
      <c r="V21" s="115"/>
      <c r="W21" s="115"/>
    </row>
    <row r="22" spans="1:23">
      <c r="A22" s="115"/>
      <c r="B22" s="115"/>
      <c r="C22" s="115"/>
      <c r="D22" s="115"/>
      <c r="E22" s="115"/>
      <c r="F22" s="115"/>
      <c r="G22" s="115"/>
      <c r="H22" s="115"/>
      <c r="I22" s="115"/>
      <c r="J22" s="115"/>
      <c r="K22" s="115"/>
      <c r="L22" s="115"/>
      <c r="M22" s="115"/>
      <c r="N22" s="115"/>
      <c r="O22" s="115"/>
      <c r="P22" s="115"/>
      <c r="Q22" s="115"/>
      <c r="S22" s="115"/>
      <c r="T22" s="115"/>
      <c r="U22" s="115"/>
      <c r="V22" s="115"/>
      <c r="W22" s="115"/>
    </row>
    <row r="23" spans="1:23">
      <c r="A23" s="115"/>
      <c r="B23" s="115"/>
      <c r="C23" s="115"/>
      <c r="D23" s="115"/>
      <c r="E23" s="115"/>
      <c r="F23" s="115"/>
      <c r="G23" s="115"/>
      <c r="H23" s="115"/>
      <c r="I23" s="115"/>
      <c r="J23" s="115"/>
      <c r="K23" s="115"/>
      <c r="L23" s="115"/>
      <c r="M23" s="115"/>
      <c r="N23" s="115"/>
      <c r="O23" s="115"/>
      <c r="P23" s="115"/>
      <c r="Q23" s="115"/>
      <c r="S23" s="115"/>
      <c r="T23" s="115"/>
      <c r="U23" s="115"/>
      <c r="V23" s="115"/>
      <c r="W23" s="115"/>
    </row>
    <row r="24" spans="1:23">
      <c r="A24" s="115"/>
      <c r="B24" s="115"/>
      <c r="C24" s="115"/>
      <c r="D24" s="115"/>
      <c r="E24" s="115"/>
      <c r="F24" s="115"/>
      <c r="G24" s="115"/>
      <c r="H24" s="115"/>
      <c r="I24" s="115"/>
      <c r="J24" s="115"/>
      <c r="K24" s="115"/>
      <c r="L24" s="115"/>
      <c r="M24" s="115"/>
      <c r="N24" s="115"/>
      <c r="O24" s="115"/>
      <c r="P24" s="115"/>
      <c r="Q24" s="115"/>
      <c r="S24" s="115"/>
      <c r="T24" s="115"/>
      <c r="U24" s="115"/>
      <c r="V24" s="115"/>
      <c r="W24" s="115"/>
    </row>
    <row r="25" spans="1:23">
      <c r="A25" s="115"/>
      <c r="B25" s="115"/>
      <c r="C25" s="115"/>
      <c r="D25" s="115"/>
      <c r="E25" s="115"/>
      <c r="F25" s="115"/>
      <c r="G25" s="140" t="b">
        <v>0</v>
      </c>
      <c r="H25" s="115"/>
      <c r="I25" s="115"/>
      <c r="J25" s="115"/>
      <c r="K25" s="115"/>
      <c r="L25" s="115"/>
      <c r="M25" s="115"/>
      <c r="N25" s="115"/>
      <c r="O25" s="115"/>
      <c r="P25" s="115"/>
      <c r="Q25" s="115"/>
      <c r="S25" s="115"/>
      <c r="T25" s="115"/>
      <c r="U25" s="115"/>
      <c r="V25" s="115"/>
      <c r="W25" s="115"/>
    </row>
    <row r="26" spans="1:23">
      <c r="A26" s="115"/>
      <c r="B26" s="115"/>
      <c r="C26" s="115"/>
      <c r="D26" s="115"/>
      <c r="E26" s="115"/>
      <c r="F26" s="115"/>
      <c r="G26" s="140" t="b">
        <v>0</v>
      </c>
      <c r="H26" s="115"/>
      <c r="I26" s="115"/>
      <c r="J26" s="115"/>
      <c r="K26" s="115"/>
      <c r="L26" s="115"/>
      <c r="M26" s="115"/>
      <c r="N26" s="115"/>
      <c r="O26" s="115"/>
      <c r="P26" s="115"/>
      <c r="Q26" s="115"/>
      <c r="S26" s="115"/>
      <c r="T26" s="115"/>
      <c r="U26" s="115"/>
      <c r="V26" s="115"/>
      <c r="W26" s="115"/>
    </row>
    <row r="27" spans="1:23">
      <c r="A27" s="115"/>
      <c r="B27" s="115"/>
      <c r="C27" s="115"/>
      <c r="D27" s="115"/>
      <c r="E27" s="115"/>
      <c r="F27" s="115"/>
      <c r="G27" s="115"/>
      <c r="H27" s="115"/>
      <c r="I27" s="115"/>
      <c r="J27" s="115"/>
      <c r="K27" s="115"/>
      <c r="L27" s="115"/>
      <c r="M27" s="115"/>
      <c r="N27" s="115"/>
      <c r="O27" s="115"/>
      <c r="P27" s="115"/>
      <c r="Q27" s="115"/>
      <c r="S27" s="115"/>
      <c r="T27" s="115"/>
      <c r="U27" s="115"/>
      <c r="V27" s="115"/>
      <c r="W27" s="115"/>
    </row>
    <row r="28" spans="1:23">
      <c r="A28" s="115"/>
      <c r="B28" s="115"/>
      <c r="C28" s="115"/>
      <c r="D28" s="115"/>
      <c r="E28" s="115"/>
      <c r="F28" s="115"/>
      <c r="G28" s="115"/>
      <c r="H28" s="115"/>
      <c r="I28" s="115"/>
      <c r="J28" s="115"/>
      <c r="K28" s="115"/>
      <c r="L28" s="115"/>
      <c r="M28" s="115"/>
      <c r="N28" s="115"/>
      <c r="O28" s="115"/>
      <c r="P28" s="115"/>
      <c r="Q28" s="115"/>
      <c r="S28" s="115"/>
      <c r="T28" s="115"/>
      <c r="U28" s="115"/>
      <c r="V28" s="115"/>
      <c r="W28" s="115"/>
    </row>
    <row r="29" spans="1:23">
      <c r="A29" s="115"/>
      <c r="B29" s="115"/>
      <c r="C29" s="115"/>
      <c r="D29" s="115"/>
      <c r="E29" s="115"/>
      <c r="F29" s="115"/>
      <c r="G29" s="115"/>
      <c r="H29" s="115"/>
      <c r="I29" s="115"/>
      <c r="J29" s="115"/>
      <c r="K29" s="115"/>
      <c r="L29" s="115"/>
      <c r="M29" s="115"/>
      <c r="N29" s="115"/>
      <c r="O29" s="115"/>
      <c r="P29" s="115"/>
      <c r="Q29" s="115"/>
      <c r="S29" s="115"/>
      <c r="T29" s="115"/>
      <c r="U29" s="115"/>
      <c r="V29" s="115"/>
      <c r="W29" s="115"/>
    </row>
    <row r="30" spans="1:23">
      <c r="A30" s="115"/>
      <c r="B30" s="115"/>
      <c r="C30" s="115"/>
      <c r="D30" s="115"/>
      <c r="E30" s="115"/>
      <c r="F30" s="115"/>
      <c r="G30" s="115"/>
      <c r="H30" s="115"/>
      <c r="I30" s="115"/>
      <c r="J30" s="115"/>
      <c r="K30" s="115"/>
      <c r="L30" s="115"/>
      <c r="M30" s="392">
        <f>'main page'!S42</f>
        <v>0</v>
      </c>
      <c r="N30" s="115"/>
      <c r="O30" s="115"/>
      <c r="P30" s="115"/>
      <c r="Q30" s="115"/>
      <c r="S30" s="115"/>
      <c r="T30" s="115"/>
      <c r="U30" s="115"/>
      <c r="V30" s="115"/>
      <c r="W30" s="115"/>
    </row>
    <row r="31" spans="1:23">
      <c r="A31" s="374"/>
      <c r="B31" s="375"/>
      <c r="C31" s="115"/>
      <c r="D31" s="115"/>
      <c r="E31" s="115"/>
      <c r="F31" s="115"/>
      <c r="G31" s="115"/>
      <c r="H31" s="115"/>
      <c r="I31" s="115"/>
      <c r="J31" s="115"/>
      <c r="K31" s="115"/>
      <c r="L31" s="115"/>
      <c r="M31" s="115"/>
      <c r="N31" s="115"/>
      <c r="O31" s="115"/>
      <c r="P31" s="115"/>
      <c r="Q31" s="115"/>
      <c r="S31" s="115"/>
      <c r="T31" s="115"/>
      <c r="U31" s="115"/>
      <c r="V31" s="115"/>
      <c r="W31" s="115"/>
    </row>
    <row r="32" spans="1:23">
      <c r="A32" s="115"/>
      <c r="B32" s="115"/>
      <c r="C32" s="115"/>
      <c r="D32" s="115"/>
      <c r="E32" s="115"/>
      <c r="F32" s="115"/>
      <c r="G32" s="115"/>
      <c r="H32" s="115"/>
      <c r="I32" s="115"/>
      <c r="J32" s="115"/>
      <c r="K32" s="115"/>
      <c r="L32" s="115"/>
      <c r="M32" s="115"/>
      <c r="N32" s="115"/>
      <c r="O32" s="115"/>
      <c r="P32" s="115"/>
      <c r="Q32" s="115"/>
      <c r="S32" s="115"/>
      <c r="T32" s="115"/>
      <c r="U32" s="115"/>
      <c r="V32" s="115"/>
      <c r="W32" s="115"/>
    </row>
    <row r="33" spans="1:23">
      <c r="A33" s="115"/>
      <c r="B33" s="115"/>
      <c r="C33" s="115"/>
      <c r="D33" s="115"/>
      <c r="E33" s="115"/>
      <c r="F33" s="115"/>
      <c r="G33" s="115"/>
      <c r="H33" s="115"/>
      <c r="I33" s="115"/>
      <c r="J33" s="115"/>
      <c r="K33" s="115"/>
      <c r="L33" s="115"/>
      <c r="M33" s="115"/>
      <c r="N33" s="115"/>
      <c r="O33" s="115"/>
      <c r="P33" s="115"/>
      <c r="Q33" s="115"/>
      <c r="S33" s="115"/>
      <c r="T33" s="115"/>
      <c r="U33" s="115"/>
      <c r="V33" s="115"/>
      <c r="W33" s="115"/>
    </row>
    <row r="34" spans="1:23">
      <c r="A34" s="115"/>
      <c r="B34" s="115"/>
      <c r="C34" s="115"/>
      <c r="D34" s="115"/>
      <c r="E34" s="115"/>
      <c r="F34" s="115"/>
      <c r="G34" s="115"/>
      <c r="H34" s="115"/>
      <c r="I34" s="115"/>
      <c r="J34" s="115"/>
      <c r="K34" s="115"/>
      <c r="L34" s="115"/>
      <c r="M34" s="115"/>
      <c r="N34" s="115"/>
      <c r="O34" s="115"/>
      <c r="P34" s="115"/>
      <c r="Q34" s="115"/>
      <c r="S34" s="115"/>
      <c r="T34" s="115"/>
      <c r="U34" s="115"/>
      <c r="V34" s="115"/>
      <c r="W34" s="115"/>
    </row>
    <row r="35" spans="1:23">
      <c r="A35" s="115"/>
      <c r="B35" s="115"/>
      <c r="C35" s="115"/>
      <c r="D35" s="115"/>
      <c r="E35" s="115"/>
      <c r="F35" s="115"/>
      <c r="G35" s="115"/>
      <c r="H35" s="115"/>
      <c r="I35" s="115"/>
      <c r="J35" s="115"/>
      <c r="K35" s="115"/>
      <c r="L35" s="115"/>
      <c r="M35" s="115"/>
      <c r="N35" s="115"/>
      <c r="O35" s="115"/>
      <c r="P35" s="115"/>
      <c r="Q35" s="115"/>
      <c r="S35" s="115"/>
      <c r="T35" s="115"/>
      <c r="U35" s="115"/>
      <c r="V35" s="115"/>
      <c r="W35" s="115"/>
    </row>
    <row r="36" spans="1:23">
      <c r="A36" s="115"/>
      <c r="B36" s="115"/>
      <c r="C36" s="115"/>
      <c r="D36" s="115"/>
      <c r="E36" s="115"/>
      <c r="F36" s="115"/>
      <c r="G36" s="115"/>
      <c r="H36" s="115"/>
      <c r="I36" s="115"/>
      <c r="J36" s="115"/>
      <c r="K36" s="115"/>
      <c r="L36" s="115"/>
      <c r="M36" s="115"/>
      <c r="N36" s="115"/>
      <c r="O36" s="115"/>
      <c r="P36" s="115"/>
      <c r="Q36" s="115"/>
      <c r="S36" s="115"/>
      <c r="T36" s="115"/>
      <c r="U36" s="115"/>
      <c r="V36" s="115"/>
      <c r="W36" s="115"/>
    </row>
    <row r="37" spans="1:23">
      <c r="A37" s="115"/>
      <c r="B37" s="115"/>
      <c r="C37" s="115"/>
      <c r="D37" s="115"/>
      <c r="E37" s="115"/>
      <c r="F37" s="115"/>
      <c r="G37" s="115"/>
      <c r="H37" s="115"/>
      <c r="I37" s="115"/>
      <c r="J37" s="115"/>
      <c r="K37" s="115"/>
      <c r="L37" s="115"/>
      <c r="M37" s="115"/>
      <c r="N37" s="115"/>
      <c r="O37" s="115"/>
      <c r="P37" s="115"/>
      <c r="Q37" s="115"/>
      <c r="S37" s="115"/>
      <c r="T37" s="115"/>
      <c r="U37" s="115"/>
      <c r="V37" s="115"/>
      <c r="W37" s="115"/>
    </row>
    <row r="38" spans="1:23">
      <c r="A38" s="115"/>
      <c r="B38" s="115"/>
      <c r="C38" s="115"/>
      <c r="D38" s="115"/>
      <c r="E38" s="115"/>
      <c r="F38" s="115"/>
      <c r="G38" s="115"/>
      <c r="H38" s="115"/>
      <c r="I38" s="115"/>
      <c r="J38" s="115"/>
      <c r="K38" s="115"/>
      <c r="L38" s="115"/>
      <c r="M38" s="115"/>
      <c r="N38" s="115"/>
      <c r="O38" s="115"/>
      <c r="P38" s="115"/>
      <c r="Q38" s="115"/>
      <c r="S38" s="115"/>
      <c r="T38" s="115"/>
      <c r="U38" s="115"/>
      <c r="V38" s="115"/>
      <c r="W38" s="115"/>
    </row>
    <row r="39" spans="1:23">
      <c r="A39" s="115"/>
      <c r="B39" s="115"/>
      <c r="C39" s="115"/>
      <c r="D39" s="115"/>
      <c r="E39" s="115"/>
      <c r="F39" s="115"/>
      <c r="G39" s="115"/>
      <c r="H39" s="115"/>
      <c r="I39" s="115"/>
      <c r="J39" s="115"/>
      <c r="K39" s="115"/>
      <c r="L39" s="115"/>
      <c r="M39" s="115"/>
      <c r="N39" s="115"/>
      <c r="O39" s="115"/>
      <c r="P39" s="115"/>
      <c r="Q39" s="115"/>
      <c r="S39" s="115"/>
      <c r="T39" s="115"/>
      <c r="U39" s="115"/>
      <c r="V39" s="115"/>
      <c r="W39" s="115"/>
    </row>
    <row r="40" spans="1:23">
      <c r="A40" s="115"/>
      <c r="B40" s="115"/>
      <c r="C40" s="115"/>
      <c r="D40" s="115"/>
      <c r="E40" s="115"/>
      <c r="F40" s="115"/>
      <c r="G40" s="115"/>
      <c r="H40" s="115"/>
      <c r="I40" s="115"/>
      <c r="J40" s="115"/>
      <c r="K40" s="115"/>
      <c r="L40" s="115"/>
      <c r="M40" s="115"/>
      <c r="N40" s="115"/>
      <c r="O40" s="115"/>
      <c r="P40" s="115"/>
      <c r="Q40" s="115"/>
      <c r="S40" s="115"/>
      <c r="T40" s="115"/>
      <c r="U40" s="115"/>
      <c r="V40" s="115"/>
      <c r="W40" s="115"/>
    </row>
    <row r="41" spans="1:23">
      <c r="A41" s="115"/>
      <c r="B41" s="115"/>
      <c r="C41" s="115"/>
      <c r="D41" s="115"/>
      <c r="E41" s="115"/>
      <c r="F41" s="115"/>
      <c r="G41" s="115"/>
      <c r="H41" s="115"/>
      <c r="I41" s="115"/>
      <c r="J41" s="115"/>
      <c r="K41" s="115"/>
      <c r="L41" s="115"/>
      <c r="M41" s="115"/>
      <c r="N41" s="115"/>
      <c r="O41" s="115"/>
      <c r="P41" s="115"/>
      <c r="Q41" s="115"/>
      <c r="S41" s="115"/>
      <c r="T41" s="115"/>
      <c r="U41" s="115"/>
      <c r="V41" s="115"/>
      <c r="W41" s="115"/>
    </row>
    <row r="42" spans="1:23">
      <c r="A42" s="115"/>
      <c r="B42" s="115"/>
      <c r="C42" s="115"/>
      <c r="D42" s="115"/>
      <c r="E42" s="115"/>
      <c r="F42" s="115"/>
      <c r="G42" s="115"/>
      <c r="H42" s="115"/>
      <c r="I42" s="115"/>
      <c r="J42" s="115"/>
      <c r="K42" s="115"/>
      <c r="L42" s="115"/>
      <c r="M42" s="115"/>
      <c r="N42" s="115"/>
      <c r="O42" s="115"/>
      <c r="P42" s="115"/>
      <c r="Q42" s="115"/>
      <c r="S42" s="115"/>
      <c r="T42" s="115"/>
      <c r="U42" s="115"/>
      <c r="V42" s="115"/>
      <c r="W42" s="115"/>
    </row>
    <row r="43" spans="1:23">
      <c r="A43" s="115"/>
      <c r="B43" s="115"/>
      <c r="C43" s="115"/>
      <c r="D43" s="115"/>
      <c r="E43" s="115"/>
      <c r="F43" s="115"/>
      <c r="G43" s="115"/>
      <c r="H43" s="115"/>
      <c r="I43" s="115"/>
      <c r="J43" s="115"/>
      <c r="K43" s="115"/>
      <c r="L43" s="115"/>
      <c r="M43" s="115"/>
      <c r="N43" s="115"/>
      <c r="O43" s="115"/>
      <c r="P43" s="115"/>
      <c r="Q43" s="115"/>
      <c r="S43" s="115"/>
      <c r="T43" s="115"/>
      <c r="U43" s="115"/>
      <c r="V43" s="115"/>
      <c r="W43" s="115"/>
    </row>
    <row r="44" spans="1:23">
      <c r="A44" s="115"/>
      <c r="B44" s="115"/>
      <c r="C44" s="115"/>
      <c r="D44" s="115"/>
      <c r="E44" s="115"/>
      <c r="F44" s="115"/>
      <c r="G44" s="115"/>
      <c r="H44" s="115"/>
      <c r="I44" s="115"/>
      <c r="J44" s="115"/>
      <c r="K44" s="115"/>
      <c r="L44" s="115"/>
      <c r="M44" s="115"/>
      <c r="N44" s="115"/>
      <c r="O44" s="115"/>
      <c r="P44" s="115"/>
      <c r="Q44" s="115"/>
      <c r="S44" s="115"/>
      <c r="T44" s="115"/>
      <c r="U44" s="115"/>
      <c r="V44" s="115"/>
      <c r="W44" s="115"/>
    </row>
    <row r="45" spans="1:23">
      <c r="A45" s="115"/>
      <c r="B45" s="115"/>
      <c r="C45" s="115"/>
      <c r="D45" s="115"/>
      <c r="E45" s="115"/>
      <c r="F45" s="115"/>
      <c r="G45" s="115"/>
      <c r="H45" s="115"/>
      <c r="I45" s="115"/>
      <c r="J45" s="115"/>
      <c r="K45" s="115"/>
      <c r="L45" s="115"/>
      <c r="M45" s="115"/>
      <c r="N45" s="115"/>
      <c r="O45" s="115"/>
      <c r="P45" s="115"/>
      <c r="Q45" s="115"/>
      <c r="S45" s="115"/>
      <c r="T45" s="115"/>
      <c r="U45" s="115"/>
      <c r="V45" s="115"/>
      <c r="W45" s="115"/>
    </row>
    <row r="46" spans="1:23">
      <c r="A46" s="115"/>
      <c r="B46" s="115"/>
      <c r="C46" s="115"/>
      <c r="D46" s="115"/>
      <c r="E46" s="115"/>
      <c r="F46" s="115"/>
      <c r="G46" s="115"/>
      <c r="H46" s="115"/>
      <c r="I46" s="115"/>
      <c r="J46" s="115"/>
      <c r="K46" s="115"/>
      <c r="L46" s="115"/>
      <c r="M46" s="115"/>
      <c r="N46" s="115"/>
      <c r="O46" s="115"/>
      <c r="P46" s="115"/>
      <c r="Q46" s="115"/>
      <c r="S46" s="115"/>
      <c r="T46" s="115"/>
      <c r="U46" s="115"/>
      <c r="V46" s="115"/>
      <c r="W46" s="115"/>
    </row>
    <row r="47" spans="1:23">
      <c r="A47" s="115"/>
      <c r="B47" s="115"/>
      <c r="C47" s="115"/>
      <c r="D47" s="115"/>
      <c r="E47" s="115"/>
      <c r="F47" s="115"/>
      <c r="G47" s="115"/>
      <c r="H47" s="115"/>
      <c r="I47" s="115"/>
      <c r="J47" s="115"/>
      <c r="K47" s="115"/>
      <c r="L47" s="115"/>
      <c r="M47" s="115"/>
      <c r="N47" s="115"/>
      <c r="O47" s="115"/>
      <c r="P47" s="115"/>
      <c r="Q47" s="115"/>
      <c r="S47" s="115"/>
      <c r="T47" s="115"/>
      <c r="U47" s="115"/>
      <c r="V47" s="115"/>
      <c r="W47" s="115"/>
    </row>
    <row r="48" spans="1:23">
      <c r="A48" s="115"/>
      <c r="B48" s="115"/>
      <c r="C48" s="115"/>
      <c r="D48" s="115"/>
      <c r="E48" s="115"/>
      <c r="F48" s="115"/>
      <c r="G48" s="115"/>
      <c r="H48" s="115"/>
      <c r="I48" s="115"/>
      <c r="J48" s="115"/>
      <c r="K48" s="115"/>
      <c r="L48" s="115"/>
      <c r="M48" s="115"/>
      <c r="N48" s="115"/>
      <c r="O48" s="115"/>
      <c r="P48" s="115"/>
      <c r="Q48" s="115"/>
      <c r="S48" s="115"/>
      <c r="T48" s="115"/>
      <c r="U48" s="115"/>
      <c r="V48" s="115"/>
      <c r="W48" s="115"/>
    </row>
    <row r="49" spans="1:23">
      <c r="A49" s="115"/>
      <c r="B49" s="115"/>
      <c r="C49" s="115"/>
      <c r="D49" s="115"/>
      <c r="E49" s="115"/>
      <c r="F49" s="115"/>
      <c r="G49" s="115"/>
      <c r="H49" s="115"/>
      <c r="I49" s="115"/>
      <c r="J49" s="115"/>
      <c r="K49" s="115"/>
      <c r="L49" s="115"/>
      <c r="M49" s="115"/>
      <c r="N49" s="115"/>
      <c r="O49" s="115"/>
      <c r="P49" s="115"/>
      <c r="Q49" s="115"/>
      <c r="S49" s="115"/>
      <c r="T49" s="115"/>
      <c r="U49" s="115"/>
      <c r="V49" s="115"/>
      <c r="W49" s="115"/>
    </row>
    <row r="50" spans="1:23">
      <c r="A50" s="115"/>
      <c r="B50" s="115"/>
      <c r="C50" s="115"/>
      <c r="D50" s="115"/>
      <c r="E50" s="115"/>
      <c r="F50" s="115"/>
      <c r="G50" s="115"/>
      <c r="H50" s="115"/>
      <c r="I50" s="115"/>
      <c r="J50" s="115"/>
      <c r="K50" s="115"/>
      <c r="L50" s="115"/>
      <c r="M50" s="115"/>
      <c r="N50" s="115"/>
      <c r="O50" s="115"/>
      <c r="P50" s="115"/>
      <c r="Q50" s="115"/>
      <c r="S50" s="115"/>
      <c r="T50" s="115"/>
      <c r="U50" s="115"/>
      <c r="V50" s="115"/>
      <c r="W50" s="115"/>
    </row>
    <row r="51" spans="1:23">
      <c r="A51" s="115"/>
      <c r="B51" s="115"/>
      <c r="C51" s="115"/>
      <c r="D51" s="115"/>
      <c r="E51" s="115"/>
      <c r="F51" s="115"/>
      <c r="G51" s="115"/>
      <c r="H51" s="115"/>
      <c r="I51" s="115"/>
      <c r="J51" s="115"/>
      <c r="K51" s="115"/>
      <c r="L51" s="115"/>
      <c r="M51" s="115"/>
      <c r="N51" s="115"/>
      <c r="O51" s="115"/>
      <c r="P51" s="115"/>
      <c r="Q51" s="115"/>
      <c r="S51" s="115"/>
      <c r="T51" s="115"/>
      <c r="U51" s="115"/>
      <c r="V51" s="115"/>
      <c r="W51" s="115"/>
    </row>
    <row r="52" spans="1:23">
      <c r="A52" s="115"/>
      <c r="B52" s="115"/>
      <c r="C52" s="115"/>
      <c r="D52" s="115"/>
      <c r="E52" s="115"/>
      <c r="F52" s="115"/>
      <c r="G52" s="115"/>
      <c r="H52" s="115"/>
      <c r="I52" s="115"/>
      <c r="J52" s="115"/>
      <c r="K52" s="115"/>
      <c r="L52" s="115"/>
      <c r="M52" s="115"/>
      <c r="N52" s="115"/>
      <c r="O52" s="115"/>
      <c r="P52" s="115"/>
      <c r="Q52" s="115"/>
      <c r="S52" s="115"/>
      <c r="T52" s="115"/>
      <c r="U52" s="115"/>
      <c r="V52" s="115"/>
      <c r="W52" s="115"/>
    </row>
    <row r="53" spans="1:23">
      <c r="A53" s="115"/>
      <c r="B53" s="115"/>
      <c r="C53" s="115"/>
      <c r="D53" s="115"/>
      <c r="E53" s="115"/>
      <c r="F53" s="115"/>
      <c r="G53" s="115"/>
      <c r="H53" s="115"/>
      <c r="I53" s="115"/>
      <c r="J53" s="115"/>
      <c r="K53" s="115"/>
      <c r="L53" s="115"/>
      <c r="M53" s="115"/>
      <c r="N53" s="115"/>
      <c r="O53" s="115"/>
      <c r="P53" s="115"/>
      <c r="Q53" s="115"/>
      <c r="S53" s="115"/>
      <c r="T53" s="115"/>
      <c r="U53" s="115"/>
      <c r="V53" s="115"/>
      <c r="W53" s="115"/>
    </row>
    <row r="54" spans="1:23">
      <c r="A54" s="115"/>
      <c r="B54" s="115"/>
      <c r="C54" s="115"/>
      <c r="D54" s="115"/>
      <c r="E54" s="115"/>
      <c r="F54" s="115"/>
      <c r="G54" s="115"/>
      <c r="H54" s="115"/>
      <c r="I54" s="115"/>
      <c r="J54" s="115"/>
      <c r="K54" s="115"/>
      <c r="L54" s="115"/>
      <c r="M54" s="115"/>
      <c r="N54" s="115"/>
      <c r="O54" s="115"/>
      <c r="P54" s="115"/>
      <c r="Q54" s="115"/>
      <c r="S54" s="115"/>
      <c r="T54" s="115"/>
      <c r="U54" s="115"/>
      <c r="V54" s="115"/>
      <c r="W54" s="115"/>
    </row>
    <row r="55" spans="1:23">
      <c r="A55" s="115"/>
      <c r="B55" s="115"/>
      <c r="C55" s="115"/>
      <c r="D55" s="115"/>
      <c r="E55" s="115"/>
      <c r="F55" s="115"/>
      <c r="G55" s="115"/>
      <c r="H55" s="115"/>
      <c r="I55" s="115"/>
      <c r="J55" s="115"/>
      <c r="K55" s="115"/>
      <c r="L55" s="115"/>
      <c r="M55" s="115"/>
      <c r="N55" s="115"/>
      <c r="O55" s="115"/>
      <c r="P55" s="115"/>
      <c r="Q55" s="115"/>
      <c r="S55" s="115"/>
      <c r="T55" s="115"/>
      <c r="U55" s="115"/>
      <c r="V55" s="115"/>
      <c r="W55" s="115"/>
    </row>
    <row r="56" spans="1:23">
      <c r="A56" s="115"/>
      <c r="B56" s="115"/>
      <c r="C56" s="115"/>
      <c r="D56" s="115"/>
      <c r="E56" s="115"/>
      <c r="F56" s="115"/>
      <c r="G56" s="115"/>
      <c r="H56" s="115"/>
      <c r="I56" s="115"/>
      <c r="J56" s="115"/>
      <c r="K56" s="115"/>
      <c r="L56" s="115"/>
      <c r="M56" s="115"/>
      <c r="N56" s="115"/>
      <c r="O56" s="115"/>
      <c r="P56" s="115"/>
      <c r="Q56" s="115"/>
      <c r="S56" s="115"/>
      <c r="T56" s="115"/>
      <c r="U56" s="115"/>
      <c r="V56" s="115"/>
      <c r="W56" s="115"/>
    </row>
    <row r="57" spans="1:23">
      <c r="A57" s="115"/>
      <c r="B57" s="115"/>
      <c r="C57" s="115"/>
      <c r="D57" s="115"/>
      <c r="E57" s="115"/>
      <c r="F57" s="115"/>
      <c r="G57" s="115"/>
      <c r="H57" s="115"/>
      <c r="I57" s="115"/>
      <c r="J57" s="115"/>
      <c r="K57" s="115"/>
      <c r="L57" s="115"/>
      <c r="M57" s="115"/>
      <c r="N57" s="115"/>
      <c r="O57" s="115"/>
      <c r="P57" s="115"/>
      <c r="Q57" s="115"/>
      <c r="S57" s="115"/>
      <c r="T57" s="115"/>
      <c r="U57" s="115"/>
      <c r="V57" s="115"/>
      <c r="W57" s="115"/>
    </row>
    <row r="58" spans="1:23">
      <c r="A58" s="115"/>
      <c r="B58" s="115"/>
      <c r="C58" s="115"/>
      <c r="D58" s="115"/>
      <c r="E58" s="115"/>
      <c r="F58" s="115"/>
      <c r="G58" s="115"/>
      <c r="H58" s="115"/>
      <c r="I58" s="115"/>
      <c r="J58" s="115"/>
      <c r="K58" s="115"/>
      <c r="L58" s="115"/>
      <c r="M58" s="115"/>
      <c r="N58" s="115"/>
      <c r="O58" s="115"/>
      <c r="P58" s="115"/>
      <c r="Q58" s="115"/>
      <c r="S58" s="115"/>
      <c r="T58" s="115"/>
      <c r="U58" s="115"/>
      <c r="V58" s="115"/>
      <c r="W58" s="115"/>
    </row>
    <row r="59" spans="1:23">
      <c r="A59" s="115"/>
      <c r="B59" s="115"/>
      <c r="C59" s="115"/>
      <c r="D59" s="115"/>
      <c r="E59" s="115"/>
      <c r="F59" s="115"/>
      <c r="G59" s="115"/>
      <c r="H59" s="115"/>
      <c r="I59" s="115"/>
      <c r="J59" s="115"/>
      <c r="K59" s="115"/>
      <c r="L59" s="115"/>
      <c r="M59" s="115"/>
      <c r="N59" s="115"/>
      <c r="O59" s="115"/>
      <c r="P59" s="115"/>
      <c r="Q59" s="115"/>
      <c r="S59" s="115"/>
      <c r="T59" s="115"/>
      <c r="U59" s="115"/>
      <c r="V59" s="115"/>
      <c r="W59" s="115"/>
    </row>
    <row r="60" spans="1:23">
      <c r="A60" s="115"/>
      <c r="B60" s="115"/>
      <c r="C60" s="115"/>
      <c r="D60" s="115"/>
      <c r="E60" s="115"/>
      <c r="F60" s="115"/>
      <c r="G60" s="115"/>
      <c r="H60" s="115"/>
      <c r="I60" s="115"/>
      <c r="J60" s="115"/>
      <c r="K60" s="115"/>
      <c r="L60" s="115"/>
      <c r="M60" s="115"/>
      <c r="N60" s="115"/>
      <c r="O60" s="115"/>
      <c r="P60" s="115"/>
      <c r="Q60" s="115"/>
      <c r="S60" s="115"/>
      <c r="T60" s="115"/>
      <c r="U60" s="115"/>
      <c r="V60" s="115"/>
      <c r="W60" s="115"/>
    </row>
    <row r="61" spans="1:23">
      <c r="A61" s="115"/>
      <c r="B61" s="115"/>
      <c r="C61" s="115"/>
      <c r="D61" s="115"/>
      <c r="E61" s="115"/>
      <c r="F61" s="115"/>
      <c r="G61" s="115"/>
      <c r="H61" s="115"/>
      <c r="I61" s="115"/>
      <c r="J61" s="115"/>
      <c r="K61" s="115"/>
      <c r="L61" s="115"/>
      <c r="M61" s="115"/>
      <c r="N61" s="115"/>
      <c r="O61" s="115"/>
      <c r="P61" s="115"/>
      <c r="Q61" s="115"/>
      <c r="S61" s="115"/>
      <c r="T61" s="115"/>
      <c r="U61" s="115"/>
      <c r="V61" s="115"/>
      <c r="W61" s="115"/>
    </row>
    <row r="62" spans="1:23">
      <c r="A62" s="115"/>
      <c r="B62" s="115"/>
      <c r="C62" s="115"/>
      <c r="D62" s="115"/>
      <c r="E62" s="115"/>
      <c r="F62" s="115"/>
      <c r="G62" s="115"/>
      <c r="H62" s="115"/>
      <c r="I62" s="115"/>
      <c r="J62" s="115"/>
      <c r="K62" s="115"/>
      <c r="L62" s="115"/>
      <c r="M62" s="115"/>
      <c r="N62" s="115"/>
      <c r="O62" s="115"/>
      <c r="P62" s="115"/>
      <c r="Q62" s="115"/>
      <c r="S62" s="115"/>
      <c r="T62" s="115"/>
      <c r="U62" s="115"/>
      <c r="V62" s="115"/>
      <c r="W62" s="115"/>
    </row>
    <row r="63" spans="1:23">
      <c r="A63" s="115"/>
      <c r="B63" s="115"/>
      <c r="C63" s="115"/>
      <c r="D63" s="115"/>
      <c r="E63" s="115"/>
      <c r="F63" s="115"/>
      <c r="G63" s="115"/>
      <c r="H63" s="115"/>
      <c r="I63" s="115"/>
      <c r="J63" s="115"/>
      <c r="K63" s="115"/>
      <c r="L63" s="115"/>
      <c r="M63" s="115"/>
      <c r="N63" s="115"/>
      <c r="O63" s="115"/>
      <c r="P63" s="115"/>
      <c r="Q63" s="115"/>
      <c r="S63" s="115"/>
      <c r="T63" s="115"/>
      <c r="U63" s="115"/>
      <c r="V63" s="115"/>
      <c r="W63" s="115"/>
    </row>
    <row r="64" spans="1:23">
      <c r="A64" s="115"/>
      <c r="B64" s="115"/>
      <c r="C64" s="115"/>
      <c r="D64" s="115"/>
      <c r="E64" s="115"/>
      <c r="F64" s="115"/>
      <c r="G64" s="115"/>
      <c r="H64" s="115"/>
      <c r="I64" s="115"/>
      <c r="J64" s="115"/>
      <c r="K64" s="115"/>
      <c r="L64" s="115"/>
      <c r="M64" s="115"/>
      <c r="N64" s="115"/>
      <c r="O64" s="115"/>
      <c r="P64" s="115"/>
      <c r="Q64" s="115"/>
      <c r="S64" s="115"/>
      <c r="T64" s="115"/>
      <c r="U64" s="115"/>
      <c r="V64" s="115"/>
      <c r="W64" s="115"/>
    </row>
    <row r="65" spans="1:23">
      <c r="A65" s="115"/>
      <c r="B65" s="115"/>
      <c r="C65" s="115"/>
      <c r="D65" s="115"/>
      <c r="E65" s="115"/>
      <c r="F65" s="115"/>
      <c r="G65" s="115"/>
      <c r="H65" s="115"/>
      <c r="I65" s="115"/>
      <c r="J65" s="115"/>
      <c r="K65" s="115"/>
      <c r="L65" s="115"/>
      <c r="M65" s="115"/>
      <c r="N65" s="115"/>
      <c r="O65" s="115"/>
      <c r="P65" s="115"/>
      <c r="Q65" s="115"/>
      <c r="S65" s="115"/>
      <c r="T65" s="115"/>
      <c r="U65" s="115"/>
      <c r="V65" s="115"/>
      <c r="W65" s="115"/>
    </row>
    <row r="66" spans="1:23">
      <c r="A66" s="115"/>
      <c r="B66" s="115"/>
      <c r="C66" s="115"/>
      <c r="D66" s="115"/>
      <c r="E66" s="115"/>
      <c r="F66" s="115"/>
      <c r="G66" s="115"/>
      <c r="H66" s="115"/>
      <c r="I66" s="115"/>
      <c r="J66" s="115"/>
      <c r="K66" s="115"/>
      <c r="L66" s="115"/>
      <c r="M66" s="115"/>
      <c r="N66" s="115"/>
      <c r="O66" s="115"/>
      <c r="P66" s="115"/>
      <c r="Q66" s="115"/>
      <c r="S66" s="115"/>
      <c r="T66" s="115"/>
      <c r="U66" s="115"/>
      <c r="V66" s="115"/>
      <c r="W66" s="115"/>
    </row>
    <row r="67" spans="1:23">
      <c r="A67" s="115"/>
      <c r="B67" s="115"/>
      <c r="C67" s="115"/>
      <c r="D67" s="115"/>
      <c r="E67" s="115"/>
      <c r="F67" s="115"/>
      <c r="G67" s="115"/>
      <c r="H67" s="115"/>
      <c r="I67" s="115"/>
      <c r="J67" s="115"/>
      <c r="K67" s="115"/>
      <c r="L67" s="115"/>
      <c r="M67" s="115"/>
      <c r="N67" s="115"/>
      <c r="O67" s="115"/>
      <c r="P67" s="115"/>
      <c r="Q67" s="115"/>
      <c r="S67" s="115"/>
      <c r="T67" s="115"/>
      <c r="U67" s="115"/>
      <c r="V67" s="115"/>
      <c r="W67" s="115"/>
    </row>
  </sheetData>
  <sheetProtection selectLockedCells="1" selectUnlockedCells="1"/>
  <mergeCells count="8">
    <mergeCell ref="A16:C16"/>
    <mergeCell ref="A15:C15"/>
    <mergeCell ref="A8:D8"/>
    <mergeCell ref="A9:D10"/>
    <mergeCell ref="A11:C11"/>
    <mergeCell ref="A12:C12"/>
    <mergeCell ref="A13:C13"/>
    <mergeCell ref="A14:C14"/>
  </mergeCells>
  <conditionalFormatting sqref="A17:D41 A1:D7 A42:Q67 S1:W67 E1:P41">
    <cfRule type="expression" dxfId="31" priority="2" stopIfTrue="1">
      <formula>$M$30</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98305" r:id="rId4" name="Button 1">
              <controlPr defaultSize="0" print="0" autoFill="0" autoPict="0" macro="[0]!go_figures_inflation_income_rates">
                <anchor moveWithCells="1" sizeWithCells="1">
                  <from>
                    <xdr:col>0</xdr:col>
                    <xdr:colOff>88900</xdr:colOff>
                    <xdr:row>3</xdr:row>
                    <xdr:rowOff>57150</xdr:rowOff>
                  </from>
                  <to>
                    <xdr:col>0</xdr:col>
                    <xdr:colOff>1460500</xdr:colOff>
                    <xdr:row>6</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4"/>
  <dimension ref="A1:IV74"/>
  <sheetViews>
    <sheetView showGridLines="0" showRowColHeaders="0" zoomScale="95" zoomScaleNormal="95" workbookViewId="0">
      <selection activeCell="G9" sqref="G9"/>
    </sheetView>
  </sheetViews>
  <sheetFormatPr defaultColWidth="10.90625" defaultRowHeight="12.5"/>
  <cols>
    <col min="1" max="1" width="23.1796875" customWidth="1"/>
    <col min="2" max="2" width="4.26953125" customWidth="1"/>
    <col min="3" max="4" width="4" customWidth="1"/>
    <col min="18" max="18" width="0" hidden="1" customWidth="1"/>
  </cols>
  <sheetData>
    <row r="1" spans="1:256" s="115" customFormat="1">
      <c r="R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s="115" customFormat="1">
      <c r="R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row>
    <row r="3" spans="1:256" s="115" customFormat="1">
      <c r="R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row>
    <row r="4" spans="1:256" s="115" customFormat="1">
      <c r="R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row>
    <row r="5" spans="1:256" s="115" customFormat="1">
      <c r="R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row>
    <row r="6" spans="1:256" s="115" customFormat="1">
      <c r="R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row>
    <row r="7" spans="1:256" s="115" customFormat="1">
      <c r="R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row>
    <row r="8" spans="1:256" s="115" customFormat="1">
      <c r="R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row>
    <row r="9" spans="1:256" s="115" customFormat="1">
      <c r="R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row>
    <row r="10" spans="1:256" s="115" customFormat="1">
      <c r="R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row>
    <row r="11" spans="1:256" s="115" customFormat="1">
      <c r="R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row>
    <row r="12" spans="1:256" s="115" customFormat="1">
      <c r="R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s="115" customFormat="1">
      <c r="R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s="115" customFormat="1" ht="13" thickBot="1">
      <c r="R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4" thickTop="1" thickBot="1">
      <c r="A15" s="627" t="s">
        <v>123</v>
      </c>
      <c r="B15" s="628"/>
      <c r="C15" s="628"/>
      <c r="D15" s="629"/>
      <c r="E15" s="115"/>
      <c r="F15" s="115"/>
      <c r="G15" s="115"/>
      <c r="H15" s="115"/>
      <c r="I15" s="115"/>
      <c r="J15" s="115"/>
      <c r="K15" s="115"/>
      <c r="L15" s="115"/>
      <c r="M15" s="115"/>
      <c r="N15" s="115"/>
      <c r="O15" s="115"/>
      <c r="P15" s="115"/>
      <c r="Q15" s="115"/>
      <c r="S15" s="115"/>
      <c r="T15" s="115"/>
      <c r="U15" s="115"/>
      <c r="V15" s="115"/>
      <c r="W15" s="115"/>
    </row>
    <row r="16" spans="1:256" ht="13" thickTop="1">
      <c r="A16" s="630" t="str">
        <f>'main page'!A2</f>
        <v>Main page-Closed economy</v>
      </c>
      <c r="B16" s="631"/>
      <c r="C16" s="631"/>
      <c r="D16" s="632"/>
      <c r="E16" s="115"/>
      <c r="F16" s="115"/>
      <c r="G16" s="115"/>
      <c r="H16" s="115"/>
      <c r="I16" s="115"/>
      <c r="J16" s="115"/>
      <c r="K16" s="115"/>
      <c r="L16" s="115"/>
      <c r="M16" s="115"/>
      <c r="N16" s="115"/>
      <c r="O16" s="115"/>
      <c r="P16" s="115"/>
      <c r="Q16" s="115"/>
      <c r="S16" s="115"/>
      <c r="T16" s="115"/>
      <c r="U16" s="115"/>
      <c r="V16" s="115"/>
      <c r="W16" s="115"/>
    </row>
    <row r="17" spans="1:23">
      <c r="A17" s="633"/>
      <c r="B17" s="634"/>
      <c r="C17" s="634"/>
      <c r="D17" s="635"/>
      <c r="E17" s="115"/>
      <c r="F17" s="115"/>
      <c r="G17" s="115"/>
      <c r="H17" s="115"/>
      <c r="I17" s="115"/>
      <c r="J17" s="115"/>
      <c r="K17" s="115"/>
      <c r="L17" s="115"/>
      <c r="M17" s="115"/>
      <c r="N17" s="115"/>
      <c r="O17" s="115"/>
      <c r="P17" s="115"/>
      <c r="Q17" s="115"/>
      <c r="S17" s="115"/>
      <c r="T17" s="115"/>
      <c r="U17" s="115"/>
      <c r="V17" s="115"/>
      <c r="W17" s="115"/>
    </row>
    <row r="18" spans="1:23" ht="13">
      <c r="A18" s="636" t="s">
        <v>101</v>
      </c>
      <c r="B18" s="622"/>
      <c r="C18" s="623"/>
      <c r="D18" s="243" t="str">
        <f>IF('main page'!$G$8="","no","yes")</f>
        <v>yes</v>
      </c>
      <c r="E18" s="115"/>
      <c r="F18" s="115"/>
      <c r="G18" s="115"/>
      <c r="H18" s="115"/>
      <c r="I18" s="115"/>
      <c r="J18" s="115"/>
      <c r="K18" s="115"/>
      <c r="L18" s="115"/>
      <c r="M18" s="115"/>
      <c r="N18" s="115"/>
      <c r="O18" s="115"/>
      <c r="P18" s="115"/>
      <c r="Q18" s="115"/>
      <c r="S18" s="115"/>
      <c r="T18" s="115"/>
      <c r="U18" s="115"/>
      <c r="V18" s="115"/>
      <c r="W18" s="115"/>
    </row>
    <row r="19" spans="1:23" ht="13">
      <c r="A19" s="636" t="s">
        <v>100</v>
      </c>
      <c r="B19" s="622"/>
      <c r="C19" s="623"/>
      <c r="D19" s="243" t="str">
        <f>IF('main page'!$K$8="","no","yes")</f>
        <v>no</v>
      </c>
      <c r="E19" s="115"/>
      <c r="F19" s="115"/>
      <c r="G19" s="115"/>
      <c r="H19" s="115"/>
      <c r="I19" s="115"/>
      <c r="J19" s="115"/>
      <c r="K19" s="115"/>
      <c r="L19" s="115"/>
      <c r="M19" s="115"/>
      <c r="N19" s="115"/>
      <c r="O19" s="115"/>
      <c r="P19" s="115"/>
      <c r="Q19" s="115"/>
      <c r="S19" s="115"/>
      <c r="T19" s="115"/>
      <c r="U19" s="115"/>
      <c r="V19" s="115"/>
      <c r="W19" s="115"/>
    </row>
    <row r="20" spans="1:23" ht="13">
      <c r="A20" s="636" t="s">
        <v>184</v>
      </c>
      <c r="B20" s="622"/>
      <c r="C20" s="623"/>
      <c r="D20" s="244" t="str">
        <f>IF(controls!$B$4=2,"no",IF('main page'!$H$16="","no","yes"))</f>
        <v>no</v>
      </c>
      <c r="E20" s="115"/>
      <c r="F20" s="115"/>
      <c r="G20" s="115"/>
      <c r="H20" s="115"/>
      <c r="I20" s="115"/>
      <c r="J20" s="115"/>
      <c r="K20" s="115"/>
      <c r="L20" s="115"/>
      <c r="M20" s="115"/>
      <c r="N20" s="115"/>
      <c r="O20" s="115"/>
      <c r="P20" s="115"/>
      <c r="Q20" s="115"/>
      <c r="S20" s="115"/>
      <c r="T20" s="115"/>
      <c r="U20" s="115"/>
      <c r="V20" s="115"/>
      <c r="W20" s="115"/>
    </row>
    <row r="21" spans="1:23" ht="13">
      <c r="A21" s="636" t="s">
        <v>102</v>
      </c>
      <c r="B21" s="622"/>
      <c r="C21" s="623"/>
      <c r="D21" s="244" t="str">
        <f>IF(controls!$B$8=FALSE,"no",IF(controls!$B$8=TRUE,"yes",""))</f>
        <v>no</v>
      </c>
      <c r="E21" s="115"/>
      <c r="F21" s="115"/>
      <c r="G21" s="115"/>
      <c r="H21" s="115"/>
      <c r="I21" s="115"/>
      <c r="J21" s="115"/>
      <c r="K21" s="115"/>
      <c r="L21" s="115"/>
      <c r="M21" s="115"/>
      <c r="N21" s="115"/>
      <c r="O21" s="115"/>
      <c r="P21" s="115"/>
      <c r="Q21" s="115"/>
      <c r="S21" s="115"/>
      <c r="T21" s="115"/>
      <c r="U21" s="115"/>
      <c r="V21" s="115"/>
      <c r="W21" s="115"/>
    </row>
    <row r="22" spans="1:23" ht="13">
      <c r="A22" s="624" t="str">
        <f>IF('main page'!S43=1,"","Stabilization fiscal measure")</f>
        <v>Stabilization fiscal measure</v>
      </c>
      <c r="B22" s="625"/>
      <c r="C22" s="626"/>
      <c r="D22" s="244" t="str">
        <f>IF('main page'!S43=1,"",IF('main page'!$U$22="","no","yes"))</f>
        <v>no</v>
      </c>
      <c r="E22" s="115"/>
      <c r="F22" s="115"/>
      <c r="G22" s="115"/>
      <c r="H22" s="115"/>
      <c r="I22" s="115"/>
      <c r="J22" s="115"/>
      <c r="K22" s="115"/>
      <c r="L22" s="115"/>
      <c r="M22" s="115"/>
      <c r="N22" s="115"/>
      <c r="O22" s="115"/>
      <c r="P22" s="115"/>
      <c r="Q22" s="115"/>
      <c r="S22" s="115"/>
      <c r="T22" s="115"/>
      <c r="U22" s="115"/>
      <c r="V22" s="115"/>
      <c r="W22" s="115"/>
    </row>
    <row r="23" spans="1:23" ht="13">
      <c r="A23" s="624" t="str">
        <f>IF(controls!B44=0,"Hysteresis","")</f>
        <v>Hysteresis</v>
      </c>
      <c r="B23" s="625"/>
      <c r="C23" s="626"/>
      <c r="D23" s="244" t="str">
        <f>IF(controls!B44=0,IF($B$38=1,"yes","no"),"")</f>
        <v>no</v>
      </c>
      <c r="E23" s="115"/>
      <c r="F23" s="115"/>
      <c r="G23" s="115"/>
      <c r="H23" s="115"/>
      <c r="I23" s="115"/>
      <c r="J23" s="115"/>
      <c r="K23" s="115"/>
      <c r="L23" s="115"/>
      <c r="M23" s="115"/>
      <c r="N23" s="115"/>
      <c r="O23" s="115"/>
      <c r="P23" s="115"/>
      <c r="Q23" s="115"/>
      <c r="S23" s="115"/>
      <c r="T23" s="115"/>
      <c r="U23" s="115"/>
      <c r="V23" s="115"/>
      <c r="W23" s="115"/>
    </row>
    <row r="24" spans="1:23">
      <c r="A24" s="115"/>
      <c r="B24" s="115"/>
      <c r="C24" s="115"/>
      <c r="D24" s="115"/>
      <c r="E24" s="115"/>
      <c r="F24" s="115"/>
      <c r="G24" s="115"/>
      <c r="H24" s="115"/>
      <c r="I24" s="115"/>
      <c r="J24" s="115"/>
      <c r="K24" s="115"/>
      <c r="L24" s="115"/>
      <c r="M24" s="115"/>
      <c r="N24" s="115"/>
      <c r="O24" s="115"/>
      <c r="P24" s="115"/>
      <c r="Q24" s="115"/>
      <c r="S24" s="115"/>
      <c r="T24" s="115"/>
      <c r="U24" s="115"/>
      <c r="V24" s="115"/>
      <c r="W24" s="115"/>
    </row>
    <row r="25" spans="1:23">
      <c r="A25" s="115"/>
      <c r="B25" s="115"/>
      <c r="C25" s="115"/>
      <c r="D25" s="115"/>
      <c r="E25" s="115"/>
      <c r="F25" s="115"/>
      <c r="G25" s="115"/>
      <c r="H25" s="115"/>
      <c r="I25" s="115"/>
      <c r="J25" s="115"/>
      <c r="K25" s="115"/>
      <c r="L25" s="115"/>
      <c r="M25" s="115"/>
      <c r="N25" s="115"/>
      <c r="O25" s="115"/>
      <c r="P25" s="115"/>
      <c r="Q25" s="115"/>
      <c r="S25" s="115"/>
      <c r="T25" s="115"/>
      <c r="U25" s="115"/>
      <c r="V25" s="115"/>
      <c r="W25" s="115"/>
    </row>
    <row r="26" spans="1:23">
      <c r="A26" s="115"/>
      <c r="B26" s="115"/>
      <c r="C26" s="115"/>
      <c r="D26" s="115"/>
      <c r="E26" s="115"/>
      <c r="F26" s="115"/>
      <c r="G26" s="115"/>
      <c r="H26" s="115"/>
      <c r="I26" s="115"/>
      <c r="J26" s="115"/>
      <c r="K26" s="115"/>
      <c r="L26" s="115"/>
      <c r="M26" s="115"/>
      <c r="N26" s="115"/>
      <c r="O26" s="115"/>
      <c r="P26" s="115"/>
      <c r="Q26" s="115"/>
      <c r="S26" s="115"/>
      <c r="T26" s="115"/>
      <c r="U26" s="115"/>
      <c r="V26" s="115"/>
      <c r="W26" s="115"/>
    </row>
    <row r="27" spans="1:23">
      <c r="A27" s="115"/>
      <c r="B27" s="115"/>
      <c r="C27" s="115"/>
      <c r="D27" s="115"/>
      <c r="E27" s="115"/>
      <c r="F27" s="115"/>
      <c r="G27" s="115"/>
      <c r="H27" s="115"/>
      <c r="I27" s="115"/>
      <c r="J27" s="115"/>
      <c r="K27" s="115"/>
      <c r="L27" s="115"/>
      <c r="M27" s="115"/>
      <c r="N27" s="115"/>
      <c r="O27" s="115"/>
      <c r="P27" s="115"/>
      <c r="Q27" s="115"/>
      <c r="S27" s="115"/>
      <c r="T27" s="115"/>
      <c r="U27" s="115"/>
      <c r="V27" s="115"/>
      <c r="W27" s="115"/>
    </row>
    <row r="28" spans="1:23">
      <c r="A28" s="115"/>
      <c r="B28" s="115"/>
      <c r="C28" s="115"/>
      <c r="D28" s="115"/>
      <c r="E28" s="115"/>
      <c r="F28" s="115">
        <f>controls!B44</f>
        <v>0</v>
      </c>
      <c r="G28" s="115"/>
      <c r="H28" s="115"/>
      <c r="I28" s="115"/>
      <c r="J28" s="115"/>
      <c r="K28" s="115"/>
      <c r="L28" s="115"/>
      <c r="M28" s="115"/>
      <c r="N28" s="115"/>
      <c r="O28" s="115"/>
      <c r="P28" s="115"/>
      <c r="Q28" s="115"/>
      <c r="S28" s="115"/>
      <c r="T28" s="115"/>
      <c r="U28" s="115"/>
      <c r="V28" s="115"/>
      <c r="W28" s="115"/>
    </row>
    <row r="29" spans="1:23">
      <c r="A29" s="115"/>
      <c r="B29" s="115"/>
      <c r="C29" s="115"/>
      <c r="D29" s="115"/>
      <c r="E29" s="115"/>
      <c r="F29" s="115"/>
      <c r="G29" s="115"/>
      <c r="H29" s="115"/>
      <c r="I29" s="115"/>
      <c r="J29" s="115"/>
      <c r="K29" s="115"/>
      <c r="L29" s="115"/>
      <c r="M29" s="115"/>
      <c r="N29" s="115"/>
      <c r="O29" s="115"/>
      <c r="P29" s="115"/>
      <c r="Q29" s="115"/>
      <c r="S29" s="115"/>
      <c r="T29" s="115"/>
      <c r="U29" s="115"/>
      <c r="V29" s="115"/>
      <c r="W29" s="115"/>
    </row>
    <row r="30" spans="1:23">
      <c r="A30" s="115"/>
      <c r="B30" s="115"/>
      <c r="C30" s="115"/>
      <c r="D30" s="115"/>
      <c r="E30" s="115"/>
      <c r="F30" s="115"/>
      <c r="G30" s="115"/>
      <c r="H30" s="115"/>
      <c r="I30" s="115"/>
      <c r="J30" s="115"/>
      <c r="K30" s="115"/>
      <c r="L30" s="115"/>
      <c r="M30" s="115"/>
      <c r="N30" s="115"/>
      <c r="O30" s="115"/>
      <c r="P30" s="115"/>
      <c r="Q30" s="115"/>
      <c r="S30" s="115"/>
      <c r="T30" s="115"/>
      <c r="U30" s="115"/>
      <c r="V30" s="115"/>
      <c r="W30" s="115"/>
    </row>
    <row r="31" spans="1:23">
      <c r="A31" s="115"/>
      <c r="B31" s="115"/>
      <c r="C31" s="115"/>
      <c r="D31" s="115"/>
      <c r="E31" s="115"/>
      <c r="F31" s="115"/>
      <c r="G31" s="115"/>
      <c r="H31" s="115"/>
      <c r="I31" s="115"/>
      <c r="J31" s="115"/>
      <c r="K31" s="115"/>
      <c r="L31" s="115"/>
      <c r="M31" s="115"/>
      <c r="N31" s="115"/>
      <c r="O31" s="115"/>
      <c r="P31" s="115"/>
      <c r="Q31" s="115"/>
      <c r="S31" s="115"/>
      <c r="T31" s="115"/>
      <c r="U31" s="115"/>
      <c r="V31" s="115"/>
      <c r="W31" s="115"/>
    </row>
    <row r="32" spans="1:23">
      <c r="A32" s="115"/>
      <c r="B32" s="115"/>
      <c r="C32" s="115"/>
      <c r="D32" s="115"/>
      <c r="E32" s="115"/>
      <c r="F32" s="115"/>
      <c r="G32" s="393" t="s">
        <v>242</v>
      </c>
      <c r="H32" s="115"/>
      <c r="I32" s="115"/>
      <c r="J32" s="115"/>
      <c r="K32" s="115"/>
      <c r="L32" s="115"/>
      <c r="M32" s="115"/>
      <c r="N32" s="115"/>
      <c r="O32" s="115"/>
      <c r="P32" s="115"/>
      <c r="Q32" s="115"/>
      <c r="S32" s="115"/>
      <c r="T32" s="115"/>
      <c r="U32" s="115"/>
      <c r="V32" s="115"/>
      <c r="W32" s="115"/>
    </row>
    <row r="33" spans="1:23">
      <c r="A33" s="115"/>
      <c r="B33" s="115"/>
      <c r="C33" s="115"/>
      <c r="D33" s="115"/>
      <c r="E33" s="115"/>
      <c r="F33" s="115"/>
      <c r="G33" s="140" t="b">
        <v>0</v>
      </c>
      <c r="H33" s="115"/>
      <c r="I33" s="115"/>
      <c r="J33" s="115"/>
      <c r="K33" s="115"/>
      <c r="L33" s="115"/>
      <c r="M33" s="115"/>
      <c r="N33" s="115"/>
      <c r="O33" s="115"/>
      <c r="P33" s="115"/>
      <c r="Q33" s="115"/>
      <c r="S33" s="115"/>
      <c r="T33" s="115"/>
      <c r="U33" s="115"/>
      <c r="V33" s="115"/>
      <c r="W33" s="115"/>
    </row>
    <row r="34" spans="1:23">
      <c r="A34" s="115"/>
      <c r="B34" s="115"/>
      <c r="C34" s="115"/>
      <c r="D34" s="115"/>
      <c r="E34" s="115"/>
      <c r="F34" s="115"/>
      <c r="G34" s="115"/>
      <c r="H34" s="115"/>
      <c r="I34" s="115"/>
      <c r="J34" s="115"/>
      <c r="K34" s="115"/>
      <c r="L34" s="115"/>
      <c r="M34" s="115"/>
      <c r="N34" s="115"/>
      <c r="O34" s="115"/>
      <c r="P34" s="115"/>
      <c r="Q34" s="115"/>
      <c r="S34" s="115"/>
      <c r="T34" s="115"/>
      <c r="U34" s="115"/>
      <c r="V34" s="115"/>
      <c r="W34" s="115"/>
    </row>
    <row r="35" spans="1:23">
      <c r="A35" s="115"/>
      <c r="B35" s="115"/>
      <c r="C35" s="115"/>
      <c r="D35" s="115"/>
      <c r="E35" s="115"/>
      <c r="F35" s="115"/>
      <c r="G35" s="115"/>
      <c r="H35" s="115"/>
      <c r="I35" s="115"/>
      <c r="J35" s="115"/>
      <c r="K35" s="115"/>
      <c r="L35" s="115"/>
      <c r="M35" s="115"/>
      <c r="N35" s="115"/>
      <c r="O35" s="115"/>
      <c r="P35" s="115"/>
      <c r="Q35" s="115"/>
      <c r="S35" s="115"/>
      <c r="T35" s="115"/>
      <c r="U35" s="115"/>
      <c r="V35" s="115"/>
      <c r="W35" s="115"/>
    </row>
    <row r="36" spans="1:23">
      <c r="A36" s="115"/>
      <c r="B36" s="115"/>
      <c r="C36" s="115"/>
      <c r="D36" s="115"/>
      <c r="E36" s="115"/>
      <c r="F36" s="115"/>
      <c r="G36" s="115"/>
      <c r="H36" s="115"/>
      <c r="I36" s="115"/>
      <c r="J36" s="115"/>
      <c r="K36" s="115"/>
      <c r="L36" s="115"/>
      <c r="M36" s="115"/>
      <c r="N36" s="115"/>
      <c r="O36" s="115"/>
      <c r="P36" s="115"/>
      <c r="Q36" s="115"/>
      <c r="S36" s="115"/>
      <c r="T36" s="115"/>
      <c r="U36" s="115"/>
      <c r="V36" s="115"/>
      <c r="W36" s="115"/>
    </row>
    <row r="37" spans="1:23">
      <c r="A37" s="115"/>
      <c r="B37" s="115"/>
      <c r="C37" s="115"/>
      <c r="D37" s="115"/>
      <c r="E37" s="115"/>
      <c r="F37" s="115"/>
      <c r="G37" s="115"/>
      <c r="H37" s="115"/>
      <c r="I37" s="115"/>
      <c r="J37" s="115"/>
      <c r="K37" s="115"/>
      <c r="L37" s="115"/>
      <c r="M37" s="115">
        <f>'main page'!S42</f>
        <v>0</v>
      </c>
      <c r="N37" s="115"/>
      <c r="O37" s="115"/>
      <c r="P37" s="115"/>
      <c r="Q37" s="115"/>
      <c r="S37" s="115"/>
      <c r="T37" s="115"/>
      <c r="U37" s="115"/>
      <c r="V37" s="115"/>
      <c r="W37" s="115"/>
    </row>
    <row r="38" spans="1:23">
      <c r="A38" s="374">
        <v>2</v>
      </c>
      <c r="B38" s="375">
        <v>2</v>
      </c>
      <c r="C38" s="115"/>
      <c r="D38" s="115"/>
      <c r="E38" s="115"/>
      <c r="F38" s="115"/>
      <c r="G38" s="115"/>
      <c r="H38" s="115"/>
      <c r="I38" s="115"/>
      <c r="J38" s="115"/>
      <c r="K38" s="115"/>
      <c r="L38" s="115"/>
      <c r="M38" s="115"/>
      <c r="N38" s="115"/>
      <c r="O38" s="115"/>
      <c r="P38" s="115"/>
      <c r="Q38" s="115"/>
      <c r="S38" s="115"/>
      <c r="T38" s="115"/>
      <c r="U38" s="115"/>
      <c r="V38" s="115"/>
      <c r="W38" s="115"/>
    </row>
    <row r="39" spans="1:23">
      <c r="A39" s="115"/>
      <c r="B39" s="115"/>
      <c r="C39" s="115"/>
      <c r="D39" s="115"/>
      <c r="E39" s="115"/>
      <c r="F39" s="115"/>
      <c r="G39" s="115"/>
      <c r="H39" s="115"/>
      <c r="I39" s="115"/>
      <c r="J39" s="115"/>
      <c r="K39" s="115"/>
      <c r="L39" s="115"/>
      <c r="M39" s="115"/>
      <c r="N39" s="115"/>
      <c r="O39" s="115"/>
      <c r="P39" s="115"/>
      <c r="Q39" s="115"/>
      <c r="S39" s="115"/>
      <c r="T39" s="115"/>
      <c r="U39" s="115"/>
      <c r="V39" s="115"/>
      <c r="W39" s="115"/>
    </row>
    <row r="40" spans="1:23">
      <c r="A40" s="115"/>
      <c r="B40" s="115"/>
      <c r="C40" s="115"/>
      <c r="D40" s="115"/>
      <c r="E40" s="115"/>
      <c r="F40" s="115"/>
      <c r="G40" s="115"/>
      <c r="H40" s="115"/>
      <c r="I40" s="115"/>
      <c r="J40" s="115"/>
      <c r="K40" s="115"/>
      <c r="L40" s="115"/>
      <c r="M40" s="115"/>
      <c r="N40" s="115"/>
      <c r="O40" s="115"/>
      <c r="P40" s="115"/>
      <c r="Q40" s="115"/>
      <c r="S40" s="115"/>
      <c r="T40" s="115"/>
      <c r="U40" s="115"/>
      <c r="V40" s="115"/>
      <c r="W40" s="115"/>
    </row>
    <row r="41" spans="1:23">
      <c r="A41" s="115"/>
      <c r="B41" s="115"/>
      <c r="C41" s="115"/>
      <c r="D41" s="115"/>
      <c r="E41" s="115"/>
      <c r="F41" s="115"/>
      <c r="G41" s="115"/>
      <c r="H41" s="115"/>
      <c r="I41" s="115"/>
      <c r="J41" s="115"/>
      <c r="K41" s="115"/>
      <c r="L41" s="115"/>
      <c r="M41" s="115"/>
      <c r="N41" s="115"/>
      <c r="O41" s="115"/>
      <c r="P41" s="115"/>
      <c r="Q41" s="115"/>
      <c r="S41" s="115"/>
      <c r="T41" s="115"/>
      <c r="U41" s="115"/>
      <c r="V41" s="115"/>
      <c r="W41" s="115"/>
    </row>
    <row r="42" spans="1:23">
      <c r="A42" s="115"/>
      <c r="B42" s="115"/>
      <c r="C42" s="115"/>
      <c r="D42" s="115"/>
      <c r="E42" s="115"/>
      <c r="F42" s="115"/>
      <c r="G42" s="115"/>
      <c r="H42" s="115"/>
      <c r="I42" s="115"/>
      <c r="J42" s="115"/>
      <c r="K42" s="115"/>
      <c r="L42" s="115"/>
      <c r="M42" s="115"/>
      <c r="N42" s="115"/>
      <c r="O42" s="115"/>
      <c r="P42" s="115"/>
      <c r="Q42" s="115"/>
      <c r="S42" s="115"/>
      <c r="T42" s="115"/>
      <c r="U42" s="115"/>
      <c r="V42" s="115"/>
      <c r="W42" s="115"/>
    </row>
    <row r="43" spans="1:23">
      <c r="A43" s="115"/>
      <c r="B43" s="115"/>
      <c r="C43" s="115"/>
      <c r="D43" s="115"/>
      <c r="E43" s="115"/>
      <c r="F43" s="115"/>
      <c r="G43" s="115"/>
      <c r="H43" s="115"/>
      <c r="I43" s="115"/>
      <c r="J43" s="115"/>
      <c r="K43" s="115"/>
      <c r="L43" s="115"/>
      <c r="M43" s="115"/>
      <c r="N43" s="115"/>
      <c r="O43" s="115"/>
      <c r="P43" s="115"/>
      <c r="Q43" s="115"/>
      <c r="S43" s="115"/>
      <c r="T43" s="115"/>
      <c r="U43" s="115"/>
      <c r="V43" s="115"/>
      <c r="W43" s="115"/>
    </row>
    <row r="44" spans="1:23">
      <c r="A44" s="115"/>
      <c r="B44" s="115"/>
      <c r="C44" s="115"/>
      <c r="D44" s="115"/>
      <c r="E44" s="115"/>
      <c r="F44" s="115"/>
      <c r="G44" s="115"/>
      <c r="H44" s="115"/>
      <c r="I44" s="115"/>
      <c r="J44" s="115"/>
      <c r="K44" s="115"/>
      <c r="L44" s="115"/>
      <c r="M44" s="115"/>
      <c r="N44" s="115"/>
      <c r="O44" s="115"/>
      <c r="P44" s="115"/>
      <c r="Q44" s="115"/>
      <c r="S44" s="115"/>
      <c r="T44" s="115"/>
      <c r="U44" s="115"/>
      <c r="V44" s="115"/>
      <c r="W44" s="115"/>
    </row>
    <row r="45" spans="1:23">
      <c r="A45" s="115"/>
      <c r="B45" s="115"/>
      <c r="C45" s="115"/>
      <c r="D45" s="115"/>
      <c r="E45" s="115"/>
      <c r="F45" s="115"/>
      <c r="G45" s="115"/>
      <c r="H45" s="115"/>
      <c r="I45" s="115"/>
      <c r="J45" s="115"/>
      <c r="K45" s="115"/>
      <c r="L45" s="115"/>
      <c r="M45" s="115"/>
      <c r="N45" s="115"/>
      <c r="O45" s="115"/>
      <c r="P45" s="115"/>
      <c r="Q45" s="115"/>
      <c r="S45" s="115"/>
      <c r="T45" s="115"/>
      <c r="U45" s="115"/>
      <c r="V45" s="115"/>
      <c r="W45" s="115"/>
    </row>
    <row r="46" spans="1:23">
      <c r="A46" s="115"/>
      <c r="B46" s="115"/>
      <c r="C46" s="115"/>
      <c r="D46" s="115"/>
      <c r="E46" s="115"/>
      <c r="F46" s="115"/>
      <c r="G46" s="115"/>
      <c r="H46" s="115"/>
      <c r="I46" s="115"/>
      <c r="J46" s="115"/>
      <c r="K46" s="115"/>
      <c r="L46" s="115"/>
      <c r="M46" s="115"/>
      <c r="N46" s="115"/>
      <c r="O46" s="115"/>
      <c r="P46" s="115"/>
      <c r="Q46" s="115"/>
      <c r="S46" s="115"/>
      <c r="T46" s="115"/>
      <c r="U46" s="115"/>
      <c r="V46" s="115"/>
      <c r="W46" s="115"/>
    </row>
    <row r="47" spans="1:23">
      <c r="A47" s="115"/>
      <c r="B47" s="115"/>
      <c r="C47" s="115"/>
      <c r="D47" s="115"/>
      <c r="E47" s="115"/>
      <c r="F47" s="115"/>
      <c r="G47" s="115"/>
      <c r="H47" s="115"/>
      <c r="I47" s="115"/>
      <c r="J47" s="115"/>
      <c r="K47" s="115"/>
      <c r="L47" s="115"/>
      <c r="M47" s="115"/>
      <c r="N47" s="115"/>
      <c r="O47" s="115"/>
      <c r="P47" s="115"/>
      <c r="Q47" s="115"/>
      <c r="S47" s="115"/>
      <c r="T47" s="115"/>
      <c r="U47" s="115"/>
      <c r="V47" s="115"/>
      <c r="W47" s="115"/>
    </row>
    <row r="48" spans="1:23">
      <c r="A48" s="115"/>
      <c r="B48" s="115"/>
      <c r="C48" s="115"/>
      <c r="D48" s="115"/>
      <c r="E48" s="115"/>
      <c r="F48" s="115"/>
      <c r="G48" s="115"/>
      <c r="H48" s="115"/>
      <c r="I48" s="115"/>
      <c r="J48" s="115"/>
      <c r="K48" s="115"/>
      <c r="L48" s="115"/>
      <c r="M48" s="115"/>
      <c r="N48" s="115"/>
      <c r="O48" s="115"/>
      <c r="P48" s="115"/>
      <c r="Q48" s="115"/>
      <c r="S48" s="115"/>
      <c r="T48" s="115"/>
      <c r="U48" s="115"/>
      <c r="V48" s="115"/>
      <c r="W48" s="115"/>
    </row>
    <row r="49" spans="1:23">
      <c r="A49" s="115"/>
      <c r="B49" s="115"/>
      <c r="C49" s="115"/>
      <c r="D49" s="115"/>
      <c r="E49" s="115"/>
      <c r="F49" s="115"/>
      <c r="G49" s="115"/>
      <c r="H49" s="115"/>
      <c r="I49" s="115"/>
      <c r="J49" s="115"/>
      <c r="K49" s="115"/>
      <c r="L49" s="115"/>
      <c r="M49" s="115"/>
      <c r="N49" s="115"/>
      <c r="O49" s="115"/>
      <c r="P49" s="115"/>
      <c r="Q49" s="115"/>
      <c r="S49" s="115"/>
      <c r="T49" s="115"/>
      <c r="U49" s="115"/>
      <c r="V49" s="115"/>
      <c r="W49" s="115"/>
    </row>
    <row r="50" spans="1:23">
      <c r="A50" s="115"/>
      <c r="B50" s="115"/>
      <c r="C50" s="115"/>
      <c r="D50" s="115"/>
      <c r="E50" s="115"/>
      <c r="F50" s="115"/>
      <c r="G50" s="115"/>
      <c r="H50" s="115"/>
      <c r="I50" s="115"/>
      <c r="J50" s="115"/>
      <c r="K50" s="115"/>
      <c r="L50" s="115"/>
      <c r="M50" s="115"/>
      <c r="N50" s="115"/>
      <c r="O50" s="115"/>
      <c r="P50" s="115"/>
      <c r="Q50" s="115"/>
      <c r="S50" s="115"/>
      <c r="T50" s="115"/>
      <c r="U50" s="115"/>
      <c r="V50" s="115"/>
      <c r="W50" s="115"/>
    </row>
    <row r="51" spans="1:23">
      <c r="A51" s="115"/>
      <c r="B51" s="115"/>
      <c r="C51" s="115"/>
      <c r="D51" s="115"/>
      <c r="E51" s="115"/>
      <c r="F51" s="115"/>
      <c r="G51" s="115"/>
      <c r="H51" s="115"/>
      <c r="I51" s="115"/>
      <c r="J51" s="115"/>
      <c r="K51" s="115"/>
      <c r="L51" s="115"/>
      <c r="M51" s="115"/>
      <c r="N51" s="115"/>
      <c r="O51" s="115"/>
      <c r="P51" s="115"/>
      <c r="Q51" s="115"/>
      <c r="S51" s="115"/>
      <c r="T51" s="115"/>
      <c r="U51" s="115"/>
      <c r="V51" s="115"/>
      <c r="W51" s="115"/>
    </row>
    <row r="52" spans="1:23">
      <c r="A52" s="115"/>
      <c r="B52" s="115"/>
      <c r="C52" s="115"/>
      <c r="D52" s="115"/>
      <c r="E52" s="115"/>
      <c r="F52" s="115"/>
      <c r="G52" s="115"/>
      <c r="H52" s="115"/>
      <c r="I52" s="115"/>
      <c r="J52" s="115"/>
      <c r="K52" s="115"/>
      <c r="L52" s="115"/>
      <c r="M52" s="115"/>
      <c r="N52" s="115"/>
      <c r="O52" s="115"/>
      <c r="P52" s="115"/>
      <c r="Q52" s="115"/>
      <c r="S52" s="115"/>
      <c r="T52" s="115"/>
      <c r="U52" s="115"/>
      <c r="V52" s="115"/>
      <c r="W52" s="115"/>
    </row>
    <row r="53" spans="1:23">
      <c r="A53" s="115"/>
      <c r="B53" s="115"/>
      <c r="C53" s="115"/>
      <c r="D53" s="115"/>
      <c r="E53" s="115"/>
      <c r="F53" s="115"/>
      <c r="G53" s="115"/>
      <c r="H53" s="115"/>
      <c r="I53" s="115"/>
      <c r="J53" s="115"/>
      <c r="K53" s="115"/>
      <c r="L53" s="115"/>
      <c r="M53" s="115"/>
      <c r="N53" s="115"/>
      <c r="O53" s="115"/>
      <c r="P53" s="115"/>
      <c r="Q53" s="115"/>
      <c r="S53" s="115"/>
      <c r="T53" s="115"/>
      <c r="U53" s="115"/>
      <c r="V53" s="115"/>
      <c r="W53" s="115"/>
    </row>
    <row r="54" spans="1:23">
      <c r="A54" s="115"/>
      <c r="B54" s="115"/>
      <c r="C54" s="115"/>
      <c r="D54" s="115"/>
      <c r="E54" s="115"/>
      <c r="F54" s="115"/>
      <c r="G54" s="115"/>
      <c r="H54" s="115"/>
      <c r="I54" s="115"/>
      <c r="J54" s="115"/>
      <c r="K54" s="115"/>
      <c r="L54" s="115"/>
      <c r="M54" s="115"/>
      <c r="N54" s="115"/>
      <c r="O54" s="115"/>
      <c r="P54" s="115"/>
      <c r="Q54" s="115"/>
      <c r="S54" s="115"/>
      <c r="T54" s="115"/>
      <c r="U54" s="115"/>
      <c r="V54" s="115"/>
      <c r="W54" s="115"/>
    </row>
    <row r="55" spans="1:23">
      <c r="A55" s="115"/>
      <c r="B55" s="115"/>
      <c r="C55" s="115"/>
      <c r="D55" s="115"/>
      <c r="E55" s="115"/>
      <c r="F55" s="115"/>
      <c r="G55" s="115"/>
      <c r="H55" s="115"/>
      <c r="I55" s="115"/>
      <c r="J55" s="115"/>
      <c r="K55" s="115"/>
      <c r="L55" s="115"/>
      <c r="M55" s="115"/>
      <c r="N55" s="115"/>
      <c r="O55" s="115"/>
      <c r="P55" s="115"/>
      <c r="Q55" s="115"/>
      <c r="S55" s="115"/>
      <c r="T55" s="115"/>
      <c r="U55" s="115"/>
      <c r="V55" s="115"/>
      <c r="W55" s="115"/>
    </row>
    <row r="56" spans="1:23">
      <c r="A56" s="115"/>
      <c r="B56" s="115"/>
      <c r="C56" s="115"/>
      <c r="D56" s="115"/>
      <c r="E56" s="115"/>
      <c r="F56" s="115"/>
      <c r="G56" s="115"/>
      <c r="H56" s="115"/>
      <c r="I56" s="115"/>
      <c r="J56" s="115"/>
      <c r="K56" s="115"/>
      <c r="L56" s="115"/>
      <c r="M56" s="115"/>
      <c r="N56" s="115"/>
      <c r="O56" s="115"/>
      <c r="P56" s="115"/>
      <c r="Q56" s="115"/>
      <c r="S56" s="115"/>
      <c r="T56" s="115"/>
      <c r="U56" s="115"/>
      <c r="V56" s="115"/>
      <c r="W56" s="115"/>
    </row>
    <row r="57" spans="1:23">
      <c r="A57" s="115"/>
      <c r="B57" s="115"/>
      <c r="C57" s="115"/>
      <c r="D57" s="115"/>
      <c r="E57" s="115"/>
      <c r="F57" s="115"/>
      <c r="G57" s="115"/>
      <c r="H57" s="115"/>
      <c r="I57" s="115"/>
      <c r="J57" s="115"/>
      <c r="K57" s="115"/>
      <c r="L57" s="115"/>
      <c r="M57" s="115"/>
      <c r="N57" s="115"/>
      <c r="O57" s="115"/>
      <c r="P57" s="115"/>
      <c r="Q57" s="115"/>
      <c r="S57" s="115"/>
      <c r="T57" s="115"/>
      <c r="U57" s="115"/>
      <c r="V57" s="115"/>
      <c r="W57" s="115"/>
    </row>
    <row r="58" spans="1:23">
      <c r="A58" s="115"/>
      <c r="B58" s="115"/>
      <c r="C58" s="115"/>
      <c r="D58" s="115"/>
      <c r="E58" s="115"/>
      <c r="F58" s="115"/>
      <c r="G58" s="115"/>
      <c r="H58" s="115"/>
      <c r="I58" s="115"/>
      <c r="J58" s="115"/>
      <c r="K58" s="115"/>
      <c r="L58" s="115"/>
      <c r="M58" s="115"/>
      <c r="N58" s="115"/>
      <c r="O58" s="115"/>
      <c r="P58" s="115"/>
      <c r="Q58" s="115"/>
      <c r="S58" s="115"/>
      <c r="T58" s="115"/>
      <c r="U58" s="115"/>
      <c r="V58" s="115"/>
      <c r="W58" s="115"/>
    </row>
    <row r="59" spans="1:23">
      <c r="A59" s="115"/>
      <c r="B59" s="115"/>
      <c r="C59" s="115"/>
      <c r="D59" s="115"/>
      <c r="E59" s="115"/>
      <c r="F59" s="115"/>
      <c r="G59" s="115"/>
      <c r="H59" s="115"/>
      <c r="I59" s="115"/>
      <c r="J59" s="115"/>
      <c r="K59" s="115"/>
      <c r="L59" s="115"/>
      <c r="M59" s="115"/>
      <c r="N59" s="115"/>
      <c r="O59" s="115"/>
      <c r="P59" s="115"/>
      <c r="Q59" s="115"/>
      <c r="S59" s="115"/>
      <c r="T59" s="115"/>
      <c r="U59" s="115"/>
      <c r="V59" s="115"/>
      <c r="W59" s="115"/>
    </row>
    <row r="60" spans="1:23">
      <c r="A60" s="115"/>
      <c r="B60" s="115"/>
      <c r="C60" s="115"/>
      <c r="D60" s="115"/>
      <c r="E60" s="115"/>
      <c r="F60" s="115"/>
      <c r="G60" s="115"/>
      <c r="H60" s="115"/>
      <c r="I60" s="115"/>
      <c r="J60" s="115"/>
      <c r="K60" s="115"/>
      <c r="L60" s="115"/>
      <c r="M60" s="115"/>
      <c r="N60" s="115"/>
      <c r="O60" s="115"/>
      <c r="P60" s="115"/>
      <c r="Q60" s="115"/>
      <c r="S60" s="115"/>
      <c r="T60" s="115"/>
      <c r="U60" s="115"/>
      <c r="V60" s="115"/>
      <c r="W60" s="115"/>
    </row>
    <row r="61" spans="1:23">
      <c r="A61" s="115"/>
      <c r="B61" s="115"/>
      <c r="C61" s="115"/>
      <c r="D61" s="115"/>
      <c r="E61" s="115"/>
      <c r="F61" s="115"/>
      <c r="G61" s="115"/>
      <c r="H61" s="115"/>
      <c r="I61" s="115"/>
      <c r="J61" s="115"/>
      <c r="K61" s="115"/>
      <c r="L61" s="115"/>
      <c r="M61" s="115"/>
      <c r="N61" s="115"/>
      <c r="O61" s="115"/>
      <c r="P61" s="115"/>
      <c r="Q61" s="115"/>
      <c r="S61" s="115"/>
      <c r="T61" s="115"/>
      <c r="U61" s="115"/>
      <c r="V61" s="115"/>
      <c r="W61" s="115"/>
    </row>
    <row r="62" spans="1:23">
      <c r="A62" s="115"/>
      <c r="B62" s="115"/>
      <c r="C62" s="115"/>
      <c r="D62" s="115"/>
      <c r="E62" s="115"/>
      <c r="F62" s="115"/>
      <c r="G62" s="115"/>
      <c r="H62" s="115"/>
      <c r="I62" s="115"/>
      <c r="J62" s="115"/>
      <c r="K62" s="115"/>
      <c r="L62" s="115"/>
      <c r="M62" s="115"/>
      <c r="N62" s="115"/>
      <c r="O62" s="115"/>
      <c r="P62" s="115"/>
      <c r="Q62" s="115"/>
      <c r="S62" s="115"/>
      <c r="T62" s="115"/>
      <c r="U62" s="115"/>
      <c r="V62" s="115"/>
      <c r="W62" s="115"/>
    </row>
    <row r="63" spans="1:23">
      <c r="A63" s="115"/>
      <c r="B63" s="115"/>
      <c r="C63" s="115"/>
      <c r="D63" s="115"/>
      <c r="E63" s="115"/>
      <c r="F63" s="115"/>
      <c r="G63" s="115"/>
      <c r="H63" s="115"/>
      <c r="I63" s="115"/>
      <c r="J63" s="115"/>
      <c r="K63" s="115"/>
      <c r="L63" s="115"/>
      <c r="M63" s="115"/>
      <c r="N63" s="115"/>
      <c r="O63" s="115"/>
      <c r="P63" s="115"/>
      <c r="Q63" s="115"/>
      <c r="S63" s="115"/>
      <c r="T63" s="115"/>
      <c r="U63" s="115"/>
      <c r="V63" s="115"/>
      <c r="W63" s="115"/>
    </row>
    <row r="64" spans="1:23">
      <c r="A64" s="115"/>
      <c r="B64" s="115"/>
      <c r="C64" s="115"/>
      <c r="D64" s="115"/>
      <c r="E64" s="115"/>
      <c r="F64" s="115"/>
      <c r="G64" s="115"/>
      <c r="H64" s="115"/>
      <c r="I64" s="115"/>
      <c r="J64" s="115"/>
      <c r="K64" s="115"/>
      <c r="L64" s="115"/>
      <c r="M64" s="115"/>
      <c r="N64" s="115"/>
      <c r="O64" s="115"/>
      <c r="P64" s="115"/>
      <c r="Q64" s="115"/>
      <c r="S64" s="115"/>
      <c r="T64" s="115"/>
      <c r="U64" s="115"/>
      <c r="V64" s="115"/>
      <c r="W64" s="115"/>
    </row>
    <row r="65" spans="1:23">
      <c r="A65" s="115"/>
      <c r="B65" s="115"/>
      <c r="C65" s="115"/>
      <c r="D65" s="115"/>
      <c r="E65" s="115"/>
      <c r="F65" s="115"/>
      <c r="G65" s="115"/>
      <c r="H65" s="115"/>
      <c r="I65" s="115"/>
      <c r="J65" s="115"/>
      <c r="K65" s="115"/>
      <c r="L65" s="115"/>
      <c r="M65" s="115"/>
      <c r="N65" s="115"/>
      <c r="O65" s="115"/>
      <c r="P65" s="115"/>
      <c r="Q65" s="115"/>
      <c r="S65" s="115"/>
      <c r="T65" s="115"/>
      <c r="U65" s="115"/>
      <c r="V65" s="115"/>
      <c r="W65" s="115"/>
    </row>
    <row r="66" spans="1:23">
      <c r="A66" s="115"/>
      <c r="B66" s="115"/>
      <c r="C66" s="115"/>
      <c r="D66" s="115"/>
      <c r="E66" s="115"/>
      <c r="F66" s="115"/>
      <c r="G66" s="115"/>
      <c r="H66" s="115"/>
      <c r="I66" s="115"/>
      <c r="J66" s="115"/>
      <c r="K66" s="115"/>
      <c r="L66" s="115"/>
      <c r="M66" s="115"/>
      <c r="N66" s="115"/>
      <c r="O66" s="115"/>
      <c r="P66" s="115"/>
      <c r="Q66" s="115"/>
      <c r="S66" s="115"/>
      <c r="T66" s="115"/>
      <c r="U66" s="115"/>
      <c r="V66" s="115"/>
      <c r="W66" s="115"/>
    </row>
    <row r="67" spans="1:23">
      <c r="A67" s="115"/>
      <c r="B67" s="115"/>
      <c r="C67" s="115"/>
      <c r="D67" s="115"/>
      <c r="E67" s="115"/>
      <c r="F67" s="115"/>
      <c r="G67" s="115"/>
      <c r="H67" s="115"/>
      <c r="I67" s="115"/>
      <c r="J67" s="115"/>
      <c r="K67" s="115"/>
      <c r="L67" s="115"/>
      <c r="M67" s="115"/>
      <c r="N67" s="115"/>
      <c r="O67" s="115"/>
      <c r="P67" s="115"/>
      <c r="Q67" s="115"/>
      <c r="S67" s="115"/>
      <c r="T67" s="115"/>
      <c r="U67" s="115"/>
      <c r="V67" s="115"/>
      <c r="W67" s="115"/>
    </row>
    <row r="68" spans="1:23">
      <c r="A68" s="115"/>
      <c r="B68" s="115"/>
      <c r="C68" s="115"/>
      <c r="D68" s="115"/>
      <c r="E68" s="115"/>
      <c r="F68" s="115"/>
      <c r="G68" s="115"/>
      <c r="H68" s="115"/>
      <c r="I68" s="115"/>
      <c r="J68" s="115"/>
      <c r="K68" s="115"/>
      <c r="L68" s="115"/>
      <c r="M68" s="115"/>
      <c r="N68" s="115"/>
      <c r="O68" s="115"/>
      <c r="P68" s="115"/>
      <c r="Q68" s="115"/>
      <c r="S68" s="115"/>
      <c r="T68" s="115"/>
      <c r="U68" s="115"/>
      <c r="V68" s="115"/>
      <c r="W68" s="115"/>
    </row>
    <row r="69" spans="1:23">
      <c r="A69" s="115"/>
      <c r="B69" s="115"/>
      <c r="C69" s="115"/>
      <c r="D69" s="115"/>
      <c r="E69" s="115"/>
      <c r="F69" s="115"/>
      <c r="G69" s="115"/>
      <c r="H69" s="115"/>
      <c r="I69" s="115"/>
      <c r="J69" s="115"/>
      <c r="K69" s="115"/>
      <c r="L69" s="115"/>
      <c r="M69" s="115"/>
      <c r="N69" s="115"/>
      <c r="O69" s="115"/>
      <c r="P69" s="115"/>
      <c r="Q69" s="115"/>
      <c r="S69" s="115"/>
      <c r="T69" s="115"/>
      <c r="U69" s="115"/>
      <c r="V69" s="115"/>
      <c r="W69" s="115"/>
    </row>
    <row r="70" spans="1:23">
      <c r="A70" s="115"/>
      <c r="B70" s="115"/>
      <c r="C70" s="115"/>
      <c r="D70" s="115"/>
      <c r="E70" s="115"/>
      <c r="F70" s="115"/>
      <c r="G70" s="115"/>
      <c r="H70" s="115"/>
      <c r="I70" s="115"/>
      <c r="J70" s="115"/>
      <c r="K70" s="115"/>
      <c r="L70" s="115"/>
      <c r="M70" s="115"/>
      <c r="N70" s="115"/>
      <c r="O70" s="115"/>
      <c r="P70" s="115"/>
      <c r="Q70" s="115"/>
      <c r="S70" s="115"/>
      <c r="T70" s="115"/>
      <c r="U70" s="115"/>
      <c r="V70" s="115"/>
      <c r="W70" s="115"/>
    </row>
    <row r="71" spans="1:23">
      <c r="A71" s="115"/>
      <c r="B71" s="115"/>
      <c r="C71" s="115"/>
      <c r="D71" s="115"/>
      <c r="E71" s="115"/>
      <c r="F71" s="115"/>
      <c r="G71" s="115"/>
      <c r="H71" s="115"/>
      <c r="I71" s="115"/>
      <c r="J71" s="115"/>
      <c r="K71" s="115"/>
      <c r="L71" s="115"/>
      <c r="M71" s="115"/>
      <c r="N71" s="115"/>
      <c r="O71" s="115"/>
      <c r="P71" s="115"/>
      <c r="Q71" s="115"/>
      <c r="S71" s="115"/>
      <c r="T71" s="115"/>
      <c r="U71" s="115"/>
      <c r="V71" s="115"/>
      <c r="W71" s="115"/>
    </row>
    <row r="72" spans="1:23">
      <c r="A72" s="115"/>
      <c r="B72" s="115"/>
      <c r="C72" s="115"/>
      <c r="D72" s="115"/>
      <c r="E72" s="115"/>
      <c r="F72" s="115"/>
      <c r="G72" s="115"/>
      <c r="H72" s="115"/>
      <c r="I72" s="115"/>
      <c r="J72" s="115"/>
      <c r="K72" s="115"/>
      <c r="L72" s="115"/>
      <c r="M72" s="115"/>
      <c r="N72" s="115"/>
      <c r="O72" s="115"/>
      <c r="P72" s="115"/>
      <c r="Q72" s="115"/>
      <c r="S72" s="115"/>
      <c r="T72" s="115"/>
      <c r="U72" s="115"/>
      <c r="V72" s="115"/>
      <c r="W72" s="115"/>
    </row>
    <row r="73" spans="1:23">
      <c r="A73" s="115"/>
      <c r="B73" s="115"/>
      <c r="C73" s="115"/>
      <c r="D73" s="115"/>
      <c r="E73" s="115"/>
      <c r="F73" s="115"/>
      <c r="G73" s="115"/>
      <c r="H73" s="115"/>
      <c r="I73" s="115"/>
      <c r="J73" s="115"/>
      <c r="K73" s="115"/>
      <c r="L73" s="115"/>
      <c r="M73" s="115"/>
      <c r="N73" s="115"/>
      <c r="O73" s="115"/>
      <c r="P73" s="115"/>
      <c r="Q73" s="115"/>
      <c r="S73" s="115"/>
      <c r="T73" s="115"/>
      <c r="U73" s="115"/>
      <c r="V73" s="115"/>
      <c r="W73" s="115"/>
    </row>
    <row r="74" spans="1:23">
      <c r="A74" s="115"/>
      <c r="B74" s="115"/>
      <c r="C74" s="115"/>
      <c r="D74" s="115"/>
      <c r="E74" s="115"/>
      <c r="F74" s="115"/>
      <c r="G74" s="115"/>
      <c r="H74" s="115"/>
      <c r="I74" s="115"/>
      <c r="J74" s="115"/>
      <c r="K74" s="115"/>
      <c r="L74" s="115"/>
      <c r="M74" s="115"/>
      <c r="N74" s="115"/>
      <c r="O74" s="115"/>
      <c r="P74" s="115"/>
      <c r="Q74" s="115"/>
      <c r="S74" s="115"/>
      <c r="T74" s="115"/>
      <c r="U74" s="115"/>
      <c r="V74" s="115"/>
      <c r="W74" s="115"/>
    </row>
  </sheetData>
  <sheetProtection selectLockedCells="1"/>
  <mergeCells count="8">
    <mergeCell ref="A23:C23"/>
    <mergeCell ref="A15:D15"/>
    <mergeCell ref="A22:C22"/>
    <mergeCell ref="A16:D17"/>
    <mergeCell ref="A18:C18"/>
    <mergeCell ref="A19:C19"/>
    <mergeCell ref="A20:C20"/>
    <mergeCell ref="A21:C21"/>
  </mergeCells>
  <phoneticPr fontId="3" type="noConversion"/>
  <conditionalFormatting sqref="A1:D14 A24:D48 A49:Q74 S1:W74 E1:P48">
    <cfRule type="expression" dxfId="30" priority="2"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294" r:id="rId4" name="Button 6">
              <controlPr defaultSize="0" print="0" autoFill="0" autoPict="0" macro="[0]!go_main_page">
                <anchor moveWithCells="1" sizeWithCells="1">
                  <from>
                    <xdr:col>0</xdr:col>
                    <xdr:colOff>88900</xdr:colOff>
                    <xdr:row>0</xdr:row>
                    <xdr:rowOff>57150</xdr:rowOff>
                  </from>
                  <to>
                    <xdr:col>0</xdr:col>
                    <xdr:colOff>1460500</xdr:colOff>
                    <xdr:row>3</xdr:row>
                    <xdr:rowOff>31750</xdr:rowOff>
                  </to>
                </anchor>
              </controlPr>
            </control>
          </mc:Choice>
        </mc:AlternateContent>
        <mc:AlternateContent xmlns:mc="http://schemas.openxmlformats.org/markup-compatibility/2006">
          <mc:Choice Requires="x14">
            <control shapeId="12295" r:id="rId5" name="Button 7">
              <controlPr defaultSize="0" print="0" autoFill="0" autoPict="0" macro="[0]!go_figures_public_finance">
                <anchor moveWithCells="1" sizeWithCells="1">
                  <from>
                    <xdr:col>0</xdr:col>
                    <xdr:colOff>76200</xdr:colOff>
                    <xdr:row>3</xdr:row>
                    <xdr:rowOff>114300</xdr:rowOff>
                  </from>
                  <to>
                    <xdr:col>0</xdr:col>
                    <xdr:colOff>1466850</xdr:colOff>
                    <xdr:row>6</xdr:row>
                    <xdr:rowOff>88900</xdr:rowOff>
                  </to>
                </anchor>
              </controlPr>
            </control>
          </mc:Choice>
        </mc:AlternateContent>
        <mc:AlternateContent xmlns:mc="http://schemas.openxmlformats.org/markup-compatibility/2006">
          <mc:Choice Requires="x14">
            <control shapeId="12296" r:id="rId6" name="Button 8">
              <controlPr defaultSize="0" print="0" autoFill="0" autoPict="0" macro="[0]!go_numerical_results">
                <anchor moveWithCells="1" sizeWithCells="1">
                  <from>
                    <xdr:col>0</xdr:col>
                    <xdr:colOff>76200</xdr:colOff>
                    <xdr:row>10</xdr:row>
                    <xdr:rowOff>31750</xdr:rowOff>
                  </from>
                  <to>
                    <xdr:col>0</xdr:col>
                    <xdr:colOff>1479550</xdr:colOff>
                    <xdr:row>13</xdr:row>
                    <xdr:rowOff>0</xdr:rowOff>
                  </to>
                </anchor>
              </controlPr>
            </control>
          </mc:Choice>
        </mc:AlternateContent>
        <mc:AlternateContent xmlns:mc="http://schemas.openxmlformats.org/markup-compatibility/2006">
          <mc:Choice Requires="x14">
            <control shapeId="12323" r:id="rId7" name="Button 35">
              <controlPr defaultSize="0" print="0" autoFill="0" autoPict="0" macro="[0]!control_axis_inflationetc">
                <anchor moveWithCells="1" sizeWithCells="1">
                  <from>
                    <xdr:col>0</xdr:col>
                    <xdr:colOff>76200</xdr:colOff>
                    <xdr:row>24</xdr:row>
                    <xdr:rowOff>38100</xdr:rowOff>
                  </from>
                  <to>
                    <xdr:col>0</xdr:col>
                    <xdr:colOff>1479550</xdr:colOff>
                    <xdr:row>26</xdr:row>
                    <xdr:rowOff>95250</xdr:rowOff>
                  </to>
                </anchor>
              </controlPr>
            </control>
          </mc:Choice>
        </mc:AlternateContent>
        <mc:AlternateContent xmlns:mc="http://schemas.openxmlformats.org/markup-compatibility/2006">
          <mc:Choice Requires="x14">
            <control shapeId="12349" r:id="rId8" name="Button 61">
              <controlPr defaultSize="0" print="0" autoFill="0" autoPict="0" macro="[0]!go_exrate_figures">
                <anchor moveWithCells="1" sizeWithCells="1">
                  <from>
                    <xdr:col>0</xdr:col>
                    <xdr:colOff>76200</xdr:colOff>
                    <xdr:row>6</xdr:row>
                    <xdr:rowOff>146050</xdr:rowOff>
                  </from>
                  <to>
                    <xdr:col>0</xdr:col>
                    <xdr:colOff>1466850</xdr:colOff>
                    <xdr:row>9</xdr:row>
                    <xdr:rowOff>133350</xdr:rowOff>
                  </to>
                </anchor>
              </controlPr>
            </control>
          </mc:Choice>
        </mc:AlternateContent>
        <mc:AlternateContent xmlns:mc="http://schemas.openxmlformats.org/markup-compatibility/2006">
          <mc:Choice Requires="x14">
            <control shapeId="12351" r:id="rId9" name="Drop Down 63">
              <controlPr defaultSize="0" autoLine="0" autoPict="0" macro="[0]!ClickSeriesCheckbox2">
                <anchor moveWithCells="1">
                  <from>
                    <xdr:col>0</xdr:col>
                    <xdr:colOff>393700</xdr:colOff>
                    <xdr:row>39</xdr:row>
                    <xdr:rowOff>114300</xdr:rowOff>
                  </from>
                  <to>
                    <xdr:col>0</xdr:col>
                    <xdr:colOff>914400</xdr:colOff>
                    <xdr:row>41</xdr:row>
                    <xdr:rowOff>69850</xdr:rowOff>
                  </to>
                </anchor>
              </controlPr>
            </control>
          </mc:Choice>
        </mc:AlternateContent>
        <mc:AlternateContent xmlns:mc="http://schemas.openxmlformats.org/markup-compatibility/2006">
          <mc:Choice Requires="x14">
            <control shapeId="12352" r:id="rId10" name="Button 64">
              <controlPr defaultSize="0" print="0" autoFill="0" autoPict="0" macro="[0]!go_to_potential_GDP">
                <anchor moveWithCells="1" sizeWithCells="1">
                  <from>
                    <xdr:col>10</xdr:col>
                    <xdr:colOff>38100</xdr:colOff>
                    <xdr:row>22</xdr:row>
                    <xdr:rowOff>19050</xdr:rowOff>
                  </from>
                  <to>
                    <xdr:col>10</xdr:col>
                    <xdr:colOff>533400</xdr:colOff>
                    <xdr:row>23</xdr:row>
                    <xdr:rowOff>146050</xdr:rowOff>
                  </to>
                </anchor>
              </controlPr>
            </control>
          </mc:Choice>
        </mc:AlternateContent>
        <mc:AlternateContent xmlns:mc="http://schemas.openxmlformats.org/markup-compatibility/2006">
          <mc:Choice Requires="x14">
            <control shapeId="12353" r:id="rId11" name="Button 65">
              <controlPr defaultSize="0" print="0" autoFill="0" autoPict="0" macro="[0]!show_lending_rates_clarification">
                <anchor moveWithCells="1" sizeWithCells="1">
                  <from>
                    <xdr:col>13</xdr:col>
                    <xdr:colOff>438150</xdr:colOff>
                    <xdr:row>1</xdr:row>
                    <xdr:rowOff>76200</xdr:rowOff>
                  </from>
                  <to>
                    <xdr:col>13</xdr:col>
                    <xdr:colOff>590550</xdr:colOff>
                    <xdr:row>2</xdr:row>
                    <xdr:rowOff>50800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AJ503"/>
  <sheetViews>
    <sheetView workbookViewId="0">
      <pane xSplit="1" ySplit="3" topLeftCell="J4" activePane="bottomRight" state="frozenSplit"/>
      <selection activeCell="C45" sqref="C45"/>
      <selection pane="topRight" activeCell="C45" sqref="C45"/>
      <selection pane="bottomLeft" activeCell="C45" sqref="C45"/>
      <selection pane="bottomRight" activeCell="R26" sqref="R26"/>
    </sheetView>
  </sheetViews>
  <sheetFormatPr defaultColWidth="11.453125" defaultRowHeight="12.5"/>
  <cols>
    <col min="1" max="1" width="4" style="43" bestFit="1" customWidth="1"/>
    <col min="2" max="2" width="56.7265625" style="62" bestFit="1" customWidth="1"/>
    <col min="3" max="3" width="7.26953125" style="67" customWidth="1"/>
    <col min="4" max="4" width="7.26953125" style="88" hidden="1" customWidth="1"/>
    <col min="5" max="5" width="20.453125" style="64" bestFit="1" customWidth="1"/>
    <col min="6" max="6" width="44" style="64" bestFit="1" customWidth="1"/>
    <col min="7" max="7" width="34.26953125" style="78" bestFit="1" customWidth="1"/>
    <col min="8" max="8" width="30.1796875" style="62" bestFit="1" customWidth="1"/>
    <col min="9" max="9" width="41.26953125" style="62" bestFit="1" customWidth="1"/>
    <col min="10" max="10" width="38.7265625" style="62" bestFit="1" customWidth="1"/>
    <col min="11" max="11" width="21.453125" style="79" bestFit="1" customWidth="1"/>
    <col min="12" max="12" width="18.7265625" style="79" bestFit="1" customWidth="1"/>
    <col min="13" max="13" width="7.26953125" style="62" bestFit="1" customWidth="1"/>
    <col min="14" max="14" width="14.453125" style="62" hidden="1" customWidth="1"/>
    <col min="15" max="15" width="20.453125" style="61" hidden="1" customWidth="1"/>
    <col min="16" max="16" width="17" style="61" bestFit="1" customWidth="1"/>
    <col min="17" max="17" width="16.453125" style="61" bestFit="1" customWidth="1"/>
    <col min="18" max="18" width="14.453125" style="82" bestFit="1" customWidth="1"/>
    <col min="19" max="19" width="23.54296875" style="80" bestFit="1" customWidth="1"/>
    <col min="20" max="20" width="10.90625"/>
    <col min="21" max="21" width="11.81640625" style="57" customWidth="1"/>
    <col min="22" max="22" width="4" style="59" bestFit="1" customWidth="1"/>
    <col min="23" max="23" width="12.1796875" style="44" bestFit="1" customWidth="1"/>
    <col min="24" max="24" width="15.1796875" style="44" bestFit="1" customWidth="1"/>
    <col min="25" max="25" width="27.81640625" style="44" bestFit="1" customWidth="1"/>
    <col min="26" max="26" width="29.81640625" style="44" bestFit="1" customWidth="1"/>
    <col min="27" max="27" width="11.453125" style="44"/>
    <col min="28" max="28" width="19.1796875" style="44" bestFit="1" customWidth="1"/>
    <col min="29" max="29" width="30.26953125" style="43" bestFit="1" customWidth="1"/>
    <col min="30" max="30" width="7.1796875" style="43" bestFit="1" customWidth="1"/>
    <col min="31" max="31" width="11.54296875" style="43" customWidth="1"/>
    <col min="32" max="33" width="17.7265625" style="43" bestFit="1" customWidth="1"/>
    <col min="34" max="16384" width="11.453125" style="43"/>
  </cols>
  <sheetData>
    <row r="1" spans="1:36">
      <c r="B1" s="382"/>
      <c r="C1" s="383"/>
      <c r="D1" s="383"/>
      <c r="E1" s="383"/>
      <c r="F1" s="383"/>
      <c r="G1" s="383"/>
      <c r="H1" s="383"/>
      <c r="I1" s="383"/>
      <c r="J1" s="383"/>
      <c r="K1" s="383"/>
      <c r="L1" s="383"/>
      <c r="M1" s="383"/>
      <c r="N1" s="383" t="str">
        <f>IF('inflation, income and interest'!$B$38=1,"TRUE","FALSE")</f>
        <v>FALSE</v>
      </c>
      <c r="O1" s="383"/>
      <c r="P1" s="384"/>
      <c r="Q1" s="384"/>
      <c r="R1" s="387"/>
      <c r="U1" s="385"/>
      <c r="V1" s="386"/>
    </row>
    <row r="2" spans="1:36">
      <c r="B2" s="591" t="s">
        <v>48</v>
      </c>
      <c r="C2" s="593" t="s">
        <v>52</v>
      </c>
      <c r="D2" s="637"/>
      <c r="E2" s="505"/>
      <c r="F2" s="505"/>
      <c r="G2" s="505"/>
      <c r="H2" s="505"/>
      <c r="I2" s="505"/>
      <c r="J2" s="594"/>
      <c r="K2" s="598" t="s">
        <v>81</v>
      </c>
      <c r="L2" s="598" t="s">
        <v>82</v>
      </c>
      <c r="O2" s="595" t="s">
        <v>45</v>
      </c>
      <c r="P2" s="596"/>
      <c r="Q2" s="596"/>
      <c r="R2" s="596"/>
      <c r="S2" s="32"/>
      <c r="U2" s="600" t="s">
        <v>40</v>
      </c>
      <c r="V2" s="601"/>
      <c r="W2" s="597" t="s">
        <v>38</v>
      </c>
      <c r="X2" s="596"/>
      <c r="Y2" s="597" t="s">
        <v>35</v>
      </c>
      <c r="Z2" s="597"/>
    </row>
    <row r="3" spans="1:36">
      <c r="B3" s="592"/>
      <c r="C3" s="67" t="s">
        <v>17</v>
      </c>
      <c r="E3" s="64" t="s">
        <v>44</v>
      </c>
      <c r="F3" s="64" t="s">
        <v>51</v>
      </c>
      <c r="G3" s="78" t="s">
        <v>80</v>
      </c>
      <c r="H3" s="62" t="s">
        <v>53</v>
      </c>
      <c r="I3" s="62" t="s">
        <v>78</v>
      </c>
      <c r="J3" s="62" t="s">
        <v>77</v>
      </c>
      <c r="K3" s="599"/>
      <c r="L3" s="599"/>
      <c r="M3" s="62" t="s">
        <v>12</v>
      </c>
      <c r="N3" s="62" t="s">
        <v>46</v>
      </c>
      <c r="O3" s="61" t="s">
        <v>44</v>
      </c>
      <c r="P3" s="62" t="s">
        <v>43</v>
      </c>
      <c r="Q3" s="61" t="s">
        <v>42</v>
      </c>
      <c r="R3" s="82" t="s">
        <v>41</v>
      </c>
      <c r="S3" s="80" t="s">
        <v>73</v>
      </c>
      <c r="U3" s="600"/>
      <c r="V3" s="601"/>
      <c r="W3" s="57" t="s">
        <v>1</v>
      </c>
      <c r="X3" s="57" t="s">
        <v>2</v>
      </c>
      <c r="Y3" s="57" t="s">
        <v>36</v>
      </c>
      <c r="Z3" s="57" t="s">
        <v>37</v>
      </c>
    </row>
    <row r="4" spans="1:36">
      <c r="A4" s="43">
        <v>1</v>
      </c>
      <c r="B4" s="62">
        <f>IF(controls!$B$33=1,($AG$4/(1+('main page'!$K$35/100))^4)*(1+W4),AG4*(1+W4))</f>
        <v>100</v>
      </c>
      <c r="D4" s="88">
        <f>E4-B4</f>
        <v>0</v>
      </c>
      <c r="E4" s="64">
        <f>IF(F4&gt;0,F4,0.1)</f>
        <v>100</v>
      </c>
      <c r="F4" s="64">
        <f>IF('main page'!$K$34=1,hystere!H4,hystere!G4)</f>
        <v>100</v>
      </c>
      <c r="G4" s="78">
        <f>I4-'main page'!$K$27*'normal case'!AS5</f>
        <v>100</v>
      </c>
      <c r="H4" s="62">
        <f ca="1">J4-'main page'!$K$27*$AG$6</f>
        <v>100</v>
      </c>
      <c r="I4" s="62">
        <f>'normal case'!AP3</f>
        <v>108</v>
      </c>
      <c r="J4" s="62">
        <f ca="1">(J5+'main page'!$K$27*$AG$6*('main page'!$K$35/100))/(1+('main page'!$K$35/100))+((J5+'main page'!$K$27*$AG$6*('main page'!$K$35/100))/(1+('main page'!$K$35/100))-1)*X4</f>
        <v>108</v>
      </c>
      <c r="M4" s="62">
        <f>('main page'!$U$8/100)*100</f>
        <v>2</v>
      </c>
      <c r="N4" s="62">
        <f>IF(controls!B33=1,(hystere!J5-hystere!B5)/'main page'!$K$27,(hystere!$AD$4-hystere!B5)/'main page'!$K$27)</f>
        <v>4</v>
      </c>
      <c r="O4" s="61">
        <f t="shared" ref="O4:O67" si="0">IF(P4&lt;0,0,P4)</f>
        <v>6</v>
      </c>
      <c r="P4" s="63">
        <f>IF(controls!$B$10=1,hystere!N4+hystere!M4,hystere!Q4)</f>
        <v>6</v>
      </c>
      <c r="Q4" s="61">
        <f>IF('main page'!$Y$53=1,'choose m.p.'!I3*100,R4)</f>
        <v>6</v>
      </c>
      <c r="R4" s="83">
        <f>'main page'!$K$29*M4+(1-'main page'!$K$29)*'main page'!$U$8+S4+(('main page'!$K$25*'main page'!$U$13*'main page'!$K$29)/('main page'!$K$27*(1+('main page'!$K$25^2)*'main page'!$U$13)))*(M4-('main page'!$U$8/100)*100)</f>
        <v>6</v>
      </c>
      <c r="S4" s="81">
        <f>IF(controls!$B$33=1,(J5-E4*X5-B5)/'main page'!$K$27,(I5-E4*X5-B5)/'main page'!$K$27)</f>
        <v>4</v>
      </c>
      <c r="W4" s="36">
        <f>'normal case'!AC3</f>
        <v>0</v>
      </c>
      <c r="X4" s="36">
        <f>'normal case'!AD3</f>
        <v>0</v>
      </c>
      <c r="Y4" s="44">
        <f>IF(controls!$B$33=1,E4-(J4-'main page'!$K$27*2),E4-AG5)</f>
        <v>0</v>
      </c>
      <c r="Z4" s="44">
        <f>ABS(M4-('main page'!$U$8/100)*100)</f>
        <v>0</v>
      </c>
      <c r="AC4" s="55" t="s">
        <v>76</v>
      </c>
      <c r="AD4" s="55">
        <f>'normal case'!AP3</f>
        <v>108</v>
      </c>
      <c r="AF4" s="63" t="s">
        <v>47</v>
      </c>
      <c r="AG4" s="63">
        <f>'normal case'!AS3</f>
        <v>100</v>
      </c>
      <c r="AI4" s="36"/>
      <c r="AJ4" s="36"/>
    </row>
    <row r="5" spans="1:36">
      <c r="A5" s="43">
        <v>2</v>
      </c>
      <c r="B5" s="62">
        <f>IF(controls!$B$33=1,($AG$4/(1+('main page'!$K$35/100))^3)*(1+W5),B4*(1+W5))</f>
        <v>100</v>
      </c>
      <c r="C5" s="67">
        <f t="shared" ref="C5:C68" si="1">E5/E4-1</f>
        <v>0</v>
      </c>
      <c r="D5" s="88">
        <f t="shared" ref="D5:D68" si="2">E5-B5</f>
        <v>0</v>
      </c>
      <c r="E5" s="64">
        <f t="shared" ref="E5:E68" si="3">IF(F5&gt;0,F5,0.1)</f>
        <v>100</v>
      </c>
      <c r="F5" s="64">
        <f>IF('main page'!$K$34=1,hystere!H5,hystere!G5)</f>
        <v>100</v>
      </c>
      <c r="G5" s="78">
        <f>I5-'main page'!$K$27*hystere!N4</f>
        <v>100</v>
      </c>
      <c r="H5" s="62">
        <f ca="1">J5-'main page'!$K$27*N4</f>
        <v>100</v>
      </c>
      <c r="I5" s="62">
        <f>I4+E4*X5</f>
        <v>108</v>
      </c>
      <c r="J5" s="62">
        <f ca="1">(J6+'main page'!$K$27*$AG$6*('main page'!$K$35/100))/(1+('main page'!$K$35/100))+((J6+'main page'!$K$27*$AG$6*('main page'!$K$35/100))/(1+('main page'!$K$35/100))-1)*X5</f>
        <v>108</v>
      </c>
      <c r="M5" s="62">
        <f>IF(ABS('main page'!$K$29*M4+(1-'main page'!$K$29)*('main page'!$U$8/100)*100+'main page'!$K$25*(E5-B5)-M4)&lt;0.0000001,M4,'main page'!$K$29*M4+(1-'main page'!$K$29)*('main page'!$U$8/100)*100+'main page'!$K$25*(E5-B5))</f>
        <v>2</v>
      </c>
      <c r="N5" s="62">
        <f ca="1">IF(controls!$B$10=1,N4,O5-'main page'!$K$29*M5-(1-'main page'!$K$29)*'main page'!$U$8)</f>
        <v>4</v>
      </c>
      <c r="O5" s="61">
        <f t="shared" ca="1" si="0"/>
        <v>6</v>
      </c>
      <c r="P5" s="63">
        <f ca="1">IF(controls!$B$10=1,hystere!N5+hystere!M5,hystere!Q5)</f>
        <v>6</v>
      </c>
      <c r="Q5" s="61">
        <f ca="1">IF('main page'!$Y$53=1,'choose m.p.'!I4*100,R5)</f>
        <v>6</v>
      </c>
      <c r="R5" s="83">
        <f ca="1">'main page'!$K$29*M5+(1-'main page'!$K$29)*'main page'!$U$8+S5+(('main page'!$K$25*'main page'!$U$13*'main page'!$K$29)/('main page'!$K$27*(1+('main page'!$K$25^2)*'main page'!$U$13)))*(M5-('main page'!$U$8/100)*100)</f>
        <v>6</v>
      </c>
      <c r="S5" s="81">
        <f ca="1">IF(controls!$B$33=1,(J6-E5*X6-B5)/'main page'!$K$27,(I6-E5*X6-B5)/'main page'!$K$27)</f>
        <v>4</v>
      </c>
      <c r="U5" s="58"/>
      <c r="V5" s="60"/>
      <c r="W5" s="36">
        <f>'normal case'!AC4</f>
        <v>0</v>
      </c>
      <c r="X5" s="36">
        <f>'normal case'!AD4</f>
        <v>0</v>
      </c>
      <c r="Y5" s="44">
        <f>IF(controls!$B$33=1,E5-($J$4-'main page'!$K$27*2)*(1+('main page'!$K$35/100))^A4,E5-$AG$5)</f>
        <v>0</v>
      </c>
      <c r="Z5" s="44">
        <f>ABS(M5-('main page'!$U$8/100)*100)</f>
        <v>0</v>
      </c>
      <c r="AC5" s="55" t="s">
        <v>79</v>
      </c>
      <c r="AD5" s="56">
        <f ca="1">AD4+($AD$4-'main page'!$K$27*hystere!N7)*('main page'!$K$8/100)</f>
        <v>108</v>
      </c>
      <c r="AE5" s="52"/>
      <c r="AF5" s="55" t="s">
        <v>49</v>
      </c>
      <c r="AG5" s="55">
        <f>'normal case'!AS4</f>
        <v>100</v>
      </c>
      <c r="AH5" s="52"/>
      <c r="AI5" s="36"/>
      <c r="AJ5" s="36"/>
    </row>
    <row r="6" spans="1:36">
      <c r="A6" s="43">
        <v>3</v>
      </c>
      <c r="B6" s="62">
        <f ca="1">IF(controls!$B$33=1,($AG$4/(1+('main page'!$K$35/100))^2)*(1+W6),B5*(1+W6))</f>
        <v>100</v>
      </c>
      <c r="C6" s="67">
        <f t="shared" ca="1" si="1"/>
        <v>0</v>
      </c>
      <c r="D6" s="88">
        <f t="shared" ca="1" si="2"/>
        <v>0</v>
      </c>
      <c r="E6" s="64">
        <f t="shared" ca="1" si="3"/>
        <v>100</v>
      </c>
      <c r="F6" s="64">
        <f ca="1">IF('main page'!$K$34=1,hystere!H6,hystere!G6)</f>
        <v>100</v>
      </c>
      <c r="G6" s="78">
        <f ca="1">I6-'main page'!$K$27*hystere!N5</f>
        <v>100</v>
      </c>
      <c r="H6" s="62">
        <f ca="1">J6-'main page'!$K$27*N5</f>
        <v>100</v>
      </c>
      <c r="I6" s="62">
        <f ca="1">I5+E5*X6</f>
        <v>108</v>
      </c>
      <c r="J6" s="62">
        <f ca="1">(J7+'main page'!$K$27*$AG$6*('main page'!$K$35/100))/(1+('main page'!$K$35/100))+((J7+'main page'!$K$27*$AG$6*('main page'!$K$35/100))/(1+('main page'!$K$35/100))-1)*X6</f>
        <v>108</v>
      </c>
      <c r="M6" s="62">
        <f ca="1">IF(ABS('main page'!$K$29*M5+(1-'main page'!$K$29)*('main page'!$U$8/100)*100+'main page'!$K$25*(E6-B6)-M5)&lt;0.0000001,M5,'main page'!$K$29*M5+(1-'main page'!$K$29)*('main page'!$U$8/100)*100+'main page'!$K$25*(E6-B6))</f>
        <v>2</v>
      </c>
      <c r="N6" s="62">
        <f ca="1">IF(controls!$B$10=1,N5,O6-'main page'!$K$29*M6-(1-'main page'!$K$29)*'main page'!$U$8)</f>
        <v>4</v>
      </c>
      <c r="O6" s="61">
        <f t="shared" ca="1" si="0"/>
        <v>6</v>
      </c>
      <c r="P6" s="63">
        <f ca="1">IF(controls!$B$10=1,hystere!N6+hystere!M6,hystere!Q6)</f>
        <v>6</v>
      </c>
      <c r="Q6" s="61">
        <f ca="1">IF('main page'!$Y$53=1,'choose m.p.'!I5*100,R6)</f>
        <v>6</v>
      </c>
      <c r="R6" s="83">
        <f ca="1">'main page'!$K$29*M6+(1-'main page'!$K$29)*'main page'!$U$8+S6+(('main page'!$K$25*'main page'!$U$13*'main page'!$K$29)/('main page'!$K$27*(1+('main page'!$K$25^2)*'main page'!$U$13)))*(M6-('main page'!$U$8/100)*100)</f>
        <v>6</v>
      </c>
      <c r="S6" s="81">
        <f ca="1">IF(controls!$B$33=1,(J7-E6*X7-B6)/'main page'!$K$27,(I7-E6*X7-B6)/'main page'!$K$27)</f>
        <v>4</v>
      </c>
      <c r="U6" s="58"/>
      <c r="V6" s="60">
        <v>-2</v>
      </c>
      <c r="W6" s="36">
        <f ca="1">'normal case'!AC5</f>
        <v>0</v>
      </c>
      <c r="X6" s="36">
        <f ca="1">'normal case'!AD5</f>
        <v>0</v>
      </c>
      <c r="Y6" s="44">
        <f ca="1">IF(controls!$B$33=1,E6-($J$4-'main page'!$K$27*2)*(1+('main page'!$K$35/100))^A5,E6-$AG$5)</f>
        <v>0</v>
      </c>
      <c r="Z6" s="44">
        <f ca="1">ABS(M6-('main page'!$U$8/100)*100)</f>
        <v>0</v>
      </c>
      <c r="AC6" s="55" t="s">
        <v>74</v>
      </c>
      <c r="AD6" s="55">
        <f ca="1">IF(controls!B7=1,$AD$4*(1+('main page'!U22/100)),$AD$5*(1+('main page'!U22/100)))</f>
        <v>108</v>
      </c>
      <c r="AE6" s="52"/>
      <c r="AF6" s="55" t="s">
        <v>50</v>
      </c>
      <c r="AG6" s="55">
        <f>'normal case'!AS5</f>
        <v>4</v>
      </c>
      <c r="AH6" s="52"/>
      <c r="AI6" s="36"/>
      <c r="AJ6" s="36"/>
    </row>
    <row r="7" spans="1:36">
      <c r="A7" s="43">
        <v>4</v>
      </c>
      <c r="B7" s="62">
        <f ca="1">IF(controls!$B$33=1,($AG$4/(1+('main page'!$K$35/100)))*(1+W7),B6*(1+W7))</f>
        <v>100</v>
      </c>
      <c r="C7" s="67">
        <f t="shared" ca="1" si="1"/>
        <v>0</v>
      </c>
      <c r="D7" s="88">
        <f t="shared" ca="1" si="2"/>
        <v>0</v>
      </c>
      <c r="E7" s="64">
        <f t="shared" ca="1" si="3"/>
        <v>100</v>
      </c>
      <c r="F7" s="64">
        <f ca="1">IF('main page'!$K$34=1,hystere!H7,hystere!G7)</f>
        <v>100</v>
      </c>
      <c r="G7" s="78">
        <f ca="1">I7-'main page'!$K$27*hystere!N6</f>
        <v>100</v>
      </c>
      <c r="H7" s="62">
        <f ca="1">J7-'main page'!$K$27*N6</f>
        <v>100</v>
      </c>
      <c r="I7" s="62">
        <f ca="1">I6+E6*X7</f>
        <v>108</v>
      </c>
      <c r="J7" s="62">
        <f>(('normal case'!AP3+'main page'!$K$27*$AG$6*('main page'!$K$35/100))/(1+('main page'!$K$35/100)))+((($AD$4+'main page'!$K$27*$AG$6*('main page'!$K$35/100))/(1+('main page'!$K$35/100)))-1)*X7</f>
        <v>108</v>
      </c>
      <c r="M7" s="62">
        <f ca="1">IF(ABS('main page'!$K$29*M6+(1-'main page'!$K$29)*('main page'!$U$8/100)*100+'main page'!$K$25*(E7-B7)-M6)&lt;0.0000001,M6,'main page'!$K$29*M6+(1-'main page'!$K$29)*('main page'!$U$8/100)*100+'main page'!$K$25*(E7-B7))</f>
        <v>2</v>
      </c>
      <c r="N7" s="62">
        <f ca="1">IF(controls!$B$10=1,N6,O7-'main page'!$K$29*M7-(1-'main page'!$K$29)*'main page'!$U$8)</f>
        <v>4</v>
      </c>
      <c r="O7" s="61">
        <f t="shared" ca="1" si="0"/>
        <v>6</v>
      </c>
      <c r="P7" s="63">
        <f ca="1">IF(controls!$B$10=1,hystere!N7+hystere!M7,hystere!Q7)</f>
        <v>6</v>
      </c>
      <c r="Q7" s="61">
        <f ca="1">IF('main page'!$Y$53=1,'choose m.p.'!I6*100,R7)</f>
        <v>6</v>
      </c>
      <c r="R7" s="83">
        <f ca="1">'main page'!$K$29*M7+(1-'main page'!$K$29)*'main page'!$U$8+S7+(('main page'!$K$25*'main page'!$U$13*'main page'!$K$29)/('main page'!$K$27*(1+('main page'!$K$25^2)*'main page'!$U$13)))*(M7-('main page'!$U$8/100)*100)</f>
        <v>6</v>
      </c>
      <c r="S7" s="81">
        <f ca="1">IF(controls!$B$33=1,(J8-E7*X8-$AG$8-B7)/'main page'!$K$27,(I8-E7*X8-$AG$8-B7)/'main page'!$K$27)</f>
        <v>4</v>
      </c>
      <c r="U7" s="58">
        <f>$AG$4*(1+('main page'!$K$35/100))^V7-$AG$4*(1+('main page'!$K$35/100))^V6</f>
        <v>0</v>
      </c>
      <c r="V7" s="60">
        <v>-1</v>
      </c>
      <c r="W7" s="36">
        <f>'normal case'!AC6</f>
        <v>0</v>
      </c>
      <c r="X7" s="36">
        <f>'normal case'!AD6</f>
        <v>0</v>
      </c>
      <c r="Y7" s="44">
        <f ca="1">IF(controls!$B$33=1,E7-($J$4-'main page'!$K$27*2)*(1+('main page'!$K$35/100))^A6,E7-$AG$5)</f>
        <v>0</v>
      </c>
      <c r="Z7" s="44">
        <f ca="1">ABS(M7-('main page'!$U$8/100)*100)</f>
        <v>0</v>
      </c>
      <c r="AC7" s="55" t="s">
        <v>75</v>
      </c>
      <c r="AD7" s="56">
        <f ca="1">IF(controls!B7=1,AD4,AD5)</f>
        <v>108</v>
      </c>
      <c r="AE7" s="52"/>
      <c r="AF7" s="52"/>
      <c r="AG7" s="52"/>
      <c r="AI7" s="36"/>
      <c r="AJ7" s="36"/>
    </row>
    <row r="8" spans="1:36">
      <c r="A8" s="43">
        <v>5</v>
      </c>
      <c r="B8" s="62">
        <f ca="1">AVERAGE(E4:E7)+B7*W8+$AG$9</f>
        <v>101</v>
      </c>
      <c r="C8" s="67">
        <f t="shared" ca="1" si="1"/>
        <v>0</v>
      </c>
      <c r="D8" s="88">
        <f t="shared" ca="1" si="2"/>
        <v>-1</v>
      </c>
      <c r="E8" s="64">
        <f t="shared" ca="1" si="3"/>
        <v>100</v>
      </c>
      <c r="F8" s="64">
        <f ca="1">IF('main page'!$K$34=1,hystere!H8,hystere!G8)</f>
        <v>100</v>
      </c>
      <c r="G8" s="78">
        <f ca="1">I8-'main page'!$K$27*hystere!N7</f>
        <v>100</v>
      </c>
      <c r="H8" s="62">
        <f ca="1">J8-'main page'!$K$27*N7</f>
        <v>100</v>
      </c>
      <c r="I8" s="62">
        <f ca="1">I7+$AG$8+E7*X8</f>
        <v>108</v>
      </c>
      <c r="J8" s="62">
        <f ca="1">'normal case'!AP3+$AG$8+E7*X8</f>
        <v>108</v>
      </c>
      <c r="M8" s="62">
        <f ca="1">IF(ABS('main page'!$K$29*M7+(1-'main page'!$K$29)*('main page'!$U$8/100)*100+'main page'!$K$25*(E8-B8)-M7)&lt;0.0000001,M7,'main page'!$K$29*M7+(1-'main page'!$K$29)*('main page'!$U$8/100)*100+'main page'!$K$25*(E8-B8))</f>
        <v>1</v>
      </c>
      <c r="N8" s="62">
        <f ca="1">IF(controls!$B$10=1,N7,O8-'main page'!$K$29*M8-(1-'main page'!$K$29)*'main page'!$U$8)</f>
        <v>3.25</v>
      </c>
      <c r="O8" s="61">
        <f t="shared" ca="1" si="0"/>
        <v>4.25</v>
      </c>
      <c r="P8" s="63">
        <f ca="1">IF(controls!$B$10=1,hystere!N8+hystere!M8,hystere!Q8)</f>
        <v>4.25</v>
      </c>
      <c r="Q8" s="61">
        <f ca="1">IF('main page'!$Y$53=1,'choose m.p.'!I7*100,R8)</f>
        <v>4.25</v>
      </c>
      <c r="R8" s="83">
        <f ca="1">'main page'!$K$29*M8+(1-'main page'!$K$29)*'main page'!$U$8+S8+(('main page'!$K$25*'main page'!$U$13*'main page'!$K$29)/('main page'!$K$27*(1+('main page'!$K$25^2)*'main page'!$U$13)))*(M8-('main page'!$U$8/100)*100)</f>
        <v>4.25</v>
      </c>
      <c r="S8" s="81">
        <f ca="1">IF(controls!$B$6=1,IF(controls!$B$33=1,(J9-E8*X9-L9-B8+hystere!$AG$9)/'main page'!$K$27,(I9-E8*X9-K9-B8+hystere!$AG$9)/'main page'!$K$27),IF(controls!$B$33=1,(J9-E8*X9-L9-B8)/'main page'!$K$27,(I9-E8*X9-K9-B8)/'main page'!$K$27))</f>
        <v>3.5</v>
      </c>
      <c r="U8" s="58">
        <f>$AG$4*(1+('main page'!$K$35/100))^V8-$AG$4*(1+('main page'!$K$35/100))^V8</f>
        <v>0</v>
      </c>
      <c r="V8" s="60">
        <v>0</v>
      </c>
      <c r="W8" s="36">
        <f>'normal case'!AC7</f>
        <v>0</v>
      </c>
      <c r="X8" s="36">
        <f>'normal case'!AD7</f>
        <v>0</v>
      </c>
      <c r="Y8" s="44">
        <f ca="1">IF(controls!$B$33=1,E8-($J$4-'main page'!$K$27*2)*(1+('main page'!$K$35/100))^A7,E8-$AG$5)</f>
        <v>0</v>
      </c>
      <c r="Z8" s="44">
        <f ca="1">ABS(M8-('main page'!$U$8/100)*100)</f>
        <v>1</v>
      </c>
      <c r="AB8" s="52"/>
      <c r="AC8" s="52"/>
      <c r="AD8" s="52"/>
      <c r="AE8" s="52"/>
      <c r="AF8" s="55" t="s">
        <v>90</v>
      </c>
      <c r="AG8" s="55">
        <f>('main page'!K8/100)*hystere!AG5</f>
        <v>0</v>
      </c>
      <c r="AI8" s="36"/>
      <c r="AJ8" s="36"/>
    </row>
    <row r="9" spans="1:36">
      <c r="A9" s="43">
        <v>6</v>
      </c>
      <c r="B9" s="62">
        <f ca="1">IF(controls!$B$6=2,AVERAGE(E5:E8)+B8*W9+hystere!$AG$9,AVERAGE(E5:E8)+B8*W9)</f>
        <v>101</v>
      </c>
      <c r="C9" s="67">
        <f t="shared" ca="1" si="1"/>
        <v>1.4999999999999902E-2</v>
      </c>
      <c r="D9" s="88">
        <f t="shared" ca="1" si="2"/>
        <v>0.5</v>
      </c>
      <c r="E9" s="64">
        <f t="shared" ca="1" si="3"/>
        <v>101.5</v>
      </c>
      <c r="F9" s="64">
        <f ca="1">IF('main page'!$K$34=1,hystere!H9,hystere!G9)</f>
        <v>101.5</v>
      </c>
      <c r="G9" s="78">
        <f ca="1">I9-'main page'!$K$27*hystere!N8</f>
        <v>101.5</v>
      </c>
      <c r="H9" s="62">
        <f ca="1">J9-'main page'!$K$27*N8</f>
        <v>101.5</v>
      </c>
      <c r="I9" s="62">
        <f ca="1">IF(controls!$B$7=2,hystere!I8+E8*X9+K9,hystere!I8+E8*X9-$AG$8+K9)</f>
        <v>108</v>
      </c>
      <c r="J9" s="62">
        <f ca="1">IF(controls!$B$7=1,J8+E8*X9+U9-$AG$8+L9,J8+E8*X9+U9+L9)</f>
        <v>108</v>
      </c>
      <c r="K9" s="79">
        <f ca="1">IF(controls!$B$30=1,('main page'!$U$22/100)*hystere!I8,)</f>
        <v>0</v>
      </c>
      <c r="L9" s="79">
        <f ca="1">IF(controls!$B$30=1,('main page'!$U$22/100)*hystere!J8,)</f>
        <v>0</v>
      </c>
      <c r="M9" s="62">
        <f ca="1">IF(ABS('main page'!$K$29*M8+(1-'main page'!$K$29)*('main page'!$U$8/100)*100+'main page'!$K$25*(E9-B9)-M8)&lt;0.0000001,M8,'main page'!$K$29*M8+(1-'main page'!$K$29)*('main page'!$U$8/100)*100+'main page'!$K$25*(E9-B9))</f>
        <v>1.5</v>
      </c>
      <c r="N9" s="62">
        <f ca="1">IF(controls!$B$10=1,N8,O9-'main page'!$K$29*M9-(1-'main page'!$K$29)*'main page'!$U$8)</f>
        <v>3.375</v>
      </c>
      <c r="O9" s="61">
        <f t="shared" ca="1" si="0"/>
        <v>4.875</v>
      </c>
      <c r="P9" s="63">
        <f ca="1">IF(controls!$B$10=1,hystere!N9+hystere!M9,hystere!Q9)</f>
        <v>4.875</v>
      </c>
      <c r="Q9" s="61">
        <f ca="1">IF('main page'!$Y$53=1,'choose m.p.'!I8*100,R9)</f>
        <v>4.875</v>
      </c>
      <c r="R9" s="83">
        <f ca="1">'main page'!$K$29*M9+(1-'main page'!$K$29)*'main page'!$U$8+S9+(('main page'!$K$25*'main page'!$U$13*'main page'!$K$29)/('main page'!$K$27*(1+('main page'!$K$25^2)*'main page'!$U$13)))*(M9-('main page'!$U$8/100)*100)</f>
        <v>4.875</v>
      </c>
      <c r="S9" s="81">
        <f ca="1">IF(controls!$B$33=1,(J10-E9*X10-L10-B9)/'main page'!$K$27,(I10-E9*X10-K10-B9)/'main page'!$K$27)</f>
        <v>3.5</v>
      </c>
      <c r="U9" s="58">
        <f>IF(controls!$B$6=1,$AG$4*(1+('main page'!$K$35/100))^V9-$AG$4*(1+('main page'!$K$35/100))^V8,$AG$4*(1+('main page'!$G$8/100))*(1+('main page'!$K$35/100))^V9-$AG$4*(1+('main page'!$G$8/100))*(1+('main page'!$K$35/100))^V8)</f>
        <v>0</v>
      </c>
      <c r="V9" s="60">
        <v>1</v>
      </c>
      <c r="W9" s="36">
        <f ca="1">'normal case'!AC8</f>
        <v>0</v>
      </c>
      <c r="X9" s="36">
        <f ca="1">'normal case'!AD8</f>
        <v>0</v>
      </c>
      <c r="Y9" s="44">
        <f ca="1">IF(controls!$B$33=1,E9-($J$4-'main page'!$K$27*2)*(1+('main page'!$K$35/100))^A8,E9-$AG$5)</f>
        <v>1.5</v>
      </c>
      <c r="Z9" s="44">
        <f ca="1">ABS(M9-('main page'!$U$8/100)*100)</f>
        <v>0.5</v>
      </c>
      <c r="AC9" s="55" t="s">
        <v>0</v>
      </c>
      <c r="AD9" s="55">
        <f>(controls!B9/100)*100</f>
        <v>2</v>
      </c>
      <c r="AF9" s="55" t="s">
        <v>91</v>
      </c>
      <c r="AG9" s="63">
        <f>('main page'!G8/100)*hystere!AG4</f>
        <v>1</v>
      </c>
      <c r="AI9" s="36"/>
      <c r="AJ9" s="36"/>
    </row>
    <row r="10" spans="1:36">
      <c r="A10" s="43">
        <v>7</v>
      </c>
      <c r="B10" s="62">
        <f ca="1">IF(controls!$B$6=2,AVERAGE(E6:E9)+B9*W10+hystere!$AG$9,AVERAGE(E6:E9)+B9*W10)</f>
        <v>101.375</v>
      </c>
      <c r="C10" s="67">
        <f t="shared" ca="1" si="1"/>
        <v>-2.4630541871921707E-3</v>
      </c>
      <c r="D10" s="88">
        <f t="shared" ca="1" si="2"/>
        <v>-0.125</v>
      </c>
      <c r="E10" s="64">
        <f t="shared" ca="1" si="3"/>
        <v>101.25</v>
      </c>
      <c r="F10" s="64">
        <f ca="1">IF('main page'!$K$34=1,hystere!H10,hystere!G10)</f>
        <v>101.25</v>
      </c>
      <c r="G10" s="78">
        <f ca="1">I10-'main page'!$K$27*hystere!N9</f>
        <v>101.25</v>
      </c>
      <c r="H10" s="62">
        <f ca="1">J10-'main page'!$K$27*N9</f>
        <v>101.25</v>
      </c>
      <c r="I10" s="62">
        <f ca="1">IF(controls!$B$31=2,I9+E9*X10+K10,I9+E9*X10+K10-K9)</f>
        <v>108</v>
      </c>
      <c r="J10" s="62">
        <f ca="1">IF(controls!$B$31=2,J9+E9*X10+U10+L10,J9+E9*X10+U10+L10-L9)</f>
        <v>108</v>
      </c>
      <c r="K10" s="79">
        <f>IF(controls!$B$30=2,('main page'!$U$22/100)*hystere!I9,)</f>
        <v>0</v>
      </c>
      <c r="L10" s="79">
        <f>IF(controls!$B$30=2,('main page'!$U$22/100)*hystere!J9,)</f>
        <v>0</v>
      </c>
      <c r="M10" s="62">
        <f ca="1">IF(ABS('main page'!$K$29*M9+(1-'main page'!$K$29)*('main page'!$U$8/100)*100+'main page'!$K$25*(E10-B10)-M9)&lt;0.0000001,M9,'main page'!$K$29*M9+(1-'main page'!$K$29)*('main page'!$U$8/100)*100+'main page'!$K$25*(E10-B10))</f>
        <v>1.375</v>
      </c>
      <c r="N10" s="62">
        <f ca="1">IF(controls!$B$10=1,N9,O10-'main page'!$K$29*M10-(1-'main page'!$K$29)*'main page'!$U$8)</f>
        <v>3.15625</v>
      </c>
      <c r="O10" s="61">
        <f t="shared" ca="1" si="0"/>
        <v>4.53125</v>
      </c>
      <c r="P10" s="63">
        <f ca="1">IF(controls!$B$10=1,hystere!N10+hystere!M10,hystere!Q10)</f>
        <v>4.53125</v>
      </c>
      <c r="Q10" s="61">
        <f ca="1">IF('main page'!$Y$53=1,'choose m.p.'!I9*100,R10)</f>
        <v>4.53125</v>
      </c>
      <c r="R10" s="83">
        <f ca="1">'main page'!$K$29*M10+(1-'main page'!$K$29)*'main page'!$U$8+S10+(('main page'!$K$25*'main page'!$U$13*'main page'!$K$29)/('main page'!$K$27*(1+('main page'!$K$25^2)*'main page'!$U$13)))*(M10-('main page'!$U$8/100)*100)</f>
        <v>4.53125</v>
      </c>
      <c r="S10" s="81">
        <f ca="1">IF(controls!$B$33=1,(J11-E10*X11-L11-B10)/'main page'!$K$27,(I11-E10*X11-K11-B10)/'main page'!$K$27)</f>
        <v>3.3125</v>
      </c>
      <c r="U10" s="58">
        <f>IF(controls!$B$6=1,$AG$4*(1+('main page'!$K$35/100))^V10-$AG$4*(1+('main page'!$K$35/100))^V9,$AG$4*(1+(('main page'!$G$8/100)/100))*(1+('main page'!$K$35/100))^V10-$AG$4*(1+(('main page'!$G$8/100)/100))*(1+('main page'!$K$35/100))^V9)</f>
        <v>0</v>
      </c>
      <c r="V10" s="60">
        <v>2</v>
      </c>
      <c r="W10" s="36">
        <f>'normal case'!AC9</f>
        <v>0</v>
      </c>
      <c r="X10" s="36">
        <f>'normal case'!AD9</f>
        <v>0</v>
      </c>
      <c r="Y10" s="44">
        <f ca="1">IF(controls!$B$33=1,E10-($J$4-'main page'!$K$27*2)*(1+('main page'!$K$35/100))^A9,E10-$AG$5)</f>
        <v>1.25</v>
      </c>
      <c r="Z10" s="44">
        <f ca="1">ABS(M10-('main page'!$U$8/100)*100)</f>
        <v>0.625</v>
      </c>
      <c r="AI10" s="36"/>
      <c r="AJ10" s="36"/>
    </row>
    <row r="11" spans="1:36">
      <c r="A11" s="43">
        <v>8</v>
      </c>
      <c r="B11" s="62">
        <f ca="1">IF(controls!$B$6=2,AVERAGE(E7:E10)+B10*W11+hystere!$AG$9,AVERAGE(E7:E10)+B10*W11)</f>
        <v>101.6875</v>
      </c>
      <c r="C11" s="67">
        <f t="shared" ca="1" si="1"/>
        <v>4.3209876543210957E-3</v>
      </c>
      <c r="D11" s="88">
        <f t="shared" ca="1" si="2"/>
        <v>0</v>
      </c>
      <c r="E11" s="64">
        <f t="shared" ca="1" si="3"/>
        <v>101.6875</v>
      </c>
      <c r="F11" s="64">
        <f ca="1">IF('main page'!$K$34=1,hystere!H11,hystere!G11)</f>
        <v>101.6875</v>
      </c>
      <c r="G11" s="78">
        <f ca="1">I11-'main page'!$K$27*hystere!N10</f>
        <v>101.6875</v>
      </c>
      <c r="H11" s="62">
        <f ca="1">J11-'main page'!$K$27*N10</f>
        <v>101.6875</v>
      </c>
      <c r="I11" s="62">
        <f ca="1">IF(controls!$B$31=2,I10+E10*X11+K11,I10+E10*X11+K11-K10)</f>
        <v>108</v>
      </c>
      <c r="J11" s="62">
        <f ca="1">IF(controls!$B$31=2,J10+E10*X11+U11+L11,J10+E10*X11+U11+L11-L10)</f>
        <v>108</v>
      </c>
      <c r="K11" s="79">
        <f>IF(controls!$B$30=3,('main page'!$U$22/100)*hystere!I10,)</f>
        <v>0</v>
      </c>
      <c r="L11" s="79">
        <f>IF(controls!$B$30=3,('main page'!$U$22/100)*hystere!J10,)</f>
        <v>0</v>
      </c>
      <c r="M11" s="62">
        <f ca="1">IF(ABS('main page'!$K$29*M10+(1-'main page'!$K$29)*('main page'!$U$8/100)*100+'main page'!$K$25*(E11-B11)-M10)&lt;0.0000001,M10,'main page'!$K$29*M10+(1-'main page'!$K$29)*('main page'!$U$8/100)*100+'main page'!$K$25*(E11-B11))</f>
        <v>1.375</v>
      </c>
      <c r="N11" s="62">
        <f ca="1">IF(controls!$B$10=1,N10,O11-'main page'!$K$29*M11-(1-'main page'!$K$29)*'main page'!$U$8)</f>
        <v>3</v>
      </c>
      <c r="O11" s="61">
        <f t="shared" ca="1" si="0"/>
        <v>4.375</v>
      </c>
      <c r="P11" s="63">
        <f ca="1">IF(controls!$B$10=1,hystere!N11+hystere!M11,hystere!Q11)</f>
        <v>4.375</v>
      </c>
      <c r="Q11" s="61">
        <f ca="1">IF('main page'!$Y$53=1,'choose m.p.'!I10*100,R11)</f>
        <v>4.375</v>
      </c>
      <c r="R11" s="83">
        <f ca="1">'main page'!$K$29*M11+(1-'main page'!$K$29)*'main page'!$U$8+S11+(('main page'!$K$25*'main page'!$U$13*'main page'!$K$29)/('main page'!$K$27*(1+('main page'!$K$25^2)*'main page'!$U$13)))*(M11-('main page'!$U$8/100)*100)</f>
        <v>4.375</v>
      </c>
      <c r="S11" s="81">
        <f ca="1">IF(controls!$B$33=1,(J12-E11*X12-L12-B11)/'main page'!$K$27,(I12-E11*X12-K12-B11)/'main page'!$K$27)</f>
        <v>3.15625</v>
      </c>
      <c r="U11" s="58">
        <f>IF(controls!$B$6=1,$AG$4*(1+('main page'!$K$35/100))^V11-$AG$4*(1+('main page'!$K$35/100))^V10,$AG$4*(1+(('main page'!$G$8/100)/100))*(1+('main page'!$K$35/100))^V11-$AG$4*(1+(('main page'!$G$8/100)/100))*(1+('main page'!$K$35/100))^V10)</f>
        <v>0</v>
      </c>
      <c r="V11" s="60">
        <v>3</v>
      </c>
      <c r="W11" s="36">
        <f>'normal case'!AC10</f>
        <v>0</v>
      </c>
      <c r="X11" s="36">
        <f>'normal case'!AD10</f>
        <v>0</v>
      </c>
      <c r="Y11" s="44">
        <f ca="1">IF(controls!$B$33=1,E11-($J$4-'main page'!$K$27*2)*(1+('main page'!$K$35/100))^A10,E11-$AG$5)</f>
        <v>1.6875</v>
      </c>
      <c r="Z11" s="44">
        <f ca="1">ABS(M11-('main page'!$U$8/100)*100)</f>
        <v>0.625</v>
      </c>
      <c r="AI11" s="36"/>
      <c r="AJ11" s="36"/>
    </row>
    <row r="12" spans="1:36">
      <c r="A12" s="43">
        <v>9</v>
      </c>
      <c r="B12" s="62">
        <f ca="1">IF(controls!$B$6=2,AVERAGE(E8:E11)+B11*W12+hystere!$AG$9,AVERAGE(E8:E11)+B11*W12)</f>
        <v>102.109375</v>
      </c>
      <c r="C12" s="67">
        <f t="shared" ca="1" si="1"/>
        <v>3.0731407498463259E-3</v>
      </c>
      <c r="D12" s="88">
        <f t="shared" ca="1" si="2"/>
        <v>-0.109375</v>
      </c>
      <c r="E12" s="64">
        <f t="shared" ca="1" si="3"/>
        <v>102</v>
      </c>
      <c r="F12" s="64">
        <f ca="1">IF('main page'!$K$34=1,hystere!H12,hystere!G12)</f>
        <v>102</v>
      </c>
      <c r="G12" s="78">
        <f ca="1">I12-'main page'!$K$27*hystere!N11</f>
        <v>102</v>
      </c>
      <c r="H12" s="62">
        <f ca="1">J12-'main page'!$K$27*N11</f>
        <v>102</v>
      </c>
      <c r="I12" s="62">
        <f ca="1">IF(controls!$B$31=2,I11+E11*X12+K12,I11+E11*X12+K12-K11)</f>
        <v>108</v>
      </c>
      <c r="J12" s="62">
        <f ca="1">IF(controls!$B$31=2,J11+E11*X12+U12+L12,J11+E11*X12+U12+L12-L11)</f>
        <v>108</v>
      </c>
      <c r="K12" s="79">
        <f>IF(controls!$B$30=4,('main page'!$U$22/100)*hystere!I11,)</f>
        <v>0</v>
      </c>
      <c r="L12" s="79">
        <f>IF(controls!$B$30=4,('main page'!$U$22/100)*hystere!J11,)</f>
        <v>0</v>
      </c>
      <c r="M12" s="62">
        <f ca="1">IF(ABS('main page'!$K$29*M11+(1-'main page'!$K$29)*('main page'!$U$8/100)*100+'main page'!$K$25*(E12-B12)-M11)&lt;0.0000001,M11,'main page'!$K$29*M11+(1-'main page'!$K$29)*('main page'!$U$8/100)*100+'main page'!$K$25*(E12-B12))</f>
        <v>1.265625</v>
      </c>
      <c r="N12" s="62">
        <f ca="1">IF(controls!$B$10=1,N11,O12-'main page'!$K$29*M12-(1-'main page'!$K$29)*'main page'!$U$8)</f>
        <v>2.76171875</v>
      </c>
      <c r="O12" s="61">
        <f t="shared" ca="1" si="0"/>
        <v>4.02734375</v>
      </c>
      <c r="P12" s="63">
        <f ca="1">IF(controls!$B$10=1,hystere!N12+hystere!M12,hystere!Q12)</f>
        <v>4.02734375</v>
      </c>
      <c r="Q12" s="61">
        <f ca="1">IF('main page'!$Y$53=1,'choose m.p.'!I11*100,R12)</f>
        <v>4.02734375</v>
      </c>
      <c r="R12" s="83">
        <f ca="1">'main page'!$K$29*M12+(1-'main page'!$K$29)*'main page'!$U$8+S12+(('main page'!$K$25*'main page'!$U$13*'main page'!$K$29)/('main page'!$K$27*(1+('main page'!$K$25^2)*'main page'!$U$13)))*(M12-('main page'!$U$8/100)*100)</f>
        <v>4.02734375</v>
      </c>
      <c r="S12" s="81">
        <f ca="1">IF(controls!$B$33=1,(J13-E12*X13-L13-B12)/'main page'!$K$27,(I13-E12*X13-K13-B12)/'main page'!$K$27)</f>
        <v>2.9453125</v>
      </c>
      <c r="U12" s="58">
        <f>IF(controls!$B$6=1,$AG$4*(1+('main page'!$K$35/100))^V12-$AG$4*(1+('main page'!$K$35/100))^V11,$AG$4*(1+(('main page'!$G$8/100)/100))*(1+('main page'!$K$35/100))^V12-$AG$4*(1+(('main page'!$G$8/100)/100))*(1+('main page'!$K$35/100))^V11)</f>
        <v>0</v>
      </c>
      <c r="V12" s="60">
        <v>4</v>
      </c>
      <c r="W12" s="36">
        <f ca="1">'normal case'!AC11</f>
        <v>0</v>
      </c>
      <c r="X12" s="36">
        <f ca="1">'normal case'!AD11</f>
        <v>0</v>
      </c>
      <c r="Y12" s="44">
        <f ca="1">IF(controls!$B$33=1,E12-($J$4-'main page'!$K$27*2)*(1+('main page'!$K$35/100))^A11,E12-$AG$5)</f>
        <v>2</v>
      </c>
      <c r="Z12" s="44">
        <f ca="1">ABS(M12-('main page'!$U$8/100)*100)</f>
        <v>0.734375</v>
      </c>
      <c r="AD12" s="52" t="b">
        <v>0</v>
      </c>
      <c r="AI12" s="36"/>
      <c r="AJ12" s="36"/>
    </row>
    <row r="13" spans="1:36">
      <c r="A13" s="43">
        <v>10</v>
      </c>
      <c r="B13" s="62">
        <f ca="1">IF(controls!$B$6=2,AVERAGE(E9:E12)+B12*W13+hystere!$AG$9,AVERAGE(E9:E12)+B12*W13)</f>
        <v>102.609375</v>
      </c>
      <c r="C13" s="67">
        <f t="shared" ca="1" si="1"/>
        <v>4.6721813725489891E-3</v>
      </c>
      <c r="D13" s="88">
        <f t="shared" ca="1" si="2"/>
        <v>-0.1328125</v>
      </c>
      <c r="E13" s="64">
        <f t="shared" ca="1" si="3"/>
        <v>102.4765625</v>
      </c>
      <c r="F13" s="64">
        <f ca="1">IF('main page'!$K$34=1,hystere!H13,hystere!G13)</f>
        <v>102.4765625</v>
      </c>
      <c r="G13" s="78">
        <f ca="1">I13-'main page'!$K$27*hystere!N12</f>
        <v>102.4765625</v>
      </c>
      <c r="H13" s="62">
        <f ca="1">J13-'main page'!$K$27*N12</f>
        <v>102.4765625</v>
      </c>
      <c r="I13" s="62">
        <f ca="1">IF(controls!$B$31=2,I12+E12*X13+K13,I12+E12*X13+K13-K12)</f>
        <v>108</v>
      </c>
      <c r="J13" s="62">
        <f ca="1">IF(controls!$B$31=2,J12+E12*X13+U13+L13,J12+E12*X13+U13+L13-L12)</f>
        <v>108</v>
      </c>
      <c r="K13" s="79">
        <f>IF(controls!$B$30=5,('main page'!$U$22/100)*hystere!I12,)</f>
        <v>0</v>
      </c>
      <c r="L13" s="79">
        <f>IF(controls!$B$30=5,('main page'!$U$22/100)*hystere!J12,)</f>
        <v>0</v>
      </c>
      <c r="M13" s="62">
        <f ca="1">IF(ABS('main page'!$K$29*M12+(1-'main page'!$K$29)*(controls!$B$9/100)*100+'main page'!$K$25*(E13-B13)-M12)&lt;0.0000001,M12,'main page'!$K$29*M12+(1-'main page'!$K$29)*(controls!$B$9/100)*100+'main page'!$K$25*(E13-B13))</f>
        <v>1.1328125</v>
      </c>
      <c r="N13" s="62">
        <f ca="1">IF(controls!$B$10=1,N12,O13-'main page'!$K$29*M13-(1-'main page'!$K$29)*controls!$B$9)</f>
        <v>2.478515625</v>
      </c>
      <c r="O13" s="61">
        <f t="shared" ca="1" si="0"/>
        <v>3.611328125</v>
      </c>
      <c r="P13" s="63">
        <f ca="1">IF(controls!$B$10=1,hystere!N13+hystere!M13,hystere!Q13)</f>
        <v>3.611328125</v>
      </c>
      <c r="Q13" s="61">
        <f ca="1">IF('main page'!$Y$53=1,'choose m.p.'!I12*100,R13)</f>
        <v>3.611328125</v>
      </c>
      <c r="R13" s="83">
        <f ca="1">'main page'!$K$29*M13+(1-'main page'!$K$29)*controls!$B$9+S13+(('main page'!$K$25*'main page'!$U$13*'main page'!$K$29)/('main page'!$K$27*(1+('main page'!$K$25^2)*'main page'!$U$13)))*(M13-(controls!$B$9/100)*100)</f>
        <v>3.611328125</v>
      </c>
      <c r="S13" s="81">
        <f ca="1">IF(controls!$B$33=1,(J14-E13*X14-L14-B13)/'main page'!$K$27,(I14-E13*X14-K14-B13)/'main page'!$K$27)</f>
        <v>2.6953125</v>
      </c>
      <c r="U13" s="58">
        <f>IF(controls!$B$6=1,$AG$4*(1+('main page'!$K$35/100))^V13-$AG$4*(1+('main page'!$K$35/100))^V12,$AG$4*(1+(('main page'!$G$8/100)/100))*(1+('main page'!$K$35/100))^V13-$AG$4*(1+(('main page'!$G$8/100)/100))*(1+('main page'!$K$35/100))^V12)</f>
        <v>0</v>
      </c>
      <c r="V13" s="60">
        <v>5</v>
      </c>
      <c r="W13" s="36">
        <f>'normal case'!AC12</f>
        <v>0</v>
      </c>
      <c r="X13" s="36">
        <f>'normal case'!AD12</f>
        <v>0</v>
      </c>
      <c r="Y13" s="44">
        <f ca="1">IF(controls!$B$33=1,E13-($J$4-'main page'!$K$27*2)*(1+('main page'!$K$35/100))^A12,E13-$AG$5)</f>
        <v>2.4765625</v>
      </c>
      <c r="Z13" s="44">
        <f ca="1">ABS(M13-(controls!$B$9/100)*100)</f>
        <v>0.8671875</v>
      </c>
      <c r="AI13" s="36"/>
      <c r="AJ13" s="36"/>
    </row>
    <row r="14" spans="1:36">
      <c r="A14" s="43">
        <v>11</v>
      </c>
      <c r="B14" s="62">
        <f ca="1">IF(controls!$B$6=2,AVERAGE(E10:E13)+B13*W14+hystere!$AG$9,AVERAGE(E10:E13)+B13*W14)</f>
        <v>102.853515625</v>
      </c>
      <c r="C14" s="67">
        <f t="shared" ca="1" si="1"/>
        <v>5.5271784706869553E-3</v>
      </c>
      <c r="D14" s="88">
        <f t="shared" ca="1" si="2"/>
        <v>0.189453125</v>
      </c>
      <c r="E14" s="64">
        <f t="shared" ca="1" si="3"/>
        <v>103.04296875</v>
      </c>
      <c r="F14" s="64">
        <f ca="1">IF('main page'!$K$34=1,hystere!H14,hystere!G14)</f>
        <v>103.04296875</v>
      </c>
      <c r="G14" s="78">
        <f ca="1">I14-'main page'!$K$27*hystere!N13</f>
        <v>103.04296875</v>
      </c>
      <c r="H14" s="62">
        <f ca="1">J14-'main page'!$K$27*N13</f>
        <v>103.04296875</v>
      </c>
      <c r="I14" s="62">
        <f ca="1">IF(controls!$B$31=2,I13+E13*X14+K14,I13+E13*X14+K14-K13)</f>
        <v>108</v>
      </c>
      <c r="J14" s="62">
        <f ca="1">IF(controls!$B$31=2,J13+E13*X14+U14+L14,J13+E13*X14+U14+L14-L13)</f>
        <v>108</v>
      </c>
      <c r="K14" s="79">
        <f>IF(controls!$B$30=6,('main page'!$U$22/100)*hystere!I13,)</f>
        <v>0</v>
      </c>
      <c r="L14" s="79">
        <f>IF(controls!$B$30=6,('main page'!$U$22/100)*hystere!J13,)</f>
        <v>0</v>
      </c>
      <c r="M14" s="62">
        <f ca="1">IF(ABS('main page'!$K$29*M13+(1-'main page'!$K$29)*(controls!$B$9/100)*100+'main page'!$K$25*(E14-B14)-M13)&lt;0.0000001,M13,'main page'!$K$29*M13+(1-'main page'!$K$29)*(controls!$B$9/100)*100+'main page'!$K$25*(E14-B14))</f>
        <v>1.322265625</v>
      </c>
      <c r="N14" s="62">
        <f ca="1">IF(controls!$B$10=1,N13,O14-'main page'!$K$29*M14-(1-'main page'!$K$29)*controls!$B$9)</f>
        <v>2.40380859375</v>
      </c>
      <c r="O14" s="61">
        <f t="shared" ca="1" si="0"/>
        <v>3.72607421875</v>
      </c>
      <c r="P14" s="63">
        <f ca="1">IF(controls!$B$10=1,hystere!N14+hystere!M14,hystere!Q14)</f>
        <v>3.72607421875</v>
      </c>
      <c r="Q14" s="61">
        <f ca="1">IF('main page'!$Y$53=1,'choose m.p.'!I13*100,R14)</f>
        <v>3.72607421875</v>
      </c>
      <c r="R14" s="83">
        <f ca="1">'main page'!$K$29*M14+(1-'main page'!$K$29)*controls!$B$9+S14+(('main page'!$K$25*'main page'!$U$13*'main page'!$K$29)/('main page'!$K$27*(1+('main page'!$K$25^2)*'main page'!$U$13)))*(M14-(controls!$B$9/100)*100)</f>
        <v>3.72607421875</v>
      </c>
      <c r="S14" s="81">
        <f ca="1">IF(controls!$B$33=1,(J15-E14*X15-L15-B14)/'main page'!$K$27,(I15-E14*X15-K15-B14)/'main page'!$K$27)</f>
        <v>2.5732421875</v>
      </c>
      <c r="U14" s="58">
        <f>IF(controls!$B$6=1,$AG$4*(1+('main page'!$K$35/100))^V14-$AG$4*(1+('main page'!$K$35/100))^V13,$AG$4*(1+(('main page'!$G$8/100)/100))*(1+('main page'!$K$35/100))^V14-$AG$4*(1+(('main page'!$G$8/100)/100))*(1+('main page'!$K$35/100))^V13)</f>
        <v>0</v>
      </c>
      <c r="V14" s="60">
        <v>6</v>
      </c>
      <c r="W14" s="36">
        <f>'normal case'!AC13</f>
        <v>0</v>
      </c>
      <c r="X14" s="36">
        <f>'normal case'!AD13</f>
        <v>0</v>
      </c>
      <c r="Y14" s="44">
        <f ca="1">IF(controls!$B$33=1,E14-($J$4-'main page'!$K$27*2)*(1+('main page'!$K$35/100))^A13,E14-$AG$5)</f>
        <v>3.04296875</v>
      </c>
      <c r="Z14" s="44">
        <f ca="1">ABS(M14-(controls!$B$9/100)*100)</f>
        <v>0.677734375</v>
      </c>
      <c r="AI14" s="36"/>
      <c r="AJ14" s="36"/>
    </row>
    <row r="15" spans="1:36">
      <c r="A15" s="43">
        <v>12</v>
      </c>
      <c r="B15" s="62">
        <f ca="1">IF(controls!$B$6=2,AVERAGE(E11:E14)+B14*W15+hystere!$AG$9,AVERAGE(E11:E14)+B14*W15)</f>
        <v>103.3017578125</v>
      </c>
      <c r="C15" s="67">
        <f t="shared" ca="1" si="1"/>
        <v>1.4500170590241446E-3</v>
      </c>
      <c r="D15" s="88">
        <f t="shared" ca="1" si="2"/>
        <v>-0.109375</v>
      </c>
      <c r="E15" s="64">
        <f t="shared" ca="1" si="3"/>
        <v>103.1923828125</v>
      </c>
      <c r="F15" s="64">
        <f ca="1">IF('main page'!$K$34=1,hystere!H15,hystere!G15)</f>
        <v>103.1923828125</v>
      </c>
      <c r="G15" s="78">
        <f ca="1">I15-'main page'!$K$27*hystere!N14</f>
        <v>103.1923828125</v>
      </c>
      <c r="H15" s="62">
        <f ca="1">J15-'main page'!$K$27*N14</f>
        <v>103.1923828125</v>
      </c>
      <c r="I15" s="62">
        <f ca="1">IF(controls!$B$31=2,I14+E14*X15+K15,I14+E14*X15+K15-K14)</f>
        <v>108</v>
      </c>
      <c r="J15" s="62">
        <f ca="1">IF(controls!$B$31=2,J14+E14*X15+U15+L15,J14+E14*X15+U15+L15-L14)</f>
        <v>108</v>
      </c>
      <c r="K15" s="79">
        <f>IF(controls!$B$30=7,('main page'!$U$22/100)*hystere!I14,)</f>
        <v>0</v>
      </c>
      <c r="L15" s="79">
        <f>IF(controls!$B$30=7,('main page'!$U$22/100)*hystere!J14,)</f>
        <v>0</v>
      </c>
      <c r="M15" s="62">
        <f ca="1">IF(ABS('main page'!$K$29*M14+(1-'main page'!$K$29)*(controls!$B$9/100)*100+'main page'!$K$25*(E15-B15)-M14)&lt;0.0000001,M14,'main page'!$K$29*M14+(1-'main page'!$K$29)*(controls!$B$9/100)*100+'main page'!$K$25*(E15-B15))</f>
        <v>1.212890625</v>
      </c>
      <c r="N15" s="62">
        <f ca="1">IF(controls!$B$10=1,N14,O15-'main page'!$K$29*M15-(1-'main page'!$K$29)*controls!$B$9)</f>
        <v>2.15234375</v>
      </c>
      <c r="O15" s="61">
        <f t="shared" ca="1" si="0"/>
        <v>3.365234375</v>
      </c>
      <c r="P15" s="63">
        <f ca="1">IF(controls!$B$10=1,hystere!N15+hystere!M15,hystere!Q15)</f>
        <v>3.365234375</v>
      </c>
      <c r="Q15" s="61">
        <f ca="1">IF('main page'!$Y$53=1,'choose m.p.'!I14*100,R15)</f>
        <v>3.365234375</v>
      </c>
      <c r="R15" s="83">
        <f ca="1">'main page'!$K$29*M15+(1-'main page'!$K$29)*controls!$B$9+S15+(('main page'!$K$25*'main page'!$U$13*'main page'!$K$29)/('main page'!$K$27*(1+('main page'!$K$25^2)*'main page'!$U$13)))*(M15-(controls!$B$9/100)*100)</f>
        <v>3.365234375</v>
      </c>
      <c r="S15" s="81">
        <f ca="1">IF(controls!$B$33=1,(J16-E15*X16-L16-B15)/'main page'!$K$27,(I16-E15*X16-K16-B15)/'main page'!$K$27)</f>
        <v>2.34912109375</v>
      </c>
      <c r="U15" s="58">
        <f>IF(controls!$B$6=1,$AG$4*(1+('main page'!$K$35/100))^V15-$AG$4*(1+('main page'!$K$35/100))^V14,$AG$4*(1+(('main page'!$G$8/100)/100))*(1+('main page'!$K$35/100))^V15-$AG$4*(1+(('main page'!$G$8/100)/100))*(1+('main page'!$K$35/100))^V14)</f>
        <v>0</v>
      </c>
      <c r="V15" s="60">
        <v>7</v>
      </c>
      <c r="W15" s="36">
        <f ca="1">'normal case'!AC14</f>
        <v>0</v>
      </c>
      <c r="X15" s="36">
        <f ca="1">'normal case'!AD14</f>
        <v>0</v>
      </c>
      <c r="Y15" s="44">
        <f ca="1">IF(controls!$B$33=1,E15-($J$4-'main page'!$K$27*2)*(1+('main page'!$K$35/100))^A14,E15-$AG$5)</f>
        <v>3.1923828125</v>
      </c>
      <c r="Z15" s="44">
        <f ca="1">ABS(M15-(controls!$B$9/100)*100)</f>
        <v>0.787109375</v>
      </c>
      <c r="AI15" s="36"/>
      <c r="AJ15" s="36"/>
    </row>
    <row r="16" spans="1:36">
      <c r="A16" s="43">
        <v>13</v>
      </c>
      <c r="B16" s="62">
        <f ca="1">IF(controls!$B$6=2,AVERAGE(E12:E15)+B15*W16+hystere!$AG$9,AVERAGE(E12:E15)+B15*W16)</f>
        <v>103.677978515625</v>
      </c>
      <c r="C16" s="67">
        <f t="shared" ca="1" si="1"/>
        <v>4.8737094133568526E-3</v>
      </c>
      <c r="D16" s="88">
        <f t="shared" ca="1" si="2"/>
        <v>1.7333984375E-2</v>
      </c>
      <c r="E16" s="64">
        <f t="shared" ca="1" si="3"/>
        <v>103.6953125</v>
      </c>
      <c r="F16" s="64">
        <f ca="1">IF('main page'!$K$34=1,hystere!H16,hystere!G16)</f>
        <v>103.6953125</v>
      </c>
      <c r="G16" s="78">
        <f ca="1">I16-'main page'!$K$27*hystere!N15</f>
        <v>103.6953125</v>
      </c>
      <c r="H16" s="62">
        <f ca="1">J16-'main page'!$K$27*N15</f>
        <v>103.6953125</v>
      </c>
      <c r="I16" s="62">
        <f ca="1">IF(controls!$B$31=2,I15+E15*X16+K16,I15+E15*X16+K16-K15)</f>
        <v>108</v>
      </c>
      <c r="J16" s="62">
        <f ca="1">IF(controls!$B$31=2,J15+E15*X16+U16+L16,J15+E15*X16+U16+L16-L15)</f>
        <v>108</v>
      </c>
      <c r="K16" s="79">
        <f>IF(controls!$B$30=8,('main page'!$U$22/100)*hystere!I15,)</f>
        <v>0</v>
      </c>
      <c r="L16" s="79">
        <f>IF(controls!$B$30=8,('main page'!$U$22/100)*hystere!J15,)</f>
        <v>0</v>
      </c>
      <c r="M16" s="62">
        <f ca="1">IF(ABS('main page'!$K$29*M15+(1-'main page'!$K$29)*(controls!$B$9/100)*100+'main page'!$K$25*(E16-B16)-M15)&lt;0.0000001,M15,'main page'!$K$29*M15+(1-'main page'!$K$29)*(controls!$B$9/100)*100+'main page'!$K$25*(E16-B16))</f>
        <v>1.230224609375</v>
      </c>
      <c r="N16" s="62">
        <f ca="1">IF(controls!$B$10=1,N15,O16-'main page'!$K$29*M16-(1-'main page'!$K$29)*controls!$B$9)</f>
        <v>1.96856689453125</v>
      </c>
      <c r="O16" s="61">
        <f t="shared" ca="1" si="0"/>
        <v>3.19879150390625</v>
      </c>
      <c r="P16" s="63">
        <f ca="1">IF(controls!$B$10=1,hystere!N16+hystere!M16,hystere!Q16)</f>
        <v>3.19879150390625</v>
      </c>
      <c r="Q16" s="61">
        <f ca="1">IF('main page'!$Y$53=1,'choose m.p.'!I15*100,R16)</f>
        <v>3.19879150390625</v>
      </c>
      <c r="R16" s="83">
        <f ca="1">'main page'!$K$29*M16+(1-'main page'!$K$29)*controls!$B$9+S16+(('main page'!$K$25*'main page'!$U$13*'main page'!$K$29)/('main page'!$K$27*(1+('main page'!$K$25^2)*'main page'!$U$13)))*(M16-(controls!$B$9/100)*100)</f>
        <v>3.19879150390625</v>
      </c>
      <c r="S16" s="81">
        <f ca="1">IF(controls!$B$33=1,(J17-E16*X17-L17-B16)/'main page'!$K$27,(I17-E16*X17-K17-B16)/'main page'!$K$27)</f>
        <v>2.1610107421875</v>
      </c>
      <c r="U16" s="58">
        <f>IF(controls!$B$6=1,$AG$4*(1+('main page'!$K$35/100))^V16-$AG$4*(1+('main page'!$K$35/100))^V15,$AG$4*(1+(('main page'!$G$8/100)/100))*(1+('main page'!$K$35/100))^V16-$AG$4*(1+(('main page'!$G$8/100)/100))*(1+('main page'!$K$35/100))^V15)</f>
        <v>0</v>
      </c>
      <c r="V16" s="60">
        <v>8</v>
      </c>
      <c r="W16" s="36">
        <f>'normal case'!AC15</f>
        <v>0</v>
      </c>
      <c r="X16" s="36">
        <f>'normal case'!AD15</f>
        <v>0</v>
      </c>
      <c r="Y16" s="44">
        <f ca="1">IF(controls!$B$33=1,E16-($J$4-'main page'!$K$27*2)*(1+('main page'!$K$35/100))^A15,E16-$AG$5)</f>
        <v>3.6953125</v>
      </c>
      <c r="Z16" s="44">
        <f ca="1">ABS(M16-(controls!$B$9/100)*100)</f>
        <v>0.769775390625</v>
      </c>
      <c r="AI16" s="36"/>
      <c r="AJ16" s="36"/>
    </row>
    <row r="17" spans="1:36">
      <c r="A17" s="43">
        <v>14</v>
      </c>
      <c r="B17" s="62">
        <f ca="1">IF(controls!$B$6=2,AVERAGE(E13:E16)+B16*W17+hystere!$AG$9,AVERAGE(E13:E16)+B16*W17)</f>
        <v>104.101806640625</v>
      </c>
      <c r="C17" s="67">
        <f t="shared" ca="1" si="1"/>
        <v>3.5445547351766749E-3</v>
      </c>
      <c r="D17" s="88">
        <f t="shared" ca="1" si="2"/>
        <v>-3.89404296875E-2</v>
      </c>
      <c r="E17" s="64">
        <f t="shared" ca="1" si="3"/>
        <v>104.0628662109375</v>
      </c>
      <c r="F17" s="64">
        <f ca="1">IF('main page'!$K$34=1,hystere!H17,hystere!G17)</f>
        <v>104.0628662109375</v>
      </c>
      <c r="G17" s="78">
        <f ca="1">I17-'main page'!$K$27*hystere!N16</f>
        <v>104.0628662109375</v>
      </c>
      <c r="H17" s="62">
        <f ca="1">J17-'main page'!$K$27*N16</f>
        <v>104.0628662109375</v>
      </c>
      <c r="I17" s="62">
        <f ca="1">IF(controls!$B$31=2,I16+E16*X17+K17,I16+E16*X17+K17-K16)</f>
        <v>108</v>
      </c>
      <c r="J17" s="62">
        <f ca="1">IF(controls!$B$31=2,J16+E16*X17+U17+L17,J16+E16*X17+U17+L17-L16)</f>
        <v>108</v>
      </c>
      <c r="K17" s="79">
        <f>IF(controls!$B$30=9,('main page'!$U$22/100)*hystere!I16,)</f>
        <v>0</v>
      </c>
      <c r="L17" s="79">
        <f>IF(controls!$B$30=9,('main page'!$U$22/100)*hystere!J16,)</f>
        <v>0</v>
      </c>
      <c r="M17" s="62">
        <f ca="1">IF(ABS('main page'!$K$29*M16+(1-'main page'!$K$29)*(controls!$B$9/100)*100+'main page'!$K$25*(E17-B17)-M16)&lt;0.0000001,M16,'main page'!$K$29*M16+(1-'main page'!$K$29)*(controls!$B$9/100)*100+'main page'!$K$25*(E17-B17))</f>
        <v>1.1912841796875</v>
      </c>
      <c r="N17" s="62">
        <f ca="1">IF(controls!$B$10=1,N16,O17-'main page'!$K$29*M17-(1-'main page'!$K$29)*controls!$B$9)</f>
        <v>1.746917724609375</v>
      </c>
      <c r="O17" s="61">
        <f t="shared" ca="1" si="0"/>
        <v>2.938201904296875</v>
      </c>
      <c r="P17" s="63">
        <f ca="1">IF(controls!$B$10=1,hystere!N17+hystere!M17,hystere!Q17)</f>
        <v>2.938201904296875</v>
      </c>
      <c r="Q17" s="61">
        <f ca="1">IF('main page'!$Y$53=1,'choose m.p.'!I16*100,R17)</f>
        <v>2.938201904296875</v>
      </c>
      <c r="R17" s="83">
        <f ca="1">'main page'!$K$29*M17+(1-'main page'!$K$29)*controls!$B$9+S17+(('main page'!$K$25*'main page'!$U$13*'main page'!$K$29)/('main page'!$K$27*(1+('main page'!$K$25^2)*'main page'!$U$13)))*(M17-(controls!$B$9/100)*100)</f>
        <v>2.938201904296875</v>
      </c>
      <c r="S17" s="81">
        <f ca="1">IF(controls!$B$33=1,(J18-E17*X18-L18-B17)/'main page'!$K$27,(I18-E17*X18-K18-B17)/'main page'!$K$27)</f>
        <v>1.9490966796875</v>
      </c>
      <c r="U17" s="58">
        <f>IF(controls!$B$6=1,$AG$4*(1+('main page'!$K$35/100))^V17-$AG$4*(1+('main page'!$K$35/100))^V16,$AG$4*(1+(('main page'!$G$8/100)/100))*(1+('main page'!$K$35/100))^V17-$AG$4*(1+(('main page'!$G$8/100)/100))*(1+('main page'!$K$35/100))^V16)</f>
        <v>0</v>
      </c>
      <c r="V17" s="60">
        <v>9</v>
      </c>
      <c r="W17" s="36">
        <f>'normal case'!AC16</f>
        <v>0</v>
      </c>
      <c r="X17" s="36">
        <f>'normal case'!AD16</f>
        <v>0</v>
      </c>
      <c r="Y17" s="44">
        <f ca="1">IF(controls!$B$33=1,E17-($J$4-'main page'!$K$27*2)*(1+('main page'!$K$35/100))^A16,E17-$AG$5)</f>
        <v>4.0628662109375</v>
      </c>
      <c r="Z17" s="44">
        <f ca="1">ABS(M17-(controls!$B$9/100)*100)</f>
        <v>0.8087158203125</v>
      </c>
      <c r="AI17" s="36"/>
      <c r="AJ17" s="36"/>
    </row>
    <row r="18" spans="1:36">
      <c r="A18" s="43">
        <v>15</v>
      </c>
      <c r="B18" s="62">
        <f ca="1">IF(controls!$B$6=2,AVERAGE(E14:E17)+B17*W18+hystere!$AG$9,AVERAGE(E14:E17)+B17*W18)</f>
        <v>104.49838256835938</v>
      </c>
      <c r="C18" s="67">
        <f t="shared" ca="1" si="1"/>
        <v>4.259908995252637E-3</v>
      </c>
      <c r="D18" s="88">
        <f t="shared" ca="1" si="2"/>
        <v>7.781982421875E-3</v>
      </c>
      <c r="E18" s="64">
        <f t="shared" ca="1" si="3"/>
        <v>104.50616455078125</v>
      </c>
      <c r="F18" s="64">
        <f ca="1">IF('main page'!$K$34=1,hystere!H18,hystere!G18)</f>
        <v>104.50616455078125</v>
      </c>
      <c r="G18" s="78">
        <f ca="1">I18-'main page'!$K$27*hystere!N17</f>
        <v>104.50616455078125</v>
      </c>
      <c r="H18" s="62">
        <f ca="1">J18-'main page'!$K$27*N17</f>
        <v>104.50616455078125</v>
      </c>
      <c r="I18" s="62">
        <f ca="1">IF(controls!$B$31=2,I17+E17*X18+K18,I17+E17*X18+K18-K17)</f>
        <v>108</v>
      </c>
      <c r="J18" s="62">
        <f ca="1">IF(controls!$B$31=2,J17+E17*X18+U18+L18,J17+E17*X18+U18+L18-L17)</f>
        <v>108</v>
      </c>
      <c r="K18" s="79">
        <f>IF(controls!$B$30=10,('main page'!$U$22/100)*hystere!I17,)</f>
        <v>0</v>
      </c>
      <c r="L18" s="79">
        <f>IF(controls!$B$30=10,('main page'!$U$22/100)*hystere!J17,)</f>
        <v>0</v>
      </c>
      <c r="M18" s="62">
        <f ca="1">IF(ABS('main page'!$K$29*M17+(1-'main page'!$K$29)*(controls!$B$9/100)*100+'main page'!$K$25*(E18-B18)-M17)&lt;0.0000001,M17,'main page'!$K$29*M17+(1-'main page'!$K$29)*(controls!$B$9/100)*100+'main page'!$K$25*(E18-B18))</f>
        <v>1.199066162109375</v>
      </c>
      <c r="N18" s="62">
        <f ca="1">IF(controls!$B$10=1,N17,O18-'main page'!$K$29*M18-(1-'main page'!$K$29)*controls!$B$9)</f>
        <v>1.5505752563476563</v>
      </c>
      <c r="O18" s="61">
        <f t="shared" ca="1" si="0"/>
        <v>2.7496414184570313</v>
      </c>
      <c r="P18" s="63">
        <f ca="1">IF(controls!$B$10=1,hystere!N18+hystere!M18,hystere!Q18)</f>
        <v>2.7496414184570313</v>
      </c>
      <c r="Q18" s="61">
        <f ca="1">IF('main page'!$Y$53=1,'choose m.p.'!I17*100,R18)</f>
        <v>2.7496414184570313</v>
      </c>
      <c r="R18" s="83">
        <f ca="1">'main page'!$K$29*M18+(1-'main page'!$K$29)*controls!$B$9+S18+(('main page'!$K$25*'main page'!$U$13*'main page'!$K$29)/('main page'!$K$27*(1+('main page'!$K$25^2)*'main page'!$U$13)))*(M18-(controls!$B$9/100)*100)</f>
        <v>2.7496414184570313</v>
      </c>
      <c r="S18" s="81">
        <f ca="1">IF(controls!$B$33=1,(J19-E18*X19-L19-B18)/'main page'!$K$27,(I19-E18*X19-K19-B18)/'main page'!$K$27)</f>
        <v>1.7508087158203125</v>
      </c>
      <c r="U18" s="58">
        <f>IF(controls!$B$6=1,$AG$4*(1+('main page'!$K$35/100))^V18-$AG$4*(1+('main page'!$K$35/100))^V17,$AG$4*(1+(('main page'!$G$8/100)/100))*(1+('main page'!$K$35/100))^V18-$AG$4*(1+(('main page'!$G$8/100)/100))*(1+('main page'!$K$35/100))^V17)</f>
        <v>0</v>
      </c>
      <c r="V18" s="60">
        <v>10</v>
      </c>
      <c r="W18" s="36">
        <f ca="1">'normal case'!AC17</f>
        <v>0</v>
      </c>
      <c r="X18" s="36">
        <f ca="1">'normal case'!AD17</f>
        <v>0</v>
      </c>
      <c r="Y18" s="44">
        <f ca="1">IF(controls!$B$33=1,E18-($J$4-'main page'!$K$27*2)*(1+('main page'!$K$35/100))^A17,E18-$AG$5)</f>
        <v>4.50616455078125</v>
      </c>
      <c r="Z18" s="44">
        <f ca="1">ABS(M18-(controls!$B$9/100)*100)</f>
        <v>0.800933837890625</v>
      </c>
      <c r="AI18" s="36"/>
      <c r="AJ18" s="36"/>
    </row>
    <row r="19" spans="1:36">
      <c r="A19" s="43">
        <v>16</v>
      </c>
      <c r="B19" s="62">
        <f ca="1">IF(controls!$B$6=2,AVERAGE(E15:E18)+B18*W19+hystere!$AG$9,AVERAGE(E15:E18)+B18*W19)</f>
        <v>104.86418151855469</v>
      </c>
      <c r="C19" s="67">
        <f t="shared" ca="1" si="1"/>
        <v>3.7575289286655433E-3</v>
      </c>
      <c r="D19" s="88">
        <f t="shared" ca="1" si="2"/>
        <v>3.466796875E-2</v>
      </c>
      <c r="E19" s="64">
        <f t="shared" ca="1" si="3"/>
        <v>104.89884948730469</v>
      </c>
      <c r="F19" s="64">
        <f ca="1">IF('main page'!$K$34=1,hystere!H19,hystere!G19)</f>
        <v>104.89884948730469</v>
      </c>
      <c r="G19" s="78">
        <f ca="1">I19-'main page'!$K$27*hystere!N18</f>
        <v>104.89884948730469</v>
      </c>
      <c r="H19" s="62">
        <f ca="1">J19-'main page'!$K$27*N18</f>
        <v>104.89884948730469</v>
      </c>
      <c r="I19" s="62">
        <f ca="1">IF(controls!$B$31=2,I18+E18*X19+K19,I18+E18*X19+K19-K18)</f>
        <v>108</v>
      </c>
      <c r="J19" s="62">
        <f ca="1">IF(controls!$B$31=2,J18+E18*X19+U19+L19,J18+E18*X19+U19+L19-L18)</f>
        <v>108</v>
      </c>
      <c r="K19" s="79">
        <f>IF(controls!$B$30=11,('main page'!$U$22/100)*hystere!I18,)</f>
        <v>0</v>
      </c>
      <c r="L19" s="79">
        <f>IF(controls!$B$30=11,('main page'!$U$22/100)*hystere!J18,)</f>
        <v>0</v>
      </c>
      <c r="M19" s="62">
        <f ca="1">IF(ABS('main page'!$K$29*M18+(1-'main page'!$K$29)*(controls!$B$9/100)*100+'main page'!$K$25*(E19-B19)-M18)&lt;0.0000001,M18,'main page'!$K$29*M18+(1-'main page'!$K$29)*(controls!$B$9/100)*100+'main page'!$K$25*(E19-B19))</f>
        <v>1.233734130859375</v>
      </c>
      <c r="N19" s="62">
        <f ca="1">IF(controls!$B$10=1,N18,O19-'main page'!$K$29*M19-(1-'main page'!$K$29)*controls!$B$9)</f>
        <v>1.3763427734375</v>
      </c>
      <c r="O19" s="61">
        <f t="shared" ca="1" si="0"/>
        <v>2.610076904296875</v>
      </c>
      <c r="P19" s="63">
        <f ca="1">IF(controls!$B$10=1,hystere!N19+hystere!M19,hystere!Q19)</f>
        <v>2.610076904296875</v>
      </c>
      <c r="Q19" s="61">
        <f ca="1">IF('main page'!$Y$53=1,'choose m.p.'!I18*100,R19)</f>
        <v>2.610076904296875</v>
      </c>
      <c r="R19" s="83">
        <f ca="1">'main page'!$K$29*M19+(1-'main page'!$K$29)*controls!$B$9+S19+(('main page'!$K$25*'main page'!$U$13*'main page'!$K$29)/('main page'!$K$27*(1+('main page'!$K$25^2)*'main page'!$U$13)))*(M19-(controls!$B$9/100)*100)</f>
        <v>2.610076904296875</v>
      </c>
      <c r="S19" s="81">
        <f ca="1">IF(controls!$B$33=1,(J20-E19*X20-L20-B19)/'main page'!$K$27,(I20-E19*X20-K20-B19)/'main page'!$K$27)</f>
        <v>1.5679092407226563</v>
      </c>
      <c r="U19" s="58">
        <f>IF(controls!$B$6=1,$AG$4*(1+('main page'!$K$35/100))^V19-$AG$4*(1+('main page'!$K$35/100))^V18,$AG$4*(1+(('main page'!$G$8/100)/100))*(1+('main page'!$K$35/100))^V19-$AG$4*(1+(('main page'!$G$8/100)/100))*(1+('main page'!$K$35/100))^V18)</f>
        <v>0</v>
      </c>
      <c r="V19" s="60">
        <v>11</v>
      </c>
      <c r="W19" s="36">
        <f>'normal case'!AC18</f>
        <v>0</v>
      </c>
      <c r="X19" s="36">
        <f>'normal case'!AD18</f>
        <v>0</v>
      </c>
      <c r="Y19" s="44">
        <f ca="1">IF(controls!$B$33=1,E19-($J$4-'main page'!$K$27*2)*(1+('main page'!$K$35/100))^A18,E19-$AG$5)</f>
        <v>4.8988494873046875</v>
      </c>
      <c r="Z19" s="44">
        <f ca="1">ABS(M19-(controls!$B$9/100)*100)</f>
        <v>0.766265869140625</v>
      </c>
      <c r="AI19" s="36"/>
      <c r="AJ19" s="36"/>
    </row>
    <row r="20" spans="1:36">
      <c r="A20" s="43">
        <v>17</v>
      </c>
      <c r="B20" s="62">
        <f ca="1">IF(controls!$B$6=2,AVERAGE(E16:E19)+B19*W20+hystere!$AG$9,AVERAGE(E16:E19)+B19*W20)</f>
        <v>105.29079818725586</v>
      </c>
      <c r="C20" s="67">
        <f t="shared" ca="1" si="1"/>
        <v>3.3219140869842345E-3</v>
      </c>
      <c r="D20" s="88">
        <f t="shared" ca="1" si="2"/>
        <v>-4.3483734130859375E-2</v>
      </c>
      <c r="E20" s="64">
        <f t="shared" ca="1" si="3"/>
        <v>105.247314453125</v>
      </c>
      <c r="F20" s="64">
        <f ca="1">IF('main page'!$K$34=1,hystere!H20,hystere!G20)</f>
        <v>105.247314453125</v>
      </c>
      <c r="G20" s="78">
        <f ca="1">I20-'main page'!$K$27*hystere!N19</f>
        <v>105.247314453125</v>
      </c>
      <c r="H20" s="62">
        <f ca="1">J20-'main page'!$K$27*N19</f>
        <v>105.247314453125</v>
      </c>
      <c r="I20" s="62">
        <f ca="1">IF(controls!$B$31=2,I19+E19*X20+K20,I19+E19*X20+K20-K19)</f>
        <v>108</v>
      </c>
      <c r="J20" s="62">
        <f ca="1">IF(controls!$B$31=2,J19+E19*X20+U20+L20,J19+E19*X20+U20+L20-L19)</f>
        <v>108</v>
      </c>
      <c r="K20" s="79">
        <f>IF(controls!$B$30=12,('main page'!$U$22/100)*hystere!I19,)</f>
        <v>0</v>
      </c>
      <c r="L20" s="79">
        <f>IF(controls!$B$30=12,('main page'!$U$22/100)*hystere!J19,)</f>
        <v>0</v>
      </c>
      <c r="M20" s="62">
        <f ca="1">IF(ABS('main page'!$K$29*M19+(1-'main page'!$K$29)*(controls!$B$9/100)*100+'main page'!$K$25*(E20-B20)-M19)&lt;0.0000001,M19,'main page'!$K$29*M19+(1-'main page'!$K$29)*(controls!$B$9/100)*100+'main page'!$K$25*(E20-B20))</f>
        <v>1.1902503967285156</v>
      </c>
      <c r="N20" s="62">
        <f ca="1">IF(controls!$B$10=1,N19,O20-'main page'!$K$29*M20-(1-'main page'!$K$29)*controls!$B$9)</f>
        <v>1.1521635055541992</v>
      </c>
      <c r="O20" s="61">
        <f t="shared" ca="1" si="0"/>
        <v>2.3424139022827148</v>
      </c>
      <c r="P20" s="63">
        <f ca="1">IF(controls!$B$10=1,hystere!N20+hystere!M20,hystere!Q20)</f>
        <v>2.3424139022827148</v>
      </c>
      <c r="Q20" s="61">
        <f ca="1">IF('main page'!$Y$53=1,'choose m.p.'!I19*100,R20)</f>
        <v>2.3424139022827148</v>
      </c>
      <c r="R20" s="83">
        <f ca="1">'main page'!$K$29*M20+(1-'main page'!$K$29)*controls!$B$9+S20+(('main page'!$K$25*'main page'!$U$13*'main page'!$K$29)/('main page'!$K$27*(1+('main page'!$K$25^2)*'main page'!$U$13)))*(M20-(controls!$B$9/100)*100)</f>
        <v>2.3424139022827148</v>
      </c>
      <c r="S20" s="81">
        <f ca="1">IF(controls!$B$33=1,(J21-E20*X21-L21-B20)/'main page'!$K$27,(I21-E20*X21-K21-B20)/'main page'!$K$27)</f>
        <v>1.3546009063720703</v>
      </c>
      <c r="U20" s="58">
        <f>IF(controls!$B$6=1,$AG$4*(1+('main page'!$K$35/100))^V20-$AG$4*(1+('main page'!$K$35/100))^V19,$AG$4*(1+('main page'!$G$8/100))*(1+('main page'!$K$35/100))^V20-$AG$4*(1+('main page'!$G$8/100))*(1+('main page'!$K$35/100))^V19)</f>
        <v>0</v>
      </c>
      <c r="V20" s="60">
        <v>12</v>
      </c>
      <c r="W20" s="36">
        <f>'normal case'!AC19</f>
        <v>0</v>
      </c>
      <c r="X20" s="36">
        <f>'normal case'!AD19</f>
        <v>0</v>
      </c>
      <c r="Y20" s="44">
        <f ca="1">IF(controls!$B$33=1,E20-($J$4-'main page'!$K$27*2)*(1+('main page'!$K$35/100))^A19,E20-$AG$5)</f>
        <v>5.247314453125</v>
      </c>
      <c r="Z20" s="44">
        <f ca="1">ABS(M20-(controls!$B$9/100)*100)</f>
        <v>0.80974960327148438</v>
      </c>
      <c r="AI20" s="36"/>
      <c r="AJ20" s="36"/>
    </row>
    <row r="21" spans="1:36">
      <c r="A21" s="43">
        <v>18</v>
      </c>
      <c r="B21" s="62">
        <f ca="1">IF(controls!$B$6=2,AVERAGE(E17:E20)+B20*W21+hystere!$AG$9,AVERAGE(E17:E20)+B20*W21)</f>
        <v>105.67879867553711</v>
      </c>
      <c r="C21" s="67">
        <f t="shared" ca="1" si="1"/>
        <v>4.2600472809810608E-3</v>
      </c>
      <c r="D21" s="88">
        <f t="shared" ca="1" si="2"/>
        <v>1.6874313354492188E-2</v>
      </c>
      <c r="E21" s="64">
        <f t="shared" ca="1" si="3"/>
        <v>105.6956729888916</v>
      </c>
      <c r="F21" s="64">
        <f ca="1">IF('main page'!$K$34=1,hystere!H21,hystere!G21)</f>
        <v>105.6956729888916</v>
      </c>
      <c r="G21" s="78">
        <f ca="1">I21-'main page'!$K$27*hystere!N20</f>
        <v>105.6956729888916</v>
      </c>
      <c r="H21" s="62">
        <f ca="1">J21-'main page'!$K$27*N20</f>
        <v>105.6956729888916</v>
      </c>
      <c r="I21" s="62">
        <f ca="1">IF(controls!$B$31=2,I20+E20*X21+K21,I20+E20*X21+K21-K20)</f>
        <v>108</v>
      </c>
      <c r="J21" s="62">
        <f ca="1">IF(controls!$B$31=2,J20+E20*X21+U21+L21,J20+E20*X21+U21+L21-L20)</f>
        <v>108</v>
      </c>
      <c r="K21" s="79">
        <f>IF(controls!$B$30=13,('main page'!$U$22/100)*hystere!I20,)</f>
        <v>0</v>
      </c>
      <c r="L21" s="79">
        <f>IF(controls!$B$30=13,('main page'!$U$22/100)*hystere!J20,)</f>
        <v>0</v>
      </c>
      <c r="M21" s="62">
        <f ca="1">IF(ABS('main page'!$K$29*M20+(1-'main page'!$K$29)*(controls!$B$9/100)*100+'main page'!$K$25*(E21-B21)-M20)&lt;0.0000001,M20,'main page'!$K$29*M20+(1-'main page'!$K$29)*(controls!$B$9/100)*100+'main page'!$K$25*(E21-B21))</f>
        <v>1.2071247100830078</v>
      </c>
      <c r="N21" s="62">
        <f ca="1">IF(controls!$B$10=1,N20,O21-'main page'!$K$29*M21-(1-'main page'!$K$29)*controls!$B$9)</f>
        <v>0.96238183975219727</v>
      </c>
      <c r="O21" s="61">
        <f t="shared" ca="1" si="0"/>
        <v>2.1695065498352051</v>
      </c>
      <c r="P21" s="63">
        <f ca="1">IF(controls!$B$10=1,hystere!N21+hystere!M21,hystere!Q21)</f>
        <v>2.1695065498352051</v>
      </c>
      <c r="Q21" s="61">
        <f ca="1">IF('main page'!$Y$53=1,'choose m.p.'!I20*100,R21)</f>
        <v>2.1695065498352051</v>
      </c>
      <c r="R21" s="83">
        <f ca="1">'main page'!$K$29*M21+(1-'main page'!$K$29)*controls!$B$9+S21+(('main page'!$K$25*'main page'!$U$13*'main page'!$K$29)/('main page'!$K$27*(1+('main page'!$K$25^2)*'main page'!$U$13)))*(M21-(controls!$B$9/100)*100)</f>
        <v>2.1695065498352051</v>
      </c>
      <c r="S21" s="81">
        <f ca="1">IF(controls!$B$33=1,(J22-E21*X22-L22-B21)/'main page'!$K$27,(I22-E21*X22-K22-B21)/'main page'!$K$27)</f>
        <v>1.1606006622314453</v>
      </c>
      <c r="U21" s="58">
        <f>IF(controls!$B$6=1,$AG$4*(1+('main page'!$K$35/100))^V21-$AG$4*(1+('main page'!$K$35/100))^V20,$AG$4*(1+('main page'!$G$8/100))*(1+('main page'!$K$35/100))^V21-$AG$4*(1+('main page'!$G$8/100))*(1+('main page'!$K$35/100))^V20)</f>
        <v>0</v>
      </c>
      <c r="V21" s="60">
        <v>13</v>
      </c>
      <c r="W21" s="36">
        <f ca="1">'normal case'!AC20</f>
        <v>0</v>
      </c>
      <c r="X21" s="36">
        <f ca="1">'normal case'!AD20</f>
        <v>0</v>
      </c>
      <c r="Y21" s="44">
        <f ca="1">IF(controls!$B$33=1,E21-($J$4-'main page'!$K$27*2)*(1+('main page'!$K$35/100))^A20,E21-$AG$5)</f>
        <v>5.6956729888916016</v>
      </c>
      <c r="Z21" s="44">
        <f ca="1">ABS(M21-(controls!$B$9/100)*100)</f>
        <v>0.79287528991699219</v>
      </c>
      <c r="AF21" s="43">
        <f>NORMDIST(5,0,2,TRUE)</f>
        <v>0.99379033467422384</v>
      </c>
      <c r="AI21" s="36"/>
      <c r="AJ21" s="36"/>
    </row>
    <row r="22" spans="1:36">
      <c r="A22" s="43">
        <v>19</v>
      </c>
      <c r="B22" s="62">
        <f ca="1">IF(controls!$B$6=2,AVERAGE(E18:E21)+B21*W22+hystere!$AG$9,AVERAGE(E18:E21)+B21*W22)</f>
        <v>106.08700037002563</v>
      </c>
      <c r="C22" s="67">
        <f t="shared" ca="1" si="1"/>
        <v>3.5910962187060136E-3</v>
      </c>
      <c r="D22" s="88">
        <f t="shared" ca="1" si="2"/>
        <v>-1.1764049530029297E-2</v>
      </c>
      <c r="E22" s="64">
        <f t="shared" ca="1" si="3"/>
        <v>106.07523632049561</v>
      </c>
      <c r="F22" s="64">
        <f ca="1">IF('main page'!$K$34=1,hystere!H22,hystere!G22)</f>
        <v>106.07523632049561</v>
      </c>
      <c r="G22" s="78">
        <f ca="1">I22-'main page'!$K$27*hystere!N21</f>
        <v>106.07523632049561</v>
      </c>
      <c r="H22" s="62">
        <f ca="1">J22-'main page'!$K$27*N21</f>
        <v>106.07523632049561</v>
      </c>
      <c r="I22" s="62">
        <f ca="1">IF(controls!$B$31=2,I21+E21*X22+K22,I21+E21*X22+K22-K21)</f>
        <v>108</v>
      </c>
      <c r="J22" s="62">
        <f ca="1">IF(controls!$B$31=2,J21+E21*X22+U22+L22,J21+E21*X22+U22+L22-L21)</f>
        <v>108</v>
      </c>
      <c r="K22" s="79">
        <f>IF(controls!$B$30=14,('main page'!$U$22/100)*hystere!I21,)</f>
        <v>0</v>
      </c>
      <c r="L22" s="79">
        <f>IF(controls!$B$30=14,('main page'!$U$22/100)*hystere!J21,)</f>
        <v>0</v>
      </c>
      <c r="M22" s="62">
        <f ca="1">IF(ABS('main page'!$K$29*M21+(1-'main page'!$K$29)*(controls!$B$9/100)*100+'main page'!$K$25*(E22-B22)-M21)&lt;0.0000001,M21,'main page'!$K$29*M21+(1-'main page'!$K$29)*(controls!$B$9/100)*100+'main page'!$K$25*(E22-B22))</f>
        <v>1.1953606605529785</v>
      </c>
      <c r="N22" s="62">
        <f ca="1">IF(controls!$B$10=1,N21,O22-'main page'!$K$29*M22-(1-'main page'!$K$29)*controls!$B$9)</f>
        <v>0.75533998012542725</v>
      </c>
      <c r="O22" s="61">
        <f t="shared" ca="1" si="0"/>
        <v>1.9507006406784058</v>
      </c>
      <c r="P22" s="63">
        <f ca="1">IF(controls!$B$10=1,hystere!N22+hystere!M22,hystere!Q22)</f>
        <v>1.9507006406784058</v>
      </c>
      <c r="Q22" s="61">
        <f ca="1">IF('main page'!$Y$53=1,'choose m.p.'!I21*100,R22)</f>
        <v>1.9507006406784058</v>
      </c>
      <c r="R22" s="83">
        <f ca="1">'main page'!$K$29*M22+(1-'main page'!$K$29)*controls!$B$9+S22+(('main page'!$K$25*'main page'!$U$13*'main page'!$K$29)/('main page'!$K$27*(1+('main page'!$K$25^2)*'main page'!$U$13)))*(M22-(controls!$B$9/100)*100)</f>
        <v>1.9507006406784058</v>
      </c>
      <c r="S22" s="81">
        <f ca="1">IF(controls!$B$33=1,(J23-E22*X23-L23-B22)/'main page'!$K$27,(I23-E22*X23-K23-B22)/'main page'!$K$27)</f>
        <v>0.95649981498718262</v>
      </c>
      <c r="U22" s="58">
        <f>IF(controls!$B$6=1,$AG$4*(1+('main page'!$K$35/100))^V22-$AG$4*(1+('main page'!$K$35/100))^V21,$AG$4*(1+('main page'!$G$8/100))*(1+('main page'!$K$35/100))^V22-$AG$4*(1+('main page'!$G$8/100))*(1+('main page'!$K$35/100))^V21)</f>
        <v>0</v>
      </c>
      <c r="V22" s="60">
        <v>14</v>
      </c>
      <c r="W22" s="36">
        <f>'normal case'!AC21</f>
        <v>0</v>
      </c>
      <c r="X22" s="36">
        <f>'normal case'!AD21</f>
        <v>0</v>
      </c>
      <c r="Y22" s="44">
        <f ca="1">IF(controls!$B$33=1,E22-($J$4-'main page'!$K$27*2)*(1+('main page'!$K$35/100))^A21,E22-$AG$5)</f>
        <v>6.0752363204956055</v>
      </c>
      <c r="Z22" s="44">
        <f ca="1">ABS(M22-(controls!$B$9/100)*100)</f>
        <v>0.80463933944702148</v>
      </c>
      <c r="AI22" s="36"/>
      <c r="AJ22" s="36"/>
    </row>
    <row r="23" spans="1:36">
      <c r="A23" s="43">
        <v>20</v>
      </c>
      <c r="B23" s="62">
        <f ca="1">IF(controls!$B$6=2,AVERAGE(E19:E22)+B22*W23+hystere!$AG$9,AVERAGE(E19:E22)+B22*W23)</f>
        <v>106.47926831245422</v>
      </c>
      <c r="C23" s="67">
        <f t="shared" ca="1" si="1"/>
        <v>3.9036794412827813E-3</v>
      </c>
      <c r="D23" s="88">
        <f t="shared" ca="1" si="2"/>
        <v>1.0051727294921875E-2</v>
      </c>
      <c r="E23" s="64">
        <f t="shared" ca="1" si="3"/>
        <v>106.48932003974915</v>
      </c>
      <c r="F23" s="64">
        <f ca="1">IF('main page'!$K$34=1,hystere!H23,hystere!G23)</f>
        <v>106.48932003974915</v>
      </c>
      <c r="G23" s="78">
        <f ca="1">I23-'main page'!$K$27*hystere!N22</f>
        <v>106.48932003974915</v>
      </c>
      <c r="H23" s="62">
        <f ca="1">J23-'main page'!$K$27*N22</f>
        <v>106.48932003974915</v>
      </c>
      <c r="I23" s="62">
        <f ca="1">IF(controls!$B$31=2,I22+E22*X23+K23,I22+E22*X23+K23-K22)</f>
        <v>108</v>
      </c>
      <c r="J23" s="62">
        <f ca="1">IF(controls!$B$31=2,J22+E22*X23+U23+L23,J22+E22*X23+U23+L23-L22)</f>
        <v>108</v>
      </c>
      <c r="K23" s="79">
        <f>IF(controls!$B$30=15,('main page'!$U$22/100)*hystere!I22,)</f>
        <v>0</v>
      </c>
      <c r="L23" s="79">
        <f>IF(controls!$B$30=15,('main page'!$U$22/100)*hystere!J22,)</f>
        <v>0</v>
      </c>
      <c r="M23" s="62">
        <f ca="1">IF(ABS('main page'!$K$29*M22+(1-'main page'!$K$29)*(controls!$B$9/100)*100+'main page'!$K$25*(E23-B23)-M22)&lt;0.0000001,M22,'main page'!$K$29*M22+(1-'main page'!$K$29)*(controls!$B$9/100)*100+'main page'!$K$25*(E23-B23))</f>
        <v>1.2054123878479004</v>
      </c>
      <c r="N23" s="62">
        <f ca="1">IF(controls!$B$10=1,N22,O23-'main page'!$K$29*M23-(1-'main page'!$K$29)*controls!$B$9)</f>
        <v>0.56171894073486328</v>
      </c>
      <c r="O23" s="61">
        <f t="shared" ca="1" si="0"/>
        <v>1.7671313285827637</v>
      </c>
      <c r="P23" s="63">
        <f ca="1">IF(controls!$B$10=1,hystere!N23+hystere!M23,hystere!Q23)</f>
        <v>1.7671313285827637</v>
      </c>
      <c r="Q23" s="61">
        <f ca="1">IF('main page'!$Y$53=1,'choose m.p.'!I22*100,R23)</f>
        <v>1.7671313285827637</v>
      </c>
      <c r="R23" s="83">
        <f ca="1">'main page'!$K$29*M23+(1-'main page'!$K$29)*controls!$B$9+S23+(('main page'!$K$25*'main page'!$U$13*'main page'!$K$29)/('main page'!$K$27*(1+('main page'!$K$25^2)*'main page'!$U$13)))*(M23-(controls!$B$9/100)*100)</f>
        <v>1.7671313285827637</v>
      </c>
      <c r="S23" s="81">
        <f ca="1">IF(controls!$B$33=1,(J24-E23*X24-L24-B23)/'main page'!$K$27,(I24-E23*X24-K24-B23)/'main page'!$K$27)</f>
        <v>0.76036584377288818</v>
      </c>
      <c r="U23" s="58">
        <f>IF(controls!$B$6=1,$AG$4*(1+('main page'!$K$35/100))^V23-$AG$4*(1+('main page'!$K$35/100))^V22,$AG$4*(1+('main page'!$G$8/100))*(1+('main page'!$K$35/100))^V23-$AG$4*(1+('main page'!$G$8/100))*(1+('main page'!$K$35/100))^V22)</f>
        <v>0</v>
      </c>
      <c r="V23" s="60">
        <v>15</v>
      </c>
      <c r="W23" s="36">
        <f>'normal case'!AC22</f>
        <v>0</v>
      </c>
      <c r="X23" s="36">
        <f>'normal case'!AD22</f>
        <v>0</v>
      </c>
      <c r="Y23" s="44">
        <f ca="1">IF(controls!$B$33=1,E23-($J$4-'main page'!$K$27*2)*(1+('main page'!$K$35/100))^A22,E23-$AG$5)</f>
        <v>6.4893200397491455</v>
      </c>
      <c r="Z23" s="44">
        <f ca="1">ABS(M23-(controls!$B$9/100)*100)</f>
        <v>0.79458761215209961</v>
      </c>
      <c r="AI23" s="36"/>
      <c r="AJ23" s="36"/>
    </row>
    <row r="24" spans="1:36">
      <c r="A24" s="43">
        <v>21</v>
      </c>
      <c r="B24" s="62">
        <f ca="1">IF(controls!$B$6=2,AVERAGE(E20:E23)+B23*W24+hystere!$AG$9,AVERAGE(E20:E23)+B23*W24)</f>
        <v>106.87688595056534</v>
      </c>
      <c r="C24" s="67">
        <f t="shared" ca="1" si="1"/>
        <v>3.6364405241444686E-3</v>
      </c>
      <c r="D24" s="88">
        <f t="shared" ca="1" si="2"/>
        <v>-3.2383203506469727E-4</v>
      </c>
      <c r="E24" s="64">
        <f t="shared" ca="1" si="3"/>
        <v>106.87656211853027</v>
      </c>
      <c r="F24" s="64">
        <f ca="1">IF('main page'!$K$34=1,hystere!H24,hystere!G24)</f>
        <v>106.87656211853027</v>
      </c>
      <c r="G24" s="78">
        <f ca="1">I24-'main page'!$K$27*hystere!N23</f>
        <v>106.87656211853027</v>
      </c>
      <c r="H24" s="62">
        <f ca="1">J24-'main page'!$K$27*N23</f>
        <v>106.87656211853027</v>
      </c>
      <c r="I24" s="62">
        <f ca="1">IF(controls!$B$31=2,I23+E23*X24,I23+E23*X24-K23)</f>
        <v>108</v>
      </c>
      <c r="J24" s="62">
        <f ca="1">IF(controls!$B$31=2,J23+E23*X24+U24,J23+E23*X24+U24-L23)</f>
        <v>108</v>
      </c>
      <c r="M24" s="62">
        <f ca="1">IF(ABS('main page'!$K$29*M23+(1-'main page'!$K$29)*(controls!$B$9/100)*100+'main page'!$K$25*(E24-B24)-M23)&lt;0.0000001,M23,'main page'!$K$29*M23+(1-'main page'!$K$29)*(controls!$B$9/100)*100+'main page'!$K$25*(E24-B24))</f>
        <v>1.2050885558128357</v>
      </c>
      <c r="N24" s="62">
        <f ca="1">IF(controls!$B$10=1,N23,O24-'main page'!$K$29*M24-(1-'main page'!$K$29)*controls!$B$9)</f>
        <v>0.36282916367053986</v>
      </c>
      <c r="O24" s="61">
        <f t="shared" ca="1" si="0"/>
        <v>1.5679177194833755</v>
      </c>
      <c r="P24" s="63">
        <f ca="1">IF(controls!$B$10=1,hystere!N24+hystere!M24,hystere!Q24)</f>
        <v>1.5679177194833755</v>
      </c>
      <c r="Q24" s="61">
        <f ca="1">IF('main page'!$Y$53=1,'choose m.p.'!$I$22*100,R24)</f>
        <v>1.5679177194833755</v>
      </c>
      <c r="R24" s="83">
        <f ca="1">'main page'!$K$29*M24+(1-'main page'!$K$29)*controls!$B$9+S24+(('main page'!$K$25*'main page'!$U$13*'main page'!$K$29)/('main page'!$K$27*(1+('main page'!$K$25^2)*'main page'!$U$13)))*(M24-(controls!$B$9/100)*100)</f>
        <v>1.5679177194833755</v>
      </c>
      <c r="S24" s="81">
        <f ca="1">IF(controls!$B$33=1,(J25-E24*X25-L25-B24)/'main page'!$K$27,(I25-E24*X25-K25-B24)/'main page'!$K$27)</f>
        <v>0.56155702471733093</v>
      </c>
      <c r="U24" s="58">
        <f>IF(controls!$B$6=1,$AG$4*(1+('main page'!$K$35/100))^V24-$AG$4*(1+('main page'!$K$35/100))^V23,$AG$4*(1+('main page'!$G$8/100))*(1+('main page'!$K$35/100))^V24-$AG$4*(1+('main page'!$G$8/100))*(1+('main page'!$K$35/100))^V23)</f>
        <v>0</v>
      </c>
      <c r="V24" s="60">
        <v>16</v>
      </c>
      <c r="W24" s="36">
        <f ca="1">'normal case'!AC23</f>
        <v>0</v>
      </c>
      <c r="X24" s="36">
        <f ca="1">'normal case'!AD23</f>
        <v>0</v>
      </c>
      <c r="Y24" s="44">
        <f ca="1">IF(controls!$B$33=1,E24-($J$4-'main page'!$K$27*2)*(1+('main page'!$K$35/100))^A23,E24-$AG$5)</f>
        <v>6.8765621185302734</v>
      </c>
      <c r="Z24" s="44">
        <f ca="1">ABS(M24-(controls!$B$9/100)*100)</f>
        <v>0.79491144418716431</v>
      </c>
      <c r="AI24" s="36"/>
      <c r="AJ24" s="36"/>
    </row>
    <row r="25" spans="1:36">
      <c r="A25" s="43">
        <v>22</v>
      </c>
      <c r="B25" s="62">
        <f ca="1">IF(controls!$B$6=2,AVERAGE(E21:E24)+B24*W25+hystere!$AG$9,AVERAGE(E21:E24)+B24*W25)</f>
        <v>107.28419786691666</v>
      </c>
      <c r="C25" s="67">
        <f t="shared" ca="1" si="1"/>
        <v>3.7218595568924151E-3</v>
      </c>
      <c r="D25" s="88">
        <f t="shared" ca="1" si="2"/>
        <v>-9.8561942577362061E-3</v>
      </c>
      <c r="E25" s="64">
        <f t="shared" ca="1" si="3"/>
        <v>107.27434167265892</v>
      </c>
      <c r="F25" s="64">
        <f ca="1">IF('main page'!$K$34=1,hystere!H25,hystere!G25)</f>
        <v>107.27434167265892</v>
      </c>
      <c r="G25" s="78">
        <f ca="1">I25-'main page'!$K$27*hystere!N24</f>
        <v>107.27434167265892</v>
      </c>
      <c r="H25" s="62">
        <f ca="1">J25-'main page'!$K$27*N24</f>
        <v>107.27434167265892</v>
      </c>
      <c r="I25" s="62">
        <f t="shared" ref="I25:I88" ca="1" si="4">I24+E24*X25</f>
        <v>108</v>
      </c>
      <c r="J25" s="62">
        <f t="shared" ref="J25:J88" ca="1" si="5">J24+E24*X25+U25</f>
        <v>108</v>
      </c>
      <c r="M25" s="62">
        <f ca="1">IF(ABS('main page'!$K$29*M24+(1-'main page'!$K$29)*(controls!$B$9/100)*100+'main page'!$K$25*(E25-B25)-M24)&lt;0.0000001,M24,'main page'!$K$29*M24+(1-'main page'!$K$29)*(controls!$B$9/100)*100+'main page'!$K$25*(E25-B25))</f>
        <v>1.1952323615550995</v>
      </c>
      <c r="N25" s="62">
        <f ca="1">IF(controls!$B$10=1,N24,O25-'main page'!$K$29*M25-(1-'main page'!$K$29)*controls!$B$9)</f>
        <v>0.15670915693044662</v>
      </c>
      <c r="O25" s="61">
        <f t="shared" ca="1" si="0"/>
        <v>1.3519415184855461</v>
      </c>
      <c r="P25" s="63">
        <f ca="1">IF(controls!$B$10=1,hystere!N25+hystere!M25,hystere!Q25)</f>
        <v>1.3519415184855461</v>
      </c>
      <c r="Q25" s="61">
        <f ca="1">IF('main page'!$Y$53=1,'choose m.p.'!$I$22*100,R25)</f>
        <v>1.3519415184855461</v>
      </c>
      <c r="R25" s="83">
        <f ca="1">'main page'!$K$29*M25+(1-'main page'!$K$29)*controls!$B$9+S25+(('main page'!$K$25*'main page'!$U$13*'main page'!$K$29)/('main page'!$K$27*(1+('main page'!$K$25^2)*'main page'!$U$13)))*(M25-(controls!$B$9/100)*100)</f>
        <v>1.3519415184855461</v>
      </c>
      <c r="S25" s="81">
        <f ca="1">IF(controls!$B$33=1,(J26-E25*X26-B25)/'main page'!$K$27,(I26-E25*X26-B25)/'main page'!$K$27)</f>
        <v>0.35790106654167175</v>
      </c>
      <c r="U25" s="58">
        <f>IF(controls!$B$6=1,$AG$4*(1+('main page'!$K$35/100))^V25-$AG$4*(1+('main page'!$K$35/100))^V24,$AG$4*(1+('main page'!$G$8/100))*(1+('main page'!$K$35/100))^V25-$AG$4*(1+('main page'!$G$8/100))*(1+('main page'!$K$35/100))^V24)</f>
        <v>0</v>
      </c>
      <c r="V25" s="60">
        <v>17</v>
      </c>
      <c r="W25" s="36">
        <f>'normal case'!AC24</f>
        <v>0</v>
      </c>
      <c r="X25" s="36">
        <f>'normal case'!AD24</f>
        <v>0</v>
      </c>
      <c r="Y25" s="44">
        <f ca="1">IF(controls!$B$33=1,E25-($J$4-'main page'!$K$27*2)*(1+('main page'!$K$35/100))^A24,E25-$AG$5)</f>
        <v>7.2743416726589203</v>
      </c>
      <c r="Z25" s="44">
        <f ca="1">ABS(M25-(controls!$B$9/100)*100)</f>
        <v>0.80476763844490051</v>
      </c>
      <c r="AI25" s="36"/>
      <c r="AJ25" s="36"/>
    </row>
    <row r="26" spans="1:36">
      <c r="A26" s="43">
        <v>23</v>
      </c>
      <c r="B26" s="62">
        <f ca="1">IF(controls!$B$6=2,AVERAGE(E22:E25)+B25*W26+hystere!$AG$9,AVERAGE(E22:E25)+B25*W26)</f>
        <v>107.67886503785849</v>
      </c>
      <c r="C26" s="67">
        <f t="shared" ca="1" si="1"/>
        <v>3.8428575468503201E-3</v>
      </c>
      <c r="D26" s="88">
        <f t="shared" ca="1" si="2"/>
        <v>7.716648280620575E-3</v>
      </c>
      <c r="E26" s="64">
        <f t="shared" ca="1" si="3"/>
        <v>107.68658168613911</v>
      </c>
      <c r="F26" s="64">
        <f ca="1">IF('main page'!$K$34=1,hystere!H26,hystere!G26)</f>
        <v>107.68658168613911</v>
      </c>
      <c r="G26" s="78">
        <f ca="1">I26-'main page'!$K$27*hystere!N25</f>
        <v>107.68658168613911</v>
      </c>
      <c r="H26" s="62">
        <f ca="1">J26-'main page'!$K$27*N25</f>
        <v>107.68658168613911</v>
      </c>
      <c r="I26" s="62">
        <f t="shared" ca="1" si="4"/>
        <v>108</v>
      </c>
      <c r="J26" s="62">
        <f t="shared" ca="1" si="5"/>
        <v>108</v>
      </c>
      <c r="M26" s="62">
        <f ca="1">IF(ABS('main page'!$K$29*M25+(1-'main page'!$K$29)*(controls!$B$9/100)*100+'main page'!$K$25*(E26-B26)-M25)&lt;0.0000001,M25,'main page'!$K$29*M25+(1-'main page'!$K$29)*(controls!$B$9/100)*100+'main page'!$K$25*(E26-B26))</f>
        <v>1.2029490098357201</v>
      </c>
      <c r="N26" s="62">
        <f ca="1">IF(controls!$B$10=1,N25,O26-'main page'!$K$29*M26-(1-'main page'!$K$29)*controls!$B$9)</f>
        <v>-3.8695266470313072E-2</v>
      </c>
      <c r="O26" s="61">
        <f t="shared" ca="1" si="0"/>
        <v>1.164253743365407</v>
      </c>
      <c r="P26" s="63">
        <f ca="1">IF(controls!$B$10=1,hystere!N26+hystere!M26,hystere!Q26)</f>
        <v>1.164253743365407</v>
      </c>
      <c r="Q26" s="61">
        <f ca="1">IF('main page'!$Y$53=1,'choose m.p.'!$I$22*100,R26)</f>
        <v>1.164253743365407</v>
      </c>
      <c r="R26" s="83">
        <f ca="1">'main page'!$K$29*M26+(1-'main page'!$K$29)*controls!$B$9+S26+(('main page'!$K$25*'main page'!$U$13*'main page'!$K$29)/('main page'!$K$27*(1+('main page'!$K$25^2)*'main page'!$U$13)))*(M26-(controls!$B$9/100)*100)</f>
        <v>1.164253743365407</v>
      </c>
      <c r="S26" s="81">
        <f ca="1">IF(controls!$B$33=1,(J27-E26*X27-B26)/'main page'!$K$27,(I27-E26*X27-B26)/'main page'!$K$27)</f>
        <v>0.16056748107075691</v>
      </c>
      <c r="U26" s="58">
        <f>IF(controls!$B$6=1,$AG$4*(1+('main page'!$K$35/100))^V26-$AG$4*(1+('main page'!$K$35/100))^V25,$AG$4*(1+('main page'!$G$8/100))*(1+('main page'!$K$35/100))^V26-$AG$4*(1+('main page'!$G$8/100))*(1+('main page'!$K$35/100))^V25)</f>
        <v>0</v>
      </c>
      <c r="V26" s="60">
        <v>18</v>
      </c>
      <c r="W26" s="36">
        <f>'normal case'!AC25</f>
        <v>0</v>
      </c>
      <c r="X26" s="36">
        <f>'normal case'!AD25</f>
        <v>0</v>
      </c>
      <c r="Y26" s="44">
        <f ca="1">IF(controls!$B$33=1,E26-($J$4-'main page'!$K$27*2)*(1+('main page'!$K$35/100))^A25,E26-$AG$5)</f>
        <v>7.6865816861391068</v>
      </c>
      <c r="Z26" s="44">
        <f ca="1">ABS(M26-(controls!$B$9/100)*100)</f>
        <v>0.79705099016427994</v>
      </c>
      <c r="AI26" s="36"/>
      <c r="AJ26" s="36"/>
    </row>
    <row r="27" spans="1:36">
      <c r="A27" s="43">
        <v>24</v>
      </c>
      <c r="B27" s="62">
        <f ca="1">IF(controls!$B$6=2,AVERAGE(E23:E26)+B26*W27+hystere!$AG$9,AVERAGE(E23:E26)+B26*W27)</f>
        <v>108.08170137926936</v>
      </c>
      <c r="C27" s="67">
        <f t="shared" ca="1" si="1"/>
        <v>3.6291322528980707E-3</v>
      </c>
      <c r="D27" s="88">
        <f t="shared" ca="1" si="2"/>
        <v>-4.3108463287353516E-3</v>
      </c>
      <c r="E27" s="64">
        <f t="shared" ca="1" si="3"/>
        <v>108.07739053294063</v>
      </c>
      <c r="F27" s="64">
        <f ca="1">IF('main page'!$K$34=1,hystere!H27,hystere!G27)</f>
        <v>108.07739053294063</v>
      </c>
      <c r="G27" s="78">
        <f ca="1">I27-'main page'!$K$27*hystere!N26</f>
        <v>108.07739053294063</v>
      </c>
      <c r="H27" s="62">
        <f ca="1">J27-'main page'!$K$27*N26</f>
        <v>108.07739053294063</v>
      </c>
      <c r="I27" s="62">
        <f t="shared" ca="1" si="4"/>
        <v>108</v>
      </c>
      <c r="J27" s="62">
        <f t="shared" ca="1" si="5"/>
        <v>108</v>
      </c>
      <c r="M27" s="62">
        <f ca="1">IF(ABS('main page'!$K$29*M26+(1-'main page'!$K$29)*(controls!$B$9/100)*100+'main page'!$K$25*(E27-B27)-M26)&lt;0.0000001,M26,'main page'!$K$29*M26+(1-'main page'!$K$29)*(controls!$B$9/100)*100+'main page'!$K$25*(E27-B27))</f>
        <v>1.1986381635069847</v>
      </c>
      <c r="N27" s="62">
        <f ca="1">IF(controls!$B$10=1,N26,O27-'main page'!$K$29*M27-(1-'main page'!$K$29)*controls!$B$9)</f>
        <v>-0.24119114875793457</v>
      </c>
      <c r="O27" s="61">
        <f t="shared" ca="1" si="0"/>
        <v>0.95744701474905014</v>
      </c>
      <c r="P27" s="63">
        <f ca="1">IF(controls!$B$10=1,hystere!N27+hystere!M27,hystere!Q27)</f>
        <v>0.95744701474905014</v>
      </c>
      <c r="Q27" s="61">
        <f ca="1">IF('main page'!$Y$53=1,'choose m.p.'!$I$22*100,R27)</f>
        <v>0.95744701474905014</v>
      </c>
      <c r="R27" s="83">
        <f ca="1">'main page'!$K$29*M27+(1-'main page'!$K$29)*controls!$B$9+S27+(('main page'!$K$25*'main page'!$U$13*'main page'!$K$29)/('main page'!$K$27*(1+('main page'!$K$25^2)*'main page'!$U$13)))*(M27-(controls!$B$9/100)*100)</f>
        <v>0.95744701474905014</v>
      </c>
      <c r="S27" s="81">
        <f ca="1">IF(controls!$B$33=1,(J28-E27*X28-B27)/'main page'!$K$27,(I28-E27*X28-B27)/'main page'!$K$27)</f>
        <v>-4.0850689634680748E-2</v>
      </c>
      <c r="U27" s="58">
        <f>IF(controls!$B$6=1,$AG$4*(1+('main page'!$K$35/100))^V27-$AG$4*(1+('main page'!$K$35/100))^V26,$AG$4*(1+('main page'!$G$8/100))*(1+('main page'!$K$35/100))^V27-$AG$4*(1+('main page'!$G$8/100))*(1+('main page'!$K$35/100))^V26)</f>
        <v>0</v>
      </c>
      <c r="V27" s="60">
        <v>19</v>
      </c>
      <c r="W27" s="36">
        <f ca="1">'normal case'!AC26</f>
        <v>0</v>
      </c>
      <c r="X27" s="36">
        <f ca="1">'normal case'!AD26</f>
        <v>0</v>
      </c>
      <c r="Y27" s="44">
        <f ca="1">IF(controls!$B$33=1,E27-($J$4-'main page'!$K$27*2)*(1+('main page'!$K$35/100))^A26,E27-$AG$5)</f>
        <v>8.0773905329406261</v>
      </c>
      <c r="Z27" s="44">
        <f ca="1">ABS(M27-(controls!$B$9/100)*100)</f>
        <v>0.80136183649301529</v>
      </c>
      <c r="AI27" s="36"/>
      <c r="AJ27" s="36"/>
    </row>
    <row r="28" spans="1:36">
      <c r="A28" s="43">
        <v>25</v>
      </c>
      <c r="B28" s="62">
        <f ca="1">IF(controls!$B$6=2,AVERAGE(E24:E27)+B27*W28+hystere!$AG$9,AVERAGE(E24:E27)+B27*W28)</f>
        <v>108.47871900256723</v>
      </c>
      <c r="C28" s="67">
        <f t="shared" ca="1" si="1"/>
        <v>3.7472385535788355E-3</v>
      </c>
      <c r="D28" s="88">
        <f t="shared" ca="1" si="2"/>
        <v>3.6632949486374855E-3</v>
      </c>
      <c r="E28" s="64">
        <f t="shared" ca="1" si="3"/>
        <v>108.48238229751587</v>
      </c>
      <c r="F28" s="64">
        <f ca="1">IF('main page'!$K$34=1,hystere!H28,hystere!G28)</f>
        <v>108.48238229751587</v>
      </c>
      <c r="G28" s="78">
        <f ca="1">I28-'main page'!$K$27*hystere!N27</f>
        <v>108.48238229751587</v>
      </c>
      <c r="H28" s="62">
        <f ca="1">J28-'main page'!$K$27*N27</f>
        <v>108.48238229751587</v>
      </c>
      <c r="I28" s="62">
        <f t="shared" ca="1" si="4"/>
        <v>108</v>
      </c>
      <c r="J28" s="62">
        <f t="shared" ca="1" si="5"/>
        <v>108</v>
      </c>
      <c r="M28" s="62">
        <f ca="1">IF(ABS('main page'!$K$29*M27+(1-'main page'!$K$29)*(controls!$B$9/100)*100+'main page'!$K$25*(E28-B28)-M27)&lt;0.0000001,M27,'main page'!$K$29*M27+(1-'main page'!$K$29)*(controls!$B$9/100)*100+'main page'!$K$25*(E28-B28))</f>
        <v>1.2023014584556222</v>
      </c>
      <c r="N28" s="62">
        <f ca="1">IF(controls!$B$10=1,N27,O28-'main page'!$K$29*M28-(1-'main page'!$K$29)*controls!$B$9)</f>
        <v>-0.43878413666971028</v>
      </c>
      <c r="O28" s="61">
        <f t="shared" ca="1" si="0"/>
        <v>0.76351732178591192</v>
      </c>
      <c r="P28" s="63">
        <f ca="1">IF(controls!$B$10=1,hystere!N28+hystere!M28,hystere!Q28)</f>
        <v>0.76351732178591192</v>
      </c>
      <c r="Q28" s="61">
        <f ca="1">IF('main page'!$Y$53=1,'choose m.p.'!$I$22*100,R28)</f>
        <v>0.76351732178591192</v>
      </c>
      <c r="R28" s="83">
        <f ca="1">'main page'!$K$29*M28+(1-'main page'!$K$29)*controls!$B$9+S28+(('main page'!$K$25*'main page'!$U$13*'main page'!$K$29)/('main page'!$K$27*(1+('main page'!$K$25^2)*'main page'!$U$13)))*(M28-(controls!$B$9/100)*100)</f>
        <v>0.76351732178591192</v>
      </c>
      <c r="S28" s="81">
        <f ca="1">IF(controls!$B$33=1,(J29-E28*X29-B28)/'main page'!$K$27,(I29-E28*X29-B28)/'main page'!$K$27)</f>
        <v>-0.23935950128361583</v>
      </c>
      <c r="U28" s="58">
        <f>IF(controls!$B$6=1,$AG$4*(1+('main page'!$K$35/100))^V28-$AG$4*(1+('main page'!$K$35/100))^V27,$AG$4*(1+('main page'!$G$8/100))*(1+('main page'!$K$35/100))^V28-$AG$4*(1+('main page'!$G$8/100))*(1+('main page'!$K$35/100))^V27)</f>
        <v>0</v>
      </c>
      <c r="V28" s="60">
        <v>20</v>
      </c>
      <c r="W28" s="36">
        <f>'normal case'!AC27</f>
        <v>0</v>
      </c>
      <c r="X28" s="36">
        <f>'normal case'!AD27</f>
        <v>0</v>
      </c>
      <c r="Y28" s="44">
        <f ca="1">IF(controls!$B$33=1,E28-($J$4-'main page'!$K$27*2)*(1+('main page'!$K$35/100))^A27,E28-$AG$5)</f>
        <v>8.4823822975158691</v>
      </c>
      <c r="Z28" s="44">
        <f ca="1">ABS(M28-(controls!$B$9/100)*100)</f>
        <v>0.7976985415443778</v>
      </c>
      <c r="AI28" s="36"/>
      <c r="AJ28" s="36"/>
    </row>
    <row r="29" spans="1:36">
      <c r="A29" s="43">
        <v>26</v>
      </c>
      <c r="B29" s="62">
        <f ca="1">IF(controls!$B$6=2,AVERAGE(E25:E28)+B28*W29+hystere!$AG$9,AVERAGE(E25:E28)+B28*W29)</f>
        <v>108.88017404731363</v>
      </c>
      <c r="C29" s="67">
        <f t="shared" ca="1" si="1"/>
        <v>3.6428585679446623E-3</v>
      </c>
      <c r="D29" s="88">
        <f t="shared" ca="1" si="2"/>
        <v>-2.6057739742100239E-3</v>
      </c>
      <c r="E29" s="64">
        <f t="shared" ca="1" si="3"/>
        <v>108.87756827333942</v>
      </c>
      <c r="F29" s="64">
        <f ca="1">IF('main page'!$K$34=1,hystere!H29,hystere!G29)</f>
        <v>108.87756827333942</v>
      </c>
      <c r="G29" s="78">
        <f ca="1">I29-'main page'!$K$27*hystere!N28</f>
        <v>108.87756827333942</v>
      </c>
      <c r="H29" s="62">
        <f ca="1">J29-'main page'!$K$27*N28</f>
        <v>108.87756827333942</v>
      </c>
      <c r="I29" s="62">
        <f t="shared" ca="1" si="4"/>
        <v>108</v>
      </c>
      <c r="J29" s="62">
        <f t="shared" ca="1" si="5"/>
        <v>108</v>
      </c>
      <c r="M29" s="62">
        <f ca="1">IF(ABS('main page'!$K$29*M28+(1-'main page'!$K$29)*(controls!$B$9/100)*100+'main page'!$K$25*(E29-B29)-M28)&lt;0.0000001,M28,'main page'!$K$29*M28+(1-'main page'!$K$29)*(controls!$B$9/100)*100+'main page'!$K$25*(E29-B29))</f>
        <v>1.1996956844814122</v>
      </c>
      <c r="N29" s="62">
        <f ca="1">IF(controls!$B$10=1,N28,O29-'main page'!$K$29*M29-(1-'main page'!$K$29)*controls!$B$9)</f>
        <v>-0.64016310253646225</v>
      </c>
      <c r="O29" s="61">
        <f t="shared" ca="1" si="0"/>
        <v>0.55953258194494992</v>
      </c>
      <c r="P29" s="63">
        <f ca="1">IF(controls!$B$10=1,hystere!N29+hystere!M29,hystere!Q29)</f>
        <v>0.55953258194494992</v>
      </c>
      <c r="Q29" s="61">
        <f ca="1">IF('main page'!$Y$53=1,'choose m.p.'!$I$22*100,R29)</f>
        <v>0.55953258194494992</v>
      </c>
      <c r="R29" s="83">
        <f ca="1">'main page'!$K$29*M29+(1-'main page'!$K$29)*controls!$B$9+S29+(('main page'!$K$25*'main page'!$U$13*'main page'!$K$29)/('main page'!$K$27*(1+('main page'!$K$25^2)*'main page'!$U$13)))*(M29-(controls!$B$9/100)*100)</f>
        <v>0.55953258194494992</v>
      </c>
      <c r="S29" s="81">
        <f ca="1">IF(controls!$B$33=1,(J30-E29*X30-B29)/'main page'!$K$27,(I30-E29*X30-B29)/'main page'!$K$27)</f>
        <v>-0.44008702365681529</v>
      </c>
      <c r="U29" s="58">
        <f>IF(controls!$B$6=1,$AG$4*(1+('main page'!$K$35/100))^V29-$AG$4*(1+('main page'!$K$35/100))^V28,$AG$4*(1+('main page'!$G$8/100))*(1+('main page'!$K$35/100))^V29-$AG$4*(1+('main page'!$G$8/100))*(1+('main page'!$K$35/100))^V28)</f>
        <v>0</v>
      </c>
      <c r="V29" s="60">
        <v>21</v>
      </c>
      <c r="W29" s="36">
        <f>'normal case'!AC28</f>
        <v>0</v>
      </c>
      <c r="X29" s="36">
        <f>'normal case'!AD28</f>
        <v>0</v>
      </c>
      <c r="Y29" s="44">
        <f ca="1">IF(controls!$B$33=1,E29-($J$4-'main page'!$K$27*2)*(1+('main page'!$K$35/100))^A28,E29-$AG$5)</f>
        <v>8.8775682733394206</v>
      </c>
      <c r="Z29" s="44">
        <f ca="1">ABS(M29-(controls!$B$9/100)*100)</f>
        <v>0.80030431551858783</v>
      </c>
      <c r="AI29" s="36"/>
      <c r="AJ29" s="36"/>
    </row>
    <row r="30" spans="1:36">
      <c r="A30" s="43">
        <v>27</v>
      </c>
      <c r="B30" s="62">
        <f ca="1">IF(controls!$B$6=2,AVERAGE(E26:E29)+B29*W30+hystere!$AG$9,AVERAGE(E26:E29)+B29*W30)</f>
        <v>109.28098069748376</v>
      </c>
      <c r="C30" s="67">
        <f t="shared" ca="1" si="1"/>
        <v>3.6991819170903995E-3</v>
      </c>
      <c r="D30" s="88">
        <f t="shared" ca="1" si="2"/>
        <v>-6.5449241083115339E-4</v>
      </c>
      <c r="E30" s="64">
        <f t="shared" ca="1" si="3"/>
        <v>109.28032620507292</v>
      </c>
      <c r="F30" s="64">
        <f ca="1">IF('main page'!$K$34=1,hystere!H30,hystere!G30)</f>
        <v>109.28032620507292</v>
      </c>
      <c r="G30" s="78">
        <f ca="1">I30-'main page'!$K$27*hystere!N29</f>
        <v>109.28032620507292</v>
      </c>
      <c r="H30" s="62">
        <f ca="1">J30-'main page'!$K$27*N29</f>
        <v>109.28032620507292</v>
      </c>
      <c r="I30" s="62">
        <f t="shared" ca="1" si="4"/>
        <v>108</v>
      </c>
      <c r="J30" s="62">
        <f t="shared" ca="1" si="5"/>
        <v>108</v>
      </c>
      <c r="M30" s="62">
        <f ca="1">IF(ABS('main page'!$K$29*M29+(1-'main page'!$K$29)*(controls!$B$9/100)*100+'main page'!$K$25*(E30-B30)-M29)&lt;0.0000001,M29,'main page'!$K$29*M29+(1-'main page'!$K$29)*(controls!$B$9/100)*100+'main page'!$K$25*(E30-B30))</f>
        <v>1.199041192070581</v>
      </c>
      <c r="N30" s="62">
        <f ca="1">IF(controls!$B$10=1,N29,O30-'main page'!$K$29*M30-(1-'main page'!$K$29)*controls!$B$9)</f>
        <v>-0.84073005072423257</v>
      </c>
      <c r="O30" s="61">
        <f t="shared" ca="1" si="0"/>
        <v>0.35831114134634845</v>
      </c>
      <c r="P30" s="63">
        <f ca="1">IF(controls!$B$10=1,hystere!N30+hystere!M30,hystere!Q30)</f>
        <v>0.35831114134634845</v>
      </c>
      <c r="Q30" s="61">
        <f ca="1">IF('main page'!$Y$53=1,'choose m.p.'!$I$22*100,R30)</f>
        <v>0.35831114134634845</v>
      </c>
      <c r="R30" s="83">
        <f ca="1">'main page'!$K$29*M30+(1-'main page'!$K$29)*controls!$B$9+S30+(('main page'!$K$25*'main page'!$U$13*'main page'!$K$29)/('main page'!$K$27*(1+('main page'!$K$25^2)*'main page'!$U$13)))*(M30-(controls!$B$9/100)*100)</f>
        <v>0.35831114134634845</v>
      </c>
      <c r="S30" s="81">
        <f ca="1">IF(controls!$B$33=1,(J31-E30*X31-B30)/'main page'!$K$27,(I31-E30*X31-B30)/'main page'!$K$27)</f>
        <v>-0.64049034874187782</v>
      </c>
      <c r="U30" s="58">
        <f>IF(controls!$B$6=1,$AG$4*(1+('main page'!$K$35/100))^V30-$AG$4*(1+('main page'!$K$35/100))^V29,$AG$4*(1+('main page'!$G$8/100))*(1+('main page'!$K$35/100))^V30-$AG$4*(1+('main page'!$G$8/100))*(1+('main page'!$K$35/100))^V29)</f>
        <v>0</v>
      </c>
      <c r="V30" s="60">
        <v>22</v>
      </c>
      <c r="W30" s="36">
        <f ca="1">'normal case'!AC29</f>
        <v>0</v>
      </c>
      <c r="X30" s="36">
        <f ca="1">'normal case'!AD29</f>
        <v>0</v>
      </c>
      <c r="Y30" s="44">
        <f ca="1">IF(controls!$B$33=1,E30-($J$4-'main page'!$K$27*2)*(1+('main page'!$K$35/100))^A29,E30-$AG$5)</f>
        <v>9.2803262050729245</v>
      </c>
      <c r="Z30" s="44">
        <f ca="1">ABS(M30-(controls!$B$9/100)*100)</f>
        <v>0.80095880792941898</v>
      </c>
      <c r="AI30" s="36"/>
      <c r="AJ30" s="36"/>
    </row>
    <row r="31" spans="1:36">
      <c r="A31" s="43">
        <v>28</v>
      </c>
      <c r="B31" s="62">
        <f ca="1">IF(controls!$B$6=2,AVERAGE(E27:E30)+B30*W31+hystere!$AG$9,AVERAGE(E27:E30)+B30*W31)</f>
        <v>109.67941682721721</v>
      </c>
      <c r="C31" s="67">
        <f t="shared" ca="1" si="1"/>
        <v>3.6706872161305082E-3</v>
      </c>
      <c r="D31" s="88">
        <f t="shared" ca="1" si="2"/>
        <v>2.0432742312550545E-3</v>
      </c>
      <c r="E31" s="64">
        <f t="shared" ca="1" si="3"/>
        <v>109.68146010144847</v>
      </c>
      <c r="F31" s="64">
        <f ca="1">IF('main page'!$K$34=1,hystere!H31,hystere!G31)</f>
        <v>109.68146010144847</v>
      </c>
      <c r="G31" s="78">
        <f ca="1">I31-'main page'!$K$27*hystere!N30</f>
        <v>109.68146010144847</v>
      </c>
      <c r="H31" s="62">
        <f ca="1">J31-'main page'!$K$27*N30</f>
        <v>109.68146010144847</v>
      </c>
      <c r="I31" s="62">
        <f t="shared" ca="1" si="4"/>
        <v>108</v>
      </c>
      <c r="J31" s="62">
        <f t="shared" ca="1" si="5"/>
        <v>108</v>
      </c>
      <c r="M31" s="62">
        <f ca="1">IF(ABS('main page'!$K$29*M30+(1-'main page'!$K$29)*(controls!$B$9/100)*100+'main page'!$K$25*(E31-B31)-M30)&lt;0.0000001,M30,'main page'!$K$29*M30+(1-'main page'!$K$29)*(controls!$B$9/100)*100+'main page'!$K$25*(E31-B31))</f>
        <v>1.2010844663018361</v>
      </c>
      <c r="N31" s="62">
        <f ca="1">IF(controls!$B$10=1,N30,O31-'main page'!$K$29*M31-(1-'main page'!$K$29)*controls!$B$9)</f>
        <v>-1.039437297033146</v>
      </c>
      <c r="O31" s="61">
        <f t="shared" ca="1" si="0"/>
        <v>0.16164716926869005</v>
      </c>
      <c r="P31" s="63">
        <f ca="1">IF(controls!$B$10=1,hystere!N31+hystere!M31,hystere!Q31)</f>
        <v>0.16164716926869005</v>
      </c>
      <c r="Q31" s="61">
        <f ca="1">IF('main page'!$Y$53=1,'choose m.p.'!$I$22*100,R31)</f>
        <v>0.16164716926869005</v>
      </c>
      <c r="R31" s="83">
        <f ca="1">'main page'!$K$29*M31+(1-'main page'!$K$29)*controls!$B$9+S31+(('main page'!$K$25*'main page'!$U$13*'main page'!$K$29)/('main page'!$K$27*(1+('main page'!$K$25^2)*'main page'!$U$13)))*(M31-(controls!$B$9/100)*100)</f>
        <v>0.16164716926869005</v>
      </c>
      <c r="S31" s="81">
        <f ca="1">IF(controls!$B$33=1,(J32-E31*X32-B31)/'main page'!$K$27,(I32-E31*X32-B31)/'main page'!$K$27)</f>
        <v>-0.83970841360860504</v>
      </c>
      <c r="U31" s="58">
        <f>IF(controls!$B$6=1,$AG$4*(1+('main page'!$K$35/100))^V31-$AG$4*(1+('main page'!$K$35/100))^V30,$AG$4*(1+('main page'!$G$8/100))*(1+('main page'!$K$35/100))^V31-$AG$4*(1+('main page'!$G$8/100))*(1+('main page'!$K$35/100))^V30)</f>
        <v>0</v>
      </c>
      <c r="V31" s="60">
        <v>23</v>
      </c>
      <c r="W31" s="36">
        <f>'normal case'!AC30</f>
        <v>0</v>
      </c>
      <c r="X31" s="36">
        <f>'normal case'!AD30</f>
        <v>0</v>
      </c>
      <c r="Y31" s="44">
        <f ca="1">IF(controls!$B$33=1,E31-($J$4-'main page'!$K$27*2)*(1+('main page'!$K$35/100))^A30,E31-$AG$5)</f>
        <v>9.6814601014484651</v>
      </c>
      <c r="Z31" s="44">
        <f ca="1">ABS(M31-(controls!$B$9/100)*100)</f>
        <v>0.79891553369816393</v>
      </c>
      <c r="AI31" s="36"/>
      <c r="AJ31" s="36"/>
    </row>
    <row r="32" spans="1:36">
      <c r="A32" s="43">
        <v>29</v>
      </c>
      <c r="B32" s="62">
        <f ca="1">IF(controls!$B$6=2,AVERAGE(E28:E31)+B31*W32+hystere!$AG$9,AVERAGE(E28:E31)+B31*W32)</f>
        <v>110.08043421934417</v>
      </c>
      <c r="C32" s="67">
        <f t="shared" ca="1" si="1"/>
        <v>3.6233515878640876E-3</v>
      </c>
      <c r="D32" s="88">
        <f t="shared" ca="1" si="2"/>
        <v>-1.5596252778777853E-3</v>
      </c>
      <c r="E32" s="64">
        <f t="shared" ca="1" si="3"/>
        <v>110.07887459406629</v>
      </c>
      <c r="F32" s="64">
        <f ca="1">IF('main page'!$K$34=1,hystere!H32,hystere!G32)</f>
        <v>110.07887459406629</v>
      </c>
      <c r="G32" s="78">
        <f ca="1">I32-'main page'!$K$27*hystere!N31</f>
        <v>110.07887459406629</v>
      </c>
      <c r="H32" s="62">
        <f ca="1">J32-'main page'!$K$27*N31</f>
        <v>110.07887459406629</v>
      </c>
      <c r="I32" s="62">
        <f t="shared" ca="1" si="4"/>
        <v>108</v>
      </c>
      <c r="J32" s="62">
        <f t="shared" ca="1" si="5"/>
        <v>108</v>
      </c>
      <c r="M32" s="62">
        <f ca="1">IF(ABS('main page'!$K$29*M31+(1-'main page'!$K$29)*(controls!$B$9/100)*100+'main page'!$K$25*(E32-B32)-M31)&lt;0.0000001,M31,'main page'!$K$29*M31+(1-'main page'!$K$29)*(controls!$B$9/100)*100+'main page'!$K$25*(E32-B32))</f>
        <v>1.1995248410239583</v>
      </c>
      <c r="N32" s="62">
        <f ca="1">IF(controls!$B$10=1,N31,O32-'main page'!$K$29*M32-(1-'main page'!$K$29)*controls!$B$9)</f>
        <v>-1.1995248410239583</v>
      </c>
      <c r="O32" s="61">
        <f t="shared" ca="1" si="0"/>
        <v>0</v>
      </c>
      <c r="P32" s="63">
        <f ca="1">IF(controls!$B$10=1,hystere!N32+hystere!M32,hystere!Q32)</f>
        <v>-4.0811058392137056E-2</v>
      </c>
      <c r="Q32" s="61">
        <f ca="1">IF('main page'!$Y$53=1,'choose m.p.'!$I$22*100,R32)</f>
        <v>-4.0811058392137056E-2</v>
      </c>
      <c r="R32" s="83">
        <f ca="1">'main page'!$K$29*M32+(1-'main page'!$K$29)*controls!$B$9+S32+(('main page'!$K$25*'main page'!$U$13*'main page'!$K$29)/('main page'!$K$27*(1+('main page'!$K$25^2)*'main page'!$U$13)))*(M32-(controls!$B$9/100)*100)</f>
        <v>-4.0811058392137056E-2</v>
      </c>
      <c r="S32" s="81">
        <f ca="1">IF(controls!$B$33=1,(J33-E32*X33-B32)/'main page'!$K$27,(I33-E32*X33-B32)/'main page'!$K$27)</f>
        <v>-1.0402171096720849</v>
      </c>
      <c r="U32" s="58">
        <f>IF(controls!$B$6=1,$AG$4*(1+('main page'!$K$35/100))^V32-$AG$4*(1+('main page'!$K$35/100))^V31,$AG$4*(1+('main page'!$G$8/100))*(1+('main page'!$K$35/100))^V32-$AG$4*(1+('main page'!$G$8/100))*(1+('main page'!$K$35/100))^V31)</f>
        <v>0</v>
      </c>
      <c r="V32" s="60">
        <v>24</v>
      </c>
      <c r="W32" s="36">
        <f>'normal case'!AC31</f>
        <v>0</v>
      </c>
      <c r="X32" s="36">
        <f>'normal case'!AD31</f>
        <v>0</v>
      </c>
      <c r="Y32" s="44">
        <f ca="1">IF(controls!$B$33=1,E32-($J$4-'main page'!$K$27*2)*(1+('main page'!$K$35/100))^A31,E32-$AG$5)</f>
        <v>10.078874594066292</v>
      </c>
      <c r="Z32" s="44">
        <f ca="1">ABS(M32-(controls!$B$9/100)*100)</f>
        <v>0.80047515897604171</v>
      </c>
      <c r="AI32" s="36"/>
      <c r="AJ32" s="36"/>
    </row>
    <row r="33" spans="1:36">
      <c r="A33" s="43">
        <v>30</v>
      </c>
      <c r="B33" s="62">
        <f ca="1">IF(controls!$B$6=2,AVERAGE(E29:E32)+B32*W33+hystere!$AG$9,AVERAGE(E29:E32)+B32*W33)</f>
        <v>110.47955729348178</v>
      </c>
      <c r="C33" s="67">
        <f t="shared" ca="1" si="1"/>
        <v>2.9085970324671528E-3</v>
      </c>
      <c r="D33" s="88">
        <f t="shared" ca="1" si="2"/>
        <v>-8.0507611433858983E-2</v>
      </c>
      <c r="E33" s="64">
        <f t="shared" ca="1" si="3"/>
        <v>110.39904968204792</v>
      </c>
      <c r="F33" s="64">
        <f ca="1">IF('main page'!$K$34=1,hystere!H33,hystere!G33)</f>
        <v>110.39904968204792</v>
      </c>
      <c r="G33" s="78">
        <f ca="1">I33-'main page'!$K$27*hystere!N32</f>
        <v>110.39904968204792</v>
      </c>
      <c r="H33" s="62">
        <f ca="1">J33-'main page'!$K$27*N32</f>
        <v>110.39904968204792</v>
      </c>
      <c r="I33" s="62">
        <f t="shared" ca="1" si="4"/>
        <v>108</v>
      </c>
      <c r="J33" s="62">
        <f t="shared" ca="1" si="5"/>
        <v>108</v>
      </c>
      <c r="M33" s="62">
        <f ca="1">IF(ABS('main page'!$K$29*M32+(1-'main page'!$K$29)*(controls!$B$9/100)*100+'main page'!$K$25*(E33-B33)-M32)&lt;0.0000001,M32,'main page'!$K$29*M32+(1-'main page'!$K$29)*(controls!$B$9/100)*100+'main page'!$K$25*(E33-B33))</f>
        <v>1.1190172295900993</v>
      </c>
      <c r="N33" s="62">
        <f ca="1">IF(controls!$B$10=1,N32,O33-'main page'!$K$29*M33-(1-'main page'!$K$29)*controls!$B$9)</f>
        <v>-1.1190172295900993</v>
      </c>
      <c r="O33" s="61">
        <f t="shared" ca="1" si="0"/>
        <v>0</v>
      </c>
      <c r="P33" s="63">
        <f ca="1">IF(controls!$B$10=1,hystere!N33+hystere!M33,hystere!Q33)</f>
        <v>-0.34100710975326365</v>
      </c>
      <c r="Q33" s="61">
        <f ca="1">IF('main page'!$Y$53=1,'choose m.p.'!$I$22*100,R33)</f>
        <v>-0.34100710975326365</v>
      </c>
      <c r="R33" s="83">
        <f ca="1">'main page'!$K$29*M33+(1-'main page'!$K$29)*controls!$B$9+S33+(('main page'!$K$25*'main page'!$U$13*'main page'!$K$29)/('main page'!$K$27*(1+('main page'!$K$25^2)*'main page'!$U$13)))*(M33-(controls!$B$9/100)*100)</f>
        <v>-0.34100710975326365</v>
      </c>
      <c r="S33" s="81">
        <f ca="1">IF(controls!$B$33=1,(J34-E33*X34-B33)/'main page'!$K$27,(I34-E33*X34-B33)/'main page'!$K$27)</f>
        <v>-1.2397786467408878</v>
      </c>
      <c r="U33" s="58">
        <f>IF(controls!$B$6=1,$AG$4*(1+('main page'!$K$35/100))^V33-$AG$4*(1+('main page'!$K$35/100))^V32,$AG$4*(1+('main page'!$G$8/100))*(1+('main page'!$K$35/100))^V33-$AG$4*(1+('main page'!$G$8/100))*(1+('main page'!$K$35/100))^V32)</f>
        <v>0</v>
      </c>
      <c r="V33" s="60">
        <v>25</v>
      </c>
      <c r="W33" s="36">
        <f ca="1">'normal case'!AC32</f>
        <v>0</v>
      </c>
      <c r="X33" s="36">
        <f ca="1">'normal case'!AD32</f>
        <v>0</v>
      </c>
      <c r="Y33" s="44">
        <f ca="1">IF(controls!$B$33=1,E33-($J$4-'main page'!$K$27*2)*(1+('main page'!$K$35/100))^A32,E33-$AG$5)</f>
        <v>10.399049682047917</v>
      </c>
      <c r="Z33" s="44">
        <f ca="1">ABS(M33-(controls!$B$9/100)*100)</f>
        <v>0.8809827704099007</v>
      </c>
      <c r="AI33" s="36"/>
      <c r="AJ33" s="36"/>
    </row>
    <row r="34" spans="1:36">
      <c r="A34" s="43">
        <v>31</v>
      </c>
      <c r="B34" s="62">
        <f ca="1">IF(controls!$B$6=2,AVERAGE(E30:E33)+B33*W34+hystere!$AG$9,AVERAGE(E30:E33)+B33*W34)</f>
        <v>110.8599276456589</v>
      </c>
      <c r="C34" s="67">
        <f t="shared" ca="1" si="1"/>
        <v>-1.4584837761868474E-3</v>
      </c>
      <c r="D34" s="88">
        <f t="shared" ca="1" si="2"/>
        <v>-0.62189318647870095</v>
      </c>
      <c r="E34" s="64">
        <f t="shared" ca="1" si="3"/>
        <v>110.2380344591802</v>
      </c>
      <c r="F34" s="64">
        <f ca="1">IF('main page'!$K$34=1,hystere!H34,hystere!G34)</f>
        <v>110.2380344591802</v>
      </c>
      <c r="G34" s="78">
        <f ca="1">I34-'main page'!$K$27*hystere!N33</f>
        <v>110.2380344591802</v>
      </c>
      <c r="H34" s="62">
        <f ca="1">J34-'main page'!$K$27*N33</f>
        <v>110.2380344591802</v>
      </c>
      <c r="I34" s="62">
        <f t="shared" ca="1" si="4"/>
        <v>108</v>
      </c>
      <c r="J34" s="62">
        <f t="shared" ca="1" si="5"/>
        <v>108</v>
      </c>
      <c r="M34" s="62">
        <f ca="1">IF(ABS('main page'!$K$29*M33+(1-'main page'!$K$29)*(controls!$B$9/100)*100+'main page'!$K$25*(E34-B34)-M33)&lt;0.0000001,M33,'main page'!$K$29*M33+(1-'main page'!$K$29)*(controls!$B$9/100)*100+'main page'!$K$25*(E34-B34))</f>
        <v>0.49712404311139835</v>
      </c>
      <c r="N34" s="62">
        <f ca="1">IF(controls!$B$10=1,N33,O34-'main page'!$K$29*M34-(1-'main page'!$K$29)*controls!$B$9)</f>
        <v>-0.49712404311139835</v>
      </c>
      <c r="O34" s="61">
        <f t="shared" ca="1" si="0"/>
        <v>0</v>
      </c>
      <c r="P34" s="63">
        <f ca="1">IF(controls!$B$10=1,hystere!N34+hystere!M34,hystere!Q34)</f>
        <v>-1.3085587689402018</v>
      </c>
      <c r="Q34" s="61">
        <f ca="1">IF('main page'!$Y$53=1,'choose m.p.'!$I$22*100,R34)</f>
        <v>-1.3085587689402018</v>
      </c>
      <c r="R34" s="83">
        <f ca="1">'main page'!$K$29*M34+(1-'main page'!$K$29)*controls!$B$9+S34+(('main page'!$K$25*'main page'!$U$13*'main page'!$K$29)/('main page'!$K$27*(1+('main page'!$K$25^2)*'main page'!$U$13)))*(M34-(controls!$B$9/100)*100)</f>
        <v>-1.3085587689402018</v>
      </c>
      <c r="S34" s="81">
        <f ca="1">IF(controls!$B$33=1,(J35-E34*X35-B34)/'main page'!$K$27,(I35-E34*X35-B34)/'main page'!$K$27)</f>
        <v>-1.4299638228294498</v>
      </c>
      <c r="U34" s="58">
        <f>IF(controls!$B$6=1,$AG$4*(1+('main page'!$K$35/100))^V34-$AG$4*(1+('main page'!$K$35/100))^V33,$AG$4*(1+('main page'!$G$8/100))*(1+('main page'!$K$35/100))^V34-$AG$4*(1+('main page'!$G$8/100))*(1+('main page'!$K$35/100))^V33)</f>
        <v>0</v>
      </c>
      <c r="V34" s="60">
        <v>26</v>
      </c>
      <c r="W34" s="36">
        <f>'normal case'!AC33</f>
        <v>0</v>
      </c>
      <c r="X34" s="36">
        <f>'normal case'!AD33</f>
        <v>0</v>
      </c>
      <c r="Y34" s="44">
        <f ca="1">IF(controls!$B$33=1,E34-($J$4-'main page'!$K$27*2)*(1+('main page'!$K$35/100))^A33,E34-$AG$5)</f>
        <v>10.238034459180199</v>
      </c>
      <c r="Z34" s="44">
        <f ca="1">ABS(M34-(controls!$B$9/100)*100)</f>
        <v>1.5028759568886016</v>
      </c>
      <c r="AI34" s="36"/>
      <c r="AJ34" s="36"/>
    </row>
    <row r="35" spans="1:36">
      <c r="A35" s="43">
        <v>32</v>
      </c>
      <c r="B35" s="62">
        <f ca="1">IF(controls!$B$6=2,AVERAGE(E31:E34)+B34*W35+hystere!$AG$9,AVERAGE(E31:E34)+B34*W35)</f>
        <v>111.09935470918572</v>
      </c>
      <c r="C35" s="67">
        <f t="shared" ca="1" si="1"/>
        <v>-1.1282733577928195E-2</v>
      </c>
      <c r="D35" s="88">
        <f t="shared" ca="1" si="2"/>
        <v>-2.1051066229629214</v>
      </c>
      <c r="E35" s="64">
        <f t="shared" ca="1" si="3"/>
        <v>108.9942480862228</v>
      </c>
      <c r="F35" s="64">
        <f ca="1">IF('main page'!$K$34=1,hystere!H35,hystere!G35)</f>
        <v>108.9942480862228</v>
      </c>
      <c r="G35" s="78">
        <f ca="1">I35-'main page'!$K$27*hystere!N34</f>
        <v>108.9942480862228</v>
      </c>
      <c r="H35" s="62">
        <f ca="1">J35-'main page'!$K$27*N34</f>
        <v>108.9942480862228</v>
      </c>
      <c r="I35" s="62">
        <f t="shared" ca="1" si="4"/>
        <v>108</v>
      </c>
      <c r="J35" s="62">
        <f t="shared" ca="1" si="5"/>
        <v>108</v>
      </c>
      <c r="M35" s="62">
        <f ca="1">IF(ABS('main page'!$K$29*M34+(1-'main page'!$K$29)*(controls!$B$9/100)*100+'main page'!$K$25*(E35-B35)-M34)&lt;0.0000001,M34,'main page'!$K$29*M34+(1-'main page'!$K$29)*(controls!$B$9/100)*100+'main page'!$K$25*(E35-B35))</f>
        <v>-1.607982579851523</v>
      </c>
      <c r="N35" s="62">
        <f ca="1">IF(controls!$B$10=1,N34,O35-'main page'!$K$29*M35-(1-'main page'!$K$29)*controls!$B$9)</f>
        <v>1.607982579851523</v>
      </c>
      <c r="O35" s="61">
        <f t="shared" ca="1" si="0"/>
        <v>0</v>
      </c>
      <c r="P35" s="63">
        <f ca="1">IF(controls!$B$10=1,hystere!N35+hystere!M35,hystere!Q35)</f>
        <v>-4.0596555794072628</v>
      </c>
      <c r="Q35" s="61">
        <f ca="1">IF('main page'!$Y$53=1,'choose m.p.'!$I$22*100,R35)</f>
        <v>-4.0596555794072628</v>
      </c>
      <c r="R35" s="83">
        <f ca="1">'main page'!$K$29*M35+(1-'main page'!$K$29)*controls!$B$9+S35+(('main page'!$K$25*'main page'!$U$13*'main page'!$K$29)/('main page'!$K$27*(1+('main page'!$K$25^2)*'main page'!$U$13)))*(M35-(controls!$B$9/100)*100)</f>
        <v>-4.0596555794072628</v>
      </c>
      <c r="S35" s="81">
        <f ca="1">IF(controls!$B$33=1,(J36-E35*X36-B35)/'main page'!$K$27,(I36-E35*X36-B35)/'main page'!$K$27)</f>
        <v>-1.549677354592859</v>
      </c>
      <c r="U35" s="58">
        <f>IF(controls!$B$6=1,$AG$4*(1+('main page'!$K$35/100))^V35-$AG$4*(1+('main page'!$K$35/100))^V34,$AG$4*(1+('main page'!$G$8/100))*(1+('main page'!$K$35/100))^V35-$AG$4*(1+('main page'!$G$8/100))*(1+('main page'!$K$35/100))^V34)</f>
        <v>0</v>
      </c>
      <c r="V35" s="60">
        <v>27</v>
      </c>
      <c r="W35" s="36">
        <f>'normal case'!AC34</f>
        <v>0</v>
      </c>
      <c r="X35" s="36">
        <f>'normal case'!AD34</f>
        <v>0</v>
      </c>
      <c r="Y35" s="44">
        <f ca="1">IF(controls!$B$33=1,E35-($J$4-'main page'!$K$27*2)*(1+('main page'!$K$35/100))^A34,E35-$AG$5)</f>
        <v>8.9942480862227967</v>
      </c>
      <c r="Z35" s="44">
        <f ca="1">ABS(M35-(controls!$B$9/100)*100)</f>
        <v>3.607982579851523</v>
      </c>
      <c r="AI35" s="36"/>
      <c r="AJ35" s="36"/>
    </row>
    <row r="36" spans="1:36">
      <c r="A36" s="43">
        <v>33</v>
      </c>
      <c r="B36" s="62">
        <f ca="1">IF(controls!$B$6=2,AVERAGE(E32:E35)+B35*W36+hystere!$AG$9,AVERAGE(E32:E35)+B35*W36)</f>
        <v>110.9275517053793</v>
      </c>
      <c r="C36" s="67">
        <f t="shared" ca="1" si="1"/>
        <v>-3.8627847981438812E-2</v>
      </c>
      <c r="D36" s="88">
        <f t="shared" ca="1" si="2"/>
        <v>-6.1435168650823471</v>
      </c>
      <c r="E36" s="64">
        <f t="shared" ca="1" si="3"/>
        <v>104.78403484029695</v>
      </c>
      <c r="F36" s="64">
        <f ca="1">IF('main page'!$K$34=1,hystere!H36,hystere!G36)</f>
        <v>104.78403484029695</v>
      </c>
      <c r="G36" s="78">
        <f ca="1">I36-'main page'!$K$27*hystere!N35</f>
        <v>104.78403484029695</v>
      </c>
      <c r="H36" s="62">
        <f ca="1">J36-'main page'!$K$27*N35</f>
        <v>104.78403484029695</v>
      </c>
      <c r="I36" s="62">
        <f t="shared" ca="1" si="4"/>
        <v>108</v>
      </c>
      <c r="J36" s="62">
        <f t="shared" ca="1" si="5"/>
        <v>108</v>
      </c>
      <c r="M36" s="62">
        <f ca="1">IF(ABS('main page'!$K$29*M35+(1-'main page'!$K$29)*(controls!$B$9/100)*100+'main page'!$K$25*(E36-B36)-M35)&lt;0.0000001,M35,'main page'!$K$29*M35+(1-'main page'!$K$29)*(controls!$B$9/100)*100+'main page'!$K$25*(E36-B36))</f>
        <v>-7.7514994449338701</v>
      </c>
      <c r="N36" s="62">
        <f ca="1">IF(controls!$B$10=1,N35,O36-'main page'!$K$29*M36-(1-'main page'!$K$29)*controls!$B$9)</f>
        <v>7.7514994449338701</v>
      </c>
      <c r="O36" s="61">
        <f t="shared" ca="1" si="0"/>
        <v>0</v>
      </c>
      <c r="P36" s="63">
        <f ca="1">IF(controls!$B$10=1,hystere!N36+hystere!M36,hystere!Q36)</f>
        <v>-11.653150158856988</v>
      </c>
      <c r="Q36" s="61">
        <f ca="1">IF('main page'!$Y$53=1,'choose m.p.'!$I$22*100,R36)</f>
        <v>-11.653150158856988</v>
      </c>
      <c r="R36" s="83">
        <f ca="1">'main page'!$K$29*M36+(1-'main page'!$K$29)*controls!$B$9+S36+(('main page'!$K$25*'main page'!$U$13*'main page'!$K$29)/('main page'!$K$27*(1+('main page'!$K$25^2)*'main page'!$U$13)))*(M36-(controls!$B$9/100)*100)</f>
        <v>-11.653150158856988</v>
      </c>
      <c r="S36" s="81">
        <f ca="1">IF(controls!$B$33=1,(J37-E36*X37-B36)/'main page'!$K$27,(I37-E36*X37-B36)/'main page'!$K$27)</f>
        <v>-1.4637758526896505</v>
      </c>
      <c r="U36" s="58">
        <f>IF(controls!$B$6=1,$AG$4*(1+('main page'!$K$35/100))^V36-$AG$4*(1+('main page'!$K$35/100))^V35,$AG$4*(1+('main page'!$G$8/100))*(1+('main page'!$K$35/100))^V36-$AG$4*(1+('main page'!$G$8/100))*(1+('main page'!$K$35/100))^V35)</f>
        <v>0</v>
      </c>
      <c r="V36" s="60">
        <v>28</v>
      </c>
      <c r="W36" s="36">
        <f ca="1">'normal case'!AC35</f>
        <v>0</v>
      </c>
      <c r="X36" s="36">
        <f ca="1">'normal case'!AD35</f>
        <v>0</v>
      </c>
      <c r="Y36" s="44">
        <f ca="1">IF(controls!$B$33=1,E36-($J$4-'main page'!$K$27*2)*(1+('main page'!$K$35/100))^A35,E36-$AG$5)</f>
        <v>4.7840348402969539</v>
      </c>
      <c r="Z36" s="44">
        <f ca="1">ABS(M36-(controls!$B$9/100)*100)</f>
        <v>9.7514994449338701</v>
      </c>
      <c r="AI36" s="36"/>
      <c r="AJ36" s="36"/>
    </row>
    <row r="37" spans="1:36">
      <c r="A37" s="43">
        <v>34</v>
      </c>
      <c r="B37" s="62">
        <f ca="1">IF(controls!$B$6=2,AVERAGE(E33:E36)+B36*W37+hystere!$AG$9,AVERAGE(E33:E36)+B36*W37)</f>
        <v>109.60384176693697</v>
      </c>
      <c r="C37" s="67">
        <f t="shared" ca="1" si="1"/>
        <v>-0.11726055165647664</v>
      </c>
      <c r="D37" s="88">
        <f t="shared" ca="1" si="2"/>
        <v>-17.106840656804707</v>
      </c>
      <c r="E37" s="64">
        <f t="shared" ca="1" si="3"/>
        <v>92.49700111013226</v>
      </c>
      <c r="F37" s="64">
        <f ca="1">IF('main page'!$K$34=1,hystere!H37,hystere!G37)</f>
        <v>92.49700111013226</v>
      </c>
      <c r="G37" s="78">
        <f ca="1">I37-'main page'!$K$27*hystere!N36</f>
        <v>92.49700111013226</v>
      </c>
      <c r="H37" s="62">
        <f ca="1">J37-'main page'!$K$27*N36</f>
        <v>92.49700111013226</v>
      </c>
      <c r="I37" s="62">
        <f t="shared" ca="1" si="4"/>
        <v>108</v>
      </c>
      <c r="J37" s="62">
        <f t="shared" ca="1" si="5"/>
        <v>108</v>
      </c>
      <c r="M37" s="62">
        <f ca="1">IF(ABS('main page'!$K$29*M36+(1-'main page'!$K$29)*(controls!$B$9/100)*100+'main page'!$K$25*(E37-B37)-M36)&lt;0.0000001,M36,'main page'!$K$29*M36+(1-'main page'!$K$29)*(controls!$B$9/100)*100+'main page'!$K$25*(E37-B37))</f>
        <v>-24.858340101738577</v>
      </c>
      <c r="N37" s="62">
        <f ca="1">IF(controls!$B$10=1,N36,O37-'main page'!$K$29*M37-(1-'main page'!$K$29)*controls!$B$9)</f>
        <v>24.858340101738577</v>
      </c>
      <c r="O37" s="61">
        <f t="shared" ca="1" si="0"/>
        <v>0</v>
      </c>
      <c r="P37" s="63">
        <f ca="1">IF(controls!$B$10=1,hystere!N37+hystere!M37,hystere!Q37)</f>
        <v>-32.374846010641704</v>
      </c>
      <c r="Q37" s="61">
        <f ca="1">IF('main page'!$Y$53=1,'choose m.p.'!$I$22*100,R37)</f>
        <v>-32.374846010641704</v>
      </c>
      <c r="R37" s="83">
        <f ca="1">'main page'!$K$29*M37+(1-'main page'!$K$29)*controls!$B$9+S37+(('main page'!$K$25*'main page'!$U$13*'main page'!$K$29)/('main page'!$K$27*(1+('main page'!$K$25^2)*'main page'!$U$13)))*(M37-(controls!$B$9/100)*100)</f>
        <v>-32.374846010641704</v>
      </c>
      <c r="S37" s="81">
        <f ca="1">IF(controls!$B$33=1,(J38-E37*X38-B37)/'main page'!$K$27,(I38-E37*X38-B37)/'main page'!$K$27)</f>
        <v>-0.80192088346848323</v>
      </c>
      <c r="U37" s="58">
        <f>IF(controls!$B$6=1,$AG$4*(1+('main page'!$K$35/100))^V37-$AG$4*(1+('main page'!$K$35/100))^V36,$AG$4*(1+('main page'!$G$8/100))*(1+('main page'!$K$35/100))^V37-$AG$4*(1+('main page'!$G$8/100))*(1+('main page'!$K$35/100))^V36)</f>
        <v>0</v>
      </c>
      <c r="V37" s="60">
        <v>29</v>
      </c>
      <c r="W37" s="36">
        <f>'normal case'!AC36</f>
        <v>0</v>
      </c>
      <c r="X37" s="36">
        <f>'normal case'!AD36</f>
        <v>0</v>
      </c>
      <c r="Y37" s="44">
        <f ca="1">IF(controls!$B$33=1,E37-($J$4-'main page'!$K$27*2)*(1+('main page'!$K$35/100))^A36,E37-$AG$5)</f>
        <v>-7.5029988898677402</v>
      </c>
      <c r="Z37" s="44">
        <f ca="1">ABS(M37-(controls!$B$9/100)*100)</f>
        <v>26.858340101738577</v>
      </c>
      <c r="AI37" s="36"/>
      <c r="AJ37" s="36"/>
    </row>
    <row r="38" spans="1:36">
      <c r="A38" s="43">
        <v>35</v>
      </c>
      <c r="B38" s="62">
        <f ca="1">IF(controls!$B$6=2,AVERAGE(E34:E37)+B37*W38+hystere!$AG$9,AVERAGE(E34:E37)+B37*W38)</f>
        <v>105.12832962395805</v>
      </c>
      <c r="C38" s="67">
        <f t="shared" ca="1" si="1"/>
        <v>-0.36988962780396129</v>
      </c>
      <c r="D38" s="88">
        <f t="shared" ca="1" si="2"/>
        <v>-46.845009827435206</v>
      </c>
      <c r="E38" s="64">
        <f t="shared" ca="1" si="3"/>
        <v>58.283319796522846</v>
      </c>
      <c r="F38" s="64">
        <f ca="1">IF('main page'!$K$34=1,hystere!H38,hystere!G38)</f>
        <v>58.283319796522846</v>
      </c>
      <c r="G38" s="78">
        <f ca="1">I38-'main page'!$K$27*hystere!N37</f>
        <v>58.283319796522846</v>
      </c>
      <c r="H38" s="62">
        <f ca="1">J38-'main page'!$K$27*N37</f>
        <v>58.283319796522846</v>
      </c>
      <c r="I38" s="62">
        <f t="shared" ca="1" si="4"/>
        <v>108</v>
      </c>
      <c r="J38" s="62">
        <f t="shared" ca="1" si="5"/>
        <v>108</v>
      </c>
      <c r="M38" s="62">
        <f ca="1">IF(ABS('main page'!$K$29*M37+(1-'main page'!$K$29)*(controls!$B$9/100)*100+'main page'!$K$25*(E38-B38)-M37)&lt;0.0000001,M37,'main page'!$K$29*M37+(1-'main page'!$K$29)*(controls!$B$9/100)*100+'main page'!$K$25*(E38-B38))</f>
        <v>-71.703349929173783</v>
      </c>
      <c r="N38" s="62">
        <f ca="1">IF(controls!$B$10=1,N37,O38-'main page'!$K$29*M38-(1-'main page'!$K$29)*controls!$B$9)</f>
        <v>71.703349929173783</v>
      </c>
      <c r="O38" s="61">
        <f t="shared" ca="1" si="0"/>
        <v>0</v>
      </c>
      <c r="P38" s="63">
        <f ca="1">IF(controls!$B$10=1,hystere!N38+hystere!M38,hystere!Q38)</f>
        <v>-88.693352223446254</v>
      </c>
      <c r="Q38" s="61">
        <f ca="1">IF('main page'!$Y$53=1,'choose m.p.'!$I$22*100,R38)</f>
        <v>-88.693352223446254</v>
      </c>
      <c r="R38" s="83">
        <f ca="1">'main page'!$K$29*M38+(1-'main page'!$K$29)*controls!$B$9+S38+(('main page'!$K$25*'main page'!$U$13*'main page'!$K$29)/('main page'!$K$27*(1+('main page'!$K$25^2)*'main page'!$U$13)))*(M38-(controls!$B$9/100)*100)</f>
        <v>-88.693352223446254</v>
      </c>
      <c r="S38" s="81">
        <f ca="1">IF(controls!$B$33=1,(J39-E38*X39-B38)/'main page'!$K$27,(I39-E38*X39-B38)/'main page'!$K$27)</f>
        <v>1.4358351880209739</v>
      </c>
      <c r="U38" s="58">
        <f>IF(controls!$B$6=1,$AG$4*(1+('main page'!$K$35/100))^V38-$AG$4*(1+('main page'!$K$35/100))^V37,$AG$4*(1+('main page'!$G$8/100))*(1+('main page'!$K$35/100))^V38-$AG$4*(1+('main page'!$G$8/100))*(1+('main page'!$K$35/100))^V37)</f>
        <v>0</v>
      </c>
      <c r="V38" s="60">
        <v>30</v>
      </c>
      <c r="W38" s="36">
        <f>'normal case'!AC37</f>
        <v>0</v>
      </c>
      <c r="X38" s="36">
        <f>'normal case'!AD37</f>
        <v>0</v>
      </c>
      <c r="Y38" s="44">
        <f ca="1">IF(controls!$B$33=1,E38-($J$4-'main page'!$K$27*2)*(1+('main page'!$K$35/100))^A37,E38-$AG$5)</f>
        <v>-41.716680203477154</v>
      </c>
      <c r="Z38" s="44">
        <f ca="1">ABS(M38-(controls!$B$9/100)*100)</f>
        <v>73.703349929173783</v>
      </c>
      <c r="AI38" s="36"/>
      <c r="AJ38" s="36"/>
    </row>
    <row r="39" spans="1:36">
      <c r="A39" s="43">
        <v>36</v>
      </c>
      <c r="B39" s="62">
        <f ca="1">IF(controls!$B$6=2,AVERAGE(E35:E38)+B38*W39+hystere!$AG$9,AVERAGE(E35:E38)+B38*W39)</f>
        <v>92.139650958293714</v>
      </c>
      <c r="C39" s="67">
        <f t="shared" ca="1" si="1"/>
        <v>-0.99828424323890408</v>
      </c>
      <c r="D39" s="88">
        <f t="shared" ca="1" si="2"/>
        <v>-92.03965095829372</v>
      </c>
      <c r="E39" s="64">
        <f t="shared" ca="1" si="3"/>
        <v>0.1</v>
      </c>
      <c r="F39" s="64">
        <f ca="1">IF('main page'!$K$34=1,hystere!H39,hystere!G39)</f>
        <v>-35.406699858347565</v>
      </c>
      <c r="G39" s="78">
        <f ca="1">I39-'main page'!$K$27*hystere!N38</f>
        <v>-35.406699858347565</v>
      </c>
      <c r="H39" s="62">
        <f ca="1">J39-'main page'!$K$27*N38</f>
        <v>-35.406699858347565</v>
      </c>
      <c r="I39" s="62">
        <f t="shared" ca="1" si="4"/>
        <v>108</v>
      </c>
      <c r="J39" s="62">
        <f t="shared" ca="1" si="5"/>
        <v>108</v>
      </c>
      <c r="M39" s="62">
        <f ca="1">IF(ABS('main page'!$K$29*M38+(1-'main page'!$K$29)*(controls!$B$9/100)*100+'main page'!$K$25*(E39-B39)-M38)&lt;0.0000001,M38,'main page'!$K$29*M38+(1-'main page'!$K$29)*(controls!$B$9/100)*100+'main page'!$K$25*(E39-B39))</f>
        <v>-163.7430008874675</v>
      </c>
      <c r="N39" s="62">
        <f ca="1">IF(controls!$B$10=1,N38,O39-'main page'!$K$29*M39-(1-'main page'!$K$29)*controls!$B$9)</f>
        <v>163.7430008874675</v>
      </c>
      <c r="O39" s="61">
        <f t="shared" ca="1" si="0"/>
        <v>0</v>
      </c>
      <c r="P39" s="63">
        <f ca="1">IF(controls!$B$10=1,hystere!N39+hystere!M39,hystere!Q39)</f>
        <v>-197.24857658848123</v>
      </c>
      <c r="Q39" s="61">
        <f ca="1">IF('main page'!$Y$53=1,'choose m.p.'!$I$22*100,R39)</f>
        <v>-197.24857658848123</v>
      </c>
      <c r="R39" s="83">
        <f ca="1">'main page'!$K$29*M39+(1-'main page'!$K$29)*controls!$B$9+S39+(('main page'!$K$25*'main page'!$U$13*'main page'!$K$29)/('main page'!$K$27*(1+('main page'!$K$25^2)*'main page'!$U$13)))*(M39-(controls!$B$9/100)*100)</f>
        <v>-197.24857658848123</v>
      </c>
      <c r="S39" s="81">
        <f ca="1">IF(controls!$B$33=1,(J40-E39*X40-B39)/'main page'!$K$27,(I40-E39*X40-B39)/'main page'!$K$27)</f>
        <v>7.9301745208531429</v>
      </c>
      <c r="U39" s="58">
        <f>IF(controls!$B$6=1,$AG$4*(1+('main page'!$K$35/100))^V39-$AG$4*(1+('main page'!$K$35/100))^V38,$AG$4*(1+('main page'!$G$8/100))*(1+('main page'!$K$35/100))^V39-$AG$4*(1+('main page'!$G$8/100))*(1+('main page'!$K$35/100))^V38)</f>
        <v>0</v>
      </c>
      <c r="V39" s="60">
        <v>31</v>
      </c>
      <c r="W39" s="36">
        <f ca="1">'normal case'!AC38</f>
        <v>0</v>
      </c>
      <c r="X39" s="36">
        <f ca="1">'normal case'!AD38</f>
        <v>0</v>
      </c>
      <c r="Y39" s="44">
        <f ca="1">IF(controls!$B$33=1,E39-($J$4-'main page'!$K$27*2)*(1+('main page'!$K$35/100))^A38,E39-$AG$5)</f>
        <v>-99.9</v>
      </c>
      <c r="Z39" s="44">
        <f ca="1">ABS(M39-(controls!$B$9/100)*100)</f>
        <v>165.7430008874675</v>
      </c>
      <c r="AI39" s="36"/>
      <c r="AJ39" s="36"/>
    </row>
    <row r="40" spans="1:36">
      <c r="A40" s="43">
        <v>37</v>
      </c>
      <c r="B40" s="62">
        <f ca="1">IF(controls!$B$6=2,AVERAGE(E36:E39)+B39*W40+hystere!$AG$9,AVERAGE(E36:E39)+B39*W40)</f>
        <v>64.916088936738021</v>
      </c>
      <c r="C40" s="67">
        <f t="shared" ca="1" si="1"/>
        <v>0</v>
      </c>
      <c r="D40" s="88">
        <f t="shared" ca="1" si="2"/>
        <v>-64.816088936738026</v>
      </c>
      <c r="E40" s="64">
        <f t="shared" ca="1" si="3"/>
        <v>0.1</v>
      </c>
      <c r="F40" s="64">
        <f ca="1">IF('main page'!$K$34=1,hystere!H40,hystere!G40)</f>
        <v>-219.486001774935</v>
      </c>
      <c r="G40" s="78">
        <f ca="1">I40-'main page'!$K$27*hystere!N39</f>
        <v>-219.486001774935</v>
      </c>
      <c r="H40" s="62">
        <f ca="1">J40-'main page'!$K$27*N39</f>
        <v>-219.486001774935</v>
      </c>
      <c r="I40" s="62">
        <f t="shared" ca="1" si="4"/>
        <v>108</v>
      </c>
      <c r="J40" s="62">
        <f t="shared" ca="1" si="5"/>
        <v>108</v>
      </c>
      <c r="M40" s="62">
        <f ca="1">IF(ABS('main page'!$K$29*M39+(1-'main page'!$K$29)*(controls!$B$9/100)*100+'main page'!$K$25*(E40-B40)-M39)&lt;0.0000001,M39,'main page'!$K$29*M39+(1-'main page'!$K$29)*(controls!$B$9/100)*100+'main page'!$K$25*(E40-B40))</f>
        <v>-228.55908982420553</v>
      </c>
      <c r="N40" s="62">
        <f ca="1">IF(controls!$B$10=1,N39,O40-'main page'!$K$29*M40-(1-'main page'!$K$29)*controls!$B$9)</f>
        <v>228.55908982420553</v>
      </c>
      <c r="O40" s="61">
        <f t="shared" ca="1" si="0"/>
        <v>0</v>
      </c>
      <c r="P40" s="63">
        <f ca="1">IF(controls!$B$10=1,hystere!N40+hystere!M40,hystere!Q40)</f>
        <v>-264.65690674862594</v>
      </c>
      <c r="Q40" s="61">
        <f ca="1">IF('main page'!$Y$53=1,'choose m.p.'!$I$22*100,R40)</f>
        <v>-264.65690674862594</v>
      </c>
      <c r="R40" s="83">
        <f ca="1">'main page'!$K$29*M40+(1-'main page'!$K$29)*controls!$B$9+S40+(('main page'!$K$25*'main page'!$U$13*'main page'!$K$29)/('main page'!$K$27*(1+('main page'!$K$25^2)*'main page'!$U$13)))*(M40-(controls!$B$9/100)*100)</f>
        <v>-264.65690674862594</v>
      </c>
      <c r="S40" s="81">
        <f ca="1">IF(controls!$B$33=1,(J41-E40*X41-B40)/'main page'!$K$27,(I41-E40*X41-B40)/'main page'!$K$27)</f>
        <v>21.54195553163099</v>
      </c>
      <c r="U40" s="58">
        <f>IF(controls!$B$6=1,$AG$4*(1+('main page'!$K$35/100))^V40-$AG$4*(1+('main page'!$K$35/100))^V39,$AG$4*(1+('main page'!$G$8/100))*(1+('main page'!$K$35/100))^V40-$AG$4*(1+('main page'!$G$8/100))*(1+('main page'!$K$35/100))^V39)</f>
        <v>0</v>
      </c>
      <c r="V40" s="60">
        <v>32</v>
      </c>
      <c r="W40" s="36">
        <f>'normal case'!AC39</f>
        <v>0</v>
      </c>
      <c r="X40" s="36">
        <f>'normal case'!AD39</f>
        <v>0</v>
      </c>
      <c r="Y40" s="44">
        <f ca="1">IF(controls!$B$33=1,E40-($J$4-'main page'!$K$27*2)*(1+('main page'!$K$35/100))^A39,E40-$AG$5)</f>
        <v>-99.9</v>
      </c>
      <c r="Z40" s="44">
        <f ca="1">ABS(M40-(controls!$B$9/100)*100)</f>
        <v>230.55908982420553</v>
      </c>
      <c r="AI40" s="36"/>
      <c r="AJ40" s="36"/>
    </row>
    <row r="41" spans="1:36">
      <c r="A41" s="43">
        <v>38</v>
      </c>
      <c r="B41" s="62">
        <f ca="1">IF(controls!$B$6=2,AVERAGE(E37:E40)+B40*W41+hystere!$AG$9,AVERAGE(E37:E40)+B40*W41)</f>
        <v>38.745080226663774</v>
      </c>
      <c r="C41" s="67">
        <f t="shared" ca="1" si="1"/>
        <v>0</v>
      </c>
      <c r="D41" s="88">
        <f t="shared" ca="1" si="2"/>
        <v>-38.645080226663772</v>
      </c>
      <c r="E41" s="64">
        <f t="shared" ca="1" si="3"/>
        <v>0.1</v>
      </c>
      <c r="F41" s="64">
        <f ca="1">IF('main page'!$K$34=1,hystere!H41,hystere!G41)</f>
        <v>-349.11817964841106</v>
      </c>
      <c r="G41" s="78">
        <f ca="1">I41-'main page'!$K$27*hystere!N40</f>
        <v>-349.11817964841106</v>
      </c>
      <c r="H41" s="62">
        <f ca="1">J41-'main page'!$K$27*N40</f>
        <v>-349.11817964841106</v>
      </c>
      <c r="I41" s="62">
        <f t="shared" ca="1" si="4"/>
        <v>108</v>
      </c>
      <c r="J41" s="62">
        <f t="shared" ca="1" si="5"/>
        <v>108</v>
      </c>
      <c r="M41" s="62">
        <f ca="1">IF(ABS('main page'!$K$29*M40+(1-'main page'!$K$29)*(controls!$B$9/100)*100+'main page'!$K$25*(E41-B41)-M40)&lt;0.0000001,M40,'main page'!$K$29*M40+(1-'main page'!$K$29)*(controls!$B$9/100)*100+'main page'!$K$25*(E41-B41))</f>
        <v>-267.20417005086932</v>
      </c>
      <c r="N41" s="62">
        <f ca="1">IF(controls!$B$10=1,N40,O41-'main page'!$K$29*M41-(1-'main page'!$K$29)*controls!$B$9)</f>
        <v>267.20417005086932</v>
      </c>
      <c r="O41" s="61">
        <f t="shared" ca="1" si="0"/>
        <v>0</v>
      </c>
      <c r="P41" s="63">
        <f ca="1">IF(controls!$B$10=1,hystere!N41+hystere!M41,hystere!Q41)</f>
        <v>-299.87775267691853</v>
      </c>
      <c r="Q41" s="61">
        <f ca="1">IF('main page'!$Y$53=1,'choose m.p.'!$I$22*100,R41)</f>
        <v>-299.87775267691853</v>
      </c>
      <c r="R41" s="83">
        <f ca="1">'main page'!$K$29*M41+(1-'main page'!$K$29)*controls!$B$9+S41+(('main page'!$K$25*'main page'!$U$13*'main page'!$K$29)/('main page'!$K$27*(1+('main page'!$K$25^2)*'main page'!$U$13)))*(M41-(controls!$B$9/100)*100)</f>
        <v>-299.87775267691853</v>
      </c>
      <c r="S41" s="81">
        <f ca="1">IF(controls!$B$33=1,(J42-E41*X42-B41)/'main page'!$K$27,(I42-E41*X42-B41)/'main page'!$K$27)</f>
        <v>34.627459886668113</v>
      </c>
      <c r="U41" s="58">
        <f>IF(controls!$B$6=1,$AG$4*(1+('main page'!$K$35/100))^V41-$AG$4*(1+('main page'!$K$35/100))^V40,$AG$4*(1+('main page'!$G$8/100))*(1+('main page'!$K$35/100))^V41-$AG$4*(1+('main page'!$G$8/100))*(1+('main page'!$K$35/100))^V40)</f>
        <v>0</v>
      </c>
      <c r="V41" s="60">
        <v>33</v>
      </c>
      <c r="W41" s="36">
        <f>'normal case'!AC40</f>
        <v>0</v>
      </c>
      <c r="X41" s="36">
        <f>'normal case'!AD40</f>
        <v>0</v>
      </c>
      <c r="Y41" s="44">
        <f ca="1">IF(controls!$B$33=1,E41-($J$4-'main page'!$K$27*2)*(1+('main page'!$K$35/100))^A40,E41-$AG$5)</f>
        <v>-99.9</v>
      </c>
      <c r="Z41" s="44">
        <f ca="1">ABS(M41-(controls!$B$9/100)*100)</f>
        <v>269.20417005086932</v>
      </c>
      <c r="AI41" s="36"/>
      <c r="AJ41" s="36"/>
    </row>
    <row r="42" spans="1:36">
      <c r="A42" s="43">
        <v>39</v>
      </c>
      <c r="B42" s="62">
        <f ca="1">IF(controls!$B$6=2,AVERAGE(E38:E41)+B41*W42+hystere!$AG$9,AVERAGE(E38:E41)+B41*W42)</f>
        <v>15.645829949130713</v>
      </c>
      <c r="C42" s="67">
        <f t="shared" ca="1" si="1"/>
        <v>0</v>
      </c>
      <c r="D42" s="88">
        <f t="shared" ca="1" si="2"/>
        <v>-15.545829949130713</v>
      </c>
      <c r="E42" s="64">
        <f t="shared" ca="1" si="3"/>
        <v>0.1</v>
      </c>
      <c r="F42" s="64">
        <f ca="1">IF('main page'!$K$34=1,hystere!H42,hystere!G42)</f>
        <v>-426.40834010173864</v>
      </c>
      <c r="G42" s="78">
        <f ca="1">I42-'main page'!$K$27*hystere!N41</f>
        <v>-426.40834010173864</v>
      </c>
      <c r="H42" s="62">
        <f ca="1">J42-'main page'!$K$27*N41</f>
        <v>-426.40834010173864</v>
      </c>
      <c r="I42" s="62">
        <f t="shared" ca="1" si="4"/>
        <v>108</v>
      </c>
      <c r="J42" s="62">
        <f t="shared" ca="1" si="5"/>
        <v>108</v>
      </c>
      <c r="M42" s="62">
        <f ca="1">IF(ABS('main page'!$K$29*M41+(1-'main page'!$K$29)*(controls!$B$9/100)*100+'main page'!$K$25*(E42-B42)-M41)&lt;0.0000001,M41,'main page'!$K$29*M41+(1-'main page'!$K$29)*(controls!$B$9/100)*100+'main page'!$K$25*(E42-B42))</f>
        <v>-282.75000000000006</v>
      </c>
      <c r="N42" s="62">
        <f ca="1">IF(controls!$B$10=1,N41,O42-'main page'!$K$29*M42-(1-'main page'!$K$29)*controls!$B$9)</f>
        <v>282.75000000000006</v>
      </c>
      <c r="O42" s="61">
        <f t="shared" ca="1" si="0"/>
        <v>0</v>
      </c>
      <c r="P42" s="63">
        <f ca="1">IF(controls!$B$10=1,hystere!N42+hystere!M42,hystere!Q42)</f>
        <v>-307.76041497456544</v>
      </c>
      <c r="Q42" s="61">
        <f ca="1">IF('main page'!$Y$53=1,'choose m.p.'!$I$22*100,R42)</f>
        <v>-307.76041497456544</v>
      </c>
      <c r="R42" s="83">
        <f ca="1">'main page'!$K$29*M42+(1-'main page'!$K$29)*controls!$B$9+S42+(('main page'!$K$25*'main page'!$U$13*'main page'!$K$29)/('main page'!$K$27*(1+('main page'!$K$25^2)*'main page'!$U$13)))*(M42-(controls!$B$9/100)*100)</f>
        <v>-307.76041497456544</v>
      </c>
      <c r="S42" s="81">
        <f ca="1">IF(controls!$B$33=1,(J43-E42*X43-B42)/'main page'!$K$27,(I43-E42*X43-B42)/'main page'!$K$27)</f>
        <v>46.177085025434643</v>
      </c>
      <c r="U42" s="58">
        <f>IF(controls!$B$6=1,$AG$4*(1+('main page'!$K$35/100))^V42-$AG$4*(1+('main page'!$K$35/100))^V41,$AG$4*(1+('main page'!$G$8/100))*(1+('main page'!$K$35/100))^V42-$AG$4*(1+('main page'!$G$8/100))*(1+('main page'!$K$35/100))^V41)</f>
        <v>0</v>
      </c>
      <c r="V42" s="60">
        <v>34</v>
      </c>
      <c r="W42" s="36">
        <f ca="1">'normal case'!AC41</f>
        <v>0</v>
      </c>
      <c r="X42" s="36">
        <f ca="1">'normal case'!AD41</f>
        <v>0</v>
      </c>
      <c r="Y42" s="44">
        <f ca="1">IF(controls!$B$33=1,E42-($J$4-'main page'!$K$27*2)*(1+('main page'!$K$35/100))^A41,E42-$AG$5)</f>
        <v>-99.9</v>
      </c>
      <c r="Z42" s="44">
        <f ca="1">ABS(M42-(controls!$B$9/100)*100)</f>
        <v>284.75000000000006</v>
      </c>
      <c r="AI42" s="36"/>
      <c r="AJ42" s="36"/>
    </row>
    <row r="43" spans="1:36">
      <c r="A43" s="43">
        <v>40</v>
      </c>
      <c r="B43" s="62">
        <f ca="1">IF(controls!$B$6=2,AVERAGE(E39:E42)+B42*W43+hystere!$AG$9,AVERAGE(E39:E42)+B42*W43)</f>
        <v>1.1000000000000001</v>
      </c>
      <c r="C43" s="67">
        <f t="shared" ca="1" si="1"/>
        <v>0</v>
      </c>
      <c r="D43" s="88">
        <f t="shared" ca="1" si="2"/>
        <v>-1</v>
      </c>
      <c r="E43" s="64">
        <f t="shared" ca="1" si="3"/>
        <v>0.1</v>
      </c>
      <c r="F43" s="64">
        <f ca="1">IF('main page'!$K$34=1,hystere!H43,hystere!G43)</f>
        <v>-457.50000000000011</v>
      </c>
      <c r="G43" s="78">
        <f ca="1">I43-'main page'!$K$27*hystere!N42</f>
        <v>-457.50000000000011</v>
      </c>
      <c r="H43" s="62">
        <f ca="1">J43-'main page'!$K$27*N42</f>
        <v>-457.50000000000011</v>
      </c>
      <c r="I43" s="62">
        <f t="shared" ca="1" si="4"/>
        <v>108</v>
      </c>
      <c r="J43" s="62">
        <f t="shared" ca="1" si="5"/>
        <v>108</v>
      </c>
      <c r="M43" s="62">
        <f ca="1">IF(ABS('main page'!$K$29*M42+(1-'main page'!$K$29)*(controls!$B$9/100)*100+'main page'!$K$25*(E43-B43)-M42)&lt;0.0000001,M42,'main page'!$K$29*M42+(1-'main page'!$K$29)*(controls!$B$9/100)*100+'main page'!$K$25*(E43-B43))</f>
        <v>-283.75000000000006</v>
      </c>
      <c r="N43" s="62">
        <f ca="1">IF(controls!$B$10=1,N42,O43-'main page'!$K$29*M43-(1-'main page'!$K$29)*controls!$B$9)</f>
        <v>283.75000000000006</v>
      </c>
      <c r="O43" s="61">
        <f t="shared" ca="1" si="0"/>
        <v>0</v>
      </c>
      <c r="P43" s="63">
        <f ca="1">IF(controls!$B$10=1,hystere!N43+hystere!M43,hystere!Q43)</f>
        <v>-301.73750000000007</v>
      </c>
      <c r="Q43" s="61">
        <f ca="1">IF('main page'!$Y$53=1,'choose m.p.'!$I$22*100,R43)</f>
        <v>-301.73750000000007</v>
      </c>
      <c r="R43" s="83">
        <f ca="1">'main page'!$K$29*M43+(1-'main page'!$K$29)*controls!$B$9+S43+(('main page'!$K$25*'main page'!$U$13*'main page'!$K$29)/('main page'!$K$27*(1+('main page'!$K$25^2)*'main page'!$U$13)))*(M43-(controls!$B$9/100)*100)</f>
        <v>-301.73750000000007</v>
      </c>
      <c r="S43" s="81">
        <f ca="1">IF(controls!$B$33=1,(J44-E43*X44-B43)/'main page'!$K$27,(I44-E43*X44-B43)/'main page'!$K$27)</f>
        <v>53.45</v>
      </c>
      <c r="U43" s="58">
        <f>IF(controls!$B$6=1,$AG$4*(1+('main page'!$K$35/100))^V43-$AG$4*(1+('main page'!$K$35/100))^V42,$AG$4*(1+('main page'!$G$8/100))*(1+('main page'!$K$35/100))^V43-$AG$4*(1+('main page'!$G$8/100))*(1+('main page'!$K$35/100))^V42)</f>
        <v>0</v>
      </c>
      <c r="V43" s="60">
        <v>35</v>
      </c>
      <c r="W43" s="36">
        <f>'normal case'!AC42</f>
        <v>0</v>
      </c>
      <c r="X43" s="36">
        <f>'normal case'!AD42</f>
        <v>0</v>
      </c>
      <c r="Y43" s="44">
        <f ca="1">IF(controls!$B$33=1,E43-($J$4-'main page'!$K$27*2)*(1+('main page'!$K$35/100))^A42,E43-$AG$5)</f>
        <v>-99.9</v>
      </c>
      <c r="Z43" s="44">
        <f ca="1">ABS(M43-(controls!$B$9/100)*100)</f>
        <v>285.75000000000006</v>
      </c>
      <c r="AI43" s="36"/>
      <c r="AJ43" s="36"/>
    </row>
    <row r="44" spans="1:36">
      <c r="A44" s="43">
        <v>41</v>
      </c>
      <c r="B44" s="62">
        <f ca="1">IF(controls!$B$6=2,AVERAGE(E40:E43)+B43*W44+hystere!$AG$9,AVERAGE(E40:E43)+B43*W44)</f>
        <v>1.1000000000000001</v>
      </c>
      <c r="C44" s="67">
        <f t="shared" ca="1" si="1"/>
        <v>0</v>
      </c>
      <c r="D44" s="88">
        <f t="shared" ca="1" si="2"/>
        <v>-1</v>
      </c>
      <c r="E44" s="64">
        <f t="shared" ca="1" si="3"/>
        <v>0.1</v>
      </c>
      <c r="F44" s="64">
        <f ca="1">IF('main page'!$K$34=1,hystere!H44,hystere!G44)</f>
        <v>-459.50000000000011</v>
      </c>
      <c r="G44" s="78">
        <f ca="1">I44-'main page'!$K$27*hystere!N43</f>
        <v>-459.50000000000011</v>
      </c>
      <c r="H44" s="62">
        <f ca="1">J44-'main page'!$K$27*N43</f>
        <v>-459.50000000000011</v>
      </c>
      <c r="I44" s="62">
        <f t="shared" ca="1" si="4"/>
        <v>108</v>
      </c>
      <c r="J44" s="62">
        <f t="shared" ca="1" si="5"/>
        <v>108</v>
      </c>
      <c r="M44" s="62">
        <f ca="1">IF(ABS('main page'!$K$29*M43+(1-'main page'!$K$29)*(controls!$B$9/100)*100+'main page'!$K$25*(E44-B44)-M43)&lt;0.0000001,M43,'main page'!$K$29*M43+(1-'main page'!$K$29)*(controls!$B$9/100)*100+'main page'!$K$25*(E44-B44))</f>
        <v>-284.75000000000006</v>
      </c>
      <c r="N44" s="62">
        <f ca="1">IF(controls!$B$10=1,N43,O44-'main page'!$K$29*M44-(1-'main page'!$K$29)*controls!$B$9)</f>
        <v>284.75000000000006</v>
      </c>
      <c r="O44" s="61">
        <f t="shared" ca="1" si="0"/>
        <v>0</v>
      </c>
      <c r="P44" s="63">
        <f ca="1">IF(controls!$B$10=1,hystere!N44+hystere!M44,hystere!Q44)</f>
        <v>-302.98750000000007</v>
      </c>
      <c r="Q44" s="61">
        <f ca="1">IF('main page'!$Y$53=1,'choose m.p.'!$I$22*100,R44)</f>
        <v>-302.98750000000007</v>
      </c>
      <c r="R44" s="83">
        <f ca="1">'main page'!$K$29*M44+(1-'main page'!$K$29)*controls!$B$9+S44+(('main page'!$K$25*'main page'!$U$13*'main page'!$K$29)/('main page'!$K$27*(1+('main page'!$K$25^2)*'main page'!$U$13)))*(M44-(controls!$B$9/100)*100)</f>
        <v>-302.98750000000007</v>
      </c>
      <c r="S44" s="81">
        <f ca="1">IF(controls!$B$33=1,(J45-E44*X45-B44)/'main page'!$K$27,(I45-E44*X45-B44)/'main page'!$K$27)</f>
        <v>53.45</v>
      </c>
      <c r="U44" s="58">
        <f>IF(controls!$B$6=1,$AG$4*(1+('main page'!$K$35/100))^V44-$AG$4*(1+('main page'!$K$35/100))^V43,$AG$4*(1+('main page'!$G$8/100))*(1+('main page'!$K$35/100))^V44-$AG$4*(1+('main page'!$G$8/100))*(1+('main page'!$K$35/100))^V43)</f>
        <v>0</v>
      </c>
      <c r="V44" s="60">
        <v>36</v>
      </c>
      <c r="W44" s="36">
        <f>'normal case'!AC43</f>
        <v>0</v>
      </c>
      <c r="X44" s="36">
        <f>'normal case'!AD43</f>
        <v>0</v>
      </c>
      <c r="Y44" s="44">
        <f ca="1">IF(controls!$B$33=1,E44-($J$4-'main page'!$K$27*2)*(1+('main page'!$K$35/100))^A43,E44-$AG$5)</f>
        <v>-99.9</v>
      </c>
      <c r="Z44" s="44">
        <f ca="1">ABS(M44-(controls!$B$9/100)*100)</f>
        <v>286.75000000000006</v>
      </c>
      <c r="AI44" s="36"/>
      <c r="AJ44" s="36"/>
    </row>
    <row r="45" spans="1:36">
      <c r="A45" s="43">
        <v>42</v>
      </c>
      <c r="B45" s="62">
        <f ca="1">IF(controls!$B$6=2,AVERAGE(E41:E44)+B44*W45+hystere!$AG$9,AVERAGE(E41:E44)+B44*W45)</f>
        <v>1.1000000000000001</v>
      </c>
      <c r="C45" s="67">
        <f t="shared" ca="1" si="1"/>
        <v>0</v>
      </c>
      <c r="D45" s="88">
        <f t="shared" ca="1" si="2"/>
        <v>-1</v>
      </c>
      <c r="E45" s="64">
        <f t="shared" ca="1" si="3"/>
        <v>0.1</v>
      </c>
      <c r="F45" s="64">
        <f ca="1">IF('main page'!$K$34=1,hystere!H45,hystere!G45)</f>
        <v>-461.50000000000011</v>
      </c>
      <c r="G45" s="78">
        <f ca="1">I45-'main page'!$K$27*hystere!N44</f>
        <v>-461.50000000000011</v>
      </c>
      <c r="H45" s="62">
        <f ca="1">J45-'main page'!$K$27*N44</f>
        <v>-461.50000000000011</v>
      </c>
      <c r="I45" s="62">
        <f t="shared" ca="1" si="4"/>
        <v>108</v>
      </c>
      <c r="J45" s="62">
        <f t="shared" ca="1" si="5"/>
        <v>108</v>
      </c>
      <c r="M45" s="62">
        <f ca="1">IF(ABS('main page'!$K$29*M44+(1-'main page'!$K$29)*(controls!$B$9/100)*100+'main page'!$K$25*(E45-B45)-M44)&lt;0.0000001,M44,'main page'!$K$29*M44+(1-'main page'!$K$29)*(controls!$B$9/100)*100+'main page'!$K$25*(E45-B45))</f>
        <v>-285.75000000000006</v>
      </c>
      <c r="N45" s="62">
        <f ca="1">IF(controls!$B$10=1,N44,O45-'main page'!$K$29*M45-(1-'main page'!$K$29)*controls!$B$9)</f>
        <v>285.75000000000006</v>
      </c>
      <c r="O45" s="61">
        <f t="shared" ca="1" si="0"/>
        <v>0</v>
      </c>
      <c r="P45" s="63">
        <f ca="1">IF(controls!$B$10=1,hystere!N45+hystere!M45,hystere!Q45)</f>
        <v>-304.23750000000007</v>
      </c>
      <c r="Q45" s="61">
        <f ca="1">IF('main page'!$Y$53=1,'choose m.p.'!$I$22*100,R45)</f>
        <v>-304.23750000000007</v>
      </c>
      <c r="R45" s="83">
        <f ca="1">'main page'!$K$29*M45+(1-'main page'!$K$29)*controls!$B$9+S45+(('main page'!$K$25*'main page'!$U$13*'main page'!$K$29)/('main page'!$K$27*(1+('main page'!$K$25^2)*'main page'!$U$13)))*(M45-(controls!$B$9/100)*100)</f>
        <v>-304.23750000000007</v>
      </c>
      <c r="S45" s="81">
        <f ca="1">IF(controls!$B$33=1,(J46-E45*X46-B45)/'main page'!$K$27,(I46-E45*X46-B45)/'main page'!$K$27)</f>
        <v>53.45</v>
      </c>
      <c r="U45" s="58">
        <f>IF(controls!$B$6=1,$AG$4*(1+('main page'!$K$35/100))^V45-$AG$4*(1+('main page'!$K$35/100))^V44,$AG$4*(1+('main page'!$G$8/100))*(1+('main page'!$K$35/100))^V45-$AG$4*(1+('main page'!$G$8/100))*(1+('main page'!$K$35/100))^V44)</f>
        <v>0</v>
      </c>
      <c r="V45" s="60">
        <v>37</v>
      </c>
      <c r="W45" s="36">
        <f ca="1">'normal case'!AC44</f>
        <v>0</v>
      </c>
      <c r="X45" s="36">
        <f ca="1">'normal case'!AD44</f>
        <v>0</v>
      </c>
      <c r="Y45" s="44">
        <f ca="1">IF(controls!$B$33=1,E45-($J$4-'main page'!$K$27*2)*(1+('main page'!$K$35/100))^A44,E45-$AG$5)</f>
        <v>-99.9</v>
      </c>
      <c r="Z45" s="44">
        <f ca="1">ABS(M45-(controls!$B$9/100)*100)</f>
        <v>287.75000000000006</v>
      </c>
      <c r="AI45" s="36"/>
      <c r="AJ45" s="36"/>
    </row>
    <row r="46" spans="1:36">
      <c r="A46" s="43">
        <v>43</v>
      </c>
      <c r="B46" s="62">
        <f ca="1">IF(controls!$B$6=2,AVERAGE(E42:E45)+B45*W46+hystere!$AG$9,AVERAGE(E42:E45)+B45*W46)</f>
        <v>1.1000000000000001</v>
      </c>
      <c r="C46" s="67">
        <f t="shared" ca="1" si="1"/>
        <v>0</v>
      </c>
      <c r="D46" s="88">
        <f t="shared" ca="1" si="2"/>
        <v>-1</v>
      </c>
      <c r="E46" s="64">
        <f t="shared" ca="1" si="3"/>
        <v>0.1</v>
      </c>
      <c r="F46" s="64">
        <f ca="1">IF('main page'!$K$34=1,hystere!H46,hystere!G46)</f>
        <v>-463.50000000000011</v>
      </c>
      <c r="G46" s="78">
        <f ca="1">I46-'main page'!$K$27*hystere!N45</f>
        <v>-463.50000000000011</v>
      </c>
      <c r="H46" s="62">
        <f ca="1">J46-'main page'!$K$27*N45</f>
        <v>-463.50000000000011</v>
      </c>
      <c r="I46" s="62">
        <f t="shared" ca="1" si="4"/>
        <v>108</v>
      </c>
      <c r="J46" s="62">
        <f t="shared" ca="1" si="5"/>
        <v>108</v>
      </c>
      <c r="M46" s="62">
        <f ca="1">IF(ABS('main page'!$K$29*M45+(1-'main page'!$K$29)*(controls!$B$9/100)*100+'main page'!$K$25*(E46-B46)-M45)&lt;0.0000001,M45,'main page'!$K$29*M45+(1-'main page'!$K$29)*(controls!$B$9/100)*100+'main page'!$K$25*(E46-B46))</f>
        <v>-286.75000000000006</v>
      </c>
      <c r="N46" s="62">
        <f ca="1">IF(controls!$B$10=1,N45,O46-'main page'!$K$29*M46-(1-'main page'!$K$29)*controls!$B$9)</f>
        <v>286.75000000000006</v>
      </c>
      <c r="O46" s="61">
        <f t="shared" ca="1" si="0"/>
        <v>0</v>
      </c>
      <c r="P46" s="63">
        <f ca="1">IF(controls!$B$10=1,hystere!N46+hystere!M46,hystere!Q46)</f>
        <v>-305.48750000000007</v>
      </c>
      <c r="Q46" s="61">
        <f ca="1">IF('main page'!$Y$53=1,'choose m.p.'!$I$22*100,R46)</f>
        <v>-305.48750000000007</v>
      </c>
      <c r="R46" s="83">
        <f ca="1">'main page'!$K$29*M46+(1-'main page'!$K$29)*controls!$B$9+S46+(('main page'!$K$25*'main page'!$U$13*'main page'!$K$29)/('main page'!$K$27*(1+('main page'!$K$25^2)*'main page'!$U$13)))*(M46-(controls!$B$9/100)*100)</f>
        <v>-305.48750000000007</v>
      </c>
      <c r="S46" s="81">
        <f ca="1">IF(controls!$B$33=1,(J47-E46*X47-B46)/'main page'!$K$27,(I47-E46*X47-B46)/'main page'!$K$27)</f>
        <v>53.45</v>
      </c>
      <c r="U46" s="58">
        <f>IF(controls!$B$6=1,$AG$4*(1+('main page'!$K$35/100))^V46-$AG$4*(1+('main page'!$K$35/100))^V45,$AG$4*(1+('main page'!$G$8/100))*(1+('main page'!$K$35/100))^V46-$AG$4*(1+('main page'!$G$8/100))*(1+('main page'!$K$35/100))^V45)</f>
        <v>0</v>
      </c>
      <c r="V46" s="60">
        <v>38</v>
      </c>
      <c r="W46" s="36">
        <f>'normal case'!AC45</f>
        <v>0</v>
      </c>
      <c r="X46" s="36">
        <f>'normal case'!AD45</f>
        <v>0</v>
      </c>
      <c r="Y46" s="44">
        <f ca="1">IF(controls!$B$33=1,E46-($J$4-'main page'!$K$27*2)*(1+('main page'!$K$35/100))^A45,E46-$AG$5)</f>
        <v>-99.9</v>
      </c>
      <c r="Z46" s="44">
        <f ca="1">ABS(M46-(controls!$B$9/100)*100)</f>
        <v>288.75000000000006</v>
      </c>
      <c r="AI46" s="36"/>
      <c r="AJ46" s="36"/>
    </row>
    <row r="47" spans="1:36">
      <c r="A47" s="43">
        <v>44</v>
      </c>
      <c r="B47" s="62">
        <f ca="1">IF(controls!$B$6=2,AVERAGE(E43:E46)+B46*W47+hystere!$AG$9,AVERAGE(E43:E46)+B46*W47)</f>
        <v>1.1000000000000001</v>
      </c>
      <c r="C47" s="67">
        <f t="shared" ca="1" si="1"/>
        <v>0</v>
      </c>
      <c r="D47" s="88">
        <f t="shared" ca="1" si="2"/>
        <v>-1</v>
      </c>
      <c r="E47" s="64">
        <f t="shared" ca="1" si="3"/>
        <v>0.1</v>
      </c>
      <c r="F47" s="64">
        <f ca="1">IF('main page'!$K$34=1,hystere!H47,hystere!G47)</f>
        <v>-465.50000000000011</v>
      </c>
      <c r="G47" s="78">
        <f ca="1">I47-'main page'!$K$27*hystere!N46</f>
        <v>-465.50000000000011</v>
      </c>
      <c r="H47" s="62">
        <f ca="1">J47-'main page'!$K$27*N46</f>
        <v>-465.50000000000011</v>
      </c>
      <c r="I47" s="62">
        <f t="shared" ca="1" si="4"/>
        <v>108</v>
      </c>
      <c r="J47" s="62">
        <f t="shared" ca="1" si="5"/>
        <v>108</v>
      </c>
      <c r="M47" s="62">
        <f ca="1">IF(ABS('main page'!$K$29*M46+(1-'main page'!$K$29)*(controls!$B$9/100)*100+'main page'!$K$25*(E47-B47)-M46)&lt;0.0000001,M46,'main page'!$K$29*M46+(1-'main page'!$K$29)*(controls!$B$9/100)*100+'main page'!$K$25*(E47-B47))</f>
        <v>-287.75000000000006</v>
      </c>
      <c r="N47" s="62">
        <f ca="1">IF(controls!$B$10=1,N46,O47-'main page'!$K$29*M47-(1-'main page'!$K$29)*controls!$B$9)</f>
        <v>287.75000000000006</v>
      </c>
      <c r="O47" s="61">
        <f t="shared" ca="1" si="0"/>
        <v>0</v>
      </c>
      <c r="P47" s="63">
        <f ca="1">IF(controls!$B$10=1,hystere!N47+hystere!M47,hystere!Q47)</f>
        <v>-306.73750000000007</v>
      </c>
      <c r="Q47" s="61">
        <f ca="1">IF('main page'!$Y$53=1,'choose m.p.'!$I$22*100,R47)</f>
        <v>-306.73750000000007</v>
      </c>
      <c r="R47" s="83">
        <f ca="1">'main page'!$K$29*M47+(1-'main page'!$K$29)*controls!$B$9+S47+(('main page'!$K$25*'main page'!$U$13*'main page'!$K$29)/('main page'!$K$27*(1+('main page'!$K$25^2)*'main page'!$U$13)))*(M47-(controls!$B$9/100)*100)</f>
        <v>-306.73750000000007</v>
      </c>
      <c r="S47" s="81">
        <f ca="1">IF(controls!$B$33=1,(J48-E47*X48-B47)/'main page'!$K$27,(I48-E47*X48-B47)/'main page'!$K$27)</f>
        <v>53.45</v>
      </c>
      <c r="U47" s="58">
        <f>IF(controls!$B$6=1,$AG$4*(1+('main page'!$K$35/100))^V47-$AG$4*(1+('main page'!$K$35/100))^V46,$AG$4*(1+('main page'!$G$8/100))*(1+('main page'!$K$35/100))^V47-$AG$4*(1+('main page'!$G$8/100))*(1+('main page'!$K$35/100))^V46)</f>
        <v>0</v>
      </c>
      <c r="V47" s="60">
        <v>39</v>
      </c>
      <c r="W47" s="36">
        <f>'normal case'!AC46</f>
        <v>0</v>
      </c>
      <c r="X47" s="36">
        <f>'normal case'!AD46</f>
        <v>0</v>
      </c>
      <c r="Y47" s="44">
        <f ca="1">IF(controls!$B$33=1,E47-($J$4-'main page'!$K$27*2)*(1+('main page'!$K$35/100))^A46,E47-$AG$5)</f>
        <v>-99.9</v>
      </c>
      <c r="Z47" s="44">
        <f ca="1">ABS(M47-(controls!$B$9/100)*100)</f>
        <v>289.75000000000006</v>
      </c>
      <c r="AI47" s="36"/>
      <c r="AJ47" s="36"/>
    </row>
    <row r="48" spans="1:36">
      <c r="A48" s="43">
        <v>45</v>
      </c>
      <c r="B48" s="62">
        <f ca="1">IF(controls!$B$6=2,AVERAGE(E44:E47)+B47*W48+hystere!$AG$9,AVERAGE(E44:E47)+B47*W48)</f>
        <v>1.1000000000000001</v>
      </c>
      <c r="C48" s="67">
        <f t="shared" ca="1" si="1"/>
        <v>0</v>
      </c>
      <c r="D48" s="88">
        <f t="shared" ca="1" si="2"/>
        <v>-1</v>
      </c>
      <c r="E48" s="64">
        <f t="shared" ca="1" si="3"/>
        <v>0.1</v>
      </c>
      <c r="F48" s="64">
        <f ca="1">IF('main page'!$K$34=1,hystere!H48,hystere!G48)</f>
        <v>-467.50000000000011</v>
      </c>
      <c r="G48" s="78">
        <f ca="1">I48-'main page'!$K$27*hystere!N47</f>
        <v>-467.50000000000011</v>
      </c>
      <c r="H48" s="62">
        <f ca="1">J48-'main page'!$K$27*N47</f>
        <v>-467.50000000000011</v>
      </c>
      <c r="I48" s="62">
        <f t="shared" ca="1" si="4"/>
        <v>108</v>
      </c>
      <c r="J48" s="62">
        <f t="shared" ca="1" si="5"/>
        <v>108</v>
      </c>
      <c r="M48" s="62">
        <f ca="1">IF(ABS('main page'!$K$29*M47+(1-'main page'!$K$29)*(controls!$B$9/100)*100+'main page'!$K$25*(E48-B48)-M47)&lt;0.0000001,M47,'main page'!$K$29*M47+(1-'main page'!$K$29)*(controls!$B$9/100)*100+'main page'!$K$25*(E48-B48))</f>
        <v>-288.75000000000006</v>
      </c>
      <c r="N48" s="62">
        <f ca="1">IF(controls!$B$10=1,N47,O48-'main page'!$K$29*M48-(1-'main page'!$K$29)*controls!$B$9)</f>
        <v>288.75000000000006</v>
      </c>
      <c r="O48" s="61">
        <f t="shared" ca="1" si="0"/>
        <v>0</v>
      </c>
      <c r="P48" s="63">
        <f ca="1">IF(controls!$B$10=1,hystere!N48+hystere!M48,hystere!Q48)</f>
        <v>-307.98750000000007</v>
      </c>
      <c r="Q48" s="61">
        <f ca="1">IF('main page'!$Y$53=1,'choose m.p.'!$I$22*100,R48)</f>
        <v>-307.98750000000007</v>
      </c>
      <c r="R48" s="83">
        <f ca="1">'main page'!$K$29*M48+(1-'main page'!$K$29)*controls!$B$9+S48+(('main page'!$K$25*'main page'!$U$13*'main page'!$K$29)/('main page'!$K$27*(1+('main page'!$K$25^2)*'main page'!$U$13)))*(M48-(controls!$B$9/100)*100)</f>
        <v>-307.98750000000007</v>
      </c>
      <c r="S48" s="81">
        <f ca="1">IF(controls!$B$33=1,(J49-E48*X49-B48)/'main page'!$K$27,(I49-E48*X49-B48)/'main page'!$K$27)</f>
        <v>53.45</v>
      </c>
      <c r="U48" s="58">
        <f>IF(controls!$B$6=1,$AG$4*(1+('main page'!$K$35/100))^V48-$AG$4*(1+('main page'!$K$35/100))^V47,$AG$4*(1+('main page'!$G$8/100))*(1+('main page'!$K$35/100))^V48-$AG$4*(1+('main page'!$G$8/100))*(1+('main page'!$K$35/100))^V47)</f>
        <v>0</v>
      </c>
      <c r="V48" s="60">
        <v>40</v>
      </c>
      <c r="W48" s="36">
        <f ca="1">'normal case'!AC47</f>
        <v>0</v>
      </c>
      <c r="X48" s="36">
        <f ca="1">'normal case'!AD47</f>
        <v>0</v>
      </c>
      <c r="Y48" s="44">
        <f ca="1">IF(controls!$B$33=1,E48-($J$4-'main page'!$K$27*2)*(1+('main page'!$K$35/100))^A47,E48-$AG$5)</f>
        <v>-99.9</v>
      </c>
      <c r="Z48" s="44">
        <f ca="1">ABS(M48-(controls!$B$9/100)*100)</f>
        <v>290.75000000000006</v>
      </c>
      <c r="AI48" s="36"/>
      <c r="AJ48" s="36"/>
    </row>
    <row r="49" spans="1:36">
      <c r="A49" s="43">
        <v>46</v>
      </c>
      <c r="B49" s="62">
        <f ca="1">IF(controls!$B$6=2,AVERAGE(E45:E48)+B48*W49+hystere!$AG$9,AVERAGE(E45:E48)+B48*W49)</f>
        <v>1.1000000000000001</v>
      </c>
      <c r="C49" s="67">
        <f t="shared" ca="1" si="1"/>
        <v>0</v>
      </c>
      <c r="D49" s="88">
        <f t="shared" ca="1" si="2"/>
        <v>-1</v>
      </c>
      <c r="E49" s="64">
        <f t="shared" ca="1" si="3"/>
        <v>0.1</v>
      </c>
      <c r="F49" s="64">
        <f ca="1">IF('main page'!$K$34=1,hystere!H49,hystere!G49)</f>
        <v>-469.50000000000011</v>
      </c>
      <c r="G49" s="78">
        <f ca="1">I49-'main page'!$K$27*hystere!N48</f>
        <v>-469.50000000000011</v>
      </c>
      <c r="H49" s="62">
        <f ca="1">J49-'main page'!$K$27*N48</f>
        <v>-469.50000000000011</v>
      </c>
      <c r="I49" s="62">
        <f t="shared" ca="1" si="4"/>
        <v>108</v>
      </c>
      <c r="J49" s="62">
        <f t="shared" ca="1" si="5"/>
        <v>108</v>
      </c>
      <c r="M49" s="62">
        <f ca="1">IF(ABS('main page'!$K$29*M48+(1-'main page'!$K$29)*(controls!$B$9/100)*100+'main page'!$K$25*(E49-B49)-M48)&lt;0.0000001,M48,'main page'!$K$29*M48+(1-'main page'!$K$29)*(controls!$B$9/100)*100+'main page'!$K$25*(E49-B49))</f>
        <v>-289.75000000000006</v>
      </c>
      <c r="N49" s="62">
        <f ca="1">IF(controls!$B$10=1,N48,O49-'main page'!$K$29*M49-(1-'main page'!$K$29)*controls!$B$9)</f>
        <v>289.75000000000006</v>
      </c>
      <c r="O49" s="61">
        <f t="shared" ca="1" si="0"/>
        <v>0</v>
      </c>
      <c r="P49" s="63">
        <f ca="1">IF(controls!$B$10=1,hystere!N49+hystere!M49,hystere!Q49)</f>
        <v>-309.23750000000007</v>
      </c>
      <c r="Q49" s="61">
        <f ca="1">IF('main page'!$Y$53=1,'choose m.p.'!$I$22*100,R49)</f>
        <v>-309.23750000000007</v>
      </c>
      <c r="R49" s="83">
        <f ca="1">'main page'!$K$29*M49+(1-'main page'!$K$29)*controls!$B$9+S49+(('main page'!$K$25*'main page'!$U$13*'main page'!$K$29)/('main page'!$K$27*(1+('main page'!$K$25^2)*'main page'!$U$13)))*(M49-(controls!$B$9/100)*100)</f>
        <v>-309.23750000000007</v>
      </c>
      <c r="S49" s="81">
        <f ca="1">IF(controls!$B$33=1,(J50-E49*X50-B49)/'main page'!$K$27,(I50-E49*X50-B49)/'main page'!$K$27)</f>
        <v>53.45</v>
      </c>
      <c r="U49" s="58">
        <f>IF(controls!$B$6=1,$AG$4*(1+('main page'!$K$35/100))^V49-$AG$4*(1+('main page'!$K$35/100))^V48,$AG$4*(1+('main page'!$G$8/100))*(1+('main page'!$K$35/100))^V49-$AG$4*(1+('main page'!$G$8/100))*(1+('main page'!$K$35/100))^V48)</f>
        <v>0</v>
      </c>
      <c r="V49" s="60">
        <v>41</v>
      </c>
      <c r="W49" s="36">
        <f>'normal case'!AC48</f>
        <v>0</v>
      </c>
      <c r="X49" s="36">
        <f>'normal case'!AD48</f>
        <v>0</v>
      </c>
      <c r="Y49" s="44">
        <f ca="1">IF(controls!$B$33=1,E49-($J$4-'main page'!$K$27*2)*(1+('main page'!$K$35/100))^A48,E49-$AG$5)</f>
        <v>-99.9</v>
      </c>
      <c r="Z49" s="44">
        <f ca="1">ABS(M49-(controls!$B$9/100)*100)</f>
        <v>291.75000000000006</v>
      </c>
      <c r="AI49" s="36"/>
      <c r="AJ49" s="36"/>
    </row>
    <row r="50" spans="1:36">
      <c r="A50" s="43">
        <v>47</v>
      </c>
      <c r="B50" s="62">
        <f ca="1">IF(controls!$B$6=2,AVERAGE(E46:E49)+B49*W50+hystere!$AG$9,AVERAGE(E46:E49)+B49*W50)</f>
        <v>1.1000000000000001</v>
      </c>
      <c r="C50" s="67">
        <f t="shared" ca="1" si="1"/>
        <v>0</v>
      </c>
      <c r="D50" s="88">
        <f t="shared" ca="1" si="2"/>
        <v>-1</v>
      </c>
      <c r="E50" s="64">
        <f t="shared" ca="1" si="3"/>
        <v>0.1</v>
      </c>
      <c r="F50" s="64">
        <f ca="1">IF('main page'!$K$34=1,hystere!H50,hystere!G50)</f>
        <v>-471.50000000000011</v>
      </c>
      <c r="G50" s="78">
        <f ca="1">I50-'main page'!$K$27*hystere!N49</f>
        <v>-471.50000000000011</v>
      </c>
      <c r="H50" s="62">
        <f ca="1">J50-'main page'!$K$27*N49</f>
        <v>-471.50000000000011</v>
      </c>
      <c r="I50" s="62">
        <f t="shared" ca="1" si="4"/>
        <v>108</v>
      </c>
      <c r="J50" s="62">
        <f t="shared" ca="1" si="5"/>
        <v>108</v>
      </c>
      <c r="M50" s="62">
        <f ca="1">IF(ABS('main page'!$K$29*M49+(1-'main page'!$K$29)*(controls!$B$9/100)*100+'main page'!$K$25*(E50-B50)-M49)&lt;0.0000001,M49,'main page'!$K$29*M49+(1-'main page'!$K$29)*(controls!$B$9/100)*100+'main page'!$K$25*(E50-B50))</f>
        <v>-290.75000000000006</v>
      </c>
      <c r="N50" s="62">
        <f ca="1">IF(controls!$B$10=1,N49,O50-'main page'!$K$29*M50-(1-'main page'!$K$29)*controls!$B$9)</f>
        <v>290.75000000000006</v>
      </c>
      <c r="O50" s="61">
        <f t="shared" ca="1" si="0"/>
        <v>0</v>
      </c>
      <c r="P50" s="63">
        <f ca="1">IF(controls!$B$10=1,hystere!N50+hystere!M50,hystere!Q50)</f>
        <v>-310.48750000000007</v>
      </c>
      <c r="Q50" s="61">
        <f ca="1">IF('main page'!$Y$53=1,'choose m.p.'!$I$22*100,R50)</f>
        <v>-310.48750000000007</v>
      </c>
      <c r="R50" s="83">
        <f ca="1">'main page'!$K$29*M50+(1-'main page'!$K$29)*controls!$B$9+S50+(('main page'!$K$25*'main page'!$U$13*'main page'!$K$29)/('main page'!$K$27*(1+('main page'!$K$25^2)*'main page'!$U$13)))*(M50-(controls!$B$9/100)*100)</f>
        <v>-310.48750000000007</v>
      </c>
      <c r="S50" s="81">
        <f ca="1">IF(controls!$B$33=1,(J51-E50*X51-B50)/'main page'!$K$27,(I51-E50*X51-B50)/'main page'!$K$27)</f>
        <v>53.45</v>
      </c>
      <c r="U50" s="58">
        <f>IF(controls!$B$6=1,$AG$4*(1+('main page'!$K$35/100))^V50-$AG$4*(1+('main page'!$K$35/100))^V49,$AG$4*(1+('main page'!$G$8/100))*(1+('main page'!$K$35/100))^V50-$AG$4*(1+('main page'!$G$8/100))*(1+('main page'!$K$35/100))^V49)</f>
        <v>0</v>
      </c>
      <c r="V50" s="60">
        <v>42</v>
      </c>
      <c r="W50" s="36">
        <f>'normal case'!AC49</f>
        <v>0</v>
      </c>
      <c r="X50" s="36">
        <f>'normal case'!AD49</f>
        <v>0</v>
      </c>
      <c r="Y50" s="44">
        <f ca="1">IF(controls!$B$33=1,E50-($J$4-'main page'!$K$27*2)*(1+('main page'!$K$35/100))^A49,E50-$AG$5)</f>
        <v>-99.9</v>
      </c>
      <c r="Z50" s="44">
        <f ca="1">ABS(M50-(controls!$B$9/100)*100)</f>
        <v>292.75000000000006</v>
      </c>
      <c r="AI50" s="36"/>
      <c r="AJ50" s="36"/>
    </row>
    <row r="51" spans="1:36">
      <c r="A51" s="43">
        <v>48</v>
      </c>
      <c r="B51" s="62">
        <f ca="1">IF(controls!$B$6=2,AVERAGE(E47:E50)+B50*W51+hystere!$AG$9,AVERAGE(E47:E50)+B50*W51)</f>
        <v>1.1000000000000001</v>
      </c>
      <c r="C51" s="67">
        <f t="shared" ca="1" si="1"/>
        <v>0</v>
      </c>
      <c r="D51" s="88">
        <f t="shared" ca="1" si="2"/>
        <v>-1</v>
      </c>
      <c r="E51" s="64">
        <f t="shared" ca="1" si="3"/>
        <v>0.1</v>
      </c>
      <c r="F51" s="64">
        <f ca="1">IF('main page'!$K$34=1,hystere!H51,hystere!G51)</f>
        <v>-473.50000000000011</v>
      </c>
      <c r="G51" s="78">
        <f ca="1">I51-'main page'!$K$27*hystere!N50</f>
        <v>-473.50000000000011</v>
      </c>
      <c r="H51" s="62">
        <f ca="1">J51-'main page'!$K$27*N50</f>
        <v>-473.50000000000011</v>
      </c>
      <c r="I51" s="62">
        <f t="shared" ca="1" si="4"/>
        <v>108</v>
      </c>
      <c r="J51" s="62">
        <f t="shared" ca="1" si="5"/>
        <v>108</v>
      </c>
      <c r="M51" s="62">
        <f ca="1">IF(ABS('main page'!$K$29*M50+(1-'main page'!$K$29)*(controls!$B$9/100)*100+'main page'!$K$25*(E51-B51)-M50)&lt;0.0000001,M50,'main page'!$K$29*M50+(1-'main page'!$K$29)*(controls!$B$9/100)*100+'main page'!$K$25*(E51-B51))</f>
        <v>-291.75000000000006</v>
      </c>
      <c r="N51" s="62">
        <f ca="1">IF(controls!$B$10=1,N50,O51-'main page'!$K$29*M51-(1-'main page'!$K$29)*controls!$B$9)</f>
        <v>291.75000000000006</v>
      </c>
      <c r="O51" s="61">
        <f t="shared" ca="1" si="0"/>
        <v>0</v>
      </c>
      <c r="P51" s="63">
        <f ca="1">IF(controls!$B$10=1,hystere!N51+hystere!M51,hystere!Q51)</f>
        <v>-311.73750000000007</v>
      </c>
      <c r="Q51" s="61">
        <f ca="1">IF('main page'!$Y$53=1,'choose m.p.'!$I$22*100,R51)</f>
        <v>-311.73750000000007</v>
      </c>
      <c r="R51" s="83">
        <f ca="1">'main page'!$K$29*M51+(1-'main page'!$K$29)*controls!$B$9+S51+(('main page'!$K$25*'main page'!$U$13*'main page'!$K$29)/('main page'!$K$27*(1+('main page'!$K$25^2)*'main page'!$U$13)))*(M51-(controls!$B$9/100)*100)</f>
        <v>-311.73750000000007</v>
      </c>
      <c r="S51" s="81">
        <f ca="1">IF(controls!$B$33=1,(J52-E51*X52-B51)/'main page'!$K$27,(I52-E51*X52-B51)/'main page'!$K$27)</f>
        <v>53.45</v>
      </c>
      <c r="U51" s="58">
        <f>IF(controls!$B$6=1,$AG$4*(1+('main page'!$K$35/100))^V51-$AG$4*(1+('main page'!$K$35/100))^V50,$AG$4*(1+('main page'!$G$8/100))*(1+('main page'!$K$35/100))^V51-$AG$4*(1+('main page'!$G$8/100))*(1+('main page'!$K$35/100))^V50)</f>
        <v>0</v>
      </c>
      <c r="V51" s="60">
        <v>43</v>
      </c>
      <c r="W51" s="36">
        <f ca="1">'normal case'!AC50</f>
        <v>0</v>
      </c>
      <c r="X51" s="36">
        <f ca="1">'normal case'!AD50</f>
        <v>0</v>
      </c>
      <c r="Y51" s="44">
        <f ca="1">IF(controls!$B$33=1,E51-($J$4-'main page'!$K$27*2)*(1+('main page'!$K$35/100))^A50,E51-$AG$5)</f>
        <v>-99.9</v>
      </c>
      <c r="Z51" s="44">
        <f ca="1">ABS(M51-(controls!$B$9/100)*100)</f>
        <v>293.75000000000006</v>
      </c>
      <c r="AI51" s="36"/>
      <c r="AJ51" s="36"/>
    </row>
    <row r="52" spans="1:36">
      <c r="A52" s="43">
        <v>49</v>
      </c>
      <c r="B52" s="62">
        <f ca="1">IF(controls!$B$6=2,AVERAGE(E48:E51)+B51*W52+hystere!$AG$9,AVERAGE(E48:E51)+B51*W52)</f>
        <v>1.1000000000000001</v>
      </c>
      <c r="C52" s="67">
        <f t="shared" ca="1" si="1"/>
        <v>0</v>
      </c>
      <c r="D52" s="88">
        <f t="shared" ca="1" si="2"/>
        <v>-1</v>
      </c>
      <c r="E52" s="64">
        <f t="shared" ca="1" si="3"/>
        <v>0.1</v>
      </c>
      <c r="F52" s="64">
        <f ca="1">IF('main page'!$K$34=1,hystere!H52,hystere!G52)</f>
        <v>-475.50000000000011</v>
      </c>
      <c r="G52" s="78">
        <f ca="1">I52-'main page'!$K$27*hystere!N51</f>
        <v>-475.50000000000011</v>
      </c>
      <c r="H52" s="62">
        <f ca="1">J52-'main page'!$K$27*N51</f>
        <v>-475.50000000000011</v>
      </c>
      <c r="I52" s="62">
        <f t="shared" ca="1" si="4"/>
        <v>108</v>
      </c>
      <c r="J52" s="62">
        <f t="shared" ca="1" si="5"/>
        <v>108</v>
      </c>
      <c r="M52" s="62">
        <f ca="1">IF(ABS('main page'!$K$29*M51+(1-'main page'!$K$29)*(controls!$B$9/100)*100+'main page'!$K$25*(E52-B52)-M51)&lt;0.0000001,M51,'main page'!$K$29*M51+(1-'main page'!$K$29)*(controls!$B$9/100)*100+'main page'!$K$25*(E52-B52))</f>
        <v>-292.75000000000006</v>
      </c>
      <c r="N52" s="62">
        <f ca="1">IF(controls!$B$10=1,N51,O52-'main page'!$K$29*M52-(1-'main page'!$K$29)*controls!$B$9)</f>
        <v>292.75000000000006</v>
      </c>
      <c r="O52" s="61">
        <f t="shared" ca="1" si="0"/>
        <v>0</v>
      </c>
      <c r="P52" s="63">
        <f ca="1">IF(controls!$B$10=1,hystere!N52+hystere!M52,hystere!Q52)</f>
        <v>-312.98750000000007</v>
      </c>
      <c r="Q52" s="61">
        <f ca="1">IF('main page'!$Y$53=1,'choose m.p.'!$I$22*100,R52)</f>
        <v>-312.98750000000007</v>
      </c>
      <c r="R52" s="83">
        <f ca="1">'main page'!$K$29*M52+(1-'main page'!$K$29)*controls!$B$9+S52+(('main page'!$K$25*'main page'!$U$13*'main page'!$K$29)/('main page'!$K$27*(1+('main page'!$K$25^2)*'main page'!$U$13)))*(M52-(controls!$B$9/100)*100)</f>
        <v>-312.98750000000007</v>
      </c>
      <c r="S52" s="81">
        <f ca="1">IF(controls!$B$33=1,(J53-E52*X53-B52)/'main page'!$K$27,(I53-E52*X53-B52)/'main page'!$K$27)</f>
        <v>53.45</v>
      </c>
      <c r="U52" s="58">
        <f>IF(controls!$B$6=1,$AG$4*(1+('main page'!$K$35/100))^V52-$AG$4*(1+('main page'!$K$35/100))^V51,$AG$4*(1+('main page'!$G$8/100))*(1+('main page'!$K$35/100))^V52-$AG$4*(1+('main page'!$G$8/100))*(1+('main page'!$K$35/100))^V51)</f>
        <v>0</v>
      </c>
      <c r="V52" s="60">
        <v>44</v>
      </c>
      <c r="W52" s="36">
        <f>'normal case'!AC51</f>
        <v>0</v>
      </c>
      <c r="X52" s="36">
        <f>'normal case'!AD51</f>
        <v>0</v>
      </c>
      <c r="Y52" s="44">
        <f ca="1">IF(controls!$B$33=1,E52-($J$4-'main page'!$K$27*2)*(1+('main page'!$K$35/100))^A51,E52-$AG$5)</f>
        <v>-99.9</v>
      </c>
      <c r="Z52" s="44">
        <f ca="1">ABS(M52-(controls!$B$9/100)*100)</f>
        <v>294.75000000000006</v>
      </c>
      <c r="AI52" s="36"/>
      <c r="AJ52" s="36"/>
    </row>
    <row r="53" spans="1:36">
      <c r="A53" s="43">
        <v>50</v>
      </c>
      <c r="B53" s="62">
        <f ca="1">IF(controls!$B$6=2,AVERAGE(E49:E52)+B52*W53+hystere!$AG$9,AVERAGE(E49:E52)+B52*W53)</f>
        <v>1.1000000000000001</v>
      </c>
      <c r="C53" s="67">
        <f t="shared" ca="1" si="1"/>
        <v>0</v>
      </c>
      <c r="D53" s="88">
        <f t="shared" ca="1" si="2"/>
        <v>-1</v>
      </c>
      <c r="E53" s="64">
        <f t="shared" ca="1" si="3"/>
        <v>0.1</v>
      </c>
      <c r="F53" s="64">
        <f ca="1">IF('main page'!$K$34=1,hystere!H53,hystere!G53)</f>
        <v>-477.50000000000011</v>
      </c>
      <c r="G53" s="78">
        <f ca="1">I53-'main page'!$K$27*hystere!N52</f>
        <v>-477.50000000000011</v>
      </c>
      <c r="H53" s="62">
        <f ca="1">J53-'main page'!$K$27*N52</f>
        <v>-477.50000000000011</v>
      </c>
      <c r="I53" s="62">
        <f t="shared" ca="1" si="4"/>
        <v>108</v>
      </c>
      <c r="J53" s="62">
        <f t="shared" ca="1" si="5"/>
        <v>108</v>
      </c>
      <c r="M53" s="62">
        <f ca="1">IF(ABS('main page'!$K$29*M52+(1-'main page'!$K$29)*(controls!$B$9/100)*100+'main page'!$K$25*(E53-B53)-M52)&lt;0.0000001,M52,'main page'!$K$29*M52+(1-'main page'!$K$29)*(controls!$B$9/100)*100+'main page'!$K$25*(E53-B53))</f>
        <v>-293.75000000000006</v>
      </c>
      <c r="N53" s="62">
        <f ca="1">IF(controls!$B$10=1,N52,O53-'main page'!$K$29*M53-(1-'main page'!$K$29)*controls!$B$9)</f>
        <v>293.75000000000006</v>
      </c>
      <c r="O53" s="61">
        <f t="shared" ca="1" si="0"/>
        <v>0</v>
      </c>
      <c r="P53" s="63">
        <f ca="1">IF(controls!$B$10=1,hystere!N53+hystere!M53,hystere!Q53)</f>
        <v>-314.23750000000007</v>
      </c>
      <c r="Q53" s="61">
        <f ca="1">IF('main page'!$Y$53=1,'choose m.p.'!$I$22*100,R53)</f>
        <v>-314.23750000000007</v>
      </c>
      <c r="R53" s="83">
        <f ca="1">'main page'!$K$29*M53+(1-'main page'!$K$29)*controls!$B$9+S53+(('main page'!$K$25*'main page'!$U$13*'main page'!$K$29)/('main page'!$K$27*(1+('main page'!$K$25^2)*'main page'!$U$13)))*(M53-(controls!$B$9/100)*100)</f>
        <v>-314.23750000000007</v>
      </c>
      <c r="S53" s="81">
        <f ca="1">IF(controls!$B$33=1,(J54-E53*X54-B53)/'main page'!$K$27,(I54-E53*X54-B53)/'main page'!$K$27)</f>
        <v>53.45</v>
      </c>
      <c r="U53" s="58">
        <f>IF(controls!$B$6=1,$AG$4*(1+('main page'!$K$35/100))^V53-$AG$4*(1+('main page'!$K$35/100))^V52,$AG$4*(1+('main page'!$G$8/100))*(1+('main page'!$K$35/100))^V53-$AG$4*(1+('main page'!$G$8/100))*(1+('main page'!$K$35/100))^V52)</f>
        <v>0</v>
      </c>
      <c r="V53" s="60">
        <v>45</v>
      </c>
      <c r="W53" s="36">
        <f>'normal case'!AC52</f>
        <v>0</v>
      </c>
      <c r="X53" s="36">
        <f>'normal case'!AD52</f>
        <v>0</v>
      </c>
      <c r="Y53" s="44">
        <f ca="1">IF(controls!$B$33=1,E53-($J$4-'main page'!$K$27*2)*(1+('main page'!$K$35/100))^A52,E53-$AG$5)</f>
        <v>-99.9</v>
      </c>
      <c r="Z53" s="44">
        <f ca="1">ABS(M53-(controls!$B$9/100)*100)</f>
        <v>295.75000000000006</v>
      </c>
      <c r="AI53" s="36"/>
      <c r="AJ53" s="36"/>
    </row>
    <row r="54" spans="1:36">
      <c r="A54" s="43">
        <v>51</v>
      </c>
      <c r="B54" s="62">
        <f ca="1">IF(controls!$B$6=2,AVERAGE(E50:E53)+B53*W54+hystere!$AG$9,AVERAGE(E50:E53)+B53*W54)</f>
        <v>1.1000000000000001</v>
      </c>
      <c r="C54" s="67">
        <f t="shared" ca="1" si="1"/>
        <v>0</v>
      </c>
      <c r="D54" s="88">
        <f t="shared" ca="1" si="2"/>
        <v>-1</v>
      </c>
      <c r="E54" s="64">
        <f t="shared" ca="1" si="3"/>
        <v>0.1</v>
      </c>
      <c r="F54" s="64">
        <f ca="1">IF('main page'!$K$34=1,hystere!H54,hystere!G54)</f>
        <v>-479.50000000000011</v>
      </c>
      <c r="G54" s="78">
        <f ca="1">I54-'main page'!$K$27*hystere!N53</f>
        <v>-479.50000000000011</v>
      </c>
      <c r="H54" s="62">
        <f ca="1">J54-'main page'!$K$27*N53</f>
        <v>-479.50000000000011</v>
      </c>
      <c r="I54" s="62">
        <f t="shared" ca="1" si="4"/>
        <v>108</v>
      </c>
      <c r="J54" s="62">
        <f t="shared" ca="1" si="5"/>
        <v>108</v>
      </c>
      <c r="M54" s="62">
        <f ca="1">IF(ABS('main page'!$K$29*M53+(1-'main page'!$K$29)*(controls!$B$9/100)*100+'main page'!$K$25*(E54-B54)-M53)&lt;0.0000001,M53,'main page'!$K$29*M53+(1-'main page'!$K$29)*(controls!$B$9/100)*100+'main page'!$K$25*(E54-B54))</f>
        <v>-294.75000000000006</v>
      </c>
      <c r="N54" s="62">
        <f ca="1">IF(controls!$B$10=1,N53,O54-'main page'!$K$29*M54-(1-'main page'!$K$29)*controls!$B$9)</f>
        <v>294.75000000000006</v>
      </c>
      <c r="O54" s="61">
        <f t="shared" ca="1" si="0"/>
        <v>0</v>
      </c>
      <c r="P54" s="63">
        <f ca="1">IF(controls!$B$10=1,hystere!N54+hystere!M54,hystere!Q54)</f>
        <v>-315.48750000000007</v>
      </c>
      <c r="Q54" s="61">
        <f ca="1">IF('main page'!$Y$53=1,'choose m.p.'!$I$22*100,R54)</f>
        <v>-315.48750000000007</v>
      </c>
      <c r="R54" s="83">
        <f ca="1">'main page'!$K$29*M54+(1-'main page'!$K$29)*controls!$B$9+S54+(('main page'!$K$25*'main page'!$U$13*'main page'!$K$29)/('main page'!$K$27*(1+('main page'!$K$25^2)*'main page'!$U$13)))*(M54-(controls!$B$9/100)*100)</f>
        <v>-315.48750000000007</v>
      </c>
      <c r="S54" s="81">
        <f ca="1">IF(controls!$B$33=1,(J55-E54*X55-B54)/'main page'!$K$27,(I55-E54*X55-B54)/'main page'!$K$27)</f>
        <v>53.45</v>
      </c>
      <c r="U54" s="58">
        <f>IF(controls!$B$6=1,$AG$4*(1+('main page'!$K$35/100))^V54-$AG$4*(1+('main page'!$K$35/100))^V53,$AG$4*(1+('main page'!$G$8/100))*(1+('main page'!$K$35/100))^V54-$AG$4*(1+('main page'!$G$8/100))*(1+('main page'!$K$35/100))^V53)</f>
        <v>0</v>
      </c>
      <c r="V54" s="60">
        <v>46</v>
      </c>
      <c r="W54" s="36">
        <f ca="1">'normal case'!AC53</f>
        <v>0</v>
      </c>
      <c r="X54" s="36">
        <f ca="1">'normal case'!AD53</f>
        <v>0</v>
      </c>
      <c r="Y54" s="44">
        <f ca="1">IF(controls!$B$33=1,E54-($J$4-'main page'!$K$27*2)*(1+('main page'!$K$35/100))^A53,E54-$AG$5)</f>
        <v>-99.9</v>
      </c>
      <c r="Z54" s="44">
        <f ca="1">ABS(M54-(controls!$B$9/100)*100)</f>
        <v>296.75000000000006</v>
      </c>
      <c r="AI54" s="36"/>
      <c r="AJ54" s="36"/>
    </row>
    <row r="55" spans="1:36">
      <c r="A55" s="43">
        <v>52</v>
      </c>
      <c r="B55" s="62">
        <f ca="1">IF(controls!$B$6=2,AVERAGE(E51:E54)+B54*W55+hystere!$AG$9,AVERAGE(E51:E54)+B54*W55)</f>
        <v>1.1000000000000001</v>
      </c>
      <c r="C55" s="67">
        <f t="shared" ca="1" si="1"/>
        <v>0</v>
      </c>
      <c r="D55" s="88">
        <f t="shared" ca="1" si="2"/>
        <v>-1</v>
      </c>
      <c r="E55" s="64">
        <f t="shared" ca="1" si="3"/>
        <v>0.1</v>
      </c>
      <c r="F55" s="64">
        <f ca="1">IF('main page'!$K$34=1,hystere!H55,hystere!G55)</f>
        <v>-481.50000000000011</v>
      </c>
      <c r="G55" s="78">
        <f ca="1">I55-'main page'!$K$27*hystere!N54</f>
        <v>-481.50000000000011</v>
      </c>
      <c r="H55" s="62">
        <f ca="1">J55-'main page'!$K$27*N54</f>
        <v>-481.50000000000011</v>
      </c>
      <c r="I55" s="62">
        <f t="shared" ca="1" si="4"/>
        <v>108</v>
      </c>
      <c r="J55" s="62">
        <f t="shared" ca="1" si="5"/>
        <v>108</v>
      </c>
      <c r="M55" s="62">
        <f ca="1">IF(ABS('main page'!$K$29*M54+(1-'main page'!$K$29)*(controls!$B$9/100)*100+'main page'!$K$25*(E55-B55)-M54)&lt;0.0000001,M54,'main page'!$K$29*M54+(1-'main page'!$K$29)*(controls!$B$9/100)*100+'main page'!$K$25*(E55-B55))</f>
        <v>-295.75000000000006</v>
      </c>
      <c r="N55" s="62">
        <f ca="1">IF(controls!$B$10=1,N54,O55-'main page'!$K$29*M55-(1-'main page'!$K$29)*controls!$B$9)</f>
        <v>295.75000000000006</v>
      </c>
      <c r="O55" s="61">
        <f t="shared" ca="1" si="0"/>
        <v>0</v>
      </c>
      <c r="P55" s="63">
        <f ca="1">IF(controls!$B$10=1,hystere!N55+hystere!M55,hystere!Q55)</f>
        <v>-316.73750000000007</v>
      </c>
      <c r="Q55" s="61">
        <f ca="1">IF('main page'!$Y$53=1,'choose m.p.'!$I$22*100,R55)</f>
        <v>-316.73750000000007</v>
      </c>
      <c r="R55" s="83">
        <f ca="1">'main page'!$K$29*M55+(1-'main page'!$K$29)*controls!$B$9+S55+(('main page'!$K$25*'main page'!$U$13*'main page'!$K$29)/('main page'!$K$27*(1+('main page'!$K$25^2)*'main page'!$U$13)))*(M55-(controls!$B$9/100)*100)</f>
        <v>-316.73750000000007</v>
      </c>
      <c r="S55" s="81">
        <f ca="1">IF(controls!$B$33=1,(J56-E55*X56-B55)/'main page'!$K$27,(I56-E55*X56-B55)/'main page'!$K$27)</f>
        <v>53.45</v>
      </c>
      <c r="U55" s="58">
        <f>IF(controls!$B$6=1,$AG$4*(1+('main page'!$K$35/100))^V55-$AG$4*(1+('main page'!$K$35/100))^V54,$AG$4*(1+('main page'!$G$8/100))*(1+('main page'!$K$35/100))^V55-$AG$4*(1+('main page'!$G$8/100))*(1+('main page'!$K$35/100))^V54)</f>
        <v>0</v>
      </c>
      <c r="V55" s="60">
        <v>47</v>
      </c>
      <c r="W55" s="36">
        <f>'normal case'!AC54</f>
        <v>0</v>
      </c>
      <c r="X55" s="36">
        <f>'normal case'!AD54</f>
        <v>0</v>
      </c>
      <c r="Y55" s="44">
        <f ca="1">IF(controls!$B$33=1,E55-($J$4-'main page'!$K$27*2)*(1+('main page'!$K$35/100))^A54,E55-$AG$5)</f>
        <v>-99.9</v>
      </c>
      <c r="Z55" s="44">
        <f ca="1">ABS(M55-(controls!$B$9/100)*100)</f>
        <v>297.75000000000006</v>
      </c>
      <c r="AI55" s="36"/>
      <c r="AJ55" s="36"/>
    </row>
    <row r="56" spans="1:36">
      <c r="A56" s="43">
        <v>53</v>
      </c>
      <c r="B56" s="62">
        <f ca="1">IF(controls!$B$6=2,AVERAGE(E52:E55)+B55*W56+hystere!$AG$9,AVERAGE(E52:E55)+B55*W56)</f>
        <v>1.1000000000000001</v>
      </c>
      <c r="C56" s="67">
        <f t="shared" ca="1" si="1"/>
        <v>0</v>
      </c>
      <c r="D56" s="88">
        <f t="shared" ca="1" si="2"/>
        <v>-1</v>
      </c>
      <c r="E56" s="64">
        <f t="shared" ca="1" si="3"/>
        <v>0.1</v>
      </c>
      <c r="F56" s="64">
        <f ca="1">IF('main page'!$K$34=1,hystere!H56,hystere!G56)</f>
        <v>-483.50000000000011</v>
      </c>
      <c r="G56" s="78">
        <f ca="1">I56-'main page'!$K$27*hystere!N55</f>
        <v>-483.50000000000011</v>
      </c>
      <c r="H56" s="62">
        <f ca="1">J56-'main page'!$K$27*N55</f>
        <v>-483.50000000000011</v>
      </c>
      <c r="I56" s="62">
        <f t="shared" ca="1" si="4"/>
        <v>108</v>
      </c>
      <c r="J56" s="62">
        <f t="shared" ca="1" si="5"/>
        <v>108</v>
      </c>
      <c r="M56" s="62">
        <f ca="1">IF(ABS('main page'!$K$29*M55+(1-'main page'!$K$29)*(controls!$B$9/100)*100+'main page'!$K$25*(E56-B56)-M55)&lt;0.0000001,M55,'main page'!$K$29*M55+(1-'main page'!$K$29)*(controls!$B$9/100)*100+'main page'!$K$25*(E56-B56))</f>
        <v>-296.75000000000006</v>
      </c>
      <c r="N56" s="62">
        <f ca="1">IF(controls!$B$10=1,N55,O56-'main page'!$K$29*M56-(1-'main page'!$K$29)*controls!$B$9)</f>
        <v>296.75000000000006</v>
      </c>
      <c r="O56" s="61">
        <f t="shared" ca="1" si="0"/>
        <v>0</v>
      </c>
      <c r="P56" s="63">
        <f ca="1">IF(controls!$B$10=1,hystere!N56+hystere!M56,hystere!Q56)</f>
        <v>-317.98750000000007</v>
      </c>
      <c r="Q56" s="61">
        <f ca="1">IF('main page'!$Y$53=1,'choose m.p.'!$I$22*100,R56)</f>
        <v>-317.98750000000007</v>
      </c>
      <c r="R56" s="83">
        <f ca="1">'main page'!$K$29*M56+(1-'main page'!$K$29)*controls!$B$9+S56+(('main page'!$K$25*'main page'!$U$13*'main page'!$K$29)/('main page'!$K$27*(1+('main page'!$K$25^2)*'main page'!$U$13)))*(M56-(controls!$B$9/100)*100)</f>
        <v>-317.98750000000007</v>
      </c>
      <c r="S56" s="81">
        <f ca="1">IF(controls!$B$33=1,(J57-E56*X57-B56)/'main page'!$K$27,(I57-E56*X57-B56)/'main page'!$K$27)</f>
        <v>53.45</v>
      </c>
      <c r="U56" s="58">
        <f>IF(controls!$B$6=1,$AG$4*(1+('main page'!$K$35/100))^V56-$AG$4*(1+('main page'!$K$35/100))^V55,$AG$4*(1+('main page'!$G$8/100))*(1+('main page'!$K$35/100))^V56-$AG$4*(1+('main page'!$G$8/100))*(1+('main page'!$K$35/100))^V55)</f>
        <v>0</v>
      </c>
      <c r="V56" s="60">
        <v>48</v>
      </c>
      <c r="W56" s="36">
        <f>'normal case'!AC55</f>
        <v>0</v>
      </c>
      <c r="X56" s="36">
        <f>'normal case'!AD55</f>
        <v>0</v>
      </c>
      <c r="Y56" s="44">
        <f ca="1">IF(controls!$B$33=1,E56-($J$4-'main page'!$K$27*2)*(1+('main page'!$K$35/100))^A55,E56-$AG$5)</f>
        <v>-99.9</v>
      </c>
      <c r="Z56" s="44">
        <f ca="1">ABS(M56-(controls!$B$9/100)*100)</f>
        <v>298.75000000000006</v>
      </c>
      <c r="AI56" s="36"/>
      <c r="AJ56" s="36"/>
    </row>
    <row r="57" spans="1:36">
      <c r="A57" s="43">
        <v>54</v>
      </c>
      <c r="B57" s="62">
        <f ca="1">IF(controls!$B$6=2,AVERAGE(E53:E56)+B56*W57+hystere!$AG$9,AVERAGE(E53:E56)+B56*W57)</f>
        <v>1.1000000000000001</v>
      </c>
      <c r="C57" s="67">
        <f t="shared" ca="1" si="1"/>
        <v>0</v>
      </c>
      <c r="D57" s="88">
        <f t="shared" ca="1" si="2"/>
        <v>-1</v>
      </c>
      <c r="E57" s="64">
        <f t="shared" ca="1" si="3"/>
        <v>0.1</v>
      </c>
      <c r="F57" s="64">
        <f ca="1">IF('main page'!$K$34=1,hystere!H57,hystere!G57)</f>
        <v>-485.50000000000011</v>
      </c>
      <c r="G57" s="78">
        <f ca="1">I57-'main page'!$K$27*hystere!N56</f>
        <v>-485.50000000000011</v>
      </c>
      <c r="H57" s="62">
        <f ca="1">J57-'main page'!$K$27*N56</f>
        <v>-485.50000000000011</v>
      </c>
      <c r="I57" s="62">
        <f t="shared" ca="1" si="4"/>
        <v>108</v>
      </c>
      <c r="J57" s="62">
        <f t="shared" ca="1" si="5"/>
        <v>108</v>
      </c>
      <c r="M57" s="62">
        <f ca="1">IF(ABS('main page'!$K$29*M56+(1-'main page'!$K$29)*(controls!$B$9/100)*100+'main page'!$K$25*(E57-B57)-M56)&lt;0.0000001,M56,'main page'!$K$29*M56+(1-'main page'!$K$29)*(controls!$B$9/100)*100+'main page'!$K$25*(E57-B57))</f>
        <v>-297.75000000000006</v>
      </c>
      <c r="N57" s="62">
        <f ca="1">IF(controls!$B$10=1,N56,O57-'main page'!$K$29*M57-(1-'main page'!$K$29)*controls!$B$9)</f>
        <v>297.75000000000006</v>
      </c>
      <c r="O57" s="61">
        <f t="shared" ca="1" si="0"/>
        <v>0</v>
      </c>
      <c r="P57" s="63">
        <f ca="1">IF(controls!$B$10=1,hystere!N57+hystere!M57,hystere!Q57)</f>
        <v>-319.23750000000007</v>
      </c>
      <c r="Q57" s="61">
        <f ca="1">IF('main page'!$Y$53=1,'choose m.p.'!$I$22*100,R57)</f>
        <v>-319.23750000000007</v>
      </c>
      <c r="R57" s="83">
        <f ca="1">'main page'!$K$29*M57+(1-'main page'!$K$29)*controls!$B$9+S57+(('main page'!$K$25*'main page'!$U$13*'main page'!$K$29)/('main page'!$K$27*(1+('main page'!$K$25^2)*'main page'!$U$13)))*(M57-(controls!$B$9/100)*100)</f>
        <v>-319.23750000000007</v>
      </c>
      <c r="S57" s="81">
        <f ca="1">IF(controls!$B$33=1,(J58-E57*X58-B57)/'main page'!$K$27,(I58-E57*X58-B57)/'main page'!$K$27)</f>
        <v>53.45</v>
      </c>
      <c r="U57" s="58">
        <f>IF(controls!$B$6=1,$AG$4*(1+('main page'!$K$35/100))^V57-$AG$4*(1+('main page'!$K$35/100))^V56,$AG$4*(1+('main page'!$G$8/100))*(1+('main page'!$K$35/100))^V57-$AG$4*(1+('main page'!$G$8/100))*(1+('main page'!$K$35/100))^V56)</f>
        <v>0</v>
      </c>
      <c r="V57" s="60">
        <v>49</v>
      </c>
      <c r="W57" s="36">
        <f ca="1">'normal case'!AC56</f>
        <v>0</v>
      </c>
      <c r="X57" s="36">
        <f ca="1">'normal case'!AD56</f>
        <v>0</v>
      </c>
      <c r="Y57" s="44">
        <f ca="1">IF(controls!$B$33=1,E57-($J$4-'main page'!$K$27*2)*(1+('main page'!$K$35/100))^A56,E57-$AG$5)</f>
        <v>-99.9</v>
      </c>
      <c r="Z57" s="44">
        <f ca="1">ABS(M57-(controls!$B$9/100)*100)</f>
        <v>299.75000000000006</v>
      </c>
      <c r="AI57" s="36"/>
      <c r="AJ57" s="36"/>
    </row>
    <row r="58" spans="1:36">
      <c r="A58" s="43">
        <v>55</v>
      </c>
      <c r="B58" s="62">
        <f ca="1">IF(controls!$B$6=2,AVERAGE(E54:E57)+B57*W58+hystere!$AG$9,AVERAGE(E54:E57)+B57*W58)</f>
        <v>1.1000000000000001</v>
      </c>
      <c r="C58" s="67">
        <f t="shared" ca="1" si="1"/>
        <v>0</v>
      </c>
      <c r="D58" s="88">
        <f t="shared" ca="1" si="2"/>
        <v>-1</v>
      </c>
      <c r="E58" s="64">
        <f t="shared" ca="1" si="3"/>
        <v>0.1</v>
      </c>
      <c r="F58" s="64">
        <f ca="1">IF('main page'!$K$34=1,hystere!H58,hystere!G58)</f>
        <v>-487.50000000000011</v>
      </c>
      <c r="G58" s="78">
        <f ca="1">I58-'main page'!$K$27*hystere!N57</f>
        <v>-487.50000000000011</v>
      </c>
      <c r="H58" s="62">
        <f ca="1">J58-'main page'!$K$27*N57</f>
        <v>-487.50000000000011</v>
      </c>
      <c r="I58" s="62">
        <f t="shared" ca="1" si="4"/>
        <v>108</v>
      </c>
      <c r="J58" s="62">
        <f t="shared" ca="1" si="5"/>
        <v>108</v>
      </c>
      <c r="M58" s="62">
        <f ca="1">IF(ABS('main page'!$K$29*M57+(1-'main page'!$K$29)*(controls!$B$9/100)*100+'main page'!$K$25*(E58-B58)-M57)&lt;0.0000001,M57,'main page'!$K$29*M57+(1-'main page'!$K$29)*(controls!$B$9/100)*100+'main page'!$K$25*(E58-B58))</f>
        <v>-298.75000000000006</v>
      </c>
      <c r="N58" s="62">
        <f ca="1">IF(controls!$B$10=1,N57,O58-'main page'!$K$29*M58-(1-'main page'!$K$29)*controls!$B$9)</f>
        <v>298.75000000000006</v>
      </c>
      <c r="O58" s="61">
        <f t="shared" ca="1" si="0"/>
        <v>0</v>
      </c>
      <c r="P58" s="63">
        <f ca="1">IF(controls!$B$10=1,hystere!N58+hystere!M58,hystere!Q58)</f>
        <v>-320.48750000000007</v>
      </c>
      <c r="Q58" s="61">
        <f ca="1">IF('main page'!$Y$53=1,'choose m.p.'!$I$22*100,R58)</f>
        <v>-320.48750000000007</v>
      </c>
      <c r="R58" s="83">
        <f ca="1">'main page'!$K$29*M58+(1-'main page'!$K$29)*controls!$B$9+S58+(('main page'!$K$25*'main page'!$U$13*'main page'!$K$29)/('main page'!$K$27*(1+('main page'!$K$25^2)*'main page'!$U$13)))*(M58-(controls!$B$9/100)*100)</f>
        <v>-320.48750000000007</v>
      </c>
      <c r="S58" s="81">
        <f ca="1">IF(controls!$B$33=1,(J59-E58*X59-B58)/'main page'!$K$27,(I59-E58*X59-B58)/'main page'!$K$27)</f>
        <v>53.45</v>
      </c>
      <c r="U58" s="58">
        <f>IF(controls!$B$6=1,$AG$4*(1+('main page'!$K$35/100))^V58-$AG$4*(1+('main page'!$K$35/100))^V57,$AG$4*(1+('main page'!$G$8/100))*(1+('main page'!$K$35/100))^V58-$AG$4*(1+('main page'!$G$8/100))*(1+('main page'!$K$35/100))^V57)</f>
        <v>0</v>
      </c>
      <c r="V58" s="60">
        <v>50</v>
      </c>
      <c r="W58" s="36">
        <f>'normal case'!AC57</f>
        <v>0</v>
      </c>
      <c r="X58" s="36">
        <f>'normal case'!AD57</f>
        <v>0</v>
      </c>
      <c r="Y58" s="44">
        <f ca="1">IF(controls!$B$33=1,E58-($J$4-'main page'!$K$27*2)*(1+('main page'!$K$35/100))^A57,E58-$AG$5)</f>
        <v>-99.9</v>
      </c>
      <c r="Z58" s="44">
        <f ca="1">ABS(M58-(controls!$B$9/100)*100)</f>
        <v>300.75000000000006</v>
      </c>
      <c r="AI58" s="36"/>
      <c r="AJ58" s="36"/>
    </row>
    <row r="59" spans="1:36">
      <c r="A59" s="43">
        <v>56</v>
      </c>
      <c r="B59" s="62">
        <f ca="1">IF(controls!$B$6=2,AVERAGE(E55:E58)+B58*W59+hystere!$AG$9,AVERAGE(E55:E58)+B58*W59)</f>
        <v>1.1000000000000001</v>
      </c>
      <c r="C59" s="67">
        <f t="shared" ca="1" si="1"/>
        <v>0</v>
      </c>
      <c r="D59" s="88">
        <f t="shared" ca="1" si="2"/>
        <v>-1</v>
      </c>
      <c r="E59" s="64">
        <f t="shared" ca="1" si="3"/>
        <v>0.1</v>
      </c>
      <c r="F59" s="64">
        <f ca="1">IF('main page'!$K$34=1,hystere!H59,hystere!G59)</f>
        <v>-489.50000000000011</v>
      </c>
      <c r="G59" s="78">
        <f ca="1">I59-'main page'!$K$27*hystere!N58</f>
        <v>-489.50000000000011</v>
      </c>
      <c r="H59" s="62">
        <f ca="1">J59-'main page'!$K$27*N58</f>
        <v>-489.50000000000011</v>
      </c>
      <c r="I59" s="62">
        <f t="shared" ca="1" si="4"/>
        <v>108</v>
      </c>
      <c r="J59" s="62">
        <f t="shared" ca="1" si="5"/>
        <v>108</v>
      </c>
      <c r="M59" s="62">
        <f ca="1">IF(ABS('main page'!$K$29*M58+(1-'main page'!$K$29)*(controls!$B$9/100)*100+'main page'!$K$25*(E59-B59)-M58)&lt;0.0000001,M58,'main page'!$K$29*M58+(1-'main page'!$K$29)*(controls!$B$9/100)*100+'main page'!$K$25*(E59-B59))</f>
        <v>-299.75000000000006</v>
      </c>
      <c r="N59" s="62">
        <f ca="1">IF(controls!$B$10=1,N58,O59-'main page'!$K$29*M59-(1-'main page'!$K$29)*controls!$B$9)</f>
        <v>299.75000000000006</v>
      </c>
      <c r="O59" s="61">
        <f t="shared" ca="1" si="0"/>
        <v>0</v>
      </c>
      <c r="P59" s="63">
        <f ca="1">IF(controls!$B$10=1,hystere!N59+hystere!M59,hystere!Q59)</f>
        <v>-321.73750000000007</v>
      </c>
      <c r="Q59" s="61">
        <f ca="1">IF('main page'!$Y$53=1,'choose m.p.'!$I$22*100,R59)</f>
        <v>-321.73750000000007</v>
      </c>
      <c r="R59" s="83">
        <f ca="1">'main page'!$K$29*M59+(1-'main page'!$K$29)*controls!$B$9+S59+(('main page'!$K$25*'main page'!$U$13*'main page'!$K$29)/('main page'!$K$27*(1+('main page'!$K$25^2)*'main page'!$U$13)))*(M59-(controls!$B$9/100)*100)</f>
        <v>-321.73750000000007</v>
      </c>
      <c r="S59" s="81">
        <f ca="1">IF(controls!$B$33=1,(J60-E59*X60-B59)/'main page'!$K$27,(I60-E59*X60-B59)/'main page'!$K$27)</f>
        <v>53.45</v>
      </c>
      <c r="U59" s="58">
        <f>IF(controls!$B$6=1,$AG$4*(1+('main page'!$K$35/100))^V59-$AG$4*(1+('main page'!$K$35/100))^V58,$AG$4*(1+('main page'!$G$8/100))*(1+('main page'!$K$35/100))^V59-$AG$4*(1+('main page'!$G$8/100))*(1+('main page'!$K$35/100))^V58)</f>
        <v>0</v>
      </c>
      <c r="V59" s="60">
        <v>51</v>
      </c>
      <c r="W59" s="36">
        <f>'normal case'!AC58</f>
        <v>0</v>
      </c>
      <c r="X59" s="36">
        <f>'normal case'!AD58</f>
        <v>0</v>
      </c>
      <c r="Y59" s="44">
        <f ca="1">IF(controls!$B$33=1,E59-($J$4-'main page'!$K$27*2)*(1+('main page'!$K$35/100))^A58,E59-$AG$5)</f>
        <v>-99.9</v>
      </c>
      <c r="Z59" s="44">
        <f ca="1">ABS(M59-(controls!$B$9/100)*100)</f>
        <v>301.75000000000006</v>
      </c>
      <c r="AI59" s="36"/>
      <c r="AJ59" s="36"/>
    </row>
    <row r="60" spans="1:36">
      <c r="A60" s="43">
        <v>57</v>
      </c>
      <c r="B60" s="62">
        <f ca="1">IF(controls!$B$6=2,AVERAGE(E56:E59)+B59*W60+hystere!$AG$9,AVERAGE(E56:E59)+B59*W60)</f>
        <v>1.1000000000000001</v>
      </c>
      <c r="C60" s="67">
        <f t="shared" ca="1" si="1"/>
        <v>0</v>
      </c>
      <c r="D60" s="88">
        <f t="shared" ca="1" si="2"/>
        <v>-1</v>
      </c>
      <c r="E60" s="64">
        <f t="shared" ca="1" si="3"/>
        <v>0.1</v>
      </c>
      <c r="F60" s="64">
        <f ca="1">IF('main page'!$K$34=1,hystere!H60,hystere!G60)</f>
        <v>-491.50000000000011</v>
      </c>
      <c r="G60" s="78">
        <f ca="1">I60-'main page'!$K$27*hystere!N59</f>
        <v>-491.50000000000011</v>
      </c>
      <c r="H60" s="62">
        <f ca="1">J60-'main page'!$K$27*N59</f>
        <v>-491.50000000000011</v>
      </c>
      <c r="I60" s="62">
        <f t="shared" ca="1" si="4"/>
        <v>108</v>
      </c>
      <c r="J60" s="62">
        <f t="shared" ca="1" si="5"/>
        <v>108</v>
      </c>
      <c r="M60" s="62">
        <f ca="1">IF(ABS('main page'!$K$29*M59+(1-'main page'!$K$29)*(controls!$B$9/100)*100+'main page'!$K$25*(E60-B60)-M59)&lt;0.0000001,M59,'main page'!$K$29*M59+(1-'main page'!$K$29)*(controls!$B$9/100)*100+'main page'!$K$25*(E60-B60))</f>
        <v>-300.75000000000006</v>
      </c>
      <c r="N60" s="62">
        <f ca="1">IF(controls!$B$10=1,N59,O60-'main page'!$K$29*M60-(1-'main page'!$K$29)*controls!$B$9)</f>
        <v>300.75000000000006</v>
      </c>
      <c r="O60" s="61">
        <f t="shared" ca="1" si="0"/>
        <v>0</v>
      </c>
      <c r="P60" s="63">
        <f ca="1">IF(controls!$B$10=1,hystere!N60+hystere!M60,hystere!Q60)</f>
        <v>-322.98750000000007</v>
      </c>
      <c r="Q60" s="61">
        <f ca="1">IF('main page'!$Y$53=1,'choose m.p.'!$I$22*100,R60)</f>
        <v>-322.98750000000007</v>
      </c>
      <c r="R60" s="83">
        <f ca="1">'main page'!$K$29*M60+(1-'main page'!$K$29)*controls!$B$9+S60+(('main page'!$K$25*'main page'!$U$13*'main page'!$K$29)/('main page'!$K$27*(1+('main page'!$K$25^2)*'main page'!$U$13)))*(M60-(controls!$B$9/100)*100)</f>
        <v>-322.98750000000007</v>
      </c>
      <c r="S60" s="81">
        <f ca="1">IF(controls!$B$33=1,(J61-E60*X61-B60)/'main page'!$K$27,(I61-E60*X61-B60)/'main page'!$K$27)</f>
        <v>53.45</v>
      </c>
      <c r="U60" s="58">
        <f>IF(controls!$B$6=1,$AG$4*(1+('main page'!$K$35/100))^V60-$AG$4*(1+('main page'!$K$35/100))^V59,$AG$4*(1+('main page'!$G$8/100))*(1+('main page'!$K$35/100))^V60-$AG$4*(1+('main page'!$G$8/100))*(1+('main page'!$K$35/100))^V59)</f>
        <v>0</v>
      </c>
      <c r="V60" s="60">
        <v>52</v>
      </c>
      <c r="W60" s="36">
        <f ca="1">'normal case'!AC59</f>
        <v>0</v>
      </c>
      <c r="X60" s="36">
        <f ca="1">'normal case'!AD59</f>
        <v>0</v>
      </c>
      <c r="Y60" s="44">
        <f ca="1">IF(controls!$B$33=1,E60-($J$4-'main page'!$K$27*2)*(1+('main page'!$K$35/100))^A59,E60-$AG$5)</f>
        <v>-99.9</v>
      </c>
      <c r="Z60" s="44">
        <f ca="1">ABS(M60-(controls!$B$9/100)*100)</f>
        <v>302.75000000000006</v>
      </c>
      <c r="AI60" s="36"/>
      <c r="AJ60" s="36"/>
    </row>
    <row r="61" spans="1:36">
      <c r="A61" s="43">
        <v>58</v>
      </c>
      <c r="B61" s="62">
        <f ca="1">IF(controls!$B$6=2,AVERAGE(E57:E60)+B60*W61+hystere!$AG$9,AVERAGE(E57:E60)+B60*W61)</f>
        <v>1.1000000000000001</v>
      </c>
      <c r="C61" s="67">
        <f t="shared" ca="1" si="1"/>
        <v>0</v>
      </c>
      <c r="D61" s="88">
        <f t="shared" ca="1" si="2"/>
        <v>-1</v>
      </c>
      <c r="E61" s="64">
        <f t="shared" ca="1" si="3"/>
        <v>0.1</v>
      </c>
      <c r="F61" s="64">
        <f ca="1">IF('main page'!$K$34=1,hystere!H61,hystere!G61)</f>
        <v>-493.50000000000011</v>
      </c>
      <c r="G61" s="78">
        <f ca="1">I61-'main page'!$K$27*hystere!N60</f>
        <v>-493.50000000000011</v>
      </c>
      <c r="H61" s="62">
        <f ca="1">J61-'main page'!$K$27*N60</f>
        <v>-493.50000000000011</v>
      </c>
      <c r="I61" s="62">
        <f t="shared" ca="1" si="4"/>
        <v>108</v>
      </c>
      <c r="J61" s="62">
        <f t="shared" ca="1" si="5"/>
        <v>108</v>
      </c>
      <c r="M61" s="62">
        <f ca="1">IF(ABS('main page'!$K$29*M60+(1-'main page'!$K$29)*(controls!$B$9/100)*100+'main page'!$K$25*(E61-B61)-M60)&lt;0.0000001,M60,'main page'!$K$29*M60+(1-'main page'!$K$29)*(controls!$B$9/100)*100+'main page'!$K$25*(E61-B61))</f>
        <v>-301.75000000000006</v>
      </c>
      <c r="N61" s="62">
        <f ca="1">IF(controls!$B$10=1,N60,O61-'main page'!$K$29*M61-(1-'main page'!$K$29)*controls!$B$9)</f>
        <v>301.75000000000006</v>
      </c>
      <c r="O61" s="61">
        <f t="shared" ca="1" si="0"/>
        <v>0</v>
      </c>
      <c r="P61" s="63">
        <f ca="1">IF(controls!$B$10=1,hystere!N61+hystere!M61,hystere!Q61)</f>
        <v>-324.23750000000007</v>
      </c>
      <c r="Q61" s="61">
        <f ca="1">IF('main page'!$Y$53=1,'choose m.p.'!$I$22*100,R61)</f>
        <v>-324.23750000000007</v>
      </c>
      <c r="R61" s="83">
        <f ca="1">'main page'!$K$29*M61+(1-'main page'!$K$29)*controls!$B$9+S61+(('main page'!$K$25*'main page'!$U$13*'main page'!$K$29)/('main page'!$K$27*(1+('main page'!$K$25^2)*'main page'!$U$13)))*(M61-(controls!$B$9/100)*100)</f>
        <v>-324.23750000000007</v>
      </c>
      <c r="S61" s="81">
        <f ca="1">IF(controls!$B$33=1,(J62-E61*X62-B61)/'main page'!$K$27,(I62-E61*X62-B61)/'main page'!$K$27)</f>
        <v>53.45</v>
      </c>
      <c r="U61" s="58">
        <f>IF(controls!$B$6=1,$AG$4*(1+('main page'!$K$35/100))^V61-$AG$4*(1+('main page'!$K$35/100))^V60,$AG$4*(1+('main page'!$G$8/100))*(1+('main page'!$K$35/100))^V61-$AG$4*(1+('main page'!$G$8/100))*(1+('main page'!$K$35/100))^V60)</f>
        <v>0</v>
      </c>
      <c r="V61" s="60">
        <v>53</v>
      </c>
      <c r="W61" s="36">
        <f>'normal case'!AC60</f>
        <v>0</v>
      </c>
      <c r="X61" s="36">
        <f>'normal case'!AD60</f>
        <v>0</v>
      </c>
      <c r="Y61" s="44">
        <f ca="1">IF(controls!$B$33=1,E61-($J$4-'main page'!$K$27*2)*(1+('main page'!$K$35/100))^A60,E61-$AG$5)</f>
        <v>-99.9</v>
      </c>
      <c r="Z61" s="44">
        <f ca="1">ABS(M61-(controls!$B$9/100)*100)</f>
        <v>303.75000000000006</v>
      </c>
      <c r="AI61" s="36"/>
      <c r="AJ61" s="36"/>
    </row>
    <row r="62" spans="1:36">
      <c r="A62" s="43">
        <v>59</v>
      </c>
      <c r="B62" s="62">
        <f ca="1">IF(controls!$B$6=2,AVERAGE(E58:E61)+B61*W62+hystere!$AG$9,AVERAGE(E58:E61)+B61*W62)</f>
        <v>1.1000000000000001</v>
      </c>
      <c r="C62" s="67">
        <f t="shared" ca="1" si="1"/>
        <v>0</v>
      </c>
      <c r="D62" s="88">
        <f t="shared" ca="1" si="2"/>
        <v>-1</v>
      </c>
      <c r="E62" s="64">
        <f t="shared" ca="1" si="3"/>
        <v>0.1</v>
      </c>
      <c r="F62" s="64">
        <f ca="1">IF('main page'!$K$34=1,hystere!H62,hystere!G62)</f>
        <v>-495.50000000000011</v>
      </c>
      <c r="G62" s="78">
        <f ca="1">I62-'main page'!$K$27*hystere!N61</f>
        <v>-495.50000000000011</v>
      </c>
      <c r="H62" s="62">
        <f ca="1">J62-'main page'!$K$27*N61</f>
        <v>-495.50000000000011</v>
      </c>
      <c r="I62" s="62">
        <f t="shared" ca="1" si="4"/>
        <v>108</v>
      </c>
      <c r="J62" s="62">
        <f t="shared" ca="1" si="5"/>
        <v>108</v>
      </c>
      <c r="M62" s="62">
        <f ca="1">IF(ABS('main page'!$K$29*M61+(1-'main page'!$K$29)*(controls!$B$9/100)*100+'main page'!$K$25*(E62-B62)-M61)&lt;0.0000001,M61,'main page'!$K$29*M61+(1-'main page'!$K$29)*(controls!$B$9/100)*100+'main page'!$K$25*(E62-B62))</f>
        <v>-302.75000000000006</v>
      </c>
      <c r="N62" s="62">
        <f ca="1">IF(controls!$B$10=1,N61,O62-'main page'!$K$29*M62-(1-'main page'!$K$29)*controls!$B$9)</f>
        <v>302.75000000000006</v>
      </c>
      <c r="O62" s="61">
        <f t="shared" ca="1" si="0"/>
        <v>0</v>
      </c>
      <c r="P62" s="63">
        <f ca="1">IF(controls!$B$10=1,hystere!N62+hystere!M62,hystere!Q62)</f>
        <v>-325.48750000000007</v>
      </c>
      <c r="Q62" s="61">
        <f ca="1">IF('main page'!$Y$53=1,'choose m.p.'!$I$22*100,R62)</f>
        <v>-325.48750000000007</v>
      </c>
      <c r="R62" s="83">
        <f ca="1">'main page'!$K$29*M62+(1-'main page'!$K$29)*controls!$B$9+S62+(('main page'!$K$25*'main page'!$U$13*'main page'!$K$29)/('main page'!$K$27*(1+('main page'!$K$25^2)*'main page'!$U$13)))*(M62-(controls!$B$9/100)*100)</f>
        <v>-325.48750000000007</v>
      </c>
      <c r="S62" s="81">
        <f ca="1">IF(controls!$B$33=1,(J63-E62*X63-B62)/'main page'!$K$27,(I63-E62*X63-B62)/'main page'!$K$27)</f>
        <v>53.45</v>
      </c>
      <c r="U62" s="58">
        <f>IF(controls!$B$6=1,$AG$4*(1+('main page'!$K$35/100))^V62-$AG$4*(1+('main page'!$K$35/100))^V61,$AG$4*(1+('main page'!$G$8/100))*(1+('main page'!$K$35/100))^V62-$AG$4*(1+('main page'!$G$8/100))*(1+('main page'!$K$35/100))^V61)</f>
        <v>0</v>
      </c>
      <c r="V62" s="60">
        <v>54</v>
      </c>
      <c r="W62" s="36">
        <f>'normal case'!AC61</f>
        <v>0</v>
      </c>
      <c r="X62" s="36">
        <f>'normal case'!AD61</f>
        <v>0</v>
      </c>
      <c r="Y62" s="44">
        <f ca="1">IF(controls!$B$33=1,E62-($J$4-'main page'!$K$27*2)*(1+('main page'!$K$35/100))^A61,E62-$AG$5)</f>
        <v>-99.9</v>
      </c>
      <c r="Z62" s="44">
        <f ca="1">ABS(M62-(controls!$B$9/100)*100)</f>
        <v>304.75000000000006</v>
      </c>
      <c r="AI62" s="36"/>
      <c r="AJ62" s="36"/>
    </row>
    <row r="63" spans="1:36">
      <c r="A63" s="43">
        <v>60</v>
      </c>
      <c r="B63" s="62">
        <f ca="1">IF(controls!$B$6=2,AVERAGE(E59:E62)+B62*W63+hystere!$AG$9,AVERAGE(E59:E62)+B62*W63)</f>
        <v>1.1000000000000001</v>
      </c>
      <c r="C63" s="67">
        <f t="shared" ca="1" si="1"/>
        <v>0</v>
      </c>
      <c r="D63" s="88">
        <f t="shared" ca="1" si="2"/>
        <v>-1</v>
      </c>
      <c r="E63" s="64">
        <f t="shared" ca="1" si="3"/>
        <v>0.1</v>
      </c>
      <c r="F63" s="64">
        <f ca="1">IF('main page'!$K$34=1,hystere!H63,hystere!G63)</f>
        <v>-497.50000000000011</v>
      </c>
      <c r="G63" s="78">
        <f ca="1">I63-'main page'!$K$27*hystere!N62</f>
        <v>-497.50000000000011</v>
      </c>
      <c r="H63" s="62">
        <f ca="1">J63-'main page'!$K$27*N62</f>
        <v>-497.50000000000011</v>
      </c>
      <c r="I63" s="62">
        <f t="shared" ca="1" si="4"/>
        <v>108</v>
      </c>
      <c r="J63" s="62">
        <f t="shared" ca="1" si="5"/>
        <v>108</v>
      </c>
      <c r="M63" s="62">
        <f ca="1">IF(ABS('main page'!$K$29*M62+(1-'main page'!$K$29)*(controls!$B$9/100)*100+'main page'!$K$25*(E63-B63)-M62)&lt;0.0000001,M62,'main page'!$K$29*M62+(1-'main page'!$K$29)*(controls!$B$9/100)*100+'main page'!$K$25*(E63-B63))</f>
        <v>-303.75000000000006</v>
      </c>
      <c r="N63" s="62">
        <f ca="1">IF(controls!$B$10=1,N62,O63-'main page'!$K$29*M63-(1-'main page'!$K$29)*controls!$B$9)</f>
        <v>303.75000000000006</v>
      </c>
      <c r="O63" s="61">
        <f t="shared" ca="1" si="0"/>
        <v>0</v>
      </c>
      <c r="P63" s="63">
        <f ca="1">IF(controls!$B$10=1,hystere!N63+hystere!M63,hystere!Q63)</f>
        <v>-326.73750000000007</v>
      </c>
      <c r="Q63" s="61">
        <f ca="1">IF('main page'!$Y$53=1,'choose m.p.'!$I$22*100,R63)</f>
        <v>-326.73750000000007</v>
      </c>
      <c r="R63" s="83">
        <f ca="1">'main page'!$K$29*M63+(1-'main page'!$K$29)*controls!$B$9+S63+(('main page'!$K$25*'main page'!$U$13*'main page'!$K$29)/('main page'!$K$27*(1+('main page'!$K$25^2)*'main page'!$U$13)))*(M63-(controls!$B$9/100)*100)</f>
        <v>-326.73750000000007</v>
      </c>
      <c r="S63" s="81">
        <f ca="1">IF(controls!$B$33=1,(J64-E63*X64-B63)/'main page'!$K$27,(I64-E63*X64-B63)/'main page'!$K$27)</f>
        <v>53.45</v>
      </c>
      <c r="U63" s="58">
        <f>IF(controls!$B$6=1,$AG$4*(1+('main page'!$K$35/100))^V63-$AG$4*(1+('main page'!$K$35/100))^V62,$AG$4*(1+('main page'!$G$8/100))*(1+('main page'!$K$35/100))^V63-$AG$4*(1+('main page'!$G$8/100))*(1+('main page'!$K$35/100))^V62)</f>
        <v>0</v>
      </c>
      <c r="V63" s="60">
        <v>55</v>
      </c>
      <c r="W63" s="36">
        <f ca="1">'normal case'!AC62</f>
        <v>0</v>
      </c>
      <c r="X63" s="36">
        <f ca="1">'normal case'!AD62</f>
        <v>0</v>
      </c>
      <c r="Y63" s="44">
        <f ca="1">IF(controls!$B$33=1,E63-($J$4-'main page'!$K$27*2)*(1+('main page'!$K$35/100))^A62,E63-$AG$5)</f>
        <v>-99.9</v>
      </c>
      <c r="Z63" s="44">
        <f ca="1">ABS(M63-(controls!$B$9/100)*100)</f>
        <v>305.75000000000006</v>
      </c>
      <c r="AI63" s="36"/>
      <c r="AJ63" s="36"/>
    </row>
    <row r="64" spans="1:36">
      <c r="A64" s="43">
        <v>61</v>
      </c>
      <c r="B64" s="62">
        <f ca="1">IF(controls!$B$6=2,AVERAGE(E60:E63)+B63*W64+hystere!$AG$9,AVERAGE(E60:E63)+B63*W64)</f>
        <v>1.1000000000000001</v>
      </c>
      <c r="C64" s="67">
        <f t="shared" ca="1" si="1"/>
        <v>0</v>
      </c>
      <c r="D64" s="88">
        <f t="shared" ca="1" si="2"/>
        <v>-1</v>
      </c>
      <c r="E64" s="64">
        <f t="shared" ca="1" si="3"/>
        <v>0.1</v>
      </c>
      <c r="F64" s="64">
        <f ca="1">IF('main page'!$K$34=1,hystere!H64,hystere!G64)</f>
        <v>-499.50000000000011</v>
      </c>
      <c r="G64" s="78">
        <f ca="1">I64-'main page'!$K$27*hystere!N63</f>
        <v>-499.50000000000011</v>
      </c>
      <c r="H64" s="62">
        <f ca="1">J64-'main page'!$K$27*N63</f>
        <v>-499.50000000000011</v>
      </c>
      <c r="I64" s="62">
        <f t="shared" ca="1" si="4"/>
        <v>108</v>
      </c>
      <c r="J64" s="62">
        <f t="shared" ca="1" si="5"/>
        <v>108</v>
      </c>
      <c r="M64" s="62">
        <f ca="1">IF(ABS('main page'!$K$29*M63+(1-'main page'!$K$29)*(controls!$B$9/100)*100+'main page'!$K$25*(E64-B64)-M63)&lt;0.0000001,M63,'main page'!$K$29*M63+(1-'main page'!$K$29)*(controls!$B$9/100)*100+'main page'!$K$25*(E64-B64))</f>
        <v>-304.75000000000006</v>
      </c>
      <c r="N64" s="62">
        <f ca="1">IF(controls!$B$10=1,N63,O64-'main page'!$K$29*M64-(1-'main page'!$K$29)*controls!$B$9)</f>
        <v>304.75000000000006</v>
      </c>
      <c r="O64" s="61">
        <f t="shared" ca="1" si="0"/>
        <v>0</v>
      </c>
      <c r="P64" s="63">
        <f ca="1">IF(controls!$B$10=1,hystere!N64+hystere!M64,hystere!Q64)</f>
        <v>-327.98750000000007</v>
      </c>
      <c r="Q64" s="61">
        <f ca="1">IF('main page'!$Y$53=1,'choose m.p.'!$I$22*100,R64)</f>
        <v>-327.98750000000007</v>
      </c>
      <c r="R64" s="83">
        <f ca="1">'main page'!$K$29*M64+(1-'main page'!$K$29)*controls!$B$9+S64+(('main page'!$K$25*'main page'!$U$13*'main page'!$K$29)/('main page'!$K$27*(1+('main page'!$K$25^2)*'main page'!$U$13)))*(M64-(controls!$B$9/100)*100)</f>
        <v>-327.98750000000007</v>
      </c>
      <c r="S64" s="81">
        <f ca="1">IF(controls!$B$33=1,(J65-E64*X65-B64)/'main page'!$K$27,(I65-E64*X65-B64)/'main page'!$K$27)</f>
        <v>53.45</v>
      </c>
      <c r="U64" s="58">
        <f>IF(controls!$B$6=1,$AG$4*(1+('main page'!$K$35/100))^V64-$AG$4*(1+('main page'!$K$35/100))^V63,$AG$4*(1+('main page'!$G$8/100))*(1+('main page'!$K$35/100))^V64-$AG$4*(1+('main page'!$G$8/100))*(1+('main page'!$K$35/100))^V63)</f>
        <v>0</v>
      </c>
      <c r="V64" s="60">
        <v>56</v>
      </c>
      <c r="W64" s="36">
        <f>'normal case'!AC63</f>
        <v>0</v>
      </c>
      <c r="X64" s="36">
        <f>'normal case'!AD63</f>
        <v>0</v>
      </c>
      <c r="Y64" s="44">
        <f ca="1">IF(controls!$B$33=1,E64-($J$4-'main page'!$K$27*2)*(1+('main page'!$K$35/100))^A63,E64-$AG$5)</f>
        <v>-99.9</v>
      </c>
      <c r="Z64" s="44">
        <f ca="1">ABS(M64-(controls!$B$9/100)*100)</f>
        <v>306.75000000000006</v>
      </c>
      <c r="AI64" s="36"/>
      <c r="AJ64" s="36"/>
    </row>
    <row r="65" spans="1:36">
      <c r="A65" s="43">
        <v>62</v>
      </c>
      <c r="B65" s="62">
        <f ca="1">IF(controls!$B$6=2,AVERAGE(E61:E64)+B64*W65+hystere!$AG$9,AVERAGE(E61:E64)+B64*W65)</f>
        <v>1.1000000000000001</v>
      </c>
      <c r="C65" s="67">
        <f t="shared" ca="1" si="1"/>
        <v>0</v>
      </c>
      <c r="D65" s="88">
        <f t="shared" ca="1" si="2"/>
        <v>-1</v>
      </c>
      <c r="E65" s="64">
        <f t="shared" ca="1" si="3"/>
        <v>0.1</v>
      </c>
      <c r="F65" s="64">
        <f ca="1">IF('main page'!$K$34=1,hystere!H65,hystere!G65)</f>
        <v>-501.50000000000011</v>
      </c>
      <c r="G65" s="78">
        <f ca="1">I65-'main page'!$K$27*hystere!N64</f>
        <v>-501.50000000000011</v>
      </c>
      <c r="H65" s="62">
        <f ca="1">J65-'main page'!$K$27*N64</f>
        <v>-501.50000000000011</v>
      </c>
      <c r="I65" s="62">
        <f t="shared" ca="1" si="4"/>
        <v>108</v>
      </c>
      <c r="J65" s="62">
        <f t="shared" ca="1" si="5"/>
        <v>108</v>
      </c>
      <c r="M65" s="62">
        <f ca="1">IF(ABS('main page'!$K$29*M64+(1-'main page'!$K$29)*(controls!$B$9/100)*100+'main page'!$K$25*(E65-B65)-M64)&lt;0.0000001,M64,'main page'!$K$29*M64+(1-'main page'!$K$29)*(controls!$B$9/100)*100+'main page'!$K$25*(E65-B65))</f>
        <v>-305.75000000000006</v>
      </c>
      <c r="N65" s="62">
        <f ca="1">IF(controls!$B$10=1,N64,O65-'main page'!$K$29*M65-(1-'main page'!$K$29)*controls!$B$9)</f>
        <v>305.75000000000006</v>
      </c>
      <c r="O65" s="61">
        <f t="shared" ca="1" si="0"/>
        <v>0</v>
      </c>
      <c r="P65" s="63">
        <f ca="1">IF(controls!$B$10=1,hystere!N65+hystere!M65,hystere!Q65)</f>
        <v>-329.23750000000007</v>
      </c>
      <c r="Q65" s="61">
        <f ca="1">IF('main page'!$Y$53=1,'choose m.p.'!$I$22*100,R65)</f>
        <v>-329.23750000000007</v>
      </c>
      <c r="R65" s="83">
        <f ca="1">'main page'!$K$29*M65+(1-'main page'!$K$29)*controls!$B$9+S65+(('main page'!$K$25*'main page'!$U$13*'main page'!$K$29)/('main page'!$K$27*(1+('main page'!$K$25^2)*'main page'!$U$13)))*(M65-(controls!$B$9/100)*100)</f>
        <v>-329.23750000000007</v>
      </c>
      <c r="S65" s="81">
        <f ca="1">IF(controls!$B$33=1,(J66-E65*X66-B65)/'main page'!$K$27,(I66-E65*X66-B65)/'main page'!$K$27)</f>
        <v>53.45</v>
      </c>
      <c r="U65" s="58">
        <f>IF(controls!$B$6=1,$AG$4*(1+('main page'!$K$35/100))^V65-$AG$4*(1+('main page'!$K$35/100))^V64,$AG$4*(1+('main page'!$G$8/100))*(1+('main page'!$K$35/100))^V65-$AG$4*(1+('main page'!$G$8/100))*(1+('main page'!$K$35/100))^V64)</f>
        <v>0</v>
      </c>
      <c r="V65" s="60">
        <v>57</v>
      </c>
      <c r="W65" s="36">
        <f>'normal case'!AC64</f>
        <v>0</v>
      </c>
      <c r="X65" s="36">
        <f>'normal case'!AD64</f>
        <v>0</v>
      </c>
      <c r="Y65" s="44">
        <f ca="1">IF(controls!$B$33=1,E65-($J$4-'main page'!$K$27*2)*(1+('main page'!$K$35/100))^A64,E65-$AG$5)</f>
        <v>-99.9</v>
      </c>
      <c r="Z65" s="44">
        <f ca="1">ABS(M65-(controls!$B$9/100)*100)</f>
        <v>307.75000000000006</v>
      </c>
      <c r="AI65" s="36"/>
      <c r="AJ65" s="36"/>
    </row>
    <row r="66" spans="1:36">
      <c r="A66" s="43">
        <v>63</v>
      </c>
      <c r="B66" s="62">
        <f ca="1">IF(controls!$B$6=2,AVERAGE(E62:E65)+B65*W66+hystere!$AG$9,AVERAGE(E62:E65)+B65*W66)</f>
        <v>1.1000000000000001</v>
      </c>
      <c r="C66" s="67">
        <f t="shared" ca="1" si="1"/>
        <v>0</v>
      </c>
      <c r="D66" s="88">
        <f t="shared" ca="1" si="2"/>
        <v>-1</v>
      </c>
      <c r="E66" s="64">
        <f t="shared" ca="1" si="3"/>
        <v>0.1</v>
      </c>
      <c r="F66" s="64">
        <f ca="1">IF('main page'!$K$34=1,hystere!H66,hystere!G66)</f>
        <v>-503.50000000000011</v>
      </c>
      <c r="G66" s="78">
        <f ca="1">I66-'main page'!$K$27*hystere!N65</f>
        <v>-503.50000000000011</v>
      </c>
      <c r="H66" s="62">
        <f ca="1">J66-'main page'!$K$27*N65</f>
        <v>-503.50000000000011</v>
      </c>
      <c r="I66" s="62">
        <f t="shared" ca="1" si="4"/>
        <v>108</v>
      </c>
      <c r="J66" s="62">
        <f t="shared" ca="1" si="5"/>
        <v>108</v>
      </c>
      <c r="M66" s="62">
        <f ca="1">IF(ABS('main page'!$K$29*M65+(1-'main page'!$K$29)*(controls!$B$9/100)*100+'main page'!$K$25*(E66-B66)-M65)&lt;0.0000001,M65,'main page'!$K$29*M65+(1-'main page'!$K$29)*(controls!$B$9/100)*100+'main page'!$K$25*(E66-B66))</f>
        <v>-306.75000000000006</v>
      </c>
      <c r="N66" s="62">
        <f ca="1">IF(controls!$B$10=1,N65,O66-'main page'!$K$29*M66-(1-'main page'!$K$29)*controls!$B$9)</f>
        <v>306.75000000000006</v>
      </c>
      <c r="O66" s="61">
        <f t="shared" ca="1" si="0"/>
        <v>0</v>
      </c>
      <c r="P66" s="63">
        <f ca="1">IF(controls!$B$10=1,hystere!N66+hystere!M66,hystere!Q66)</f>
        <v>-330.48750000000007</v>
      </c>
      <c r="Q66" s="61">
        <f ca="1">IF('main page'!$Y$53=1,'choose m.p.'!$I$22*100,R66)</f>
        <v>-330.48750000000007</v>
      </c>
      <c r="R66" s="83">
        <f ca="1">'main page'!$K$29*M66+(1-'main page'!$K$29)*controls!$B$9+S66+(('main page'!$K$25*'main page'!$U$13*'main page'!$K$29)/('main page'!$K$27*(1+('main page'!$K$25^2)*'main page'!$U$13)))*(M66-(controls!$B$9/100)*100)</f>
        <v>-330.48750000000007</v>
      </c>
      <c r="S66" s="81">
        <f ca="1">IF(controls!$B$33=1,(J67-E66*X67-B66)/'main page'!$K$27,(I67-E66*X67-B66)/'main page'!$K$27)</f>
        <v>53.45</v>
      </c>
      <c r="U66" s="58">
        <f>IF(controls!$B$6=1,$AG$4*(1+('main page'!$K$35/100))^V66-$AG$4*(1+('main page'!$K$35/100))^V65,$AG$4*(1+('main page'!$G$8/100))*(1+('main page'!$K$35/100))^V66-$AG$4*(1+('main page'!$G$8/100))*(1+('main page'!$K$35/100))^V65)</f>
        <v>0</v>
      </c>
      <c r="V66" s="60">
        <v>58</v>
      </c>
      <c r="W66" s="36">
        <f ca="1">'normal case'!AC65</f>
        <v>0</v>
      </c>
      <c r="X66" s="36">
        <f ca="1">'normal case'!AD65</f>
        <v>0</v>
      </c>
      <c r="Y66" s="44">
        <f ca="1">IF(controls!$B$33=1,E66-($J$4-'main page'!$K$27*2)*(1+('main page'!$K$35/100))^A65,E66-$AG$5)</f>
        <v>-99.9</v>
      </c>
      <c r="Z66" s="44">
        <f ca="1">ABS(M66-(controls!$B$9/100)*100)</f>
        <v>308.75000000000006</v>
      </c>
      <c r="AI66" s="36"/>
      <c r="AJ66" s="36"/>
    </row>
    <row r="67" spans="1:36">
      <c r="A67" s="43">
        <v>64</v>
      </c>
      <c r="B67" s="62">
        <f ca="1">IF(controls!$B$6=2,AVERAGE(E63:E66)+B66*W67+hystere!$AG$9,AVERAGE(E63:E66)+B66*W67)</f>
        <v>1.1000000000000001</v>
      </c>
      <c r="C67" s="67">
        <f t="shared" ca="1" si="1"/>
        <v>0</v>
      </c>
      <c r="D67" s="88">
        <f t="shared" ca="1" si="2"/>
        <v>-1</v>
      </c>
      <c r="E67" s="64">
        <f t="shared" ca="1" si="3"/>
        <v>0.1</v>
      </c>
      <c r="F67" s="64">
        <f ca="1">IF('main page'!$K$34=1,hystere!H67,hystere!G67)</f>
        <v>-505.50000000000011</v>
      </c>
      <c r="G67" s="78">
        <f ca="1">I67-'main page'!$K$27*hystere!N66</f>
        <v>-505.50000000000011</v>
      </c>
      <c r="H67" s="62">
        <f ca="1">J67-'main page'!$K$27*N66</f>
        <v>-505.50000000000011</v>
      </c>
      <c r="I67" s="62">
        <f t="shared" ca="1" si="4"/>
        <v>108</v>
      </c>
      <c r="J67" s="62">
        <f t="shared" ca="1" si="5"/>
        <v>108</v>
      </c>
      <c r="M67" s="62">
        <f ca="1">IF(ABS('main page'!$K$29*M66+(1-'main page'!$K$29)*(controls!$B$9/100)*100+'main page'!$K$25*(E67-B67)-M66)&lt;0.0000001,M66,'main page'!$K$29*M66+(1-'main page'!$K$29)*(controls!$B$9/100)*100+'main page'!$K$25*(E67-B67))</f>
        <v>-307.75000000000006</v>
      </c>
      <c r="N67" s="62">
        <f ca="1">IF(controls!$B$10=1,N66,O67-'main page'!$K$29*M67-(1-'main page'!$K$29)*controls!$B$9)</f>
        <v>307.75000000000006</v>
      </c>
      <c r="O67" s="61">
        <f t="shared" ca="1" si="0"/>
        <v>0</v>
      </c>
      <c r="P67" s="63">
        <f ca="1">IF(controls!$B$10=1,hystere!N67+hystere!M67,hystere!Q67)</f>
        <v>-331.73750000000007</v>
      </c>
      <c r="Q67" s="61">
        <f ca="1">IF('main page'!$Y$53=1,'choose m.p.'!$I$22*100,R67)</f>
        <v>-331.73750000000007</v>
      </c>
      <c r="R67" s="83">
        <f ca="1">'main page'!$K$29*M67+(1-'main page'!$K$29)*controls!$B$9+S67+(('main page'!$K$25*'main page'!$U$13*'main page'!$K$29)/('main page'!$K$27*(1+('main page'!$K$25^2)*'main page'!$U$13)))*(M67-(controls!$B$9/100)*100)</f>
        <v>-331.73750000000007</v>
      </c>
      <c r="S67" s="81">
        <f ca="1">IF(controls!$B$33=1,(J68-E67*X68-B67)/'main page'!$K$27,(I68-E67*X68-B67)/'main page'!$K$27)</f>
        <v>53.45</v>
      </c>
      <c r="U67" s="58">
        <f>IF(controls!$B$6=1,$AG$4*(1+('main page'!$K$35/100))^V67-$AG$4*(1+('main page'!$K$35/100))^V66,$AG$4*(1+('main page'!$G$8/100))*(1+('main page'!$K$35/100))^V67-$AG$4*(1+('main page'!$G$8/100))*(1+('main page'!$K$35/100))^V66)</f>
        <v>0</v>
      </c>
      <c r="V67" s="60">
        <v>59</v>
      </c>
      <c r="W67" s="36">
        <f>'normal case'!AC66</f>
        <v>0</v>
      </c>
      <c r="X67" s="36">
        <f>'normal case'!AD66</f>
        <v>0</v>
      </c>
      <c r="Y67" s="44">
        <f ca="1">IF(controls!$B$33=1,E67-($J$4-'main page'!$K$27*2)*(1+('main page'!$K$35/100))^A66,E67-$AG$5)</f>
        <v>-99.9</v>
      </c>
      <c r="Z67" s="44">
        <f ca="1">ABS(M67-(controls!$B$9/100)*100)</f>
        <v>309.75000000000006</v>
      </c>
      <c r="AI67" s="36"/>
      <c r="AJ67" s="36"/>
    </row>
    <row r="68" spans="1:36">
      <c r="A68" s="43">
        <v>65</v>
      </c>
      <c r="B68" s="62">
        <f ca="1">IF(controls!$B$6=2,AVERAGE(E64:E67)+B67*W68+hystere!$AG$9,AVERAGE(E64:E67)+B67*W68)</f>
        <v>1.1000000000000001</v>
      </c>
      <c r="C68" s="67">
        <f t="shared" ca="1" si="1"/>
        <v>0</v>
      </c>
      <c r="D68" s="88">
        <f t="shared" ca="1" si="2"/>
        <v>-1</v>
      </c>
      <c r="E68" s="64">
        <f t="shared" ca="1" si="3"/>
        <v>0.1</v>
      </c>
      <c r="F68" s="64">
        <f ca="1">IF('main page'!$K$34=1,hystere!H68,hystere!G68)</f>
        <v>-507.50000000000011</v>
      </c>
      <c r="G68" s="78">
        <f ca="1">I68-'main page'!$K$27*hystere!N67</f>
        <v>-507.50000000000011</v>
      </c>
      <c r="H68" s="62">
        <f ca="1">J68-'main page'!$K$27*N67</f>
        <v>-507.50000000000011</v>
      </c>
      <c r="I68" s="62">
        <f t="shared" ca="1" si="4"/>
        <v>108</v>
      </c>
      <c r="J68" s="62">
        <f t="shared" ca="1" si="5"/>
        <v>108</v>
      </c>
      <c r="M68" s="62">
        <f ca="1">IF(ABS('main page'!$K$29*M67+(1-'main page'!$K$29)*(controls!$B$9/100)*100+'main page'!$K$25*(E68-B68)-M67)&lt;0.0000001,M67,'main page'!$K$29*M67+(1-'main page'!$K$29)*(controls!$B$9/100)*100+'main page'!$K$25*(E68-B68))</f>
        <v>-308.75000000000006</v>
      </c>
      <c r="N68" s="62">
        <f ca="1">IF(controls!$B$10=1,N67,O68-'main page'!$K$29*M68-(1-'main page'!$K$29)*controls!$B$9)</f>
        <v>308.75000000000006</v>
      </c>
      <c r="O68" s="61">
        <f t="shared" ref="O68:O131" ca="1" si="6">IF(P68&lt;0,0,P68)</f>
        <v>0</v>
      </c>
      <c r="P68" s="63">
        <f ca="1">IF(controls!$B$10=1,hystere!N68+hystere!M68,hystere!Q68)</f>
        <v>-332.98750000000007</v>
      </c>
      <c r="Q68" s="61">
        <f ca="1">IF('main page'!$Y$53=1,'choose m.p.'!$I$22*100,R68)</f>
        <v>-332.98750000000007</v>
      </c>
      <c r="R68" s="83">
        <f ca="1">'main page'!$K$29*M68+(1-'main page'!$K$29)*controls!$B$9+S68+(('main page'!$K$25*'main page'!$U$13*'main page'!$K$29)/('main page'!$K$27*(1+('main page'!$K$25^2)*'main page'!$U$13)))*(M68-(controls!$B$9/100)*100)</f>
        <v>-332.98750000000007</v>
      </c>
      <c r="S68" s="81">
        <f ca="1">IF(controls!$B$33=1,(J69-E68*X69-B68)/'main page'!$K$27,(I69-E68*X69-B68)/'main page'!$K$27)</f>
        <v>53.45</v>
      </c>
      <c r="U68" s="58">
        <f>IF(controls!$B$6=1,$AG$4*(1+('main page'!$K$35/100))^V68-$AG$4*(1+('main page'!$K$35/100))^V67,$AG$4*(1+('main page'!$G$8/100))*(1+('main page'!$K$35/100))^V68-$AG$4*(1+('main page'!$G$8/100))*(1+('main page'!$K$35/100))^V67)</f>
        <v>0</v>
      </c>
      <c r="V68" s="60">
        <v>60</v>
      </c>
      <c r="W68" s="36">
        <f>'normal case'!AC67</f>
        <v>0</v>
      </c>
      <c r="X68" s="36">
        <f>'normal case'!AD67</f>
        <v>0</v>
      </c>
      <c r="Y68" s="44">
        <f ca="1">IF(controls!$B$33=1,E68-($J$4-'main page'!$K$27*2)*(1+('main page'!$K$35/100))^A67,E68-$AG$5)</f>
        <v>-99.9</v>
      </c>
      <c r="Z68" s="44">
        <f ca="1">ABS(M68-(controls!$B$9/100)*100)</f>
        <v>310.75000000000006</v>
      </c>
      <c r="AI68" s="36"/>
      <c r="AJ68" s="36"/>
    </row>
    <row r="69" spans="1:36">
      <c r="A69" s="43">
        <v>66</v>
      </c>
      <c r="B69" s="62">
        <f ca="1">IF(controls!$B$6=2,AVERAGE(E65:E68)+B68*W69+hystere!$AG$9,AVERAGE(E65:E68)+B68*W69)</f>
        <v>1.1000000000000001</v>
      </c>
      <c r="C69" s="67">
        <f t="shared" ref="C69:C132" ca="1" si="7">E69/E68-1</f>
        <v>0</v>
      </c>
      <c r="D69" s="88">
        <f t="shared" ref="D69:D132" ca="1" si="8">E69-B69</f>
        <v>-1</v>
      </c>
      <c r="E69" s="64">
        <f t="shared" ref="E69:E132" ca="1" si="9">IF(F69&gt;0,F69,0.1)</f>
        <v>0.1</v>
      </c>
      <c r="F69" s="64">
        <f ca="1">IF('main page'!$K$34=1,hystere!H69,hystere!G69)</f>
        <v>-509.50000000000011</v>
      </c>
      <c r="G69" s="78">
        <f ca="1">I69-'main page'!$K$27*hystere!N68</f>
        <v>-509.50000000000011</v>
      </c>
      <c r="H69" s="62">
        <f ca="1">J69-'main page'!$K$27*N68</f>
        <v>-509.50000000000011</v>
      </c>
      <c r="I69" s="62">
        <f t="shared" ca="1" si="4"/>
        <v>108</v>
      </c>
      <c r="J69" s="62">
        <f t="shared" ca="1" si="5"/>
        <v>108</v>
      </c>
      <c r="M69" s="62">
        <f ca="1">IF(ABS('main page'!$K$29*M68+(1-'main page'!$K$29)*(controls!$B$9/100)*100+'main page'!$K$25*(E69-B69)-M68)&lt;0.0000001,M68,'main page'!$K$29*M68+(1-'main page'!$K$29)*(controls!$B$9/100)*100+'main page'!$K$25*(E69-B69))</f>
        <v>-309.75000000000006</v>
      </c>
      <c r="N69" s="62">
        <f ca="1">IF(controls!$B$10=1,N68,O69-'main page'!$K$29*M69-(1-'main page'!$K$29)*controls!$B$9)</f>
        <v>309.75000000000006</v>
      </c>
      <c r="O69" s="61">
        <f t="shared" ca="1" si="6"/>
        <v>0</v>
      </c>
      <c r="P69" s="63">
        <f ca="1">IF(controls!$B$10=1,hystere!N69+hystere!M69,hystere!Q69)</f>
        <v>-334.23750000000007</v>
      </c>
      <c r="Q69" s="61">
        <f ca="1">IF('main page'!$Y$53=1,'choose m.p.'!$I$22*100,R69)</f>
        <v>-334.23750000000007</v>
      </c>
      <c r="R69" s="83">
        <f ca="1">'main page'!$K$29*M69+(1-'main page'!$K$29)*controls!$B$9+S69+(('main page'!$K$25*'main page'!$U$13*'main page'!$K$29)/('main page'!$K$27*(1+('main page'!$K$25^2)*'main page'!$U$13)))*(M69-(controls!$B$9/100)*100)</f>
        <v>-334.23750000000007</v>
      </c>
      <c r="S69" s="81">
        <f ca="1">IF(controls!$B$33=1,(J70-E69*X70-B69)/'main page'!$K$27,(I70-E69*X70-B69)/'main page'!$K$27)</f>
        <v>53.45</v>
      </c>
      <c r="U69" s="58">
        <f>IF(controls!$B$6=1,$AG$4*(1+('main page'!$K$35/100))^V69-$AG$4*(1+('main page'!$K$35/100))^V68,$AG$4*(1+('main page'!$G$8/100))*(1+('main page'!$K$35/100))^V69-$AG$4*(1+('main page'!$G$8/100))*(1+('main page'!$K$35/100))^V68)</f>
        <v>0</v>
      </c>
      <c r="V69" s="60">
        <v>61</v>
      </c>
      <c r="W69" s="36">
        <f ca="1">'normal case'!AC68</f>
        <v>0</v>
      </c>
      <c r="X69" s="36">
        <f ca="1">'normal case'!AD68</f>
        <v>0</v>
      </c>
      <c r="Y69" s="44">
        <f ca="1">IF(controls!$B$33=1,E69-($J$4-'main page'!$K$27*2)*(1+('main page'!$K$35/100))^A68,E69-$AG$5)</f>
        <v>-99.9</v>
      </c>
      <c r="Z69" s="44">
        <f ca="1">ABS(M69-(controls!$B$9/100)*100)</f>
        <v>311.75000000000006</v>
      </c>
      <c r="AI69" s="36"/>
      <c r="AJ69" s="36"/>
    </row>
    <row r="70" spans="1:36">
      <c r="A70" s="43">
        <v>67</v>
      </c>
      <c r="B70" s="62">
        <f ca="1">IF(controls!$B$6=2,AVERAGE(E66:E69)+B69*W70+hystere!$AG$9,AVERAGE(E66:E69)+B69*W70)</f>
        <v>1.1000000000000001</v>
      </c>
      <c r="C70" s="67">
        <f t="shared" ca="1" si="7"/>
        <v>0</v>
      </c>
      <c r="D70" s="88">
        <f t="shared" ca="1" si="8"/>
        <v>-1</v>
      </c>
      <c r="E70" s="64">
        <f t="shared" ca="1" si="9"/>
        <v>0.1</v>
      </c>
      <c r="F70" s="64">
        <f ca="1">IF('main page'!$K$34=1,hystere!H70,hystere!G70)</f>
        <v>-511.50000000000011</v>
      </c>
      <c r="G70" s="78">
        <f ca="1">I70-'main page'!$K$27*hystere!N69</f>
        <v>-511.50000000000011</v>
      </c>
      <c r="H70" s="62">
        <f ca="1">J70-'main page'!$K$27*N69</f>
        <v>-511.50000000000011</v>
      </c>
      <c r="I70" s="62">
        <f t="shared" ca="1" si="4"/>
        <v>108</v>
      </c>
      <c r="J70" s="62">
        <f t="shared" ca="1" si="5"/>
        <v>108</v>
      </c>
      <c r="M70" s="62">
        <f ca="1">IF(ABS('main page'!$K$29*M69+(1-'main page'!$K$29)*(controls!$B$9/100)*100+'main page'!$K$25*(E70-B70)-M69)&lt;0.0000001,M69,'main page'!$K$29*M69+(1-'main page'!$K$29)*(controls!$B$9/100)*100+'main page'!$K$25*(E70-B70))</f>
        <v>-310.75000000000006</v>
      </c>
      <c r="N70" s="62">
        <f ca="1">IF(controls!$B$10=1,N69,O70-'main page'!$K$29*M70-(1-'main page'!$K$29)*controls!$B$9)</f>
        <v>310.75000000000006</v>
      </c>
      <c r="O70" s="61">
        <f t="shared" ca="1" si="6"/>
        <v>0</v>
      </c>
      <c r="P70" s="63">
        <f ca="1">IF(controls!$B$10=1,hystere!N70+hystere!M70,hystere!Q70)</f>
        <v>-335.48750000000007</v>
      </c>
      <c r="Q70" s="61">
        <f ca="1">IF('main page'!$Y$53=1,'choose m.p.'!$I$22*100,R70)</f>
        <v>-335.48750000000007</v>
      </c>
      <c r="R70" s="83">
        <f ca="1">'main page'!$K$29*M70+(1-'main page'!$K$29)*controls!$B$9+S70+(('main page'!$K$25*'main page'!$U$13*'main page'!$K$29)/('main page'!$K$27*(1+('main page'!$K$25^2)*'main page'!$U$13)))*(M70-(controls!$B$9/100)*100)</f>
        <v>-335.48750000000007</v>
      </c>
      <c r="S70" s="81">
        <f ca="1">IF(controls!$B$33=1,(J71-E70*X71-B70)/'main page'!$K$27,(I71-E70*X71-B70)/'main page'!$K$27)</f>
        <v>53.45</v>
      </c>
      <c r="U70" s="58">
        <f>IF(controls!$B$6=1,$AG$4*(1+('main page'!$K$35/100))^V70-$AG$4*(1+('main page'!$K$35/100))^V69,$AG$4*(1+('main page'!$G$8/100))*(1+('main page'!$K$35/100))^V70-$AG$4*(1+('main page'!$G$8/100))*(1+('main page'!$K$35/100))^V69)</f>
        <v>0</v>
      </c>
      <c r="V70" s="60">
        <v>62</v>
      </c>
      <c r="W70" s="36">
        <f>'normal case'!AC69</f>
        <v>0</v>
      </c>
      <c r="X70" s="36">
        <f>'normal case'!AD69</f>
        <v>0</v>
      </c>
      <c r="Y70" s="44">
        <f ca="1">IF(controls!$B$33=1,E70-($J$4-'main page'!$K$27*2)*(1+('main page'!$K$35/100))^A69,E70-$AG$5)</f>
        <v>-99.9</v>
      </c>
      <c r="Z70" s="44">
        <f ca="1">ABS(M70-(controls!$B$9/100)*100)</f>
        <v>312.75000000000006</v>
      </c>
      <c r="AI70" s="36"/>
      <c r="AJ70" s="36"/>
    </row>
    <row r="71" spans="1:36">
      <c r="A71" s="43">
        <v>68</v>
      </c>
      <c r="B71" s="62">
        <f ca="1">IF(controls!$B$6=2,AVERAGE(E67:E70)+B70*W71+hystere!$AG$9,AVERAGE(E67:E70)+B70*W71)</f>
        <v>1.1000000000000001</v>
      </c>
      <c r="C71" s="67">
        <f t="shared" ca="1" si="7"/>
        <v>0</v>
      </c>
      <c r="D71" s="88">
        <f t="shared" ca="1" si="8"/>
        <v>-1</v>
      </c>
      <c r="E71" s="64">
        <f t="shared" ca="1" si="9"/>
        <v>0.1</v>
      </c>
      <c r="F71" s="64">
        <f ca="1">IF('main page'!$K$34=1,hystere!H71,hystere!G71)</f>
        <v>-513.50000000000011</v>
      </c>
      <c r="G71" s="78">
        <f ca="1">I71-'main page'!$K$27*hystere!N70</f>
        <v>-513.50000000000011</v>
      </c>
      <c r="H71" s="62">
        <f ca="1">J71-'main page'!$K$27*N70</f>
        <v>-513.50000000000011</v>
      </c>
      <c r="I71" s="62">
        <f t="shared" ca="1" si="4"/>
        <v>108</v>
      </c>
      <c r="J71" s="62">
        <f t="shared" ca="1" si="5"/>
        <v>108</v>
      </c>
      <c r="M71" s="62">
        <f ca="1">IF(ABS('main page'!$K$29*M70+(1-'main page'!$K$29)*(controls!$B$9/100)*100+'main page'!$K$25*(E71-B71)-M70)&lt;0.0000001,M70,'main page'!$K$29*M70+(1-'main page'!$K$29)*(controls!$B$9/100)*100+'main page'!$K$25*(E71-B71))</f>
        <v>-311.75000000000006</v>
      </c>
      <c r="N71" s="62">
        <f ca="1">IF(controls!$B$10=1,N70,O71-'main page'!$K$29*M71-(1-'main page'!$K$29)*controls!$B$9)</f>
        <v>311.75000000000006</v>
      </c>
      <c r="O71" s="61">
        <f t="shared" ca="1" si="6"/>
        <v>0</v>
      </c>
      <c r="P71" s="63">
        <f ca="1">IF(controls!$B$10=1,hystere!N71+hystere!M71,hystere!Q71)</f>
        <v>-336.73750000000007</v>
      </c>
      <c r="Q71" s="61">
        <f ca="1">IF('main page'!$Y$53=1,'choose m.p.'!$I$22*100,R71)</f>
        <v>-336.73750000000007</v>
      </c>
      <c r="R71" s="83">
        <f ca="1">'main page'!$K$29*M71+(1-'main page'!$K$29)*controls!$B$9+S71+(('main page'!$K$25*'main page'!$U$13*'main page'!$K$29)/('main page'!$K$27*(1+('main page'!$K$25^2)*'main page'!$U$13)))*(M71-(controls!$B$9/100)*100)</f>
        <v>-336.73750000000007</v>
      </c>
      <c r="S71" s="81">
        <f ca="1">IF(controls!$B$33=1,(J72-E71*X72-B71)/'main page'!$K$27,(I72-E71*X72-B71)/'main page'!$K$27)</f>
        <v>53.45</v>
      </c>
      <c r="U71" s="58">
        <f>IF(controls!$B$6=1,$AG$4*(1+('main page'!$K$35/100))^V71-$AG$4*(1+('main page'!$K$35/100))^V70,$AG$4*(1+('main page'!$G$8/100))*(1+('main page'!$K$35/100))^V71-$AG$4*(1+('main page'!$G$8/100))*(1+('main page'!$K$35/100))^V70)</f>
        <v>0</v>
      </c>
      <c r="V71" s="60">
        <v>63</v>
      </c>
      <c r="W71" s="36">
        <f>'normal case'!AC70</f>
        <v>0</v>
      </c>
      <c r="X71" s="36">
        <f>'normal case'!AD70</f>
        <v>0</v>
      </c>
      <c r="Y71" s="44">
        <f ca="1">IF(controls!$B$33=1,E71-($J$4-'main page'!$K$27*2)*(1+('main page'!$K$35/100))^A70,E71-$AG$5)</f>
        <v>-99.9</v>
      </c>
      <c r="Z71" s="44">
        <f ca="1">ABS(M71-(controls!$B$9/100)*100)</f>
        <v>313.75000000000006</v>
      </c>
      <c r="AI71" s="36"/>
      <c r="AJ71" s="36"/>
    </row>
    <row r="72" spans="1:36">
      <c r="A72" s="43">
        <v>69</v>
      </c>
      <c r="B72" s="62">
        <f ca="1">IF(controls!$B$6=2,AVERAGE(E68:E71)+B71*W72+hystere!$AG$9,AVERAGE(E68:E71)+B71*W72)</f>
        <v>1.1000000000000001</v>
      </c>
      <c r="C72" s="67">
        <f t="shared" ca="1" si="7"/>
        <v>0</v>
      </c>
      <c r="D72" s="88">
        <f t="shared" ca="1" si="8"/>
        <v>-1</v>
      </c>
      <c r="E72" s="64">
        <f t="shared" ca="1" si="9"/>
        <v>0.1</v>
      </c>
      <c r="F72" s="64">
        <f ca="1">IF('main page'!$K$34=1,hystere!H72,hystere!G72)</f>
        <v>-515.50000000000011</v>
      </c>
      <c r="G72" s="78">
        <f ca="1">I72-'main page'!$K$27*hystere!N71</f>
        <v>-515.50000000000011</v>
      </c>
      <c r="H72" s="62">
        <f ca="1">J72-'main page'!$K$27*N71</f>
        <v>-515.50000000000011</v>
      </c>
      <c r="I72" s="62">
        <f t="shared" ca="1" si="4"/>
        <v>108</v>
      </c>
      <c r="J72" s="62">
        <f t="shared" ca="1" si="5"/>
        <v>108</v>
      </c>
      <c r="M72" s="62">
        <f ca="1">IF(ABS('main page'!$K$29*M71+(1-'main page'!$K$29)*(controls!$B$9/100)*100+'main page'!$K$25*(E72-B72)-M71)&lt;0.0000001,M71,'main page'!$K$29*M71+(1-'main page'!$K$29)*(controls!$B$9/100)*100+'main page'!$K$25*(E72-B72))</f>
        <v>-312.75000000000006</v>
      </c>
      <c r="N72" s="62">
        <f ca="1">IF(controls!$B$10=1,N71,O72-'main page'!$K$29*M72-(1-'main page'!$K$29)*controls!$B$9)</f>
        <v>312.75000000000006</v>
      </c>
      <c r="O72" s="61">
        <f t="shared" ca="1" si="6"/>
        <v>0</v>
      </c>
      <c r="P72" s="63">
        <f ca="1">IF(controls!$B$10=1,hystere!N72+hystere!M72,hystere!Q72)</f>
        <v>-337.98750000000007</v>
      </c>
      <c r="Q72" s="61">
        <f ca="1">IF('main page'!$Y$53=1,'choose m.p.'!$I$22*100,R72)</f>
        <v>-337.98750000000007</v>
      </c>
      <c r="R72" s="83">
        <f ca="1">'main page'!$K$29*M72+(1-'main page'!$K$29)*controls!$B$9+S72+(('main page'!$K$25*'main page'!$U$13*'main page'!$K$29)/('main page'!$K$27*(1+('main page'!$K$25^2)*'main page'!$U$13)))*(M72-(controls!$B$9/100)*100)</f>
        <v>-337.98750000000007</v>
      </c>
      <c r="S72" s="81">
        <f ca="1">IF(controls!$B$33=1,(J73-E72*X73-B72)/'main page'!$K$27,(I73-E72*X73-B72)/'main page'!$K$27)</f>
        <v>53.45</v>
      </c>
      <c r="U72" s="58">
        <f>IF(controls!$B$6=1,$AG$4*(1+('main page'!$K$35/100))^V72-$AG$4*(1+('main page'!$K$35/100))^V71,$AG$4*(1+('main page'!$G$8/100))*(1+('main page'!$K$35/100))^V72-$AG$4*(1+('main page'!$G$8/100))*(1+('main page'!$K$35/100))^V71)</f>
        <v>0</v>
      </c>
      <c r="V72" s="60">
        <v>64</v>
      </c>
      <c r="W72" s="36">
        <f ca="1">'normal case'!AC71</f>
        <v>0</v>
      </c>
      <c r="X72" s="36">
        <f ca="1">'normal case'!AD71</f>
        <v>0</v>
      </c>
      <c r="Y72" s="44">
        <f ca="1">IF(controls!$B$33=1,E72-($J$4-'main page'!$K$27*2)*(1+('main page'!$K$35/100))^A71,E72-$AG$5)</f>
        <v>-99.9</v>
      </c>
      <c r="Z72" s="44">
        <f ca="1">ABS(M72-(controls!$B$9/100)*100)</f>
        <v>314.75000000000006</v>
      </c>
      <c r="AI72" s="36"/>
      <c r="AJ72" s="36"/>
    </row>
    <row r="73" spans="1:36">
      <c r="A73" s="43">
        <v>70</v>
      </c>
      <c r="B73" s="62">
        <f ca="1">IF(controls!$B$6=2,AVERAGE(E69:E72)+B72*W73+hystere!$AG$9,AVERAGE(E69:E72)+B72*W73)</f>
        <v>1.1000000000000001</v>
      </c>
      <c r="C73" s="67">
        <f t="shared" ca="1" si="7"/>
        <v>0</v>
      </c>
      <c r="D73" s="88">
        <f t="shared" ca="1" si="8"/>
        <v>-1</v>
      </c>
      <c r="E73" s="64">
        <f t="shared" ca="1" si="9"/>
        <v>0.1</v>
      </c>
      <c r="F73" s="64">
        <f ca="1">IF('main page'!$K$34=1,hystere!H73,hystere!G73)</f>
        <v>-517.50000000000011</v>
      </c>
      <c r="G73" s="78">
        <f ca="1">I73-'main page'!$K$27*hystere!N72</f>
        <v>-517.50000000000011</v>
      </c>
      <c r="H73" s="62">
        <f ca="1">J73-'main page'!$K$27*N72</f>
        <v>-517.50000000000011</v>
      </c>
      <c r="I73" s="62">
        <f t="shared" ca="1" si="4"/>
        <v>108</v>
      </c>
      <c r="J73" s="62">
        <f t="shared" ca="1" si="5"/>
        <v>108</v>
      </c>
      <c r="M73" s="62">
        <f ca="1">IF(ABS('main page'!$K$29*M72+(1-'main page'!$K$29)*(controls!$B$9/100)*100+'main page'!$K$25*(E73-B73)-M72)&lt;0.0000001,M72,'main page'!$K$29*M72+(1-'main page'!$K$29)*(controls!$B$9/100)*100+'main page'!$K$25*(E73-B73))</f>
        <v>-313.75000000000006</v>
      </c>
      <c r="N73" s="62">
        <f ca="1">IF(controls!$B$10=1,N72,O73-'main page'!$K$29*M73-(1-'main page'!$K$29)*controls!$B$9)</f>
        <v>313.75000000000006</v>
      </c>
      <c r="O73" s="61">
        <f t="shared" ca="1" si="6"/>
        <v>0</v>
      </c>
      <c r="P73" s="63">
        <f ca="1">IF(controls!$B$10=1,hystere!N73+hystere!M73,hystere!Q73)</f>
        <v>-339.23750000000007</v>
      </c>
      <c r="Q73" s="61">
        <f ca="1">IF('main page'!$Y$53=1,'choose m.p.'!$I$22*100,R73)</f>
        <v>-339.23750000000007</v>
      </c>
      <c r="R73" s="83">
        <f ca="1">'main page'!$K$29*M73+(1-'main page'!$K$29)*controls!$B$9+S73+(('main page'!$K$25*'main page'!$U$13*'main page'!$K$29)/('main page'!$K$27*(1+('main page'!$K$25^2)*'main page'!$U$13)))*(M73-(controls!$B$9/100)*100)</f>
        <v>-339.23750000000007</v>
      </c>
      <c r="S73" s="81">
        <f ca="1">IF(controls!$B$33=1,(J74-E73*X74-B73)/'main page'!$K$27,(I74-E73*X74-B73)/'main page'!$K$27)</f>
        <v>53.45</v>
      </c>
      <c r="U73" s="58">
        <f>IF(controls!$B$6=1,$AG$4*(1+('main page'!$K$35/100))^V73-$AG$4*(1+('main page'!$K$35/100))^V72,$AG$4*(1+('main page'!$G$8/100))*(1+('main page'!$K$35/100))^V73-$AG$4*(1+('main page'!$G$8/100))*(1+('main page'!$K$35/100))^V72)</f>
        <v>0</v>
      </c>
      <c r="V73" s="60">
        <v>65</v>
      </c>
      <c r="W73" s="36">
        <f>'normal case'!AC72</f>
        <v>0</v>
      </c>
      <c r="X73" s="36">
        <f>'normal case'!AD72</f>
        <v>0</v>
      </c>
      <c r="Y73" s="44">
        <f ca="1">IF(controls!$B$33=1,E73-($J$4-'main page'!$K$27*2)*(1+('main page'!$K$35/100))^A72,E73-$AG$5)</f>
        <v>-99.9</v>
      </c>
      <c r="Z73" s="44">
        <f ca="1">ABS(M73-(controls!$B$9/100)*100)</f>
        <v>315.75000000000006</v>
      </c>
      <c r="AI73" s="36"/>
      <c r="AJ73" s="36"/>
    </row>
    <row r="74" spans="1:36">
      <c r="A74" s="43">
        <v>71</v>
      </c>
      <c r="B74" s="62">
        <f ca="1">IF(controls!$B$6=2,AVERAGE(E70:E73)+B73*W74+hystere!$AG$9,AVERAGE(E70:E73)+B73*W74)</f>
        <v>1.1000000000000001</v>
      </c>
      <c r="C74" s="67">
        <f t="shared" ca="1" si="7"/>
        <v>0</v>
      </c>
      <c r="D74" s="88">
        <f t="shared" ca="1" si="8"/>
        <v>-1</v>
      </c>
      <c r="E74" s="64">
        <f t="shared" ca="1" si="9"/>
        <v>0.1</v>
      </c>
      <c r="F74" s="64">
        <f ca="1">IF('main page'!$K$34=1,hystere!H74,hystere!G74)</f>
        <v>-519.50000000000011</v>
      </c>
      <c r="G74" s="78">
        <f ca="1">I74-'main page'!$K$27*hystere!N73</f>
        <v>-519.50000000000011</v>
      </c>
      <c r="H74" s="62">
        <f ca="1">J74-'main page'!$K$27*N73</f>
        <v>-519.50000000000011</v>
      </c>
      <c r="I74" s="62">
        <f t="shared" ca="1" si="4"/>
        <v>108</v>
      </c>
      <c r="J74" s="62">
        <f t="shared" ca="1" si="5"/>
        <v>108</v>
      </c>
      <c r="M74" s="62">
        <f ca="1">IF(ABS('main page'!$K$29*M73+(1-'main page'!$K$29)*(controls!$B$9/100)*100+'main page'!$K$25*(E74-B74)-M73)&lt;0.0000001,M73,'main page'!$K$29*M73+(1-'main page'!$K$29)*(controls!$B$9/100)*100+'main page'!$K$25*(E74-B74))</f>
        <v>-314.75000000000006</v>
      </c>
      <c r="N74" s="62">
        <f ca="1">IF(controls!$B$10=1,N73,O74-'main page'!$K$29*M74-(1-'main page'!$K$29)*controls!$B$9)</f>
        <v>314.75000000000006</v>
      </c>
      <c r="O74" s="61">
        <f t="shared" ca="1" si="6"/>
        <v>0</v>
      </c>
      <c r="P74" s="63">
        <f ca="1">IF(controls!$B$10=1,hystere!N74+hystere!M74,hystere!Q74)</f>
        <v>-340.48750000000007</v>
      </c>
      <c r="Q74" s="61">
        <f ca="1">IF('main page'!$Y$53=1,'choose m.p.'!$I$22*100,R74)</f>
        <v>-340.48750000000007</v>
      </c>
      <c r="R74" s="83">
        <f ca="1">'main page'!$K$29*M74+(1-'main page'!$K$29)*controls!$B$9+S74+(('main page'!$K$25*'main page'!$U$13*'main page'!$K$29)/('main page'!$K$27*(1+('main page'!$K$25^2)*'main page'!$U$13)))*(M74-(controls!$B$9/100)*100)</f>
        <v>-340.48750000000007</v>
      </c>
      <c r="S74" s="81">
        <f ca="1">IF(controls!$B$33=1,(J75-E74*X75-B74)/'main page'!$K$27,(I75-E74*X75-B74)/'main page'!$K$27)</f>
        <v>53.45</v>
      </c>
      <c r="U74" s="58">
        <f>IF(controls!$B$6=1,$AG$4*(1+('main page'!$K$35/100))^V74-$AG$4*(1+('main page'!$K$35/100))^V73,$AG$4*(1+('main page'!$G$8/100))*(1+('main page'!$K$35/100))^V74-$AG$4*(1+('main page'!$G$8/100))*(1+('main page'!$K$35/100))^V73)</f>
        <v>0</v>
      </c>
      <c r="V74" s="60">
        <v>66</v>
      </c>
      <c r="W74" s="36">
        <f>'normal case'!AC73</f>
        <v>0</v>
      </c>
      <c r="X74" s="36">
        <f>'normal case'!AD73</f>
        <v>0</v>
      </c>
      <c r="Y74" s="44">
        <f ca="1">IF(controls!$B$33=1,E74-($J$4-'main page'!$K$27*2)*(1+('main page'!$K$35/100))^A73,E74-$AG$5)</f>
        <v>-99.9</v>
      </c>
      <c r="Z74" s="44">
        <f ca="1">ABS(M74-(controls!$B$9/100)*100)</f>
        <v>316.75000000000006</v>
      </c>
      <c r="AI74" s="36"/>
      <c r="AJ74" s="36"/>
    </row>
    <row r="75" spans="1:36">
      <c r="A75" s="43">
        <v>72</v>
      </c>
      <c r="B75" s="62">
        <f ca="1">IF(controls!$B$6=2,AVERAGE(E71:E74)+B74*W75+hystere!$AG$9,AVERAGE(E71:E74)+B74*W75)</f>
        <v>1.1000000000000001</v>
      </c>
      <c r="C75" s="67">
        <f t="shared" ca="1" si="7"/>
        <v>0</v>
      </c>
      <c r="D75" s="88">
        <f t="shared" ca="1" si="8"/>
        <v>-1</v>
      </c>
      <c r="E75" s="64">
        <f t="shared" ca="1" si="9"/>
        <v>0.1</v>
      </c>
      <c r="F75" s="64">
        <f ca="1">IF('main page'!$K$34=1,hystere!H75,hystere!G75)</f>
        <v>-521.50000000000011</v>
      </c>
      <c r="G75" s="78">
        <f ca="1">I75-'main page'!$K$27*hystere!N74</f>
        <v>-521.50000000000011</v>
      </c>
      <c r="H75" s="62">
        <f ca="1">J75-'main page'!$K$27*N74</f>
        <v>-521.50000000000011</v>
      </c>
      <c r="I75" s="62">
        <f t="shared" ca="1" si="4"/>
        <v>108</v>
      </c>
      <c r="J75" s="62">
        <f t="shared" ca="1" si="5"/>
        <v>108</v>
      </c>
      <c r="M75" s="62">
        <f ca="1">IF(ABS('main page'!$K$29*M74+(1-'main page'!$K$29)*(controls!$B$9/100)*100+'main page'!$K$25*(E75-B75)-M74)&lt;0.0000001,M74,'main page'!$K$29*M74+(1-'main page'!$K$29)*(controls!$B$9/100)*100+'main page'!$K$25*(E75-B75))</f>
        <v>-315.75000000000006</v>
      </c>
      <c r="N75" s="62">
        <f ca="1">IF(controls!$B$10=1,N74,O75-'main page'!$K$29*M75-(1-'main page'!$K$29)*controls!$B$9)</f>
        <v>315.75000000000006</v>
      </c>
      <c r="O75" s="61">
        <f t="shared" ca="1" si="6"/>
        <v>0</v>
      </c>
      <c r="P75" s="63">
        <f ca="1">IF(controls!$B$10=1,hystere!N75+hystere!M75,hystere!Q75)</f>
        <v>-341.73750000000007</v>
      </c>
      <c r="Q75" s="61">
        <f ca="1">IF('main page'!$Y$53=1,'choose m.p.'!$I$22*100,R75)</f>
        <v>-341.73750000000007</v>
      </c>
      <c r="R75" s="83">
        <f ca="1">'main page'!$K$29*M75+(1-'main page'!$K$29)*controls!$B$9+S75+(('main page'!$K$25*'main page'!$U$13*'main page'!$K$29)/('main page'!$K$27*(1+('main page'!$K$25^2)*'main page'!$U$13)))*(M75-(controls!$B$9/100)*100)</f>
        <v>-341.73750000000007</v>
      </c>
      <c r="S75" s="81">
        <f ca="1">IF(controls!$B$33=1,(J76-E75*X76-B75)/'main page'!$K$27,(I76-E75*X76-B75)/'main page'!$K$27)</f>
        <v>53.45</v>
      </c>
      <c r="U75" s="58">
        <f>IF(controls!$B$6=1,$AG$4*(1+('main page'!$K$35/100))^V75-$AG$4*(1+('main page'!$K$35/100))^V74,$AG$4*(1+('main page'!$G$8/100))*(1+('main page'!$K$35/100))^V75-$AG$4*(1+('main page'!$G$8/100))*(1+('main page'!$K$35/100))^V74)</f>
        <v>0</v>
      </c>
      <c r="V75" s="60">
        <v>67</v>
      </c>
      <c r="W75" s="36">
        <f ca="1">'normal case'!AC74</f>
        <v>0</v>
      </c>
      <c r="X75" s="36">
        <f ca="1">'normal case'!AD74</f>
        <v>0</v>
      </c>
      <c r="Y75" s="44">
        <f ca="1">IF(controls!$B$33=1,E75-($J$4-'main page'!$K$27*2)*(1+('main page'!$K$35/100))^A74,E75-$AG$5)</f>
        <v>-99.9</v>
      </c>
      <c r="Z75" s="44">
        <f ca="1">ABS(M75-(controls!$B$9/100)*100)</f>
        <v>317.75000000000006</v>
      </c>
      <c r="AI75" s="36"/>
      <c r="AJ75" s="36"/>
    </row>
    <row r="76" spans="1:36">
      <c r="A76" s="43">
        <v>73</v>
      </c>
      <c r="B76" s="62">
        <f ca="1">IF(controls!$B$6=2,AVERAGE(E72:E75)+B75*W76+hystere!$AG$9,AVERAGE(E72:E75)+B75*W76)</f>
        <v>1.1000000000000001</v>
      </c>
      <c r="C76" s="67">
        <f t="shared" ca="1" si="7"/>
        <v>0</v>
      </c>
      <c r="D76" s="88">
        <f t="shared" ca="1" si="8"/>
        <v>-1</v>
      </c>
      <c r="E76" s="64">
        <f t="shared" ca="1" si="9"/>
        <v>0.1</v>
      </c>
      <c r="F76" s="64">
        <f ca="1">IF('main page'!$K$34=1,hystere!H76,hystere!G76)</f>
        <v>-523.50000000000011</v>
      </c>
      <c r="G76" s="78">
        <f ca="1">I76-'main page'!$K$27*hystere!N75</f>
        <v>-523.50000000000011</v>
      </c>
      <c r="H76" s="62">
        <f ca="1">J76-'main page'!$K$27*N75</f>
        <v>-523.50000000000011</v>
      </c>
      <c r="I76" s="62">
        <f t="shared" ca="1" si="4"/>
        <v>108</v>
      </c>
      <c r="J76" s="62">
        <f t="shared" ca="1" si="5"/>
        <v>108</v>
      </c>
      <c r="M76" s="62">
        <f ca="1">IF(ABS('main page'!$K$29*M75+(1-'main page'!$K$29)*(controls!$B$9/100)*100+'main page'!$K$25*(E76-B76)-M75)&lt;0.0000001,M75,'main page'!$K$29*M75+(1-'main page'!$K$29)*(controls!$B$9/100)*100+'main page'!$K$25*(E76-B76))</f>
        <v>-316.75000000000006</v>
      </c>
      <c r="N76" s="62">
        <f ca="1">IF(controls!$B$10=1,N75,O76-'main page'!$K$29*M76-(1-'main page'!$K$29)*controls!$B$9)</f>
        <v>316.75000000000006</v>
      </c>
      <c r="O76" s="61">
        <f t="shared" ca="1" si="6"/>
        <v>0</v>
      </c>
      <c r="P76" s="63">
        <f ca="1">IF(controls!$B$10=1,hystere!N76+hystere!M76,hystere!Q76)</f>
        <v>-342.98750000000007</v>
      </c>
      <c r="Q76" s="61">
        <f ca="1">IF('main page'!$Y$53=1,'choose m.p.'!$I$22*100,R76)</f>
        <v>-342.98750000000007</v>
      </c>
      <c r="R76" s="83">
        <f ca="1">'main page'!$K$29*M76+(1-'main page'!$K$29)*controls!$B$9+S76+(('main page'!$K$25*'main page'!$U$13*'main page'!$K$29)/('main page'!$K$27*(1+('main page'!$K$25^2)*'main page'!$U$13)))*(M76-(controls!$B$9/100)*100)</f>
        <v>-342.98750000000007</v>
      </c>
      <c r="S76" s="81">
        <f ca="1">IF(controls!$B$33=1,(J77-E76*X77-B76)/'main page'!$K$27,(I77-E76*X77-B76)/'main page'!$K$27)</f>
        <v>53.45</v>
      </c>
      <c r="U76" s="58">
        <f>IF(controls!$B$6=1,$AG$4*(1+('main page'!$K$35/100))^V76-$AG$4*(1+('main page'!$K$35/100))^V75,$AG$4*(1+('main page'!$G$8/100))*(1+('main page'!$K$35/100))^V76-$AG$4*(1+('main page'!$G$8/100))*(1+('main page'!$K$35/100))^V75)</f>
        <v>0</v>
      </c>
      <c r="V76" s="60">
        <v>68</v>
      </c>
      <c r="W76" s="36">
        <f>'normal case'!AC75</f>
        <v>0</v>
      </c>
      <c r="X76" s="36">
        <f>'normal case'!AD75</f>
        <v>0</v>
      </c>
      <c r="Y76" s="44">
        <f ca="1">IF(controls!$B$33=1,E76-($J$4-'main page'!$K$27*2)*(1+('main page'!$K$35/100))^A75,E76-$AG$5)</f>
        <v>-99.9</v>
      </c>
      <c r="Z76" s="44">
        <f ca="1">ABS(M76-(controls!$B$9/100)*100)</f>
        <v>318.75000000000006</v>
      </c>
      <c r="AI76" s="36"/>
      <c r="AJ76" s="36"/>
    </row>
    <row r="77" spans="1:36">
      <c r="A77" s="43">
        <v>74</v>
      </c>
      <c r="B77" s="62">
        <f ca="1">IF(controls!$B$6=2,AVERAGE(E73:E76)+B76*W77+hystere!$AG$9,AVERAGE(E73:E76)+B76*W77)</f>
        <v>1.1000000000000001</v>
      </c>
      <c r="C77" s="67">
        <f t="shared" ca="1" si="7"/>
        <v>0</v>
      </c>
      <c r="D77" s="88">
        <f t="shared" ca="1" si="8"/>
        <v>-1</v>
      </c>
      <c r="E77" s="64">
        <f t="shared" ca="1" si="9"/>
        <v>0.1</v>
      </c>
      <c r="F77" s="64">
        <f ca="1">IF('main page'!$K$34=1,hystere!H77,hystere!G77)</f>
        <v>-525.50000000000011</v>
      </c>
      <c r="G77" s="78">
        <f ca="1">I77-'main page'!$K$27*hystere!N76</f>
        <v>-525.50000000000011</v>
      </c>
      <c r="H77" s="62">
        <f ca="1">J77-'main page'!$K$27*N76</f>
        <v>-525.50000000000011</v>
      </c>
      <c r="I77" s="62">
        <f t="shared" ca="1" si="4"/>
        <v>108</v>
      </c>
      <c r="J77" s="62">
        <f t="shared" ca="1" si="5"/>
        <v>108</v>
      </c>
      <c r="M77" s="62">
        <f ca="1">IF(ABS('main page'!$K$29*M76+(1-'main page'!$K$29)*(controls!$B$9/100)*100+'main page'!$K$25*(E77-B77)-M76)&lt;0.0000001,M76,'main page'!$K$29*M76+(1-'main page'!$K$29)*(controls!$B$9/100)*100+'main page'!$K$25*(E77-B77))</f>
        <v>-317.75000000000006</v>
      </c>
      <c r="N77" s="62">
        <f ca="1">IF(controls!$B$10=1,N76,O77-'main page'!$K$29*M77-(1-'main page'!$K$29)*controls!$B$9)</f>
        <v>317.75000000000006</v>
      </c>
      <c r="O77" s="61">
        <f t="shared" ca="1" si="6"/>
        <v>0</v>
      </c>
      <c r="P77" s="63">
        <f ca="1">IF(controls!$B$10=1,hystere!N77+hystere!M77,hystere!Q77)</f>
        <v>-344.23750000000007</v>
      </c>
      <c r="Q77" s="61">
        <f ca="1">IF('main page'!$Y$53=1,'choose m.p.'!$I$22*100,R77)</f>
        <v>-344.23750000000007</v>
      </c>
      <c r="R77" s="83">
        <f ca="1">'main page'!$K$29*M77+(1-'main page'!$K$29)*controls!$B$9+S77+(('main page'!$K$25*'main page'!$U$13*'main page'!$K$29)/('main page'!$K$27*(1+('main page'!$K$25^2)*'main page'!$U$13)))*(M77-(controls!$B$9/100)*100)</f>
        <v>-344.23750000000007</v>
      </c>
      <c r="S77" s="81">
        <f ca="1">IF(controls!$B$33=1,(J78-E77*X78-B77)/'main page'!$K$27,(I78-E77*X78-B77)/'main page'!$K$27)</f>
        <v>53.45</v>
      </c>
      <c r="U77" s="58">
        <f>IF(controls!$B$6=1,$AG$4*(1+('main page'!$K$35/100))^V77-$AG$4*(1+('main page'!$K$35/100))^V76,$AG$4*(1+('main page'!$G$8/100))*(1+('main page'!$K$35/100))^V77-$AG$4*(1+('main page'!$G$8/100))*(1+('main page'!$K$35/100))^V76)</f>
        <v>0</v>
      </c>
      <c r="V77" s="60">
        <v>69</v>
      </c>
      <c r="W77" s="36">
        <f>'normal case'!AC76</f>
        <v>0</v>
      </c>
      <c r="X77" s="36">
        <f>'normal case'!AD76</f>
        <v>0</v>
      </c>
      <c r="Y77" s="44">
        <f ca="1">IF(controls!$B$33=1,E77-($J$4-'main page'!$K$27*2)*(1+('main page'!$K$35/100))^A76,E77-$AG$5)</f>
        <v>-99.9</v>
      </c>
      <c r="Z77" s="44">
        <f ca="1">ABS(M77-(controls!$B$9/100)*100)</f>
        <v>319.75000000000006</v>
      </c>
      <c r="AI77" s="36"/>
      <c r="AJ77" s="36"/>
    </row>
    <row r="78" spans="1:36">
      <c r="A78" s="43">
        <v>75</v>
      </c>
      <c r="B78" s="62">
        <f ca="1">IF(controls!$B$6=2,AVERAGE(E74:E77)+B77*W78+hystere!$AG$9,AVERAGE(E74:E77)+B77*W78)</f>
        <v>1.1000000000000001</v>
      </c>
      <c r="C78" s="67">
        <f t="shared" ca="1" si="7"/>
        <v>0</v>
      </c>
      <c r="D78" s="88">
        <f t="shared" ca="1" si="8"/>
        <v>-1</v>
      </c>
      <c r="E78" s="64">
        <f t="shared" ca="1" si="9"/>
        <v>0.1</v>
      </c>
      <c r="F78" s="64">
        <f ca="1">IF('main page'!$K$34=1,hystere!H78,hystere!G78)</f>
        <v>-527.50000000000011</v>
      </c>
      <c r="G78" s="78">
        <f ca="1">I78-'main page'!$K$27*hystere!N77</f>
        <v>-527.50000000000011</v>
      </c>
      <c r="H78" s="62">
        <f ca="1">J78-'main page'!$K$27*N77</f>
        <v>-527.50000000000011</v>
      </c>
      <c r="I78" s="62">
        <f t="shared" ca="1" si="4"/>
        <v>108</v>
      </c>
      <c r="J78" s="62">
        <f t="shared" ca="1" si="5"/>
        <v>108</v>
      </c>
      <c r="M78" s="62">
        <f ca="1">IF(ABS('main page'!$K$29*M77+(1-'main page'!$K$29)*(controls!$B$9/100)*100+'main page'!$K$25*(E78-B78)-M77)&lt;0.0000001,M77,'main page'!$K$29*M77+(1-'main page'!$K$29)*(controls!$B$9/100)*100+'main page'!$K$25*(E78-B78))</f>
        <v>-318.75000000000006</v>
      </c>
      <c r="N78" s="62">
        <f ca="1">IF(controls!$B$10=1,N77,O78-'main page'!$K$29*M78-(1-'main page'!$K$29)*controls!$B$9)</f>
        <v>318.75000000000006</v>
      </c>
      <c r="O78" s="61">
        <f t="shared" ca="1" si="6"/>
        <v>0</v>
      </c>
      <c r="P78" s="63">
        <f ca="1">IF(controls!$B$10=1,hystere!N78+hystere!M78,hystere!Q78)</f>
        <v>-345.48750000000007</v>
      </c>
      <c r="Q78" s="61">
        <f ca="1">IF('main page'!$Y$53=1,'choose m.p.'!$I$22*100,R78)</f>
        <v>-345.48750000000007</v>
      </c>
      <c r="R78" s="83">
        <f ca="1">'main page'!$K$29*M78+(1-'main page'!$K$29)*controls!$B$9+S78+(('main page'!$K$25*'main page'!$U$13*'main page'!$K$29)/('main page'!$K$27*(1+('main page'!$K$25^2)*'main page'!$U$13)))*(M78-(controls!$B$9/100)*100)</f>
        <v>-345.48750000000007</v>
      </c>
      <c r="S78" s="81">
        <f ca="1">IF(controls!$B$33=1,(J79-E78*X79-B78)/'main page'!$K$27,(I79-E78*X79-B78)/'main page'!$K$27)</f>
        <v>53.45</v>
      </c>
      <c r="U78" s="58">
        <f>IF(controls!$B$6=1,$AG$4*(1+('main page'!$K$35/100))^V78-$AG$4*(1+('main page'!$K$35/100))^V77,$AG$4*(1+('main page'!$G$8/100))*(1+('main page'!$K$35/100))^V78-$AG$4*(1+('main page'!$G$8/100))*(1+('main page'!$K$35/100))^V77)</f>
        <v>0</v>
      </c>
      <c r="V78" s="60">
        <v>70</v>
      </c>
      <c r="W78" s="36">
        <f ca="1">'normal case'!AC77</f>
        <v>0</v>
      </c>
      <c r="X78" s="36">
        <f ca="1">'normal case'!AD77</f>
        <v>0</v>
      </c>
      <c r="Y78" s="44">
        <f ca="1">IF(controls!$B$33=1,E78-($J$4-'main page'!$K$27*2)*(1+('main page'!$K$35/100))^A77,E78-$AG$5)</f>
        <v>-99.9</v>
      </c>
      <c r="Z78" s="44">
        <f ca="1">ABS(M78-(controls!$B$9/100)*100)</f>
        <v>320.75000000000006</v>
      </c>
      <c r="AI78" s="36"/>
      <c r="AJ78" s="36"/>
    </row>
    <row r="79" spans="1:36">
      <c r="A79" s="43">
        <v>76</v>
      </c>
      <c r="B79" s="62">
        <f ca="1">IF(controls!$B$6=2,AVERAGE(E75:E78)+B78*W79+hystere!$AG$9,AVERAGE(E75:E78)+B78*W79)</f>
        <v>1.1000000000000001</v>
      </c>
      <c r="C79" s="67">
        <f t="shared" ca="1" si="7"/>
        <v>0</v>
      </c>
      <c r="D79" s="88">
        <f t="shared" ca="1" si="8"/>
        <v>-1</v>
      </c>
      <c r="E79" s="64">
        <f t="shared" ca="1" si="9"/>
        <v>0.1</v>
      </c>
      <c r="F79" s="64">
        <f ca="1">IF('main page'!$K$34=1,hystere!H79,hystere!G79)</f>
        <v>-529.50000000000011</v>
      </c>
      <c r="G79" s="78">
        <f ca="1">I79-'main page'!$K$27*hystere!N78</f>
        <v>-529.50000000000011</v>
      </c>
      <c r="H79" s="62">
        <f ca="1">J79-'main page'!$K$27*N78</f>
        <v>-529.50000000000011</v>
      </c>
      <c r="I79" s="62">
        <f t="shared" ca="1" si="4"/>
        <v>108</v>
      </c>
      <c r="J79" s="62">
        <f t="shared" ca="1" si="5"/>
        <v>108</v>
      </c>
      <c r="M79" s="62">
        <f ca="1">IF(ABS('main page'!$K$29*M78+(1-'main page'!$K$29)*(controls!$B$9/100)*100+'main page'!$K$25*(E79-B79)-M78)&lt;0.0000001,M78,'main page'!$K$29*M78+(1-'main page'!$K$29)*(controls!$B$9/100)*100+'main page'!$K$25*(E79-B79))</f>
        <v>-319.75000000000006</v>
      </c>
      <c r="N79" s="62">
        <f ca="1">IF(controls!$B$10=1,N78,O79-'main page'!$K$29*M79-(1-'main page'!$K$29)*controls!$B$9)</f>
        <v>319.75000000000006</v>
      </c>
      <c r="O79" s="61">
        <f t="shared" ca="1" si="6"/>
        <v>0</v>
      </c>
      <c r="P79" s="63">
        <f ca="1">IF(controls!$B$10=1,hystere!N79+hystere!M79,hystere!Q79)</f>
        <v>-346.73750000000007</v>
      </c>
      <c r="Q79" s="61">
        <f ca="1">IF('main page'!$Y$53=1,'choose m.p.'!$I$22*100,R79)</f>
        <v>-346.73750000000007</v>
      </c>
      <c r="R79" s="83">
        <f ca="1">'main page'!$K$29*M79+(1-'main page'!$K$29)*controls!$B$9+S79+(('main page'!$K$25*'main page'!$U$13*'main page'!$K$29)/('main page'!$K$27*(1+('main page'!$K$25^2)*'main page'!$U$13)))*(M79-(controls!$B$9/100)*100)</f>
        <v>-346.73750000000007</v>
      </c>
      <c r="S79" s="81">
        <f ca="1">IF(controls!$B$33=1,(J80-E79*X80-B79)/'main page'!$K$27,(I80-E79*X80-B79)/'main page'!$K$27)</f>
        <v>53.45</v>
      </c>
      <c r="U79" s="58">
        <f>IF(controls!$B$6=1,$AG$4*(1+('main page'!$K$35/100))^V79-$AG$4*(1+('main page'!$K$35/100))^V78,$AG$4*(1+('main page'!$G$8/100))*(1+('main page'!$K$35/100))^V79-$AG$4*(1+('main page'!$G$8/100))*(1+('main page'!$K$35/100))^V78)</f>
        <v>0</v>
      </c>
      <c r="V79" s="60">
        <v>71</v>
      </c>
      <c r="W79" s="36">
        <f>'normal case'!AC78</f>
        <v>0</v>
      </c>
      <c r="X79" s="36">
        <f>'normal case'!AD78</f>
        <v>0</v>
      </c>
      <c r="Y79" s="44">
        <f ca="1">IF(controls!$B$33=1,E79-($J$4-'main page'!$K$27*2)*(1+('main page'!$K$35/100))^A78,E79-$AG$5)</f>
        <v>-99.9</v>
      </c>
      <c r="Z79" s="44">
        <f ca="1">ABS(M79-(controls!$B$9/100)*100)</f>
        <v>321.75000000000006</v>
      </c>
      <c r="AI79" s="36"/>
      <c r="AJ79" s="36"/>
    </row>
    <row r="80" spans="1:36">
      <c r="A80" s="43">
        <v>77</v>
      </c>
      <c r="B80" s="62">
        <f ca="1">IF(controls!$B$6=2,AVERAGE(E76:E79)+B79*W80+hystere!$AG$9,AVERAGE(E76:E79)+B79*W80)</f>
        <v>1.1000000000000001</v>
      </c>
      <c r="C80" s="67">
        <f t="shared" ca="1" si="7"/>
        <v>0</v>
      </c>
      <c r="D80" s="88">
        <f t="shared" ca="1" si="8"/>
        <v>-1</v>
      </c>
      <c r="E80" s="64">
        <f t="shared" ca="1" si="9"/>
        <v>0.1</v>
      </c>
      <c r="F80" s="64">
        <f ca="1">IF('main page'!$K$34=1,hystere!H80,hystere!G80)</f>
        <v>-531.50000000000011</v>
      </c>
      <c r="G80" s="78">
        <f ca="1">I80-'main page'!$K$27*hystere!N79</f>
        <v>-531.50000000000011</v>
      </c>
      <c r="H80" s="62">
        <f ca="1">J80-'main page'!$K$27*N79</f>
        <v>-531.50000000000011</v>
      </c>
      <c r="I80" s="62">
        <f t="shared" ca="1" si="4"/>
        <v>108</v>
      </c>
      <c r="J80" s="62">
        <f t="shared" ca="1" si="5"/>
        <v>108</v>
      </c>
      <c r="M80" s="62">
        <f ca="1">IF(ABS('main page'!$K$29*M79+(1-'main page'!$K$29)*(controls!$B$9/100)*100+'main page'!$K$25*(E80-B80)-M79)&lt;0.0000001,M79,'main page'!$K$29*M79+(1-'main page'!$K$29)*(controls!$B$9/100)*100+'main page'!$K$25*(E80-B80))</f>
        <v>-320.75000000000006</v>
      </c>
      <c r="N80" s="62">
        <f ca="1">IF(controls!$B$10=1,N79,O80-'main page'!$K$29*M80-(1-'main page'!$K$29)*controls!$B$9)</f>
        <v>320.75000000000006</v>
      </c>
      <c r="O80" s="61">
        <f t="shared" ca="1" si="6"/>
        <v>0</v>
      </c>
      <c r="P80" s="63">
        <f ca="1">IF(controls!$B$10=1,hystere!N80+hystere!M80,hystere!Q80)</f>
        <v>-347.98750000000007</v>
      </c>
      <c r="Q80" s="61">
        <f ca="1">IF('main page'!$Y$53=1,'choose m.p.'!$I$22*100,R80)</f>
        <v>-347.98750000000007</v>
      </c>
      <c r="R80" s="83">
        <f ca="1">'main page'!$K$29*M80+(1-'main page'!$K$29)*controls!$B$9+S80+(('main page'!$K$25*'main page'!$U$13*'main page'!$K$29)/('main page'!$K$27*(1+('main page'!$K$25^2)*'main page'!$U$13)))*(M80-(controls!$B$9/100)*100)</f>
        <v>-347.98750000000007</v>
      </c>
      <c r="S80" s="81">
        <f ca="1">IF(controls!$B$33=1,(J81-E80*X81-B80)/'main page'!$K$27,(I81-E80*X81-B80)/'main page'!$K$27)</f>
        <v>53.45</v>
      </c>
      <c r="U80" s="58">
        <f>IF(controls!$B$6=1,$AG$4*(1+('main page'!$K$35/100))^V80-$AG$4*(1+('main page'!$K$35/100))^V79,$AG$4*(1+('main page'!$G$8/100))*(1+('main page'!$K$35/100))^V80-$AG$4*(1+('main page'!$G$8/100))*(1+('main page'!$K$35/100))^V79)</f>
        <v>0</v>
      </c>
      <c r="V80" s="60">
        <v>72</v>
      </c>
      <c r="W80" s="36">
        <f>'normal case'!AC79</f>
        <v>0</v>
      </c>
      <c r="X80" s="36">
        <f>'normal case'!AD79</f>
        <v>0</v>
      </c>
      <c r="Y80" s="44">
        <f ca="1">IF(controls!$B$33=1,E80-($J$4-'main page'!$K$27*2)*(1+('main page'!$K$35/100))^A79,E80-$AG$5)</f>
        <v>-99.9</v>
      </c>
      <c r="Z80" s="44">
        <f ca="1">ABS(M80-(controls!$B$9/100)*100)</f>
        <v>322.75000000000006</v>
      </c>
      <c r="AI80" s="36"/>
      <c r="AJ80" s="36"/>
    </row>
    <row r="81" spans="1:36">
      <c r="A81" s="43">
        <v>78</v>
      </c>
      <c r="B81" s="62">
        <f ca="1">IF(controls!$B$6=2,AVERAGE(E77:E80)+B80*W81+hystere!$AG$9,AVERAGE(E77:E80)+B80*W81)</f>
        <v>1.1000000000000001</v>
      </c>
      <c r="C81" s="67">
        <f t="shared" ca="1" si="7"/>
        <v>0</v>
      </c>
      <c r="D81" s="88">
        <f t="shared" ca="1" si="8"/>
        <v>-1</v>
      </c>
      <c r="E81" s="64">
        <f t="shared" ca="1" si="9"/>
        <v>0.1</v>
      </c>
      <c r="F81" s="64">
        <f ca="1">IF('main page'!$K$34=1,hystere!H81,hystere!G81)</f>
        <v>-533.50000000000011</v>
      </c>
      <c r="G81" s="78">
        <f ca="1">I81-'main page'!$K$27*hystere!N80</f>
        <v>-533.50000000000011</v>
      </c>
      <c r="H81" s="62">
        <f ca="1">J81-'main page'!$K$27*N80</f>
        <v>-533.50000000000011</v>
      </c>
      <c r="I81" s="62">
        <f t="shared" ca="1" si="4"/>
        <v>108</v>
      </c>
      <c r="J81" s="62">
        <f t="shared" ca="1" si="5"/>
        <v>108</v>
      </c>
      <c r="M81" s="62">
        <f ca="1">IF(ABS('main page'!$K$29*M80+(1-'main page'!$K$29)*(controls!$B$9/100)*100+'main page'!$K$25*(E81-B81)-M80)&lt;0.0000001,M80,'main page'!$K$29*M80+(1-'main page'!$K$29)*(controls!$B$9/100)*100+'main page'!$K$25*(E81-B81))</f>
        <v>-321.75000000000006</v>
      </c>
      <c r="N81" s="62">
        <f ca="1">IF(controls!$B$10=1,N80,O81-'main page'!$K$29*M81-(1-'main page'!$K$29)*controls!$B$9)</f>
        <v>321.75000000000006</v>
      </c>
      <c r="O81" s="61">
        <f t="shared" ca="1" si="6"/>
        <v>0</v>
      </c>
      <c r="P81" s="63">
        <f ca="1">IF(controls!$B$10=1,hystere!N81+hystere!M81,hystere!Q81)</f>
        <v>-349.23750000000007</v>
      </c>
      <c r="Q81" s="61">
        <f ca="1">IF('main page'!$Y$53=1,'choose m.p.'!$I$22*100,R81)</f>
        <v>-349.23750000000007</v>
      </c>
      <c r="R81" s="83">
        <f ca="1">'main page'!$K$29*M81+(1-'main page'!$K$29)*controls!$B$9+S81+(('main page'!$K$25*'main page'!$U$13*'main page'!$K$29)/('main page'!$K$27*(1+('main page'!$K$25^2)*'main page'!$U$13)))*(M81-(controls!$B$9/100)*100)</f>
        <v>-349.23750000000007</v>
      </c>
      <c r="S81" s="81">
        <f ca="1">IF(controls!$B$33=1,(J82-E81*X82-B81)/'main page'!$K$27,(I82-E81*X82-B81)/'main page'!$K$27)</f>
        <v>53.45</v>
      </c>
      <c r="U81" s="58">
        <f>IF(controls!$B$6=1,$AG$4*(1+('main page'!$K$35/100))^V81-$AG$4*(1+('main page'!$K$35/100))^V80,$AG$4*(1+('main page'!$G$8/100))*(1+('main page'!$K$35/100))^V81-$AG$4*(1+('main page'!$G$8/100))*(1+('main page'!$K$35/100))^V80)</f>
        <v>0</v>
      </c>
      <c r="V81" s="60">
        <v>73</v>
      </c>
      <c r="W81" s="36">
        <f ca="1">'normal case'!AC80</f>
        <v>0</v>
      </c>
      <c r="X81" s="36">
        <f ca="1">'normal case'!AD80</f>
        <v>0</v>
      </c>
      <c r="Y81" s="44">
        <f ca="1">IF(controls!$B$33=1,E81-($J$4-'main page'!$K$27*2)*(1+('main page'!$K$35/100))^A80,E81-$AG$5)</f>
        <v>-99.9</v>
      </c>
      <c r="Z81" s="44">
        <f ca="1">ABS(M81-(controls!$B$9/100)*100)</f>
        <v>323.75000000000006</v>
      </c>
      <c r="AI81" s="36"/>
      <c r="AJ81" s="36"/>
    </row>
    <row r="82" spans="1:36">
      <c r="A82" s="43">
        <v>79</v>
      </c>
      <c r="B82" s="62">
        <f ca="1">IF(controls!$B$6=2,AVERAGE(E78:E81)+B81*W82+hystere!$AG$9,AVERAGE(E78:E81)+B81*W82)</f>
        <v>1.1000000000000001</v>
      </c>
      <c r="C82" s="67">
        <f t="shared" ca="1" si="7"/>
        <v>0</v>
      </c>
      <c r="D82" s="88">
        <f t="shared" ca="1" si="8"/>
        <v>-1</v>
      </c>
      <c r="E82" s="64">
        <f t="shared" ca="1" si="9"/>
        <v>0.1</v>
      </c>
      <c r="F82" s="64">
        <f ca="1">IF('main page'!$K$34=1,hystere!H82,hystere!G82)</f>
        <v>-535.50000000000011</v>
      </c>
      <c r="G82" s="78">
        <f ca="1">I82-'main page'!$K$27*hystere!N81</f>
        <v>-535.50000000000011</v>
      </c>
      <c r="H82" s="62">
        <f ca="1">J82-'main page'!$K$27*N81</f>
        <v>-535.50000000000011</v>
      </c>
      <c r="I82" s="62">
        <f t="shared" ca="1" si="4"/>
        <v>108</v>
      </c>
      <c r="J82" s="62">
        <f t="shared" ca="1" si="5"/>
        <v>108</v>
      </c>
      <c r="M82" s="62">
        <f ca="1">IF(ABS('main page'!$K$29*M81+(1-'main page'!$K$29)*(controls!$B$9/100)*100+'main page'!$K$25*(E82-B82)-M81)&lt;0.0000001,M81,'main page'!$K$29*M81+(1-'main page'!$K$29)*(controls!$B$9/100)*100+'main page'!$K$25*(E82-B82))</f>
        <v>-322.75000000000006</v>
      </c>
      <c r="N82" s="62">
        <f ca="1">IF(controls!$B$10=1,N81,O82-'main page'!$K$29*M82-(1-'main page'!$K$29)*controls!$B$9)</f>
        <v>322.75000000000006</v>
      </c>
      <c r="O82" s="61">
        <f t="shared" ca="1" si="6"/>
        <v>0</v>
      </c>
      <c r="P82" s="63">
        <f ca="1">IF(controls!$B$10=1,hystere!N82+hystere!M82,hystere!Q82)</f>
        <v>-350.48750000000007</v>
      </c>
      <c r="Q82" s="61">
        <f ca="1">IF('main page'!$Y$53=1,'choose m.p.'!$I$22*100,R82)</f>
        <v>-350.48750000000007</v>
      </c>
      <c r="R82" s="83">
        <f ca="1">'main page'!$K$29*M82+(1-'main page'!$K$29)*controls!$B$9+S82+(('main page'!$K$25*'main page'!$U$13*'main page'!$K$29)/('main page'!$K$27*(1+('main page'!$K$25^2)*'main page'!$U$13)))*(M82-(controls!$B$9/100)*100)</f>
        <v>-350.48750000000007</v>
      </c>
      <c r="S82" s="81">
        <f ca="1">IF(controls!$B$33=1,(J83-E82*X83-B82)/'main page'!$K$27,(I83-E82*X83-B82)/'main page'!$K$27)</f>
        <v>53.45</v>
      </c>
      <c r="U82" s="58">
        <f>IF(controls!$B$6=1,$AG$4*(1+('main page'!$K$35/100))^V82-$AG$4*(1+('main page'!$K$35/100))^V81,$AG$4*(1+('main page'!$G$8/100))*(1+('main page'!$K$35/100))^V82-$AG$4*(1+('main page'!$G$8/100))*(1+('main page'!$K$35/100))^V81)</f>
        <v>0</v>
      </c>
      <c r="V82" s="60">
        <v>74</v>
      </c>
      <c r="W82" s="36">
        <f>'normal case'!AC81</f>
        <v>0</v>
      </c>
      <c r="X82" s="36">
        <f>'normal case'!AD81</f>
        <v>0</v>
      </c>
      <c r="Y82" s="44">
        <f ca="1">IF(controls!$B$33=1,E82-($J$4-'main page'!$K$27*2)*(1+('main page'!$K$35/100))^A81,E82-$AG$5)</f>
        <v>-99.9</v>
      </c>
      <c r="Z82" s="44">
        <f ca="1">ABS(M82-(controls!$B$9/100)*100)</f>
        <v>324.75000000000006</v>
      </c>
      <c r="AI82" s="36"/>
      <c r="AJ82" s="36"/>
    </row>
    <row r="83" spans="1:36">
      <c r="A83" s="43">
        <v>80</v>
      </c>
      <c r="B83" s="62">
        <f ca="1">IF(controls!$B$6=2,AVERAGE(E79:E82)+B82*W83+hystere!$AG$9,AVERAGE(E79:E82)+B82*W83)</f>
        <v>1.1000000000000001</v>
      </c>
      <c r="C83" s="67">
        <f t="shared" ca="1" si="7"/>
        <v>0</v>
      </c>
      <c r="D83" s="88">
        <f t="shared" ca="1" si="8"/>
        <v>-1</v>
      </c>
      <c r="E83" s="64">
        <f t="shared" ca="1" si="9"/>
        <v>0.1</v>
      </c>
      <c r="F83" s="64">
        <f ca="1">IF('main page'!$K$34=1,hystere!H83,hystere!G83)</f>
        <v>-537.50000000000011</v>
      </c>
      <c r="G83" s="78">
        <f ca="1">I83-'main page'!$K$27*hystere!N82</f>
        <v>-537.50000000000011</v>
      </c>
      <c r="H83" s="62">
        <f ca="1">J83-'main page'!$K$27*N82</f>
        <v>-537.50000000000011</v>
      </c>
      <c r="I83" s="62">
        <f t="shared" ca="1" si="4"/>
        <v>108</v>
      </c>
      <c r="J83" s="62">
        <f t="shared" ca="1" si="5"/>
        <v>108</v>
      </c>
      <c r="M83" s="62">
        <f ca="1">IF(ABS('main page'!$K$29*M82+(1-'main page'!$K$29)*(controls!$B$9/100)*100+'main page'!$K$25*(E83-B83)-M82)&lt;0.0000001,M82,'main page'!$K$29*M82+(1-'main page'!$K$29)*(controls!$B$9/100)*100+'main page'!$K$25*(E83-B83))</f>
        <v>-323.75000000000006</v>
      </c>
      <c r="N83" s="62">
        <f ca="1">IF(controls!$B$10=1,N82,O83-'main page'!$K$29*M83-(1-'main page'!$K$29)*controls!$B$9)</f>
        <v>323.75000000000006</v>
      </c>
      <c r="O83" s="61">
        <f t="shared" ca="1" si="6"/>
        <v>0</v>
      </c>
      <c r="P83" s="63">
        <f ca="1">IF(controls!$B$10=1,hystere!N83+hystere!M83,hystere!Q83)</f>
        <v>-351.73750000000007</v>
      </c>
      <c r="Q83" s="61">
        <f ca="1">IF('main page'!$Y$53=1,'choose m.p.'!$I$22*100,R83)</f>
        <v>-351.73750000000007</v>
      </c>
      <c r="R83" s="83">
        <f ca="1">'main page'!$K$29*M83+(1-'main page'!$K$29)*controls!$B$9+S83+(('main page'!$K$25*'main page'!$U$13*'main page'!$K$29)/('main page'!$K$27*(1+('main page'!$K$25^2)*'main page'!$U$13)))*(M83-(controls!$B$9/100)*100)</f>
        <v>-351.73750000000007</v>
      </c>
      <c r="S83" s="81">
        <f ca="1">IF(controls!$B$33=1,(J84-E83*X84-B83)/'main page'!$K$27,(I84-E83*X84-B83)/'main page'!$K$27)</f>
        <v>53.45</v>
      </c>
      <c r="U83" s="58">
        <f>IF(controls!$B$6=1,$AG$4*(1+('main page'!$K$35/100))^V83-$AG$4*(1+('main page'!$K$35/100))^V82,$AG$4*(1+('main page'!$G$8/100))*(1+('main page'!$K$35/100))^V83-$AG$4*(1+('main page'!$G$8/100))*(1+('main page'!$K$35/100))^V82)</f>
        <v>0</v>
      </c>
      <c r="V83" s="60">
        <v>75</v>
      </c>
      <c r="W83" s="36">
        <f>'normal case'!AC82</f>
        <v>0</v>
      </c>
      <c r="X83" s="36">
        <f>'normal case'!AD82</f>
        <v>0</v>
      </c>
      <c r="Y83" s="44">
        <f ca="1">IF(controls!$B$33=1,E83-($J$4-'main page'!$K$27*2)*(1+('main page'!$K$35/100))^A82,E83-$AG$5)</f>
        <v>-99.9</v>
      </c>
      <c r="Z83" s="44">
        <f ca="1">ABS(M83-(controls!$B$9/100)*100)</f>
        <v>325.75000000000006</v>
      </c>
      <c r="AI83" s="36"/>
      <c r="AJ83" s="36"/>
    </row>
    <row r="84" spans="1:36">
      <c r="A84" s="43">
        <v>81</v>
      </c>
      <c r="B84" s="62">
        <f ca="1">IF(controls!$B$6=2,AVERAGE(E80:E83)+B83*W84+hystere!$AG$9,AVERAGE(E80:E83)+B83*W84)</f>
        <v>1.1000000000000001</v>
      </c>
      <c r="C84" s="67">
        <f t="shared" ca="1" si="7"/>
        <v>0</v>
      </c>
      <c r="D84" s="88">
        <f t="shared" ca="1" si="8"/>
        <v>-1</v>
      </c>
      <c r="E84" s="64">
        <f t="shared" ca="1" si="9"/>
        <v>0.1</v>
      </c>
      <c r="F84" s="64">
        <f ca="1">IF('main page'!$K$34=1,hystere!H84,hystere!G84)</f>
        <v>-539.50000000000011</v>
      </c>
      <c r="G84" s="78">
        <f ca="1">I84-'main page'!$K$27*hystere!N83</f>
        <v>-539.50000000000011</v>
      </c>
      <c r="H84" s="62">
        <f ca="1">J84-'main page'!$K$27*N83</f>
        <v>-539.50000000000011</v>
      </c>
      <c r="I84" s="62">
        <f t="shared" ca="1" si="4"/>
        <v>108</v>
      </c>
      <c r="J84" s="62">
        <f t="shared" ca="1" si="5"/>
        <v>108</v>
      </c>
      <c r="M84" s="62">
        <f ca="1">IF(ABS('main page'!$K$29*M83+(1-'main page'!$K$29)*(controls!$B$9/100)*100+'main page'!$K$25*(E84-B84)-M83)&lt;0.0000001,M83,'main page'!$K$29*M83+(1-'main page'!$K$29)*(controls!$B$9/100)*100+'main page'!$K$25*(E84-B84))</f>
        <v>-324.75000000000006</v>
      </c>
      <c r="N84" s="62">
        <f ca="1">IF(controls!$B$10=1,N83,O84-'main page'!$K$29*M84-(1-'main page'!$K$29)*controls!$B$9)</f>
        <v>324.75000000000006</v>
      </c>
      <c r="O84" s="61">
        <f t="shared" ca="1" si="6"/>
        <v>0</v>
      </c>
      <c r="P84" s="63">
        <f ca="1">IF(controls!$B$10=1,hystere!N84+hystere!M84,hystere!Q84)</f>
        <v>-352.98750000000007</v>
      </c>
      <c r="Q84" s="61">
        <f ca="1">IF('main page'!$Y$53=1,'choose m.p.'!$I$22*100,R84)</f>
        <v>-352.98750000000007</v>
      </c>
      <c r="R84" s="83">
        <f ca="1">'main page'!$K$29*M84+(1-'main page'!$K$29)*controls!$B$9+S84+(('main page'!$K$25*'main page'!$U$13*'main page'!$K$29)/('main page'!$K$27*(1+('main page'!$K$25^2)*'main page'!$U$13)))*(M84-(controls!$B$9/100)*100)</f>
        <v>-352.98750000000007</v>
      </c>
      <c r="S84" s="81">
        <f ca="1">IF(controls!$B$33=1,(J85-E84*X85-B84)/'main page'!$K$27,(I85-E84*X85-B84)/'main page'!$K$27)</f>
        <v>53.45</v>
      </c>
      <c r="U84" s="58">
        <f>IF(controls!$B$6=1,$AG$4*(1+('main page'!$K$35/100))^V84-$AG$4*(1+('main page'!$K$35/100))^V83,$AG$4*(1+('main page'!$G$8/100))*(1+('main page'!$K$35/100))^V84-$AG$4*(1+('main page'!$G$8/100))*(1+('main page'!$K$35/100))^V83)</f>
        <v>0</v>
      </c>
      <c r="V84" s="60">
        <v>76</v>
      </c>
      <c r="W84" s="36">
        <f ca="1">'normal case'!AC83</f>
        <v>0</v>
      </c>
      <c r="X84" s="36">
        <f ca="1">'normal case'!AD83</f>
        <v>0</v>
      </c>
      <c r="Y84" s="44">
        <f ca="1">IF(controls!$B$33=1,E84-($J$4-'main page'!$K$27*2)*(1+('main page'!$K$35/100))^A83,E84-$AG$5)</f>
        <v>-99.9</v>
      </c>
      <c r="Z84" s="44">
        <f ca="1">ABS(M84-(controls!$B$9/100)*100)</f>
        <v>326.75000000000006</v>
      </c>
      <c r="AI84" s="36"/>
      <c r="AJ84" s="36"/>
    </row>
    <row r="85" spans="1:36">
      <c r="A85" s="43">
        <v>82</v>
      </c>
      <c r="B85" s="62">
        <f ca="1">IF(controls!$B$6=2,AVERAGE(E81:E84)+B84*W85+hystere!$AG$9,AVERAGE(E81:E84)+B84*W85)</f>
        <v>1.1000000000000001</v>
      </c>
      <c r="C85" s="67">
        <f t="shared" ca="1" si="7"/>
        <v>0</v>
      </c>
      <c r="D85" s="88">
        <f t="shared" ca="1" si="8"/>
        <v>-1</v>
      </c>
      <c r="E85" s="64">
        <f t="shared" ca="1" si="9"/>
        <v>0.1</v>
      </c>
      <c r="F85" s="64">
        <f ca="1">IF('main page'!$K$34=1,hystere!H85,hystere!G85)</f>
        <v>-541.50000000000011</v>
      </c>
      <c r="G85" s="78">
        <f ca="1">I85-'main page'!$K$27*hystere!N84</f>
        <v>-541.50000000000011</v>
      </c>
      <c r="H85" s="62">
        <f ca="1">J85-'main page'!$K$27*N84</f>
        <v>-541.50000000000011</v>
      </c>
      <c r="I85" s="62">
        <f t="shared" ca="1" si="4"/>
        <v>108</v>
      </c>
      <c r="J85" s="62">
        <f t="shared" ca="1" si="5"/>
        <v>108</v>
      </c>
      <c r="M85" s="62">
        <f ca="1">IF(ABS('main page'!$K$29*M84+(1-'main page'!$K$29)*(controls!$B$9/100)*100+'main page'!$K$25*(E85-B85)-M84)&lt;0.0000001,M84,'main page'!$K$29*M84+(1-'main page'!$K$29)*(controls!$B$9/100)*100+'main page'!$K$25*(E85-B85))</f>
        <v>-325.75000000000006</v>
      </c>
      <c r="N85" s="62">
        <f ca="1">IF(controls!$B$10=1,N84,O85-'main page'!$K$29*M85-(1-'main page'!$K$29)*controls!$B$9)</f>
        <v>325.75000000000006</v>
      </c>
      <c r="O85" s="61">
        <f t="shared" ca="1" si="6"/>
        <v>0</v>
      </c>
      <c r="P85" s="63">
        <f ca="1">IF(controls!$B$10=1,hystere!N85+hystere!M85,hystere!Q85)</f>
        <v>-354.23750000000007</v>
      </c>
      <c r="Q85" s="61">
        <f ca="1">IF('main page'!$Y$53=1,'choose m.p.'!$I$22*100,R85)</f>
        <v>-354.23750000000007</v>
      </c>
      <c r="R85" s="83">
        <f ca="1">'main page'!$K$29*M85+(1-'main page'!$K$29)*controls!$B$9+S85+(('main page'!$K$25*'main page'!$U$13*'main page'!$K$29)/('main page'!$K$27*(1+('main page'!$K$25^2)*'main page'!$U$13)))*(M85-(controls!$B$9/100)*100)</f>
        <v>-354.23750000000007</v>
      </c>
      <c r="S85" s="81">
        <f ca="1">IF(controls!$B$33=1,(J86-E85*X86-B85)/'main page'!$K$27,(I86-E85*X86-B85)/'main page'!$K$27)</f>
        <v>53.45</v>
      </c>
      <c r="U85" s="58">
        <f>IF(controls!$B$6=1,$AG$4*(1+('main page'!$K$35/100))^V85-$AG$4*(1+('main page'!$K$35/100))^V84,$AG$4*(1+('main page'!$G$8/100))*(1+('main page'!$K$35/100))^V85-$AG$4*(1+('main page'!$G$8/100))*(1+('main page'!$K$35/100))^V84)</f>
        <v>0</v>
      </c>
      <c r="V85" s="60">
        <v>77</v>
      </c>
      <c r="W85" s="36">
        <f>'normal case'!AC84</f>
        <v>0</v>
      </c>
      <c r="X85" s="36">
        <f>'normal case'!AD84</f>
        <v>0</v>
      </c>
      <c r="Y85" s="44">
        <f ca="1">IF(controls!$B$33=1,E85-($J$4-'main page'!$K$27*2)*(1+('main page'!$K$35/100))^A84,E85-$AG$5)</f>
        <v>-99.9</v>
      </c>
      <c r="Z85" s="44">
        <f ca="1">ABS(M85-(controls!$B$9/100)*100)</f>
        <v>327.75000000000006</v>
      </c>
      <c r="AI85" s="36"/>
      <c r="AJ85" s="36"/>
    </row>
    <row r="86" spans="1:36">
      <c r="A86" s="43">
        <v>83</v>
      </c>
      <c r="B86" s="62">
        <f ca="1">IF(controls!$B$6=2,AVERAGE(E82:E85)+B85*W86+hystere!$AG$9,AVERAGE(E82:E85)+B85*W86)</f>
        <v>1.1000000000000001</v>
      </c>
      <c r="C86" s="67">
        <f t="shared" ca="1" si="7"/>
        <v>0</v>
      </c>
      <c r="D86" s="88">
        <f t="shared" ca="1" si="8"/>
        <v>-1</v>
      </c>
      <c r="E86" s="64">
        <f t="shared" ca="1" si="9"/>
        <v>0.1</v>
      </c>
      <c r="F86" s="64">
        <f ca="1">IF('main page'!$K$34=1,hystere!H86,hystere!G86)</f>
        <v>-543.50000000000011</v>
      </c>
      <c r="G86" s="78">
        <f ca="1">I86-'main page'!$K$27*hystere!N85</f>
        <v>-543.50000000000011</v>
      </c>
      <c r="H86" s="62">
        <f ca="1">J86-'main page'!$K$27*N85</f>
        <v>-543.50000000000011</v>
      </c>
      <c r="I86" s="62">
        <f t="shared" ca="1" si="4"/>
        <v>108</v>
      </c>
      <c r="J86" s="62">
        <f t="shared" ca="1" si="5"/>
        <v>108</v>
      </c>
      <c r="M86" s="62">
        <f ca="1">IF(ABS('main page'!$K$29*M85+(1-'main page'!$K$29)*(controls!$B$9/100)*100+'main page'!$K$25*(E86-B86)-M85)&lt;0.0000001,M85,'main page'!$K$29*M85+(1-'main page'!$K$29)*(controls!$B$9/100)*100+'main page'!$K$25*(E86-B86))</f>
        <v>-326.75000000000006</v>
      </c>
      <c r="N86" s="62">
        <f ca="1">IF(controls!$B$10=1,N85,O86-'main page'!$K$29*M86-(1-'main page'!$K$29)*controls!$B$9)</f>
        <v>326.75000000000006</v>
      </c>
      <c r="O86" s="61">
        <f t="shared" ca="1" si="6"/>
        <v>0</v>
      </c>
      <c r="P86" s="63">
        <f ca="1">IF(controls!$B$10=1,hystere!N86+hystere!M86,hystere!Q86)</f>
        <v>-355.48750000000007</v>
      </c>
      <c r="Q86" s="61">
        <f ca="1">IF('main page'!$Y$53=1,'choose m.p.'!$I$22*100,R86)</f>
        <v>-355.48750000000007</v>
      </c>
      <c r="R86" s="83">
        <f ca="1">'main page'!$K$29*M86+(1-'main page'!$K$29)*controls!$B$9+S86+(('main page'!$K$25*'main page'!$U$13*'main page'!$K$29)/('main page'!$K$27*(1+('main page'!$K$25^2)*'main page'!$U$13)))*(M86-(controls!$B$9/100)*100)</f>
        <v>-355.48750000000007</v>
      </c>
      <c r="S86" s="81">
        <f ca="1">IF(controls!$B$33=1,(J87-E86*X87-B86)/'main page'!$K$27,(I87-E86*X87-B86)/'main page'!$K$27)</f>
        <v>53.45</v>
      </c>
      <c r="U86" s="58">
        <f>IF(controls!$B$6=1,$AG$4*(1+('main page'!$K$35/100))^V86-$AG$4*(1+('main page'!$K$35/100))^V85,$AG$4*(1+('main page'!$G$8/100))*(1+('main page'!$K$35/100))^V86-$AG$4*(1+('main page'!$G$8/100))*(1+('main page'!$K$35/100))^V85)</f>
        <v>0</v>
      </c>
      <c r="V86" s="60">
        <v>78</v>
      </c>
      <c r="W86" s="36">
        <f>'normal case'!AC85</f>
        <v>0</v>
      </c>
      <c r="X86" s="36">
        <f>'normal case'!AD85</f>
        <v>0</v>
      </c>
      <c r="Y86" s="44">
        <f ca="1">IF(controls!$B$33=1,E86-($J$4-'main page'!$K$27*2)*(1+('main page'!$K$35/100))^A85,E86-$AG$5)</f>
        <v>-99.9</v>
      </c>
      <c r="Z86" s="44">
        <f ca="1">ABS(M86-(controls!$B$9/100)*100)</f>
        <v>328.75000000000006</v>
      </c>
      <c r="AI86" s="36"/>
      <c r="AJ86" s="36"/>
    </row>
    <row r="87" spans="1:36">
      <c r="A87" s="43">
        <v>84</v>
      </c>
      <c r="B87" s="62">
        <f ca="1">IF(controls!$B$6=2,AVERAGE(E83:E86)+B86*W87+hystere!$AG$9,AVERAGE(E83:E86)+B86*W87)</f>
        <v>1.1000000000000001</v>
      </c>
      <c r="C87" s="67">
        <f t="shared" ca="1" si="7"/>
        <v>0</v>
      </c>
      <c r="D87" s="88">
        <f t="shared" ca="1" si="8"/>
        <v>-1</v>
      </c>
      <c r="E87" s="64">
        <f t="shared" ca="1" si="9"/>
        <v>0.1</v>
      </c>
      <c r="F87" s="64">
        <f ca="1">IF('main page'!$K$34=1,hystere!H87,hystere!G87)</f>
        <v>-545.50000000000011</v>
      </c>
      <c r="G87" s="78">
        <f ca="1">I87-'main page'!$K$27*hystere!N86</f>
        <v>-545.50000000000011</v>
      </c>
      <c r="H87" s="62">
        <f ca="1">J87-'main page'!$K$27*N86</f>
        <v>-545.50000000000011</v>
      </c>
      <c r="I87" s="62">
        <f t="shared" ca="1" si="4"/>
        <v>108</v>
      </c>
      <c r="J87" s="62">
        <f t="shared" ca="1" si="5"/>
        <v>108</v>
      </c>
      <c r="M87" s="62">
        <f ca="1">IF(ABS('main page'!$K$29*M86+(1-'main page'!$K$29)*(controls!$B$9/100)*100+'main page'!$K$25*(E87-B87)-M86)&lt;0.0000001,M86,'main page'!$K$29*M86+(1-'main page'!$K$29)*(controls!$B$9/100)*100+'main page'!$K$25*(E87-B87))</f>
        <v>-327.75000000000006</v>
      </c>
      <c r="N87" s="62">
        <f ca="1">IF(controls!$B$10=1,N86,O87-'main page'!$K$29*M87-(1-'main page'!$K$29)*controls!$B$9)</f>
        <v>327.75000000000006</v>
      </c>
      <c r="O87" s="61">
        <f t="shared" ca="1" si="6"/>
        <v>0</v>
      </c>
      <c r="P87" s="63">
        <f ca="1">IF(controls!$B$10=1,hystere!N87+hystere!M87,hystere!Q87)</f>
        <v>-356.73750000000007</v>
      </c>
      <c r="Q87" s="61">
        <f ca="1">IF('main page'!$Y$53=1,'choose m.p.'!$I$22*100,R87)</f>
        <v>-356.73750000000007</v>
      </c>
      <c r="R87" s="83">
        <f ca="1">'main page'!$K$29*M87+(1-'main page'!$K$29)*controls!$B$9+S87+(('main page'!$K$25*'main page'!$U$13*'main page'!$K$29)/('main page'!$K$27*(1+('main page'!$K$25^2)*'main page'!$U$13)))*(M87-(controls!$B$9/100)*100)</f>
        <v>-356.73750000000007</v>
      </c>
      <c r="S87" s="81">
        <f ca="1">IF(controls!$B$33=1,(J88-E87*X88-B87)/'main page'!$K$27,(I88-E87*X88-B87)/'main page'!$K$27)</f>
        <v>53.45</v>
      </c>
      <c r="U87" s="58">
        <f>IF(controls!$B$6=1,$AG$4*(1+('main page'!$K$35/100))^V87-$AG$4*(1+('main page'!$K$35/100))^V86,$AG$4*(1+('main page'!$G$8/100))*(1+('main page'!$K$35/100))^V87-$AG$4*(1+('main page'!$G$8/100))*(1+('main page'!$K$35/100))^V86)</f>
        <v>0</v>
      </c>
      <c r="V87" s="60">
        <v>79</v>
      </c>
      <c r="W87" s="36">
        <f ca="1">'normal case'!AC86</f>
        <v>0</v>
      </c>
      <c r="X87" s="36">
        <f ca="1">'normal case'!AD86</f>
        <v>0</v>
      </c>
      <c r="Y87" s="44">
        <f ca="1">IF(controls!$B$33=1,E87-($J$4-'main page'!$K$27*2)*(1+('main page'!$K$35/100))^A86,E87-$AG$5)</f>
        <v>-99.9</v>
      </c>
      <c r="Z87" s="44">
        <f ca="1">ABS(M87-(controls!$B$9/100)*100)</f>
        <v>329.75000000000006</v>
      </c>
      <c r="AI87" s="36"/>
      <c r="AJ87" s="36"/>
    </row>
    <row r="88" spans="1:36">
      <c r="A88" s="43">
        <v>85</v>
      </c>
      <c r="B88" s="62">
        <f ca="1">IF(controls!$B$6=2,AVERAGE(E84:E87)+B87*W88+hystere!$AG$9,AVERAGE(E84:E87)+B87*W88)</f>
        <v>1.1000000000000001</v>
      </c>
      <c r="C88" s="67">
        <f t="shared" ca="1" si="7"/>
        <v>0</v>
      </c>
      <c r="D88" s="88">
        <f t="shared" ca="1" si="8"/>
        <v>-1</v>
      </c>
      <c r="E88" s="64">
        <f t="shared" ca="1" si="9"/>
        <v>0.1</v>
      </c>
      <c r="F88" s="64">
        <f ca="1">IF('main page'!$K$34=1,hystere!H88,hystere!G88)</f>
        <v>-547.50000000000011</v>
      </c>
      <c r="G88" s="78">
        <f ca="1">I88-'main page'!$K$27*hystere!N87</f>
        <v>-547.50000000000011</v>
      </c>
      <c r="H88" s="62">
        <f ca="1">J88-'main page'!$K$27*N87</f>
        <v>-547.50000000000011</v>
      </c>
      <c r="I88" s="62">
        <f t="shared" ca="1" si="4"/>
        <v>108</v>
      </c>
      <c r="J88" s="62">
        <f t="shared" ca="1" si="5"/>
        <v>108</v>
      </c>
      <c r="M88" s="62">
        <f ca="1">IF(ABS('main page'!$K$29*M87+(1-'main page'!$K$29)*(controls!$B$9/100)*100+'main page'!$K$25*(E88-B88)-M87)&lt;0.0000001,M87,'main page'!$K$29*M87+(1-'main page'!$K$29)*(controls!$B$9/100)*100+'main page'!$K$25*(E88-B88))</f>
        <v>-328.75000000000006</v>
      </c>
      <c r="N88" s="62">
        <f ca="1">IF(controls!$B$10=1,N87,O88-'main page'!$K$29*M88-(1-'main page'!$K$29)*controls!$B$9)</f>
        <v>328.75000000000006</v>
      </c>
      <c r="O88" s="61">
        <f t="shared" ca="1" si="6"/>
        <v>0</v>
      </c>
      <c r="P88" s="63">
        <f ca="1">IF(controls!$B$10=1,hystere!N88+hystere!M88,hystere!Q88)</f>
        <v>-357.98750000000007</v>
      </c>
      <c r="Q88" s="61">
        <f ca="1">IF('main page'!$Y$53=1,'choose m.p.'!$I$22*100,R88)</f>
        <v>-357.98750000000007</v>
      </c>
      <c r="R88" s="83">
        <f ca="1">'main page'!$K$29*M88+(1-'main page'!$K$29)*controls!$B$9+S88+(('main page'!$K$25*'main page'!$U$13*'main page'!$K$29)/('main page'!$K$27*(1+('main page'!$K$25^2)*'main page'!$U$13)))*(M88-(controls!$B$9/100)*100)</f>
        <v>-357.98750000000007</v>
      </c>
      <c r="S88" s="81">
        <f ca="1">IF(controls!$B$33=1,(J89-E88*X89-B88)/'main page'!$K$27,(I89-E88*X89-B88)/'main page'!$K$27)</f>
        <v>53.45</v>
      </c>
      <c r="U88" s="58">
        <f>IF(controls!$B$6=1,$AG$4*(1+('main page'!$K$35/100))^V88-$AG$4*(1+('main page'!$K$35/100))^V87,$AG$4*(1+('main page'!$G$8/100))*(1+('main page'!$K$35/100))^V88-$AG$4*(1+('main page'!$G$8/100))*(1+('main page'!$K$35/100))^V87)</f>
        <v>0</v>
      </c>
      <c r="V88" s="60">
        <v>80</v>
      </c>
      <c r="W88" s="36">
        <f>'normal case'!AC87</f>
        <v>0</v>
      </c>
      <c r="X88" s="36">
        <f>'normal case'!AD87</f>
        <v>0</v>
      </c>
      <c r="Y88" s="44">
        <f ca="1">IF(controls!$B$33=1,E88-($J$4-'main page'!$K$27*2)*(1+('main page'!$K$35/100))^A87,E88-$AG$5)</f>
        <v>-99.9</v>
      </c>
      <c r="Z88" s="44">
        <f ca="1">ABS(M88-(controls!$B$9/100)*100)</f>
        <v>330.75000000000006</v>
      </c>
      <c r="AI88" s="36"/>
      <c r="AJ88" s="36"/>
    </row>
    <row r="89" spans="1:36">
      <c r="A89" s="43">
        <v>86</v>
      </c>
      <c r="B89" s="62">
        <f ca="1">IF(controls!$B$6=2,AVERAGE(E85:E88)+B88*W89+hystere!$AG$9,AVERAGE(E85:E88)+B88*W89)</f>
        <v>1.1000000000000001</v>
      </c>
      <c r="C89" s="67">
        <f t="shared" ca="1" si="7"/>
        <v>0</v>
      </c>
      <c r="D89" s="88">
        <f t="shared" ca="1" si="8"/>
        <v>-1</v>
      </c>
      <c r="E89" s="64">
        <f t="shared" ca="1" si="9"/>
        <v>0.1</v>
      </c>
      <c r="F89" s="64">
        <f ca="1">IF('main page'!$K$34=1,hystere!H89,hystere!G89)</f>
        <v>-549.50000000000011</v>
      </c>
      <c r="G89" s="78">
        <f ca="1">I89-'main page'!$K$27*hystere!N88</f>
        <v>-549.50000000000011</v>
      </c>
      <c r="H89" s="62">
        <f ca="1">J89-'main page'!$K$27*N88</f>
        <v>-549.50000000000011</v>
      </c>
      <c r="I89" s="62">
        <f t="shared" ref="I89:I152" ca="1" si="10">I88+E88*X89</f>
        <v>108</v>
      </c>
      <c r="J89" s="62">
        <f t="shared" ref="J89:J152" ca="1" si="11">J88+E88*X89+U89</f>
        <v>108</v>
      </c>
      <c r="M89" s="62">
        <f ca="1">IF(ABS('main page'!$K$29*M88+(1-'main page'!$K$29)*(controls!$B$9/100)*100+'main page'!$K$25*(E89-B89)-M88)&lt;0.0000001,M88,'main page'!$K$29*M88+(1-'main page'!$K$29)*(controls!$B$9/100)*100+'main page'!$K$25*(E89-B89))</f>
        <v>-329.75000000000006</v>
      </c>
      <c r="N89" s="62">
        <f ca="1">IF(controls!$B$10=1,N88,O89-'main page'!$K$29*M89-(1-'main page'!$K$29)*controls!$B$9)</f>
        <v>329.75000000000006</v>
      </c>
      <c r="O89" s="61">
        <f t="shared" ca="1" si="6"/>
        <v>0</v>
      </c>
      <c r="P89" s="63">
        <f ca="1">IF(controls!$B$10=1,hystere!N89+hystere!M89,hystere!Q89)</f>
        <v>-359.23750000000007</v>
      </c>
      <c r="Q89" s="61">
        <f ca="1">IF('main page'!$Y$53=1,'choose m.p.'!$I$22*100,R89)</f>
        <v>-359.23750000000007</v>
      </c>
      <c r="R89" s="83">
        <f ca="1">'main page'!$K$29*M89+(1-'main page'!$K$29)*controls!$B$9+S89+(('main page'!$K$25*'main page'!$U$13*'main page'!$K$29)/('main page'!$K$27*(1+('main page'!$K$25^2)*'main page'!$U$13)))*(M89-(controls!$B$9/100)*100)</f>
        <v>-359.23750000000007</v>
      </c>
      <c r="S89" s="81">
        <f ca="1">IF(controls!$B$33=1,(J90-E89*X90-B89)/'main page'!$K$27,(I90-E89*X90-B89)/'main page'!$K$27)</f>
        <v>53.45</v>
      </c>
      <c r="U89" s="58">
        <f>IF(controls!$B$6=1,$AG$4*(1+('main page'!$K$35/100))^V89-$AG$4*(1+('main page'!$K$35/100))^V88,$AG$4*(1+('main page'!$G$8/100))*(1+('main page'!$K$35/100))^V89-$AG$4*(1+('main page'!$G$8/100))*(1+('main page'!$K$35/100))^V88)</f>
        <v>0</v>
      </c>
      <c r="V89" s="60">
        <v>81</v>
      </c>
      <c r="W89" s="36">
        <f>'normal case'!AC88</f>
        <v>0</v>
      </c>
      <c r="X89" s="36">
        <f>'normal case'!AD88</f>
        <v>0</v>
      </c>
      <c r="Y89" s="44">
        <f ca="1">IF(controls!$B$33=1,E89-($J$4-'main page'!$K$27*2)*(1+('main page'!$K$35/100))^A88,E89-$AG$5)</f>
        <v>-99.9</v>
      </c>
      <c r="Z89" s="44">
        <f ca="1">ABS(M89-(controls!$B$9/100)*100)</f>
        <v>331.75000000000006</v>
      </c>
      <c r="AI89" s="36"/>
      <c r="AJ89" s="36"/>
    </row>
    <row r="90" spans="1:36">
      <c r="A90" s="43">
        <v>87</v>
      </c>
      <c r="B90" s="62">
        <f ca="1">IF(controls!$B$6=2,AVERAGE(E86:E89)+B89*W90+hystere!$AG$9,AVERAGE(E86:E89)+B89*W90)</f>
        <v>1.1000000000000001</v>
      </c>
      <c r="C90" s="67">
        <f t="shared" ca="1" si="7"/>
        <v>0</v>
      </c>
      <c r="D90" s="88">
        <f t="shared" ca="1" si="8"/>
        <v>-1</v>
      </c>
      <c r="E90" s="64">
        <f t="shared" ca="1" si="9"/>
        <v>0.1</v>
      </c>
      <c r="F90" s="64">
        <f ca="1">IF('main page'!$K$34=1,hystere!H90,hystere!G90)</f>
        <v>-551.50000000000011</v>
      </c>
      <c r="G90" s="78">
        <f ca="1">I90-'main page'!$K$27*hystere!N89</f>
        <v>-551.50000000000011</v>
      </c>
      <c r="H90" s="62">
        <f ca="1">J90-'main page'!$K$27*N89</f>
        <v>-551.50000000000011</v>
      </c>
      <c r="I90" s="62">
        <f t="shared" ca="1" si="10"/>
        <v>108</v>
      </c>
      <c r="J90" s="62">
        <f t="shared" ca="1" si="11"/>
        <v>108</v>
      </c>
      <c r="M90" s="62">
        <f ca="1">IF(ABS('main page'!$K$29*M89+(1-'main page'!$K$29)*(controls!$B$9/100)*100+'main page'!$K$25*(E90-B90)-M89)&lt;0.0000001,M89,'main page'!$K$29*M89+(1-'main page'!$K$29)*(controls!$B$9/100)*100+'main page'!$K$25*(E90-B90))</f>
        <v>-330.75000000000006</v>
      </c>
      <c r="N90" s="62">
        <f ca="1">IF(controls!$B$10=1,N89,O90-'main page'!$K$29*M90-(1-'main page'!$K$29)*controls!$B$9)</f>
        <v>330.75000000000006</v>
      </c>
      <c r="O90" s="61">
        <f t="shared" ca="1" si="6"/>
        <v>0</v>
      </c>
      <c r="P90" s="63">
        <f ca="1">IF(controls!$B$10=1,hystere!N90+hystere!M90,hystere!Q90)</f>
        <v>-360.48750000000007</v>
      </c>
      <c r="Q90" s="61">
        <f ca="1">IF('main page'!$Y$53=1,'choose m.p.'!$I$22*100,R90)</f>
        <v>-360.48750000000007</v>
      </c>
      <c r="R90" s="83">
        <f ca="1">'main page'!$K$29*M90+(1-'main page'!$K$29)*controls!$B$9+S90+(('main page'!$K$25*'main page'!$U$13*'main page'!$K$29)/('main page'!$K$27*(1+('main page'!$K$25^2)*'main page'!$U$13)))*(M90-(controls!$B$9/100)*100)</f>
        <v>-360.48750000000007</v>
      </c>
      <c r="S90" s="81">
        <f ca="1">IF(controls!$B$33=1,(J91-E90*X91-B90)/'main page'!$K$27,(I91-E90*X91-B90)/'main page'!$K$27)</f>
        <v>53.45</v>
      </c>
      <c r="U90" s="58">
        <f>IF(controls!$B$6=1,$AG$4*(1+('main page'!$K$35/100))^V90-$AG$4*(1+('main page'!$K$35/100))^V89,$AG$4*(1+('main page'!$G$8/100))*(1+('main page'!$K$35/100))^V90-$AG$4*(1+('main page'!$G$8/100))*(1+('main page'!$K$35/100))^V89)</f>
        <v>0</v>
      </c>
      <c r="V90" s="60">
        <v>82</v>
      </c>
      <c r="W90" s="36">
        <f ca="1">'normal case'!AC89</f>
        <v>0</v>
      </c>
      <c r="X90" s="36">
        <f ca="1">'normal case'!AD89</f>
        <v>0</v>
      </c>
      <c r="Y90" s="44">
        <f ca="1">IF(controls!$B$33=1,E90-($J$4-'main page'!$K$27*2)*(1+('main page'!$K$35/100))^A89,E90-$AG$5)</f>
        <v>-99.9</v>
      </c>
      <c r="Z90" s="44">
        <f ca="1">ABS(M90-(controls!$B$9/100)*100)</f>
        <v>332.75000000000006</v>
      </c>
      <c r="AI90" s="36"/>
      <c r="AJ90" s="36"/>
    </row>
    <row r="91" spans="1:36">
      <c r="A91" s="43">
        <v>88</v>
      </c>
      <c r="B91" s="62">
        <f ca="1">IF(controls!$B$6=2,AVERAGE(E87:E90)+B90*W91+hystere!$AG$9,AVERAGE(E87:E90)+B90*W91)</f>
        <v>1.1000000000000001</v>
      </c>
      <c r="C91" s="67">
        <f t="shared" ca="1" si="7"/>
        <v>0</v>
      </c>
      <c r="D91" s="88">
        <f t="shared" ca="1" si="8"/>
        <v>-1</v>
      </c>
      <c r="E91" s="64">
        <f t="shared" ca="1" si="9"/>
        <v>0.1</v>
      </c>
      <c r="F91" s="64">
        <f ca="1">IF('main page'!$K$34=1,hystere!H91,hystere!G91)</f>
        <v>-553.50000000000011</v>
      </c>
      <c r="G91" s="78">
        <f ca="1">I91-'main page'!$K$27*hystere!N90</f>
        <v>-553.50000000000011</v>
      </c>
      <c r="H91" s="62">
        <f ca="1">J91-'main page'!$K$27*N90</f>
        <v>-553.50000000000011</v>
      </c>
      <c r="I91" s="62">
        <f t="shared" ca="1" si="10"/>
        <v>108</v>
      </c>
      <c r="J91" s="62">
        <f t="shared" ca="1" si="11"/>
        <v>108</v>
      </c>
      <c r="M91" s="62">
        <f ca="1">IF(ABS('main page'!$K$29*M90+(1-'main page'!$K$29)*(controls!$B$9/100)*100+'main page'!$K$25*(E91-B91)-M90)&lt;0.0000001,M90,'main page'!$K$29*M90+(1-'main page'!$K$29)*(controls!$B$9/100)*100+'main page'!$K$25*(E91-B91))</f>
        <v>-331.75000000000006</v>
      </c>
      <c r="N91" s="62">
        <f ca="1">IF(controls!$B$10=1,N90,O91-'main page'!$K$29*M91-(1-'main page'!$K$29)*controls!$B$9)</f>
        <v>331.75000000000006</v>
      </c>
      <c r="O91" s="61">
        <f t="shared" ca="1" si="6"/>
        <v>0</v>
      </c>
      <c r="P91" s="63">
        <f ca="1">IF(controls!$B$10=1,hystere!N91+hystere!M91,hystere!Q91)</f>
        <v>-361.73750000000007</v>
      </c>
      <c r="Q91" s="61">
        <f ca="1">IF('main page'!$Y$53=1,'choose m.p.'!$I$22*100,R91)</f>
        <v>-361.73750000000007</v>
      </c>
      <c r="R91" s="83">
        <f ca="1">'main page'!$K$29*M91+(1-'main page'!$K$29)*controls!$B$9+S91+(('main page'!$K$25*'main page'!$U$13*'main page'!$K$29)/('main page'!$K$27*(1+('main page'!$K$25^2)*'main page'!$U$13)))*(M91-(controls!$B$9/100)*100)</f>
        <v>-361.73750000000007</v>
      </c>
      <c r="S91" s="81">
        <f ca="1">IF(controls!$B$33=1,(J92-E91*X92-B91)/'main page'!$K$27,(I92-E91*X92-B91)/'main page'!$K$27)</f>
        <v>53.45</v>
      </c>
      <c r="U91" s="58">
        <f>IF(controls!$B$6=1,$AG$4*(1+('main page'!$K$35/100))^V91-$AG$4*(1+('main page'!$K$35/100))^V90,$AG$4*(1+('main page'!$G$8/100))*(1+('main page'!$K$35/100))^V91-$AG$4*(1+('main page'!$G$8/100))*(1+('main page'!$K$35/100))^V90)</f>
        <v>0</v>
      </c>
      <c r="V91" s="60">
        <v>83</v>
      </c>
      <c r="W91" s="36">
        <f>'normal case'!AC90</f>
        <v>0</v>
      </c>
      <c r="X91" s="36">
        <f>'normal case'!AD90</f>
        <v>0</v>
      </c>
      <c r="Y91" s="44">
        <f ca="1">IF(controls!$B$33=1,E91-($J$4-'main page'!$K$27*2)*(1+('main page'!$K$35/100))^A90,E91-$AG$5)</f>
        <v>-99.9</v>
      </c>
      <c r="Z91" s="44">
        <f ca="1">ABS(M91-(controls!$B$9/100)*100)</f>
        <v>333.75000000000006</v>
      </c>
      <c r="AI91" s="36"/>
      <c r="AJ91" s="36"/>
    </row>
    <row r="92" spans="1:36">
      <c r="A92" s="43">
        <v>89</v>
      </c>
      <c r="B92" s="62">
        <f ca="1">IF(controls!$B$6=2,AVERAGE(E88:E91)+B91*W92+hystere!$AG$9,AVERAGE(E88:E91)+B91*W92)</f>
        <v>1.1000000000000001</v>
      </c>
      <c r="C92" s="67">
        <f t="shared" ca="1" si="7"/>
        <v>0</v>
      </c>
      <c r="D92" s="88">
        <f t="shared" ca="1" si="8"/>
        <v>-1</v>
      </c>
      <c r="E92" s="64">
        <f t="shared" ca="1" si="9"/>
        <v>0.1</v>
      </c>
      <c r="F92" s="64">
        <f ca="1">IF('main page'!$K$34=1,hystere!H92,hystere!G92)</f>
        <v>-555.50000000000011</v>
      </c>
      <c r="G92" s="78">
        <f ca="1">I92-'main page'!$K$27*hystere!N91</f>
        <v>-555.50000000000011</v>
      </c>
      <c r="H92" s="62">
        <f ca="1">J92-'main page'!$K$27*N91</f>
        <v>-555.50000000000011</v>
      </c>
      <c r="I92" s="62">
        <f t="shared" ca="1" si="10"/>
        <v>108</v>
      </c>
      <c r="J92" s="62">
        <f t="shared" ca="1" si="11"/>
        <v>108</v>
      </c>
      <c r="M92" s="62">
        <f ca="1">IF(ABS('main page'!$K$29*M91+(1-'main page'!$K$29)*(controls!$B$9/100)*100+'main page'!$K$25*(E92-B92)-M91)&lt;0.0000001,M91,'main page'!$K$29*M91+(1-'main page'!$K$29)*(controls!$B$9/100)*100+'main page'!$K$25*(E92-B92))</f>
        <v>-332.75000000000006</v>
      </c>
      <c r="N92" s="62">
        <f ca="1">IF(controls!$B$10=1,N91,O92-'main page'!$K$29*M92-(1-'main page'!$K$29)*controls!$B$9)</f>
        <v>332.75000000000006</v>
      </c>
      <c r="O92" s="61">
        <f t="shared" ca="1" si="6"/>
        <v>0</v>
      </c>
      <c r="P92" s="63">
        <f ca="1">IF(controls!$B$10=1,hystere!N92+hystere!M92,hystere!Q92)</f>
        <v>-362.98750000000007</v>
      </c>
      <c r="Q92" s="61">
        <f ca="1">IF('main page'!$Y$53=1,'choose m.p.'!$I$22*100,R92)</f>
        <v>-362.98750000000007</v>
      </c>
      <c r="R92" s="83">
        <f ca="1">'main page'!$K$29*M92+(1-'main page'!$K$29)*controls!$B$9+S92+(('main page'!$K$25*'main page'!$U$13*'main page'!$K$29)/('main page'!$K$27*(1+('main page'!$K$25^2)*'main page'!$U$13)))*(M92-(controls!$B$9/100)*100)</f>
        <v>-362.98750000000007</v>
      </c>
      <c r="S92" s="81">
        <f ca="1">IF(controls!$B$33=1,(J93-E92*X93-B92)/'main page'!$K$27,(I93-E92*X93-B92)/'main page'!$K$27)</f>
        <v>53.45</v>
      </c>
      <c r="U92" s="58">
        <f>IF(controls!$B$6=1,$AG$4*(1+('main page'!$K$35/100))^V92-$AG$4*(1+('main page'!$K$35/100))^V91,$AG$4*(1+('main page'!$G$8/100))*(1+('main page'!$K$35/100))^V92-$AG$4*(1+('main page'!$G$8/100))*(1+('main page'!$K$35/100))^V91)</f>
        <v>0</v>
      </c>
      <c r="V92" s="60">
        <v>84</v>
      </c>
      <c r="W92" s="36">
        <f>'normal case'!AC91</f>
        <v>0</v>
      </c>
      <c r="X92" s="36">
        <f>'normal case'!AD91</f>
        <v>0</v>
      </c>
      <c r="Y92" s="44">
        <f ca="1">IF(controls!$B$33=1,E92-($J$4-'main page'!$K$27*2)*(1+('main page'!$K$35/100))^A91,E92-$AG$5)</f>
        <v>-99.9</v>
      </c>
      <c r="Z92" s="44">
        <f ca="1">ABS(M92-(controls!$B$9/100)*100)</f>
        <v>334.75000000000006</v>
      </c>
      <c r="AI92" s="36"/>
      <c r="AJ92" s="36"/>
    </row>
    <row r="93" spans="1:36">
      <c r="A93" s="43">
        <v>90</v>
      </c>
      <c r="B93" s="62">
        <f ca="1">IF(controls!$B$6=2,AVERAGE(E89:E92)+B92*W93+hystere!$AG$9,AVERAGE(E89:E92)+B92*W93)</f>
        <v>1.1000000000000001</v>
      </c>
      <c r="C93" s="67">
        <f t="shared" ca="1" si="7"/>
        <v>0</v>
      </c>
      <c r="D93" s="88">
        <f t="shared" ca="1" si="8"/>
        <v>-1</v>
      </c>
      <c r="E93" s="64">
        <f t="shared" ca="1" si="9"/>
        <v>0.1</v>
      </c>
      <c r="F93" s="64">
        <f ca="1">IF('main page'!$K$34=1,hystere!H93,hystere!G93)</f>
        <v>-557.50000000000011</v>
      </c>
      <c r="G93" s="78">
        <f ca="1">I93-'main page'!$K$27*hystere!N92</f>
        <v>-557.50000000000011</v>
      </c>
      <c r="H93" s="62">
        <f ca="1">J93-'main page'!$K$27*N92</f>
        <v>-557.50000000000011</v>
      </c>
      <c r="I93" s="62">
        <f t="shared" ca="1" si="10"/>
        <v>108</v>
      </c>
      <c r="J93" s="62">
        <f t="shared" ca="1" si="11"/>
        <v>108</v>
      </c>
      <c r="M93" s="62">
        <f ca="1">IF(ABS('main page'!$K$29*M92+(1-'main page'!$K$29)*(controls!$B$9/100)*100+'main page'!$K$25*(E93-B93)-M92)&lt;0.0000001,M92,'main page'!$K$29*M92+(1-'main page'!$K$29)*(controls!$B$9/100)*100+'main page'!$K$25*(E93-B93))</f>
        <v>-333.75000000000006</v>
      </c>
      <c r="N93" s="62">
        <f ca="1">IF(controls!$B$10=1,N92,O93-'main page'!$K$29*M93-(1-'main page'!$K$29)*controls!$B$9)</f>
        <v>333.75000000000006</v>
      </c>
      <c r="O93" s="61">
        <f t="shared" ca="1" si="6"/>
        <v>0</v>
      </c>
      <c r="P93" s="63">
        <f ca="1">IF(controls!$B$10=1,hystere!N93+hystere!M93,hystere!Q93)</f>
        <v>-364.23750000000007</v>
      </c>
      <c r="Q93" s="61">
        <f ca="1">IF('main page'!$Y$53=1,'choose m.p.'!$I$22*100,R93)</f>
        <v>-364.23750000000007</v>
      </c>
      <c r="R93" s="83">
        <f ca="1">'main page'!$K$29*M93+(1-'main page'!$K$29)*controls!$B$9+S93+(('main page'!$K$25*'main page'!$U$13*'main page'!$K$29)/('main page'!$K$27*(1+('main page'!$K$25^2)*'main page'!$U$13)))*(M93-(controls!$B$9/100)*100)</f>
        <v>-364.23750000000007</v>
      </c>
      <c r="S93" s="81">
        <f ca="1">IF(controls!$B$33=1,(J94-E93*X94-B93)/'main page'!$K$27,(I94-E93*X94-B93)/'main page'!$K$27)</f>
        <v>53.45</v>
      </c>
      <c r="U93" s="58">
        <f>IF(controls!$B$6=1,$AG$4*(1+('main page'!$K$35/100))^V93-$AG$4*(1+('main page'!$K$35/100))^V92,$AG$4*(1+('main page'!$G$8/100))*(1+('main page'!$K$35/100))^V93-$AG$4*(1+('main page'!$G$8/100))*(1+('main page'!$K$35/100))^V92)</f>
        <v>0</v>
      </c>
      <c r="V93" s="60">
        <v>85</v>
      </c>
      <c r="W93" s="36">
        <f ca="1">'normal case'!AC92</f>
        <v>0</v>
      </c>
      <c r="X93" s="36">
        <f ca="1">'normal case'!AD92</f>
        <v>0</v>
      </c>
      <c r="Y93" s="44">
        <f ca="1">IF(controls!$B$33=1,E93-($J$4-'main page'!$K$27*2)*(1+('main page'!$K$35/100))^A92,E93-$AG$5)</f>
        <v>-99.9</v>
      </c>
      <c r="Z93" s="44">
        <f ca="1">ABS(M93-(controls!$B$9/100)*100)</f>
        <v>335.75000000000006</v>
      </c>
      <c r="AI93" s="36"/>
      <c r="AJ93" s="36"/>
    </row>
    <row r="94" spans="1:36">
      <c r="A94" s="43">
        <v>91</v>
      </c>
      <c r="B94" s="62">
        <f ca="1">IF(controls!$B$6=2,AVERAGE(E90:E93)+B93*W94+hystere!$AG$9,AVERAGE(E90:E93)+B93*W94)</f>
        <v>1.1000000000000001</v>
      </c>
      <c r="C94" s="67">
        <f t="shared" ca="1" si="7"/>
        <v>0</v>
      </c>
      <c r="D94" s="88">
        <f t="shared" ca="1" si="8"/>
        <v>-1</v>
      </c>
      <c r="E94" s="64">
        <f t="shared" ca="1" si="9"/>
        <v>0.1</v>
      </c>
      <c r="F94" s="64">
        <f ca="1">IF('main page'!$K$34=1,hystere!H94,hystere!G94)</f>
        <v>-559.50000000000011</v>
      </c>
      <c r="G94" s="78">
        <f ca="1">I94-'main page'!$K$27*hystere!N93</f>
        <v>-559.50000000000011</v>
      </c>
      <c r="H94" s="62">
        <f ca="1">J94-'main page'!$K$27*N93</f>
        <v>-559.50000000000011</v>
      </c>
      <c r="I94" s="62">
        <f t="shared" ca="1" si="10"/>
        <v>108</v>
      </c>
      <c r="J94" s="62">
        <f t="shared" ca="1" si="11"/>
        <v>108</v>
      </c>
      <c r="M94" s="62">
        <f ca="1">IF(ABS('main page'!$K$29*M93+(1-'main page'!$K$29)*(controls!$B$9/100)*100+'main page'!$K$25*(E94-B94)-M93)&lt;0.0000001,M93,'main page'!$K$29*M93+(1-'main page'!$K$29)*(controls!$B$9/100)*100+'main page'!$K$25*(E94-B94))</f>
        <v>-334.75000000000006</v>
      </c>
      <c r="N94" s="62">
        <f ca="1">IF(controls!$B$10=1,N93,O94-'main page'!$K$29*M94-(1-'main page'!$K$29)*controls!$B$9)</f>
        <v>334.75000000000006</v>
      </c>
      <c r="O94" s="61">
        <f t="shared" ca="1" si="6"/>
        <v>0</v>
      </c>
      <c r="P94" s="63">
        <f ca="1">IF(controls!$B$10=1,hystere!N94+hystere!M94,hystere!Q94)</f>
        <v>-365.48750000000007</v>
      </c>
      <c r="Q94" s="61">
        <f ca="1">IF('main page'!$Y$53=1,'choose m.p.'!$I$22*100,R94)</f>
        <v>-365.48750000000007</v>
      </c>
      <c r="R94" s="83">
        <f ca="1">'main page'!$K$29*M94+(1-'main page'!$K$29)*controls!$B$9+S94+(('main page'!$K$25*'main page'!$U$13*'main page'!$K$29)/('main page'!$K$27*(1+('main page'!$K$25^2)*'main page'!$U$13)))*(M94-(controls!$B$9/100)*100)</f>
        <v>-365.48750000000007</v>
      </c>
      <c r="S94" s="81">
        <f ca="1">IF(controls!$B$33=1,(J95-E94*X95-B94)/'main page'!$K$27,(I95-E94*X95-B94)/'main page'!$K$27)</f>
        <v>53.45</v>
      </c>
      <c r="U94" s="58">
        <f>IF(controls!$B$6=1,$AG$4*(1+('main page'!$K$35/100))^V94-$AG$4*(1+('main page'!$K$35/100))^V93,$AG$4*(1+('main page'!$G$8/100))*(1+('main page'!$K$35/100))^V94-$AG$4*(1+('main page'!$G$8/100))*(1+('main page'!$K$35/100))^V93)</f>
        <v>0</v>
      </c>
      <c r="V94" s="60">
        <v>86</v>
      </c>
      <c r="W94" s="36">
        <f>'normal case'!AC93</f>
        <v>0</v>
      </c>
      <c r="X94" s="36">
        <f>'normal case'!AD93</f>
        <v>0</v>
      </c>
      <c r="Y94" s="44">
        <f ca="1">IF(controls!$B$33=1,E94-($J$4-'main page'!$K$27*2)*(1+('main page'!$K$35/100))^A93,E94-$AG$5)</f>
        <v>-99.9</v>
      </c>
      <c r="Z94" s="44">
        <f ca="1">ABS(M94-(controls!$B$9/100)*100)</f>
        <v>336.75000000000006</v>
      </c>
      <c r="AI94" s="36"/>
      <c r="AJ94" s="36"/>
    </row>
    <row r="95" spans="1:36">
      <c r="A95" s="43">
        <v>92</v>
      </c>
      <c r="B95" s="62">
        <f ca="1">IF(controls!$B$6=2,AVERAGE(E91:E94)+B94*W95+hystere!$AG$9,AVERAGE(E91:E94)+B94*W95)</f>
        <v>1.1000000000000001</v>
      </c>
      <c r="C95" s="67">
        <f t="shared" ca="1" si="7"/>
        <v>0</v>
      </c>
      <c r="D95" s="88">
        <f t="shared" ca="1" si="8"/>
        <v>-1</v>
      </c>
      <c r="E95" s="64">
        <f t="shared" ca="1" si="9"/>
        <v>0.1</v>
      </c>
      <c r="F95" s="64">
        <f ca="1">IF('main page'!$K$34=1,hystere!H95,hystere!G95)</f>
        <v>-561.50000000000011</v>
      </c>
      <c r="G95" s="78">
        <f ca="1">I95-'main page'!$K$27*hystere!N94</f>
        <v>-561.50000000000011</v>
      </c>
      <c r="H95" s="62">
        <f ca="1">J95-'main page'!$K$27*N94</f>
        <v>-561.50000000000011</v>
      </c>
      <c r="I95" s="62">
        <f t="shared" ca="1" si="10"/>
        <v>108</v>
      </c>
      <c r="J95" s="62">
        <f t="shared" ca="1" si="11"/>
        <v>108</v>
      </c>
      <c r="M95" s="62">
        <f ca="1">IF(ABS('main page'!$K$29*M94+(1-'main page'!$K$29)*(controls!$B$9/100)*100+'main page'!$K$25*(E95-B95)-M94)&lt;0.0000001,M94,'main page'!$K$29*M94+(1-'main page'!$K$29)*(controls!$B$9/100)*100+'main page'!$K$25*(E95-B95))</f>
        <v>-335.75000000000006</v>
      </c>
      <c r="N95" s="62">
        <f ca="1">IF(controls!$B$10=1,N94,O95-'main page'!$K$29*M95-(1-'main page'!$K$29)*controls!$B$9)</f>
        <v>335.75000000000006</v>
      </c>
      <c r="O95" s="61">
        <f t="shared" ca="1" si="6"/>
        <v>0</v>
      </c>
      <c r="P95" s="63">
        <f ca="1">IF(controls!$B$10=1,hystere!N95+hystere!M95,hystere!Q95)</f>
        <v>-366.73750000000007</v>
      </c>
      <c r="Q95" s="61">
        <f ca="1">IF('main page'!$Y$53=1,'choose m.p.'!$I$22*100,R95)</f>
        <v>-366.73750000000007</v>
      </c>
      <c r="R95" s="83">
        <f ca="1">'main page'!$K$29*M95+(1-'main page'!$K$29)*controls!$B$9+S95+(('main page'!$K$25*'main page'!$U$13*'main page'!$K$29)/('main page'!$K$27*(1+('main page'!$K$25^2)*'main page'!$U$13)))*(M95-(controls!$B$9/100)*100)</f>
        <v>-366.73750000000007</v>
      </c>
      <c r="S95" s="81">
        <f ca="1">IF(controls!$B$33=1,(J96-E95*X96-B95)/'main page'!$K$27,(I96-E95*X96-B95)/'main page'!$K$27)</f>
        <v>53.45</v>
      </c>
      <c r="U95" s="58">
        <f>IF(controls!$B$6=1,$AG$4*(1+('main page'!$K$35/100))^V95-$AG$4*(1+('main page'!$K$35/100))^V94,$AG$4*(1+('main page'!$G$8/100))*(1+('main page'!$K$35/100))^V95-$AG$4*(1+('main page'!$G$8/100))*(1+('main page'!$K$35/100))^V94)</f>
        <v>0</v>
      </c>
      <c r="V95" s="60">
        <v>87</v>
      </c>
      <c r="W95" s="36">
        <f>'normal case'!AC94</f>
        <v>0</v>
      </c>
      <c r="X95" s="36">
        <f>'normal case'!AD94</f>
        <v>0</v>
      </c>
      <c r="Y95" s="44">
        <f ca="1">IF(controls!$B$33=1,E95-($J$4-'main page'!$K$27*2)*(1+('main page'!$K$35/100))^A94,E95-$AG$5)</f>
        <v>-99.9</v>
      </c>
      <c r="Z95" s="44">
        <f ca="1">ABS(M95-(controls!$B$9/100)*100)</f>
        <v>337.75000000000006</v>
      </c>
      <c r="AI95" s="36"/>
      <c r="AJ95" s="36"/>
    </row>
    <row r="96" spans="1:36">
      <c r="A96" s="43">
        <v>93</v>
      </c>
      <c r="B96" s="62">
        <f ca="1">IF(controls!$B$6=2,AVERAGE(E92:E95)+B95*W96+hystere!$AG$9,AVERAGE(E92:E95)+B95*W96)</f>
        <v>1.1000000000000001</v>
      </c>
      <c r="C96" s="67">
        <f t="shared" ca="1" si="7"/>
        <v>0</v>
      </c>
      <c r="D96" s="88">
        <f t="shared" ca="1" si="8"/>
        <v>-1</v>
      </c>
      <c r="E96" s="64">
        <f t="shared" ca="1" si="9"/>
        <v>0.1</v>
      </c>
      <c r="F96" s="64">
        <f ca="1">IF('main page'!$K$34=1,hystere!H96,hystere!G96)</f>
        <v>-563.50000000000011</v>
      </c>
      <c r="G96" s="78">
        <f ca="1">I96-'main page'!$K$27*hystere!N95</f>
        <v>-563.50000000000011</v>
      </c>
      <c r="H96" s="62">
        <f ca="1">J96-'main page'!$K$27*N95</f>
        <v>-563.50000000000011</v>
      </c>
      <c r="I96" s="62">
        <f t="shared" ca="1" si="10"/>
        <v>108</v>
      </c>
      <c r="J96" s="62">
        <f t="shared" ca="1" si="11"/>
        <v>108</v>
      </c>
      <c r="M96" s="62">
        <f ca="1">IF(ABS('main page'!$K$29*M95+(1-'main page'!$K$29)*(controls!$B$9/100)*100+'main page'!$K$25*(E96-B96)-M95)&lt;0.0000001,M95,'main page'!$K$29*M95+(1-'main page'!$K$29)*(controls!$B$9/100)*100+'main page'!$K$25*(E96-B96))</f>
        <v>-336.75000000000006</v>
      </c>
      <c r="N96" s="62">
        <f ca="1">IF(controls!$B$10=1,N95,O96-'main page'!$K$29*M96-(1-'main page'!$K$29)*controls!$B$9)</f>
        <v>336.75000000000006</v>
      </c>
      <c r="O96" s="61">
        <f t="shared" ca="1" si="6"/>
        <v>0</v>
      </c>
      <c r="P96" s="63">
        <f ca="1">IF(controls!$B$10=1,hystere!N96+hystere!M96,hystere!Q96)</f>
        <v>-367.98750000000007</v>
      </c>
      <c r="Q96" s="61">
        <f ca="1">IF('main page'!$Y$53=1,'choose m.p.'!$I$22*100,R96)</f>
        <v>-367.98750000000007</v>
      </c>
      <c r="R96" s="83">
        <f ca="1">'main page'!$K$29*M96+(1-'main page'!$K$29)*controls!$B$9+S96+(('main page'!$K$25*'main page'!$U$13*'main page'!$K$29)/('main page'!$K$27*(1+('main page'!$K$25^2)*'main page'!$U$13)))*(M96-(controls!$B$9/100)*100)</f>
        <v>-367.98750000000007</v>
      </c>
      <c r="S96" s="81">
        <f ca="1">IF(controls!$B$33=1,(J97-E96*X97-B96)/'main page'!$K$27,(I97-E96*X97-B96)/'main page'!$K$27)</f>
        <v>53.45</v>
      </c>
      <c r="U96" s="58">
        <f>IF(controls!$B$6=1,$AG$4*(1+('main page'!$K$35/100))^V96-$AG$4*(1+('main page'!$K$35/100))^V95,$AG$4*(1+('main page'!$G$8/100))*(1+('main page'!$K$35/100))^V96-$AG$4*(1+('main page'!$G$8/100))*(1+('main page'!$K$35/100))^V95)</f>
        <v>0</v>
      </c>
      <c r="V96" s="60">
        <v>88</v>
      </c>
      <c r="W96" s="36">
        <f ca="1">'normal case'!AC95</f>
        <v>0</v>
      </c>
      <c r="X96" s="36">
        <f ca="1">'normal case'!AD95</f>
        <v>0</v>
      </c>
      <c r="Y96" s="44">
        <f ca="1">IF(controls!$B$33=1,E96-($J$4-'main page'!$K$27*2)*(1+('main page'!$K$35/100))^A95,E96-$AG$5)</f>
        <v>-99.9</v>
      </c>
      <c r="Z96" s="44">
        <f ca="1">ABS(M96-(controls!$B$9/100)*100)</f>
        <v>338.75000000000006</v>
      </c>
      <c r="AI96" s="36"/>
      <c r="AJ96" s="36"/>
    </row>
    <row r="97" spans="1:36">
      <c r="A97" s="43">
        <v>94</v>
      </c>
      <c r="B97" s="62">
        <f ca="1">IF(controls!$B$6=2,AVERAGE(E93:E96)+B96*W97+hystere!$AG$9,AVERAGE(E93:E96)+B96*W97)</f>
        <v>1.1000000000000001</v>
      </c>
      <c r="C97" s="67">
        <f t="shared" ca="1" si="7"/>
        <v>0</v>
      </c>
      <c r="D97" s="88">
        <f t="shared" ca="1" si="8"/>
        <v>-1</v>
      </c>
      <c r="E97" s="64">
        <f t="shared" ca="1" si="9"/>
        <v>0.1</v>
      </c>
      <c r="F97" s="64">
        <f ca="1">IF('main page'!$K$34=1,hystere!H97,hystere!G97)</f>
        <v>-565.50000000000011</v>
      </c>
      <c r="G97" s="78">
        <f ca="1">I97-'main page'!$K$27*hystere!N96</f>
        <v>-565.50000000000011</v>
      </c>
      <c r="H97" s="62">
        <f ca="1">J97-'main page'!$K$27*N96</f>
        <v>-565.50000000000011</v>
      </c>
      <c r="I97" s="62">
        <f t="shared" ca="1" si="10"/>
        <v>108</v>
      </c>
      <c r="J97" s="62">
        <f t="shared" ca="1" si="11"/>
        <v>108</v>
      </c>
      <c r="M97" s="62">
        <f ca="1">IF(ABS('main page'!$K$29*M96+(1-'main page'!$K$29)*(controls!$B$9/100)*100+'main page'!$K$25*(E97-B97)-M96)&lt;0.0000001,M96,'main page'!$K$29*M96+(1-'main page'!$K$29)*(controls!$B$9/100)*100+'main page'!$K$25*(E97-B97))</f>
        <v>-337.75000000000006</v>
      </c>
      <c r="N97" s="62">
        <f ca="1">IF(controls!$B$10=1,N96,O97-'main page'!$K$29*M97-(1-'main page'!$K$29)*controls!$B$9)</f>
        <v>337.75000000000006</v>
      </c>
      <c r="O97" s="61">
        <f t="shared" ca="1" si="6"/>
        <v>0</v>
      </c>
      <c r="P97" s="63">
        <f ca="1">IF(controls!$B$10=1,hystere!N97+hystere!M97,hystere!Q97)</f>
        <v>-369.23750000000007</v>
      </c>
      <c r="Q97" s="61">
        <f ca="1">IF('main page'!$Y$53=1,'choose m.p.'!$I$22*100,R97)</f>
        <v>-369.23750000000007</v>
      </c>
      <c r="R97" s="83">
        <f ca="1">'main page'!$K$29*M97+(1-'main page'!$K$29)*controls!$B$9+S97+(('main page'!$K$25*'main page'!$U$13*'main page'!$K$29)/('main page'!$K$27*(1+('main page'!$K$25^2)*'main page'!$U$13)))*(M97-(controls!$B$9/100)*100)</f>
        <v>-369.23750000000007</v>
      </c>
      <c r="S97" s="81">
        <f ca="1">IF(controls!$B$33=1,(J98-E97*X98-B97)/'main page'!$K$27,(I98-E97*X98-B97)/'main page'!$K$27)</f>
        <v>53.45</v>
      </c>
      <c r="U97" s="58">
        <f>IF(controls!$B$6=1,$AG$4*(1+('main page'!$K$35/100))^V97-$AG$4*(1+('main page'!$K$35/100))^V96,$AG$4*(1+('main page'!$G$8/100))*(1+('main page'!$K$35/100))^V97-$AG$4*(1+('main page'!$G$8/100))*(1+('main page'!$K$35/100))^V96)</f>
        <v>0</v>
      </c>
      <c r="V97" s="60">
        <v>89</v>
      </c>
      <c r="W97" s="36">
        <f>'normal case'!AC96</f>
        <v>0</v>
      </c>
      <c r="X97" s="36">
        <f>'normal case'!AD96</f>
        <v>0</v>
      </c>
      <c r="Y97" s="44">
        <f ca="1">IF(controls!$B$33=1,E97-($J$4-'main page'!$K$27*2)*(1+('main page'!$K$35/100))^A96,E97-$AG$5)</f>
        <v>-99.9</v>
      </c>
      <c r="Z97" s="44">
        <f ca="1">ABS(M97-(controls!$B$9/100)*100)</f>
        <v>339.75000000000006</v>
      </c>
      <c r="AI97" s="36"/>
      <c r="AJ97" s="36"/>
    </row>
    <row r="98" spans="1:36">
      <c r="A98" s="43">
        <v>95</v>
      </c>
      <c r="B98" s="62">
        <f ca="1">IF(controls!$B$6=2,AVERAGE(E94:E97)+B97*W98+hystere!$AG$9,AVERAGE(E94:E97)+B97*W98)</f>
        <v>1.1000000000000001</v>
      </c>
      <c r="C98" s="67">
        <f t="shared" ca="1" si="7"/>
        <v>0</v>
      </c>
      <c r="D98" s="88">
        <f t="shared" ca="1" si="8"/>
        <v>-1</v>
      </c>
      <c r="E98" s="64">
        <f t="shared" ca="1" si="9"/>
        <v>0.1</v>
      </c>
      <c r="F98" s="64">
        <f ca="1">IF('main page'!$K$34=1,hystere!H98,hystere!G98)</f>
        <v>-567.50000000000011</v>
      </c>
      <c r="G98" s="78">
        <f ca="1">I98-'main page'!$K$27*hystere!N97</f>
        <v>-567.50000000000011</v>
      </c>
      <c r="H98" s="62">
        <f ca="1">J98-'main page'!$K$27*N97</f>
        <v>-567.50000000000011</v>
      </c>
      <c r="I98" s="62">
        <f t="shared" ca="1" si="10"/>
        <v>108</v>
      </c>
      <c r="J98" s="62">
        <f t="shared" ca="1" si="11"/>
        <v>108</v>
      </c>
      <c r="M98" s="62">
        <f ca="1">IF(ABS('main page'!$K$29*M97+(1-'main page'!$K$29)*(controls!$B$9/100)*100+'main page'!$K$25*(E98-B98)-M97)&lt;0.0000001,M97,'main page'!$K$29*M97+(1-'main page'!$K$29)*(controls!$B$9/100)*100+'main page'!$K$25*(E98-B98))</f>
        <v>-338.75000000000006</v>
      </c>
      <c r="N98" s="62">
        <f ca="1">IF(controls!$B$10=1,N97,O98-'main page'!$K$29*M98-(1-'main page'!$K$29)*controls!$B$9)</f>
        <v>338.75000000000006</v>
      </c>
      <c r="O98" s="61">
        <f t="shared" ca="1" si="6"/>
        <v>0</v>
      </c>
      <c r="P98" s="63">
        <f ca="1">IF(controls!$B$10=1,hystere!N98+hystere!M98,hystere!Q98)</f>
        <v>-370.48750000000007</v>
      </c>
      <c r="Q98" s="61">
        <f ca="1">IF('main page'!$Y$53=1,'choose m.p.'!$I$22*100,R98)</f>
        <v>-370.48750000000007</v>
      </c>
      <c r="R98" s="83">
        <f ca="1">'main page'!$K$29*M98+(1-'main page'!$K$29)*controls!$B$9+S98+(('main page'!$K$25*'main page'!$U$13*'main page'!$K$29)/('main page'!$K$27*(1+('main page'!$K$25^2)*'main page'!$U$13)))*(M98-(controls!$B$9/100)*100)</f>
        <v>-370.48750000000007</v>
      </c>
      <c r="S98" s="81">
        <f ca="1">IF(controls!$B$33=1,(J99-E98*X99-B98)/'main page'!$K$27,(I99-E98*X99-B98)/'main page'!$K$27)</f>
        <v>53.45</v>
      </c>
      <c r="U98" s="58">
        <f>IF(controls!$B$6=1,$AG$4*(1+('main page'!$K$35/100))^V98-$AG$4*(1+('main page'!$K$35/100))^V97,$AG$4*(1+('main page'!$G$8/100))*(1+('main page'!$K$35/100))^V98-$AG$4*(1+('main page'!$G$8/100))*(1+('main page'!$K$35/100))^V97)</f>
        <v>0</v>
      </c>
      <c r="V98" s="60">
        <v>90</v>
      </c>
      <c r="W98" s="36">
        <f>'normal case'!AC97</f>
        <v>0</v>
      </c>
      <c r="X98" s="36">
        <f>'normal case'!AD97</f>
        <v>0</v>
      </c>
      <c r="Y98" s="44">
        <f ca="1">IF(controls!$B$33=1,E98-($J$4-'main page'!$K$27*2)*(1+('main page'!$K$35/100))^A97,E98-$AG$5)</f>
        <v>-99.9</v>
      </c>
      <c r="Z98" s="44">
        <f ca="1">ABS(M98-(controls!$B$9/100)*100)</f>
        <v>340.75000000000006</v>
      </c>
      <c r="AI98" s="36"/>
      <c r="AJ98" s="36"/>
    </row>
    <row r="99" spans="1:36">
      <c r="A99" s="43">
        <v>96</v>
      </c>
      <c r="B99" s="62">
        <f ca="1">IF(controls!$B$6=2,AVERAGE(E95:E98)+B98*W99+hystere!$AG$9,AVERAGE(E95:E98)+B98*W99)</f>
        <v>1.1000000000000001</v>
      </c>
      <c r="C99" s="67">
        <f t="shared" ca="1" si="7"/>
        <v>0</v>
      </c>
      <c r="D99" s="88">
        <f t="shared" ca="1" si="8"/>
        <v>-1</v>
      </c>
      <c r="E99" s="64">
        <f t="shared" ca="1" si="9"/>
        <v>0.1</v>
      </c>
      <c r="F99" s="64">
        <f ca="1">IF('main page'!$K$34=1,hystere!H99,hystere!G99)</f>
        <v>-569.50000000000011</v>
      </c>
      <c r="G99" s="78">
        <f ca="1">I99-'main page'!$K$27*hystere!N98</f>
        <v>-569.50000000000011</v>
      </c>
      <c r="H99" s="62">
        <f ca="1">J99-'main page'!$K$27*N98</f>
        <v>-569.50000000000011</v>
      </c>
      <c r="I99" s="62">
        <f t="shared" ca="1" si="10"/>
        <v>108</v>
      </c>
      <c r="J99" s="62">
        <f t="shared" ca="1" si="11"/>
        <v>108</v>
      </c>
      <c r="M99" s="62">
        <f ca="1">IF(ABS('main page'!$K$29*M98+(1-'main page'!$K$29)*(controls!$B$9/100)*100+'main page'!$K$25*(E99-B99)-M98)&lt;0.0000001,M98,'main page'!$K$29*M98+(1-'main page'!$K$29)*(controls!$B$9/100)*100+'main page'!$K$25*(E99-B99))</f>
        <v>-339.75000000000006</v>
      </c>
      <c r="N99" s="62">
        <f ca="1">IF(controls!$B$10=1,N98,O99-'main page'!$K$29*M99-(1-'main page'!$K$29)*controls!$B$9)</f>
        <v>339.75000000000006</v>
      </c>
      <c r="O99" s="61">
        <f t="shared" ca="1" si="6"/>
        <v>0</v>
      </c>
      <c r="P99" s="63">
        <f ca="1">IF(controls!$B$10=1,hystere!N99+hystere!M99,hystere!Q99)</f>
        <v>-371.73750000000007</v>
      </c>
      <c r="Q99" s="61">
        <f ca="1">IF('main page'!$Y$53=1,'choose m.p.'!$I$22*100,R99)</f>
        <v>-371.73750000000007</v>
      </c>
      <c r="R99" s="83">
        <f ca="1">'main page'!$K$29*M99+(1-'main page'!$K$29)*controls!$B$9+S99+(('main page'!$K$25*'main page'!$U$13*'main page'!$K$29)/('main page'!$K$27*(1+('main page'!$K$25^2)*'main page'!$U$13)))*(M99-(controls!$B$9/100)*100)</f>
        <v>-371.73750000000007</v>
      </c>
      <c r="S99" s="81">
        <f ca="1">IF(controls!$B$33=1,(J100-E99*X100-B99)/'main page'!$K$27,(I100-E99*X100-B99)/'main page'!$K$27)</f>
        <v>53.45</v>
      </c>
      <c r="U99" s="58">
        <f>IF(controls!$B$6=1,$AG$4*(1+('main page'!$K$35/100))^V99-$AG$4*(1+('main page'!$K$35/100))^V98,$AG$4*(1+('main page'!$G$8/100))*(1+('main page'!$K$35/100))^V99-$AG$4*(1+('main page'!$G$8/100))*(1+('main page'!$K$35/100))^V98)</f>
        <v>0</v>
      </c>
      <c r="V99" s="60">
        <v>91</v>
      </c>
      <c r="W99" s="36">
        <f ca="1">'normal case'!AC98</f>
        <v>0</v>
      </c>
      <c r="X99" s="36">
        <f ca="1">'normal case'!AD98</f>
        <v>0</v>
      </c>
      <c r="Y99" s="44">
        <f ca="1">IF(controls!$B$33=1,E99-($J$4-'main page'!$K$27*2)*(1+('main page'!$K$35/100))^A98,E99-$AG$5)</f>
        <v>-99.9</v>
      </c>
      <c r="Z99" s="44">
        <f ca="1">ABS(M99-(controls!$B$9/100)*100)</f>
        <v>341.75000000000006</v>
      </c>
      <c r="AI99" s="36"/>
      <c r="AJ99" s="36"/>
    </row>
    <row r="100" spans="1:36">
      <c r="A100" s="43">
        <v>97</v>
      </c>
      <c r="B100" s="62">
        <f ca="1">IF(controls!$B$6=2,AVERAGE(E96:E99)+B99*W100+hystere!$AG$9,AVERAGE(E96:E99)+B99*W100)</f>
        <v>1.1000000000000001</v>
      </c>
      <c r="C100" s="67">
        <f t="shared" ca="1" si="7"/>
        <v>0</v>
      </c>
      <c r="D100" s="88">
        <f t="shared" ca="1" si="8"/>
        <v>-1</v>
      </c>
      <c r="E100" s="64">
        <f t="shared" ca="1" si="9"/>
        <v>0.1</v>
      </c>
      <c r="F100" s="64">
        <f ca="1">IF('main page'!$K$34=1,hystere!H100,hystere!G100)</f>
        <v>-571.50000000000011</v>
      </c>
      <c r="G100" s="78">
        <f ca="1">I100-'main page'!$K$27*hystere!N99</f>
        <v>-571.50000000000011</v>
      </c>
      <c r="H100" s="62">
        <f ca="1">J100-'main page'!$K$27*N99</f>
        <v>-571.50000000000011</v>
      </c>
      <c r="I100" s="62">
        <f t="shared" ca="1" si="10"/>
        <v>108</v>
      </c>
      <c r="J100" s="62">
        <f t="shared" ca="1" si="11"/>
        <v>108</v>
      </c>
      <c r="M100" s="62">
        <f ca="1">IF(ABS('main page'!$K$29*M99+(1-'main page'!$K$29)*(controls!$B$9/100)*100+'main page'!$K$25*(E100-B100)-M99)&lt;0.0000001,M99,'main page'!$K$29*M99+(1-'main page'!$K$29)*(controls!$B$9/100)*100+'main page'!$K$25*(E100-B100))</f>
        <v>-340.75000000000006</v>
      </c>
      <c r="N100" s="62">
        <f ca="1">IF(controls!$B$10=1,N99,O100-'main page'!$K$29*M100-(1-'main page'!$K$29)*controls!$B$9)</f>
        <v>340.75000000000006</v>
      </c>
      <c r="O100" s="61">
        <f t="shared" ca="1" si="6"/>
        <v>0</v>
      </c>
      <c r="P100" s="63">
        <f ca="1">IF(controls!$B$10=1,hystere!N100+hystere!M100,hystere!Q100)</f>
        <v>-372.98750000000007</v>
      </c>
      <c r="Q100" s="61">
        <f ca="1">IF('main page'!$Y$53=1,'choose m.p.'!$I$22*100,R100)</f>
        <v>-372.98750000000007</v>
      </c>
      <c r="R100" s="83">
        <f ca="1">'main page'!$K$29*M100+(1-'main page'!$K$29)*controls!$B$9+S100+(('main page'!$K$25*'main page'!$U$13*'main page'!$K$29)/('main page'!$K$27*(1+('main page'!$K$25^2)*'main page'!$U$13)))*(M100-(controls!$B$9/100)*100)</f>
        <v>-372.98750000000007</v>
      </c>
      <c r="S100" s="81">
        <f ca="1">IF(controls!$B$33=1,(J101-E100*X101-B100)/'main page'!$K$27,(I101-E100*X101-B100)/'main page'!$K$27)</f>
        <v>53.45</v>
      </c>
      <c r="U100" s="58">
        <f>IF(controls!$B$6=1,$AG$4*(1+('main page'!$K$35/100))^V100-$AG$4*(1+('main page'!$K$35/100))^V99,$AG$4*(1+('main page'!$G$8/100))*(1+('main page'!$K$35/100))^V100-$AG$4*(1+('main page'!$G$8/100))*(1+('main page'!$K$35/100))^V99)</f>
        <v>0</v>
      </c>
      <c r="V100" s="60">
        <v>92</v>
      </c>
      <c r="W100" s="36">
        <f>'normal case'!AC99</f>
        <v>0</v>
      </c>
      <c r="X100" s="36">
        <f>'normal case'!AD99</f>
        <v>0</v>
      </c>
      <c r="Y100" s="44">
        <f ca="1">IF(controls!$B$33=1,E100-($J$4-'main page'!$K$27*2)*(1+('main page'!$K$35/100))^A99,E100-$AG$5)</f>
        <v>-99.9</v>
      </c>
      <c r="Z100" s="44">
        <f ca="1">ABS(M100-(controls!$B$9/100)*100)</f>
        <v>342.75000000000006</v>
      </c>
      <c r="AI100" s="36"/>
      <c r="AJ100" s="36"/>
    </row>
    <row r="101" spans="1:36">
      <c r="A101" s="43">
        <v>98</v>
      </c>
      <c r="B101" s="62">
        <f ca="1">IF(controls!$B$6=2,AVERAGE(E97:E100)+B100*W101+hystere!$AG$9,AVERAGE(E97:E100)+B100*W101)</f>
        <v>1.1000000000000001</v>
      </c>
      <c r="C101" s="67">
        <f t="shared" ca="1" si="7"/>
        <v>0</v>
      </c>
      <c r="D101" s="88">
        <f t="shared" ca="1" si="8"/>
        <v>-1</v>
      </c>
      <c r="E101" s="64">
        <f t="shared" ca="1" si="9"/>
        <v>0.1</v>
      </c>
      <c r="F101" s="64">
        <f ca="1">IF('main page'!$K$34=1,hystere!H101,hystere!G101)</f>
        <v>-573.50000000000011</v>
      </c>
      <c r="G101" s="78">
        <f ca="1">I101-'main page'!$K$27*hystere!N100</f>
        <v>-573.50000000000011</v>
      </c>
      <c r="H101" s="62">
        <f ca="1">J101-'main page'!$K$27*N100</f>
        <v>-573.50000000000011</v>
      </c>
      <c r="I101" s="62">
        <f t="shared" ca="1" si="10"/>
        <v>108</v>
      </c>
      <c r="J101" s="62">
        <f t="shared" ca="1" si="11"/>
        <v>108</v>
      </c>
      <c r="M101" s="62">
        <f ca="1">IF(ABS('main page'!$K$29*M100+(1-'main page'!$K$29)*(controls!$B$9/100)*100+'main page'!$K$25*(E101-B101)-M100)&lt;0.0000001,M100,'main page'!$K$29*M100+(1-'main page'!$K$29)*(controls!$B$9/100)*100+'main page'!$K$25*(E101-B101))</f>
        <v>-341.75000000000006</v>
      </c>
      <c r="N101" s="62">
        <f ca="1">IF(controls!$B$10=1,N100,O101-'main page'!$K$29*M101-(1-'main page'!$K$29)*controls!$B$9)</f>
        <v>341.75000000000006</v>
      </c>
      <c r="O101" s="61">
        <f t="shared" ca="1" si="6"/>
        <v>0</v>
      </c>
      <c r="P101" s="63">
        <f ca="1">IF(controls!$B$10=1,hystere!N101+hystere!M101,hystere!Q101)</f>
        <v>-374.23750000000007</v>
      </c>
      <c r="Q101" s="61">
        <f ca="1">IF('main page'!$Y$53=1,'choose m.p.'!$I$22*100,R101)</f>
        <v>-374.23750000000007</v>
      </c>
      <c r="R101" s="83">
        <f ca="1">'main page'!$K$29*M101+(1-'main page'!$K$29)*controls!$B$9+S101+(('main page'!$K$25*'main page'!$U$13*'main page'!$K$29)/('main page'!$K$27*(1+('main page'!$K$25^2)*'main page'!$U$13)))*(M101-(controls!$B$9/100)*100)</f>
        <v>-374.23750000000007</v>
      </c>
      <c r="S101" s="81">
        <f ca="1">IF(controls!$B$33=1,(J102-E101*X102-B101)/'main page'!$K$27,(I102-E101*X102-B101)/'main page'!$K$27)</f>
        <v>53.45</v>
      </c>
      <c r="U101" s="58">
        <f>IF(controls!$B$6=1,$AG$4*(1+('main page'!$K$35/100))^V101-$AG$4*(1+('main page'!$K$35/100))^V100,$AG$4*(1+('main page'!$G$8/100))*(1+('main page'!$K$35/100))^V101-$AG$4*(1+('main page'!$G$8/100))*(1+('main page'!$K$35/100))^V100)</f>
        <v>0</v>
      </c>
      <c r="V101" s="60">
        <v>93</v>
      </c>
      <c r="W101" s="36">
        <f>'normal case'!AC100</f>
        <v>0</v>
      </c>
      <c r="X101" s="36">
        <f>'normal case'!AD100</f>
        <v>0</v>
      </c>
      <c r="Y101" s="44">
        <f ca="1">IF(controls!$B$33=1,E101-($J$4-'main page'!$K$27*2)*(1+('main page'!$K$35/100))^A100,E101-$AG$5)</f>
        <v>-99.9</v>
      </c>
      <c r="Z101" s="44">
        <f ca="1">ABS(M101-(controls!$B$9/100)*100)</f>
        <v>343.75000000000006</v>
      </c>
      <c r="AI101" s="36"/>
      <c r="AJ101" s="36"/>
    </row>
    <row r="102" spans="1:36">
      <c r="A102" s="43">
        <v>99</v>
      </c>
      <c r="B102" s="62">
        <f ca="1">IF(controls!$B$6=2,AVERAGE(E98:E101)+B101*W102+hystere!$AG$9,AVERAGE(E98:E101)+B101*W102)</f>
        <v>1.1000000000000001</v>
      </c>
      <c r="C102" s="67">
        <f t="shared" ca="1" si="7"/>
        <v>0</v>
      </c>
      <c r="D102" s="88">
        <f t="shared" ca="1" si="8"/>
        <v>-1</v>
      </c>
      <c r="E102" s="64">
        <f t="shared" ca="1" si="9"/>
        <v>0.1</v>
      </c>
      <c r="F102" s="64">
        <f ca="1">IF('main page'!$K$34=1,hystere!H102,hystere!G102)</f>
        <v>-575.50000000000011</v>
      </c>
      <c r="G102" s="78">
        <f ca="1">I102-'main page'!$K$27*hystere!N101</f>
        <v>-575.50000000000011</v>
      </c>
      <c r="H102" s="62">
        <f ca="1">J102-'main page'!$K$27*N101</f>
        <v>-575.50000000000011</v>
      </c>
      <c r="I102" s="62">
        <f t="shared" ca="1" si="10"/>
        <v>108</v>
      </c>
      <c r="J102" s="62">
        <f t="shared" ca="1" si="11"/>
        <v>108</v>
      </c>
      <c r="M102" s="62">
        <f ca="1">IF(ABS('main page'!$K$29*M101+(1-'main page'!$K$29)*(controls!$B$9/100)*100+'main page'!$K$25*(E102-B102)-M101)&lt;0.0000001,M101,'main page'!$K$29*M101+(1-'main page'!$K$29)*(controls!$B$9/100)*100+'main page'!$K$25*(E102-B102))</f>
        <v>-342.75000000000006</v>
      </c>
      <c r="N102" s="62">
        <f ca="1">IF(controls!$B$10=1,N101,O102-'main page'!$K$29*M102-(1-'main page'!$K$29)*controls!$B$9)</f>
        <v>342.75000000000006</v>
      </c>
      <c r="O102" s="61">
        <f t="shared" ca="1" si="6"/>
        <v>0</v>
      </c>
      <c r="P102" s="63">
        <f ca="1">IF(controls!$B$10=1,hystere!N102+hystere!M102,hystere!Q102)</f>
        <v>-375.48750000000007</v>
      </c>
      <c r="Q102" s="61">
        <f ca="1">IF('main page'!$Y$53=1,'choose m.p.'!$I$22*100,R102)</f>
        <v>-375.48750000000007</v>
      </c>
      <c r="R102" s="83">
        <f ca="1">'main page'!$K$29*M102+(1-'main page'!$K$29)*controls!$B$9+S102+(('main page'!$K$25*'main page'!$U$13*'main page'!$K$29)/('main page'!$K$27*(1+('main page'!$K$25^2)*'main page'!$U$13)))*(M102-(controls!$B$9/100)*100)</f>
        <v>-375.48750000000007</v>
      </c>
      <c r="S102" s="81">
        <f ca="1">IF(controls!$B$33=1,(J103-E102*X103-B102)/'main page'!$K$27,(I103-E102*X103-B102)/'main page'!$K$27)</f>
        <v>53.45</v>
      </c>
      <c r="U102" s="58">
        <f>IF(controls!$B$6=1,$AG$4*(1+('main page'!$K$35/100))^V102-$AG$4*(1+('main page'!$K$35/100))^V101,$AG$4*(1+('main page'!$G$8/100))*(1+('main page'!$K$35/100))^V102-$AG$4*(1+('main page'!$G$8/100))*(1+('main page'!$K$35/100))^V101)</f>
        <v>0</v>
      </c>
      <c r="V102" s="60">
        <v>94</v>
      </c>
      <c r="W102" s="36">
        <f ca="1">'normal case'!AC101</f>
        <v>0</v>
      </c>
      <c r="X102" s="36">
        <f ca="1">'normal case'!AD101</f>
        <v>0</v>
      </c>
      <c r="Y102" s="44">
        <f ca="1">IF(controls!$B$33=1,E102-($J$4-'main page'!$K$27*2)*(1+('main page'!$K$35/100))^A101,E102-$AG$5)</f>
        <v>-99.9</v>
      </c>
      <c r="Z102" s="44">
        <f ca="1">ABS(M102-(controls!$B$9/100)*100)</f>
        <v>344.75000000000006</v>
      </c>
      <c r="AI102" s="36"/>
      <c r="AJ102" s="36"/>
    </row>
    <row r="103" spans="1:36">
      <c r="A103" s="43">
        <v>100</v>
      </c>
      <c r="B103" s="62">
        <f ca="1">IF(controls!$B$6=2,AVERAGE(E99:E102)+B102*W103+hystere!$AG$9,AVERAGE(E99:E102)+B102*W103)</f>
        <v>1.1000000000000001</v>
      </c>
      <c r="C103" s="67">
        <f t="shared" ca="1" si="7"/>
        <v>0</v>
      </c>
      <c r="D103" s="88">
        <f t="shared" ca="1" si="8"/>
        <v>-1</v>
      </c>
      <c r="E103" s="64">
        <f t="shared" ca="1" si="9"/>
        <v>0.1</v>
      </c>
      <c r="F103" s="64">
        <f ca="1">IF('main page'!$K$34=1,hystere!H103,hystere!G103)</f>
        <v>-577.50000000000011</v>
      </c>
      <c r="G103" s="78">
        <f ca="1">I103-'main page'!$K$27*hystere!N102</f>
        <v>-577.50000000000011</v>
      </c>
      <c r="H103" s="62">
        <f ca="1">J103-'main page'!$K$27*N102</f>
        <v>-577.50000000000011</v>
      </c>
      <c r="I103" s="62">
        <f t="shared" ca="1" si="10"/>
        <v>108</v>
      </c>
      <c r="J103" s="62">
        <f t="shared" ca="1" si="11"/>
        <v>108</v>
      </c>
      <c r="M103" s="62">
        <f ca="1">IF(ABS('main page'!$K$29*M102+(1-'main page'!$K$29)*(controls!$B$9/100)*100+'main page'!$K$25*(E103-B103)-M102)&lt;0.0000001,M102,'main page'!$K$29*M102+(1-'main page'!$K$29)*(controls!$B$9/100)*100+'main page'!$K$25*(E103-B103))</f>
        <v>-343.75000000000006</v>
      </c>
      <c r="N103" s="62">
        <f ca="1">IF(controls!$B$10=1,N102,O103-'main page'!$K$29*M103-(1-'main page'!$K$29)*controls!$B$9)</f>
        <v>343.75000000000006</v>
      </c>
      <c r="O103" s="61">
        <f t="shared" ca="1" si="6"/>
        <v>0</v>
      </c>
      <c r="P103" s="63">
        <f ca="1">IF(controls!$B$10=1,hystere!N103+hystere!M103,hystere!Q103)</f>
        <v>-376.73750000000007</v>
      </c>
      <c r="Q103" s="61">
        <f ca="1">IF('main page'!$Y$53=1,'choose m.p.'!$I$22*100,R103)</f>
        <v>-376.73750000000007</v>
      </c>
      <c r="R103" s="83">
        <f ca="1">'main page'!$K$29*M103+(1-'main page'!$K$29)*controls!$B$9+S103+(('main page'!$K$25*'main page'!$U$13*'main page'!$K$29)/('main page'!$K$27*(1+('main page'!$K$25^2)*'main page'!$U$13)))*(M103-(controls!$B$9/100)*100)</f>
        <v>-376.73750000000007</v>
      </c>
      <c r="S103" s="81">
        <f ca="1">IF(controls!$B$33=1,(J104-E103*X104-B103)/'main page'!$K$27,(I104-E103*X104-B103)/'main page'!$K$27)</f>
        <v>53.45</v>
      </c>
      <c r="U103" s="58">
        <f>IF(controls!$B$6=1,$AG$4*(1+('main page'!$K$35/100))^V103-$AG$4*(1+('main page'!$K$35/100))^V102,$AG$4*(1+('main page'!$G$8/100))*(1+('main page'!$K$35/100))^V103-$AG$4*(1+('main page'!$G$8/100))*(1+('main page'!$K$35/100))^V102)</f>
        <v>0</v>
      </c>
      <c r="V103" s="60">
        <v>95</v>
      </c>
      <c r="W103" s="36">
        <f>'normal case'!AC102</f>
        <v>0</v>
      </c>
      <c r="X103" s="36">
        <f>'normal case'!AD102</f>
        <v>0</v>
      </c>
      <c r="Y103" s="44">
        <f ca="1">IF(controls!$B$33=1,E103-($J$4-'main page'!$K$27*2)*(1+('main page'!$K$35/100))^A102,E103-$AG$5)</f>
        <v>-99.9</v>
      </c>
      <c r="Z103" s="44">
        <f ca="1">ABS(M103-(controls!$B$9/100)*100)</f>
        <v>345.75000000000006</v>
      </c>
      <c r="AI103" s="36"/>
      <c r="AJ103" s="36"/>
    </row>
    <row r="104" spans="1:36">
      <c r="A104" s="43">
        <v>101</v>
      </c>
      <c r="B104" s="62">
        <f ca="1">IF(controls!$B$6=2,AVERAGE(E100:E103)+B103*W104+hystere!$AG$9,AVERAGE(E100:E103)+B103*W104)</f>
        <v>1.1000000000000001</v>
      </c>
      <c r="C104" s="67">
        <f t="shared" ca="1" si="7"/>
        <v>0</v>
      </c>
      <c r="D104" s="88">
        <f t="shared" ca="1" si="8"/>
        <v>-1</v>
      </c>
      <c r="E104" s="64">
        <f t="shared" ca="1" si="9"/>
        <v>0.1</v>
      </c>
      <c r="F104" s="64">
        <f ca="1">IF('main page'!$K$34=1,hystere!H104,hystere!G104)</f>
        <v>-579.50000000000011</v>
      </c>
      <c r="G104" s="78">
        <f ca="1">I104-'main page'!$K$27*hystere!N103</f>
        <v>-579.50000000000011</v>
      </c>
      <c r="H104" s="62">
        <f ca="1">J104-'main page'!$K$27*N103</f>
        <v>-579.50000000000011</v>
      </c>
      <c r="I104" s="62">
        <f t="shared" ca="1" si="10"/>
        <v>108</v>
      </c>
      <c r="J104" s="62">
        <f t="shared" ca="1" si="11"/>
        <v>108</v>
      </c>
      <c r="M104" s="62">
        <f ca="1">IF(ABS('main page'!$K$29*M103+(1-'main page'!$K$29)*(controls!$B$9/100)*100+'main page'!$K$25*(E104-B104)-M103)&lt;0.0000001,M103,'main page'!$K$29*M103+(1-'main page'!$K$29)*(controls!$B$9/100)*100+'main page'!$K$25*(E104-B104))</f>
        <v>-344.75000000000006</v>
      </c>
      <c r="N104" s="62">
        <f ca="1">IF(controls!$B$10=1,N103,O104-'main page'!$K$29*M104-(1-'main page'!$K$29)*controls!$B$9)</f>
        <v>344.75000000000006</v>
      </c>
      <c r="O104" s="61">
        <f t="shared" ca="1" si="6"/>
        <v>0</v>
      </c>
      <c r="P104" s="63">
        <f ca="1">IF(controls!$B$10=1,hystere!N104+hystere!M104,hystere!Q104)</f>
        <v>-377.98750000000007</v>
      </c>
      <c r="Q104" s="61">
        <f ca="1">IF('main page'!$Y$53=1,'choose m.p.'!$I$22*100,R104)</f>
        <v>-377.98750000000007</v>
      </c>
      <c r="R104" s="83">
        <f ca="1">'main page'!$K$29*M104+(1-'main page'!$K$29)*controls!$B$9+S104+(('main page'!$K$25*'main page'!$U$13*'main page'!$K$29)/('main page'!$K$27*(1+('main page'!$K$25^2)*'main page'!$U$13)))*(M104-(controls!$B$9/100)*100)</f>
        <v>-377.98750000000007</v>
      </c>
      <c r="S104" s="81">
        <f ca="1">IF(controls!$B$33=1,(J105-E104*X105-B104)/'main page'!$K$27,(I105-E104*X105-B104)/'main page'!$K$27)</f>
        <v>53.45</v>
      </c>
      <c r="U104" s="58">
        <f>IF(controls!$B$6=1,$AG$4*(1+('main page'!$K$35/100))^V104-$AG$4*(1+('main page'!$K$35/100))^V103,$AG$4*(1+('main page'!$G$8/100))*(1+('main page'!$K$35/100))^V104-$AG$4*(1+('main page'!$G$8/100))*(1+('main page'!$K$35/100))^V103)</f>
        <v>0</v>
      </c>
      <c r="V104" s="60">
        <v>96</v>
      </c>
      <c r="W104" s="36">
        <f>'normal case'!AC103</f>
        <v>0</v>
      </c>
      <c r="X104" s="36">
        <f>'normal case'!AD103</f>
        <v>0</v>
      </c>
      <c r="Y104" s="44">
        <f ca="1">IF(controls!$B$33=1,E104-($J$4-'main page'!$K$27*2)*(1+('main page'!$K$35/100))^A103,E104-$AG$5)</f>
        <v>-99.9</v>
      </c>
      <c r="Z104" s="44">
        <f ca="1">ABS(M104-(controls!$B$9/100)*100)</f>
        <v>346.75000000000006</v>
      </c>
      <c r="AI104" s="36"/>
      <c r="AJ104" s="36"/>
    </row>
    <row r="105" spans="1:36">
      <c r="A105" s="43">
        <v>102</v>
      </c>
      <c r="B105" s="62">
        <f ca="1">IF(controls!$B$6=2,AVERAGE(E101:E104)+B104*W105+hystere!$AG$9,AVERAGE(E101:E104)+B104*W105)</f>
        <v>1.1000000000000001</v>
      </c>
      <c r="C105" s="67">
        <f t="shared" ca="1" si="7"/>
        <v>0</v>
      </c>
      <c r="D105" s="88">
        <f t="shared" ca="1" si="8"/>
        <v>-1</v>
      </c>
      <c r="E105" s="64">
        <f t="shared" ca="1" si="9"/>
        <v>0.1</v>
      </c>
      <c r="F105" s="64">
        <f ca="1">IF('main page'!$K$34=1,hystere!H105,hystere!G105)</f>
        <v>-581.50000000000011</v>
      </c>
      <c r="G105" s="78">
        <f ca="1">I105-'main page'!$K$27*hystere!N104</f>
        <v>-581.50000000000011</v>
      </c>
      <c r="H105" s="62">
        <f ca="1">J105-'main page'!$K$27*N104</f>
        <v>-581.50000000000011</v>
      </c>
      <c r="I105" s="62">
        <f t="shared" ca="1" si="10"/>
        <v>108</v>
      </c>
      <c r="J105" s="62">
        <f t="shared" ca="1" si="11"/>
        <v>108</v>
      </c>
      <c r="M105" s="62">
        <f ca="1">IF(ABS('main page'!$K$29*M104+(1-'main page'!$K$29)*(controls!$B$9/100)*100+'main page'!$K$25*(E105-B105)-M104)&lt;0.0000001,M104,'main page'!$K$29*M104+(1-'main page'!$K$29)*(controls!$B$9/100)*100+'main page'!$K$25*(E105-B105))</f>
        <v>-345.75000000000006</v>
      </c>
      <c r="N105" s="62">
        <f ca="1">IF(controls!$B$10=1,N104,O105-'main page'!$K$29*M105-(1-'main page'!$K$29)*controls!$B$9)</f>
        <v>345.75000000000006</v>
      </c>
      <c r="O105" s="61">
        <f t="shared" ca="1" si="6"/>
        <v>0</v>
      </c>
      <c r="P105" s="63">
        <f ca="1">IF(controls!$B$10=1,hystere!N105+hystere!M105,hystere!Q105)</f>
        <v>-379.23750000000007</v>
      </c>
      <c r="Q105" s="61">
        <f ca="1">IF('main page'!$Y$53=1,'choose m.p.'!$I$22*100,R105)</f>
        <v>-379.23750000000007</v>
      </c>
      <c r="R105" s="83">
        <f ca="1">'main page'!$K$29*M105+(1-'main page'!$K$29)*controls!$B$9+S105+(('main page'!$K$25*'main page'!$U$13*'main page'!$K$29)/('main page'!$K$27*(1+('main page'!$K$25^2)*'main page'!$U$13)))*(M105-(controls!$B$9/100)*100)</f>
        <v>-379.23750000000007</v>
      </c>
      <c r="S105" s="81">
        <f ca="1">IF(controls!$B$33=1,(J106-E105*X106-B105)/'main page'!$K$27,(I106-E105*X106-B105)/'main page'!$K$27)</f>
        <v>53.45</v>
      </c>
      <c r="U105" s="58">
        <f>IF(controls!$B$6=1,$AG$4*(1+('main page'!$K$35/100))^V105-$AG$4*(1+('main page'!$K$35/100))^V104,$AG$4*(1+('main page'!$G$8/100))*(1+('main page'!$K$35/100))^V105-$AG$4*(1+('main page'!$G$8/100))*(1+('main page'!$K$35/100))^V104)</f>
        <v>0</v>
      </c>
      <c r="V105" s="60">
        <v>97</v>
      </c>
      <c r="W105" s="36">
        <f ca="1">'normal case'!AC104</f>
        <v>0</v>
      </c>
      <c r="X105" s="36">
        <f ca="1">'normal case'!AD104</f>
        <v>0</v>
      </c>
      <c r="Y105" s="44">
        <f ca="1">IF(controls!$B$33=1,E105-($J$4-'main page'!$K$27*2)*(1+('main page'!$K$35/100))^A104,E105-$AG$5)</f>
        <v>-99.9</v>
      </c>
      <c r="Z105" s="44">
        <f ca="1">ABS(M105-(controls!$B$9/100)*100)</f>
        <v>347.75000000000006</v>
      </c>
      <c r="AI105" s="36"/>
      <c r="AJ105" s="36"/>
    </row>
    <row r="106" spans="1:36">
      <c r="A106" s="43">
        <v>103</v>
      </c>
      <c r="B106" s="62">
        <f ca="1">IF(controls!$B$6=2,AVERAGE(E102:E105)+B105*W106+hystere!$AG$9,AVERAGE(E102:E105)+B105*W106)</f>
        <v>1.1000000000000001</v>
      </c>
      <c r="C106" s="67">
        <f t="shared" ca="1" si="7"/>
        <v>0</v>
      </c>
      <c r="D106" s="88">
        <f t="shared" ca="1" si="8"/>
        <v>-1</v>
      </c>
      <c r="E106" s="64">
        <f t="shared" ca="1" si="9"/>
        <v>0.1</v>
      </c>
      <c r="F106" s="64">
        <f ca="1">IF('main page'!$K$34=1,hystere!H106,hystere!G106)</f>
        <v>-583.50000000000011</v>
      </c>
      <c r="G106" s="78">
        <f ca="1">I106-'main page'!$K$27*hystere!N105</f>
        <v>-583.50000000000011</v>
      </c>
      <c r="H106" s="62">
        <f ca="1">J106-'main page'!$K$27*N105</f>
        <v>-583.50000000000011</v>
      </c>
      <c r="I106" s="62">
        <f t="shared" ca="1" si="10"/>
        <v>108</v>
      </c>
      <c r="J106" s="62">
        <f t="shared" ca="1" si="11"/>
        <v>108</v>
      </c>
      <c r="M106" s="62">
        <f ca="1">IF(ABS('main page'!$K$29*M105+(1-'main page'!$K$29)*(controls!$B$9/100)*100+'main page'!$K$25*(E106-B106)-M105)&lt;0.0000001,M105,'main page'!$K$29*M105+(1-'main page'!$K$29)*(controls!$B$9/100)*100+'main page'!$K$25*(E106-B106))</f>
        <v>-346.75000000000006</v>
      </c>
      <c r="N106" s="62">
        <f ca="1">IF(controls!$B$10=1,N105,O106-'main page'!$K$29*M106-(1-'main page'!$K$29)*controls!$B$9)</f>
        <v>346.75000000000006</v>
      </c>
      <c r="O106" s="61">
        <f t="shared" ca="1" si="6"/>
        <v>0</v>
      </c>
      <c r="P106" s="63">
        <f ca="1">IF(controls!$B$10=1,hystere!N106+hystere!M106,hystere!Q106)</f>
        <v>-380.48750000000007</v>
      </c>
      <c r="Q106" s="61">
        <f ca="1">IF('main page'!$Y$53=1,'choose m.p.'!$I$22*100,R106)</f>
        <v>-380.48750000000007</v>
      </c>
      <c r="R106" s="83">
        <f ca="1">'main page'!$K$29*M106+(1-'main page'!$K$29)*controls!$B$9+S106+(('main page'!$K$25*'main page'!$U$13*'main page'!$K$29)/('main page'!$K$27*(1+('main page'!$K$25^2)*'main page'!$U$13)))*(M106-(controls!$B$9/100)*100)</f>
        <v>-380.48750000000007</v>
      </c>
      <c r="S106" s="81">
        <f ca="1">IF(controls!$B$33=1,(J107-E106*X107-B106)/'main page'!$K$27,(I107-E106*X107-B106)/'main page'!$K$27)</f>
        <v>53.45</v>
      </c>
      <c r="U106" s="58">
        <f>IF(controls!$B$6=1,$AG$4*(1+('main page'!$K$35/100))^V106-$AG$4*(1+('main page'!$K$35/100))^V105,$AG$4*(1+('main page'!$G$8/100))*(1+('main page'!$K$35/100))^V106-$AG$4*(1+('main page'!$G$8/100))*(1+('main page'!$K$35/100))^V105)</f>
        <v>0</v>
      </c>
      <c r="V106" s="60">
        <v>98</v>
      </c>
      <c r="W106" s="36">
        <f>'normal case'!AC105</f>
        <v>0</v>
      </c>
      <c r="X106" s="36">
        <f>'normal case'!AD105</f>
        <v>0</v>
      </c>
      <c r="Y106" s="44">
        <f ca="1">IF(controls!$B$33=1,E106-($J$4-'main page'!$K$27*2)*(1+('main page'!$K$35/100))^A105,E106-$AG$5)</f>
        <v>-99.9</v>
      </c>
      <c r="Z106" s="44">
        <f ca="1">ABS(M106-(controls!$B$9/100)*100)</f>
        <v>348.75000000000006</v>
      </c>
      <c r="AI106" s="36"/>
      <c r="AJ106" s="36"/>
    </row>
    <row r="107" spans="1:36">
      <c r="A107" s="43">
        <v>104</v>
      </c>
      <c r="B107" s="62">
        <f ca="1">IF(controls!$B$6=2,AVERAGE(E103:E106)+B106*W107+hystere!$AG$9,AVERAGE(E103:E106)+B106*W107)</f>
        <v>1.1000000000000001</v>
      </c>
      <c r="C107" s="67">
        <f t="shared" ca="1" si="7"/>
        <v>0</v>
      </c>
      <c r="D107" s="88">
        <f t="shared" ca="1" si="8"/>
        <v>-1</v>
      </c>
      <c r="E107" s="64">
        <f t="shared" ca="1" si="9"/>
        <v>0.1</v>
      </c>
      <c r="F107" s="64">
        <f ca="1">IF('main page'!$K$34=1,hystere!H107,hystere!G107)</f>
        <v>-585.50000000000011</v>
      </c>
      <c r="G107" s="78">
        <f ca="1">I107-'main page'!$K$27*hystere!N106</f>
        <v>-585.50000000000011</v>
      </c>
      <c r="H107" s="62">
        <f ca="1">J107-'main page'!$K$27*N106</f>
        <v>-585.50000000000011</v>
      </c>
      <c r="I107" s="62">
        <f t="shared" ca="1" si="10"/>
        <v>108</v>
      </c>
      <c r="J107" s="62">
        <f t="shared" ca="1" si="11"/>
        <v>108</v>
      </c>
      <c r="M107" s="62">
        <f ca="1">IF(ABS('main page'!$K$29*M106+(1-'main page'!$K$29)*(controls!$B$9/100)*100+'main page'!$K$25*(E107-B107)-M106)&lt;0.0000001,M106,'main page'!$K$29*M106+(1-'main page'!$K$29)*(controls!$B$9/100)*100+'main page'!$K$25*(E107-B107))</f>
        <v>-347.75000000000006</v>
      </c>
      <c r="N107" s="62">
        <f ca="1">IF(controls!$B$10=1,N106,O107-'main page'!$K$29*M107-(1-'main page'!$K$29)*controls!$B$9)</f>
        <v>347.75000000000006</v>
      </c>
      <c r="O107" s="61">
        <f t="shared" ca="1" si="6"/>
        <v>0</v>
      </c>
      <c r="P107" s="63">
        <f ca="1">IF(controls!$B$10=1,hystere!N107+hystere!M107,hystere!Q107)</f>
        <v>-381.73750000000007</v>
      </c>
      <c r="Q107" s="61">
        <f ca="1">IF('main page'!$Y$53=1,'choose m.p.'!$I$22*100,R107)</f>
        <v>-381.73750000000007</v>
      </c>
      <c r="R107" s="83">
        <f ca="1">'main page'!$K$29*M107+(1-'main page'!$K$29)*controls!$B$9+S107+(('main page'!$K$25*'main page'!$U$13*'main page'!$K$29)/('main page'!$K$27*(1+('main page'!$K$25^2)*'main page'!$U$13)))*(M107-(controls!$B$9/100)*100)</f>
        <v>-381.73750000000007</v>
      </c>
      <c r="S107" s="81">
        <f ca="1">IF(controls!$B$33=1,(J108-E107*X108-B107)/'main page'!$K$27,(I108-E107*X108-B107)/'main page'!$K$27)</f>
        <v>53.45</v>
      </c>
      <c r="U107" s="58">
        <f>IF(controls!$B$6=1,$AG$4*(1+('main page'!$K$35/100))^V107-$AG$4*(1+('main page'!$K$35/100))^V106,$AG$4*(1+('main page'!$G$8/100))*(1+('main page'!$K$35/100))^V107-$AG$4*(1+('main page'!$G$8/100))*(1+('main page'!$K$35/100))^V106)</f>
        <v>0</v>
      </c>
      <c r="V107" s="60">
        <v>99</v>
      </c>
      <c r="W107" s="36">
        <f>'normal case'!AC106</f>
        <v>0</v>
      </c>
      <c r="X107" s="36">
        <f>'normal case'!AD106</f>
        <v>0</v>
      </c>
      <c r="Y107" s="44">
        <f ca="1">IF(controls!$B$33=1,E107-($J$4-'main page'!$K$27*2)*(1+('main page'!$K$35/100))^A106,E107-$AG$5)</f>
        <v>-99.9</v>
      </c>
      <c r="Z107" s="44">
        <f ca="1">ABS(M107-(controls!$B$9/100)*100)</f>
        <v>349.75000000000006</v>
      </c>
      <c r="AI107" s="36"/>
      <c r="AJ107" s="36"/>
    </row>
    <row r="108" spans="1:36">
      <c r="A108" s="43">
        <v>105</v>
      </c>
      <c r="B108" s="62">
        <f ca="1">IF(controls!$B$6=2,AVERAGE(E104:E107)+B107*W108+hystere!$AG$9,AVERAGE(E104:E107)+B107*W108)</f>
        <v>1.1000000000000001</v>
      </c>
      <c r="C108" s="67">
        <f t="shared" ca="1" si="7"/>
        <v>0</v>
      </c>
      <c r="D108" s="88">
        <f t="shared" ca="1" si="8"/>
        <v>-1</v>
      </c>
      <c r="E108" s="64">
        <f t="shared" ca="1" si="9"/>
        <v>0.1</v>
      </c>
      <c r="F108" s="64">
        <f ca="1">IF('main page'!$K$34=1,hystere!H108,hystere!G108)</f>
        <v>-587.50000000000011</v>
      </c>
      <c r="G108" s="78">
        <f ca="1">I108-'main page'!$K$27*hystere!N107</f>
        <v>-587.50000000000011</v>
      </c>
      <c r="H108" s="62">
        <f ca="1">J108-'main page'!$K$27*N107</f>
        <v>-587.50000000000011</v>
      </c>
      <c r="I108" s="62">
        <f t="shared" ca="1" si="10"/>
        <v>108</v>
      </c>
      <c r="J108" s="62">
        <f t="shared" ca="1" si="11"/>
        <v>108</v>
      </c>
      <c r="M108" s="62">
        <f ca="1">IF(ABS('main page'!$K$29*M107+(1-'main page'!$K$29)*(controls!$B$9/100)*100+'main page'!$K$25*(E108-B108)-M107)&lt;0.0000001,M107,'main page'!$K$29*M107+(1-'main page'!$K$29)*(controls!$B$9/100)*100+'main page'!$K$25*(E108-B108))</f>
        <v>-348.75000000000006</v>
      </c>
      <c r="N108" s="62">
        <f ca="1">IF(controls!$B$10=1,N107,O108-'main page'!$K$29*M108-(1-'main page'!$K$29)*controls!$B$9)</f>
        <v>348.75000000000006</v>
      </c>
      <c r="O108" s="61">
        <f t="shared" ca="1" si="6"/>
        <v>0</v>
      </c>
      <c r="P108" s="63">
        <f ca="1">IF(controls!$B$10=1,hystere!N108+hystere!M108,hystere!Q108)</f>
        <v>-382.98750000000007</v>
      </c>
      <c r="Q108" s="61">
        <f ca="1">IF('main page'!$Y$53=1,'choose m.p.'!$I$22*100,R108)</f>
        <v>-382.98750000000007</v>
      </c>
      <c r="R108" s="83">
        <f ca="1">'main page'!$K$29*M108+(1-'main page'!$K$29)*controls!$B$9+S108+(('main page'!$K$25*'main page'!$U$13*'main page'!$K$29)/('main page'!$K$27*(1+('main page'!$K$25^2)*'main page'!$U$13)))*(M108-(controls!$B$9/100)*100)</f>
        <v>-382.98750000000007</v>
      </c>
      <c r="S108" s="81">
        <f ca="1">IF(controls!$B$33=1,(J109-E108*X109-B108)/'main page'!$K$27,(I109-E108*X109-B108)/'main page'!$K$27)</f>
        <v>53.45</v>
      </c>
      <c r="U108" s="58">
        <f>IF(controls!$B$6=1,$AG$4*(1+('main page'!$K$35/100))^V108-$AG$4*(1+('main page'!$K$35/100))^V107,$AG$4*(1+('main page'!$G$8/100))*(1+('main page'!$K$35/100))^V108-$AG$4*(1+('main page'!$G$8/100))*(1+('main page'!$K$35/100))^V107)</f>
        <v>0</v>
      </c>
      <c r="V108" s="60">
        <v>100</v>
      </c>
      <c r="W108" s="36">
        <f ca="1">'normal case'!AC107</f>
        <v>0</v>
      </c>
      <c r="X108" s="36">
        <f ca="1">'normal case'!AD107</f>
        <v>0</v>
      </c>
      <c r="Y108" s="44">
        <f ca="1">IF(controls!$B$33=1,E108-($J$4-'main page'!$K$27*2)*(1+('main page'!$K$35/100))^A107,E108-$AG$5)</f>
        <v>-99.9</v>
      </c>
      <c r="Z108" s="44">
        <f ca="1">ABS(M108-(controls!$B$9/100)*100)</f>
        <v>350.75000000000006</v>
      </c>
      <c r="AI108" s="36"/>
      <c r="AJ108" s="36"/>
    </row>
    <row r="109" spans="1:36">
      <c r="A109" s="43">
        <v>106</v>
      </c>
      <c r="B109" s="62">
        <f ca="1">IF(controls!$B$6=2,AVERAGE(E105:E108)+B108*W109+hystere!$AG$9,AVERAGE(E105:E108)+B108*W109)</f>
        <v>1.1000000000000001</v>
      </c>
      <c r="C109" s="67">
        <f t="shared" ca="1" si="7"/>
        <v>0</v>
      </c>
      <c r="D109" s="88">
        <f t="shared" ca="1" si="8"/>
        <v>-1</v>
      </c>
      <c r="E109" s="64">
        <f t="shared" ca="1" si="9"/>
        <v>0.1</v>
      </c>
      <c r="F109" s="64">
        <f ca="1">IF('main page'!$K$34=1,hystere!H109,hystere!G109)</f>
        <v>-589.50000000000011</v>
      </c>
      <c r="G109" s="78">
        <f ca="1">I109-'main page'!$K$27*hystere!N108</f>
        <v>-589.50000000000011</v>
      </c>
      <c r="H109" s="62">
        <f ca="1">J109-'main page'!$K$27*N108</f>
        <v>-589.50000000000011</v>
      </c>
      <c r="I109" s="62">
        <f t="shared" ca="1" si="10"/>
        <v>108</v>
      </c>
      <c r="J109" s="62">
        <f t="shared" ca="1" si="11"/>
        <v>108</v>
      </c>
      <c r="M109" s="62">
        <f ca="1">IF(ABS('main page'!$K$29*M108+(1-'main page'!$K$29)*(controls!$B$9/100)*100+'main page'!$K$25*(E109-B109)-M108)&lt;0.0000001,M108,'main page'!$K$29*M108+(1-'main page'!$K$29)*(controls!$B$9/100)*100+'main page'!$K$25*(E109-B109))</f>
        <v>-349.75000000000006</v>
      </c>
      <c r="N109" s="62">
        <f ca="1">IF(controls!$B$10=1,N108,O109-'main page'!$K$29*M109-(1-'main page'!$K$29)*controls!$B$9)</f>
        <v>349.75000000000006</v>
      </c>
      <c r="O109" s="61">
        <f t="shared" ca="1" si="6"/>
        <v>0</v>
      </c>
      <c r="P109" s="63">
        <f ca="1">IF(controls!$B$10=1,hystere!N109+hystere!M109,hystere!Q109)</f>
        <v>-384.23750000000007</v>
      </c>
      <c r="Q109" s="61">
        <f ca="1">IF('main page'!$Y$53=1,'choose m.p.'!$I$22*100,R109)</f>
        <v>-384.23750000000007</v>
      </c>
      <c r="R109" s="83">
        <f ca="1">'main page'!$K$29*M109+(1-'main page'!$K$29)*controls!$B$9+S109+(('main page'!$K$25*'main page'!$U$13*'main page'!$K$29)/('main page'!$K$27*(1+('main page'!$K$25^2)*'main page'!$U$13)))*(M109-(controls!$B$9/100)*100)</f>
        <v>-384.23750000000007</v>
      </c>
      <c r="S109" s="81">
        <f ca="1">IF(controls!$B$33=1,(J110-E109*X110-B109)/'main page'!$K$27,(I110-E109*X110-B109)/'main page'!$K$27)</f>
        <v>53.45</v>
      </c>
      <c r="U109" s="58">
        <f>IF(controls!$B$6=1,$AG$4*(1+('main page'!$K$35/100))^V109-$AG$4*(1+('main page'!$K$35/100))^V108,$AG$4*(1+('main page'!$G$8/100))*(1+('main page'!$K$35/100))^V109-$AG$4*(1+('main page'!$G$8/100))*(1+('main page'!$K$35/100))^V108)</f>
        <v>0</v>
      </c>
      <c r="V109" s="60">
        <v>101</v>
      </c>
      <c r="W109" s="36">
        <f>'normal case'!AC108</f>
        <v>0</v>
      </c>
      <c r="X109" s="36">
        <f>'normal case'!AD108</f>
        <v>0</v>
      </c>
      <c r="Y109" s="44">
        <f ca="1">IF(controls!$B$33=1,E109-($J$4-'main page'!$K$27*2)*(1+('main page'!$K$35/100))^A108,E109-$AG$5)</f>
        <v>-99.9</v>
      </c>
      <c r="Z109" s="44">
        <f ca="1">ABS(M109-(controls!$B$9/100)*100)</f>
        <v>351.75000000000006</v>
      </c>
      <c r="AI109" s="36"/>
      <c r="AJ109" s="36"/>
    </row>
    <row r="110" spans="1:36">
      <c r="A110" s="43">
        <v>107</v>
      </c>
      <c r="B110" s="62">
        <f ca="1">IF(controls!$B$6=2,AVERAGE(E106:E109)+B109*W110+hystere!$AG$9,AVERAGE(E106:E109)+B109*W110)</f>
        <v>1.1000000000000001</v>
      </c>
      <c r="C110" s="67">
        <f t="shared" ca="1" si="7"/>
        <v>0</v>
      </c>
      <c r="D110" s="88">
        <f t="shared" ca="1" si="8"/>
        <v>-1</v>
      </c>
      <c r="E110" s="64">
        <f t="shared" ca="1" si="9"/>
        <v>0.1</v>
      </c>
      <c r="F110" s="64">
        <f ca="1">IF('main page'!$K$34=1,hystere!H110,hystere!G110)</f>
        <v>-591.50000000000011</v>
      </c>
      <c r="G110" s="78">
        <f ca="1">I110-'main page'!$K$27*hystere!N109</f>
        <v>-591.50000000000011</v>
      </c>
      <c r="H110" s="62">
        <f ca="1">J110-'main page'!$K$27*N109</f>
        <v>-591.50000000000011</v>
      </c>
      <c r="I110" s="62">
        <f t="shared" ca="1" si="10"/>
        <v>108</v>
      </c>
      <c r="J110" s="62">
        <f t="shared" ca="1" si="11"/>
        <v>108</v>
      </c>
      <c r="M110" s="62">
        <f ca="1">IF(ABS('main page'!$K$29*M109+(1-'main page'!$K$29)*(controls!$B$9/100)*100+'main page'!$K$25*(E110-B110)-M109)&lt;0.0000001,M109,'main page'!$K$29*M109+(1-'main page'!$K$29)*(controls!$B$9/100)*100+'main page'!$K$25*(E110-B110))</f>
        <v>-350.75000000000006</v>
      </c>
      <c r="N110" s="62">
        <f ca="1">IF(controls!$B$10=1,N109,O110-'main page'!$K$29*M110-(1-'main page'!$K$29)*controls!$B$9)</f>
        <v>350.75000000000006</v>
      </c>
      <c r="O110" s="61">
        <f t="shared" ca="1" si="6"/>
        <v>0</v>
      </c>
      <c r="P110" s="63">
        <f ca="1">IF(controls!$B$10=1,hystere!N110+hystere!M110,hystere!Q110)</f>
        <v>-385.48750000000007</v>
      </c>
      <c r="Q110" s="61">
        <f ca="1">IF('main page'!$Y$53=1,'choose m.p.'!$I$22*100,R110)</f>
        <v>-385.48750000000007</v>
      </c>
      <c r="R110" s="83">
        <f ca="1">'main page'!$K$29*M110+(1-'main page'!$K$29)*controls!$B$9+S110+(('main page'!$K$25*'main page'!$U$13*'main page'!$K$29)/('main page'!$K$27*(1+('main page'!$K$25^2)*'main page'!$U$13)))*(M110-(controls!$B$9/100)*100)</f>
        <v>-385.48750000000007</v>
      </c>
      <c r="S110" s="81">
        <f ca="1">IF(controls!$B$33=1,(J111-E110*X111-B110)/'main page'!$K$27,(I111-E110*X111-B110)/'main page'!$K$27)</f>
        <v>53.45</v>
      </c>
      <c r="U110" s="58">
        <f>IF(controls!$B$6=1,$AG$4*(1+('main page'!$K$35/100))^V110-$AG$4*(1+('main page'!$K$35/100))^V109,$AG$4*(1+('main page'!$G$8/100))*(1+('main page'!$K$35/100))^V110-$AG$4*(1+('main page'!$G$8/100))*(1+('main page'!$K$35/100))^V109)</f>
        <v>0</v>
      </c>
      <c r="V110" s="60">
        <v>102</v>
      </c>
      <c r="W110" s="36">
        <f>'normal case'!AC109</f>
        <v>0</v>
      </c>
      <c r="X110" s="36">
        <f>'normal case'!AD109</f>
        <v>0</v>
      </c>
      <c r="Y110" s="44">
        <f ca="1">IF(controls!$B$33=1,E110-($J$4-'main page'!$K$27*2)*(1+('main page'!$K$35/100))^A109,E110-$AG$5)</f>
        <v>-99.9</v>
      </c>
      <c r="Z110" s="44">
        <f ca="1">ABS(M110-(controls!$B$9/100)*100)</f>
        <v>352.75000000000006</v>
      </c>
      <c r="AI110" s="36"/>
      <c r="AJ110" s="36"/>
    </row>
    <row r="111" spans="1:36">
      <c r="A111" s="43">
        <v>108</v>
      </c>
      <c r="B111" s="62">
        <f ca="1">IF(controls!$B$6=2,AVERAGE(E107:E110)+B110*W111+hystere!$AG$9,AVERAGE(E107:E110)+B110*W111)</f>
        <v>1.1000000000000001</v>
      </c>
      <c r="C111" s="67">
        <f t="shared" ca="1" si="7"/>
        <v>0</v>
      </c>
      <c r="D111" s="88">
        <f t="shared" ca="1" si="8"/>
        <v>-1</v>
      </c>
      <c r="E111" s="64">
        <f t="shared" ca="1" si="9"/>
        <v>0.1</v>
      </c>
      <c r="F111" s="64">
        <f ca="1">IF('main page'!$K$34=1,hystere!H111,hystere!G111)</f>
        <v>-593.50000000000011</v>
      </c>
      <c r="G111" s="78">
        <f ca="1">I111-'main page'!$K$27*hystere!N110</f>
        <v>-593.50000000000011</v>
      </c>
      <c r="H111" s="62">
        <f ca="1">J111-'main page'!$K$27*N110</f>
        <v>-593.50000000000011</v>
      </c>
      <c r="I111" s="62">
        <f t="shared" ca="1" si="10"/>
        <v>108</v>
      </c>
      <c r="J111" s="62">
        <f t="shared" ca="1" si="11"/>
        <v>108</v>
      </c>
      <c r="M111" s="62">
        <f ca="1">IF(ABS('main page'!$K$29*M110+(1-'main page'!$K$29)*(controls!$B$9/100)*100+'main page'!$K$25*(E111-B111)-M110)&lt;0.0000001,M110,'main page'!$K$29*M110+(1-'main page'!$K$29)*(controls!$B$9/100)*100+'main page'!$K$25*(E111-B111))</f>
        <v>-351.75000000000006</v>
      </c>
      <c r="N111" s="62">
        <f ca="1">IF(controls!$B$10=1,N110,O111-'main page'!$K$29*M111-(1-'main page'!$K$29)*controls!$B$9)</f>
        <v>351.75000000000006</v>
      </c>
      <c r="O111" s="61">
        <f t="shared" ca="1" si="6"/>
        <v>0</v>
      </c>
      <c r="P111" s="63">
        <f ca="1">IF(controls!$B$10=1,hystere!N111+hystere!M111,hystere!Q111)</f>
        <v>-386.73750000000007</v>
      </c>
      <c r="Q111" s="61">
        <f ca="1">IF('main page'!$Y$53=1,'choose m.p.'!$I$22*100,R111)</f>
        <v>-386.73750000000007</v>
      </c>
      <c r="R111" s="83">
        <f ca="1">'main page'!$K$29*M111+(1-'main page'!$K$29)*controls!$B$9+S111+(('main page'!$K$25*'main page'!$U$13*'main page'!$K$29)/('main page'!$K$27*(1+('main page'!$K$25^2)*'main page'!$U$13)))*(M111-(controls!$B$9/100)*100)</f>
        <v>-386.73750000000007</v>
      </c>
      <c r="S111" s="81">
        <f ca="1">IF(controls!$B$33=1,(J112-E111*X112-B111)/'main page'!$K$27,(I112-E111*X112-B111)/'main page'!$K$27)</f>
        <v>53.45</v>
      </c>
      <c r="U111" s="58">
        <f>IF(controls!$B$6=1,$AG$4*(1+('main page'!$K$35/100))^V111-$AG$4*(1+('main page'!$K$35/100))^V110,$AG$4*(1+('main page'!$G$8/100))*(1+('main page'!$K$35/100))^V111-$AG$4*(1+('main page'!$G$8/100))*(1+('main page'!$K$35/100))^V110)</f>
        <v>0</v>
      </c>
      <c r="V111" s="60">
        <v>103</v>
      </c>
      <c r="W111" s="36">
        <f ca="1">'normal case'!AC110</f>
        <v>0</v>
      </c>
      <c r="X111" s="36">
        <f ca="1">'normal case'!AD110</f>
        <v>0</v>
      </c>
      <c r="Y111" s="44">
        <f ca="1">IF(controls!$B$33=1,E111-($J$4-'main page'!$K$27*2)*(1+('main page'!$K$35/100))^A110,E111-$AG$5)</f>
        <v>-99.9</v>
      </c>
      <c r="Z111" s="44">
        <f ca="1">ABS(M111-(controls!$B$9/100)*100)</f>
        <v>353.75000000000006</v>
      </c>
      <c r="AI111" s="36"/>
      <c r="AJ111" s="36"/>
    </row>
    <row r="112" spans="1:36">
      <c r="A112" s="43">
        <v>109</v>
      </c>
      <c r="B112" s="62">
        <f ca="1">IF(controls!$B$6=2,AVERAGE(E108:E111)+B111*W112+hystere!$AG$9,AVERAGE(E108:E111)+B111*W112)</f>
        <v>1.1000000000000001</v>
      </c>
      <c r="C112" s="67">
        <f t="shared" ca="1" si="7"/>
        <v>0</v>
      </c>
      <c r="D112" s="88">
        <f t="shared" ca="1" si="8"/>
        <v>-1</v>
      </c>
      <c r="E112" s="64">
        <f t="shared" ca="1" si="9"/>
        <v>0.1</v>
      </c>
      <c r="F112" s="64">
        <f ca="1">IF('main page'!$K$34=1,hystere!H112,hystere!G112)</f>
        <v>-595.50000000000011</v>
      </c>
      <c r="G112" s="78">
        <f ca="1">I112-'main page'!$K$27*hystere!N111</f>
        <v>-595.50000000000011</v>
      </c>
      <c r="H112" s="62">
        <f ca="1">J112-'main page'!$K$27*N111</f>
        <v>-595.50000000000011</v>
      </c>
      <c r="I112" s="62">
        <f t="shared" ca="1" si="10"/>
        <v>108</v>
      </c>
      <c r="J112" s="62">
        <f t="shared" ca="1" si="11"/>
        <v>108</v>
      </c>
      <c r="M112" s="62">
        <f ca="1">IF(ABS('main page'!$K$29*M111+(1-'main page'!$K$29)*(controls!$B$9/100)*100+'main page'!$K$25*(E112-B112)-M111)&lt;0.0000001,M111,'main page'!$K$29*M111+(1-'main page'!$K$29)*(controls!$B$9/100)*100+'main page'!$K$25*(E112-B112))</f>
        <v>-352.75000000000006</v>
      </c>
      <c r="N112" s="62">
        <f ca="1">IF(controls!$B$10=1,N111,O112-'main page'!$K$29*M112-(1-'main page'!$K$29)*controls!$B$9)</f>
        <v>352.75000000000006</v>
      </c>
      <c r="O112" s="61">
        <f t="shared" ca="1" si="6"/>
        <v>0</v>
      </c>
      <c r="P112" s="63">
        <f ca="1">IF(controls!$B$10=1,hystere!N112+hystere!M112,hystere!Q112)</f>
        <v>-387.98750000000007</v>
      </c>
      <c r="Q112" s="61">
        <f ca="1">IF('main page'!$Y$53=1,'choose m.p.'!$I$22*100,R112)</f>
        <v>-387.98750000000007</v>
      </c>
      <c r="R112" s="83">
        <f ca="1">'main page'!$K$29*M112+(1-'main page'!$K$29)*controls!$B$9+S112+(('main page'!$K$25*'main page'!$U$13*'main page'!$K$29)/('main page'!$K$27*(1+('main page'!$K$25^2)*'main page'!$U$13)))*(M112-(controls!$B$9/100)*100)</f>
        <v>-387.98750000000007</v>
      </c>
      <c r="S112" s="81">
        <f ca="1">IF(controls!$B$33=1,(J113-E112*X113-B112)/'main page'!$K$27,(I113-E112*X113-B112)/'main page'!$K$27)</f>
        <v>53.45</v>
      </c>
      <c r="U112" s="58">
        <f>IF(controls!$B$6=1,$AG$4*(1+('main page'!$K$35/100))^V112-$AG$4*(1+('main page'!$K$35/100))^V111,$AG$4*(1+('main page'!$G$8/100))*(1+('main page'!$K$35/100))^V112-$AG$4*(1+('main page'!$G$8/100))*(1+('main page'!$K$35/100))^V111)</f>
        <v>0</v>
      </c>
      <c r="V112" s="60">
        <v>104</v>
      </c>
      <c r="W112" s="36">
        <f>'normal case'!AC111</f>
        <v>0</v>
      </c>
      <c r="X112" s="36">
        <f>'normal case'!AD111</f>
        <v>0</v>
      </c>
      <c r="Y112" s="44">
        <f ca="1">IF(controls!$B$33=1,E112-($J$4-'main page'!$K$27*2)*(1+('main page'!$K$35/100))^A111,E112-$AG$5)</f>
        <v>-99.9</v>
      </c>
      <c r="Z112" s="44">
        <f ca="1">ABS(M112-(controls!$B$9/100)*100)</f>
        <v>354.75000000000006</v>
      </c>
      <c r="AI112" s="36"/>
      <c r="AJ112" s="36"/>
    </row>
    <row r="113" spans="1:36">
      <c r="A113" s="43">
        <v>110</v>
      </c>
      <c r="B113" s="62">
        <f ca="1">IF(controls!$B$6=2,AVERAGE(E109:E112)+B112*W113+hystere!$AG$9,AVERAGE(E109:E112)+B112*W113)</f>
        <v>1.1000000000000001</v>
      </c>
      <c r="C113" s="67">
        <f t="shared" ca="1" si="7"/>
        <v>0</v>
      </c>
      <c r="D113" s="88">
        <f t="shared" ca="1" si="8"/>
        <v>-1</v>
      </c>
      <c r="E113" s="64">
        <f t="shared" ca="1" si="9"/>
        <v>0.1</v>
      </c>
      <c r="F113" s="64">
        <f ca="1">IF('main page'!$K$34=1,hystere!H113,hystere!G113)</f>
        <v>-597.50000000000011</v>
      </c>
      <c r="G113" s="78">
        <f ca="1">I113-'main page'!$K$27*hystere!N112</f>
        <v>-597.50000000000011</v>
      </c>
      <c r="H113" s="62">
        <f ca="1">J113-'main page'!$K$27*N112</f>
        <v>-597.50000000000011</v>
      </c>
      <c r="I113" s="62">
        <f t="shared" ca="1" si="10"/>
        <v>108</v>
      </c>
      <c r="J113" s="62">
        <f t="shared" ca="1" si="11"/>
        <v>108</v>
      </c>
      <c r="M113" s="62">
        <f ca="1">IF(ABS('main page'!$K$29*M112+(1-'main page'!$K$29)*(controls!$B$9/100)*100+'main page'!$K$25*(E113-B113)-M112)&lt;0.0000001,M112,'main page'!$K$29*M112+(1-'main page'!$K$29)*(controls!$B$9/100)*100+'main page'!$K$25*(E113-B113))</f>
        <v>-353.75000000000006</v>
      </c>
      <c r="N113" s="62">
        <f ca="1">IF(controls!$B$10=1,N112,O113-'main page'!$K$29*M113-(1-'main page'!$K$29)*controls!$B$9)</f>
        <v>353.75000000000006</v>
      </c>
      <c r="O113" s="61">
        <f t="shared" ca="1" si="6"/>
        <v>0</v>
      </c>
      <c r="P113" s="63">
        <f ca="1">IF(controls!$B$10=1,hystere!N113+hystere!M113,hystere!Q113)</f>
        <v>-389.23750000000007</v>
      </c>
      <c r="Q113" s="61">
        <f ca="1">IF('main page'!$Y$53=1,'choose m.p.'!$I$22*100,R113)</f>
        <v>-389.23750000000007</v>
      </c>
      <c r="R113" s="83">
        <f ca="1">'main page'!$K$29*M113+(1-'main page'!$K$29)*controls!$B$9+S113+(('main page'!$K$25*'main page'!$U$13*'main page'!$K$29)/('main page'!$K$27*(1+('main page'!$K$25^2)*'main page'!$U$13)))*(M113-(controls!$B$9/100)*100)</f>
        <v>-389.23750000000007</v>
      </c>
      <c r="S113" s="81">
        <f ca="1">IF(controls!$B$33=1,(J114-E113*X114-B113)/'main page'!$K$27,(I114-E113*X114-B113)/'main page'!$K$27)</f>
        <v>53.45</v>
      </c>
      <c r="U113" s="58">
        <f>IF(controls!$B$6=1,$AG$4*(1+('main page'!$K$35/100))^V113-$AG$4*(1+('main page'!$K$35/100))^V112,$AG$4*(1+('main page'!$G$8/100))*(1+('main page'!$K$35/100))^V113-$AG$4*(1+('main page'!$G$8/100))*(1+('main page'!$K$35/100))^V112)</f>
        <v>0</v>
      </c>
      <c r="V113" s="60">
        <v>105</v>
      </c>
      <c r="W113" s="36">
        <f>'normal case'!AC112</f>
        <v>0</v>
      </c>
      <c r="X113" s="36">
        <f>'normal case'!AD112</f>
        <v>0</v>
      </c>
      <c r="Y113" s="44">
        <f ca="1">IF(controls!$B$33=1,E113-($J$4-'main page'!$K$27*2)*(1+('main page'!$K$35/100))^A112,E113-$AG$5)</f>
        <v>-99.9</v>
      </c>
      <c r="Z113" s="44">
        <f ca="1">ABS(M113-(controls!$B$9/100)*100)</f>
        <v>355.75000000000006</v>
      </c>
      <c r="AI113" s="36"/>
      <c r="AJ113" s="36"/>
    </row>
    <row r="114" spans="1:36">
      <c r="A114" s="43">
        <v>111</v>
      </c>
      <c r="B114" s="62">
        <f ca="1">IF(controls!$B$6=2,AVERAGE(E110:E113)+B113*W114+hystere!$AG$9,AVERAGE(E110:E113)+B113*W114)</f>
        <v>1.1000000000000001</v>
      </c>
      <c r="C114" s="67">
        <f t="shared" ca="1" si="7"/>
        <v>0</v>
      </c>
      <c r="D114" s="88">
        <f t="shared" ca="1" si="8"/>
        <v>-1</v>
      </c>
      <c r="E114" s="64">
        <f t="shared" ca="1" si="9"/>
        <v>0.1</v>
      </c>
      <c r="F114" s="64">
        <f ca="1">IF('main page'!$K$34=1,hystere!H114,hystere!G114)</f>
        <v>-599.50000000000011</v>
      </c>
      <c r="G114" s="78">
        <f ca="1">I114-'main page'!$K$27*hystere!N113</f>
        <v>-599.50000000000011</v>
      </c>
      <c r="H114" s="62">
        <f ca="1">J114-'main page'!$K$27*N113</f>
        <v>-599.50000000000011</v>
      </c>
      <c r="I114" s="62">
        <f t="shared" ca="1" si="10"/>
        <v>108</v>
      </c>
      <c r="J114" s="62">
        <f t="shared" ca="1" si="11"/>
        <v>108</v>
      </c>
      <c r="M114" s="62">
        <f ca="1">IF(ABS('main page'!$K$29*M113+(1-'main page'!$K$29)*(controls!$B$9/100)*100+'main page'!$K$25*(E114-B114)-M113)&lt;0.0000001,M113,'main page'!$K$29*M113+(1-'main page'!$K$29)*(controls!$B$9/100)*100+'main page'!$K$25*(E114-B114))</f>
        <v>-354.75000000000006</v>
      </c>
      <c r="N114" s="62">
        <f ca="1">IF(controls!$B$10=1,N113,O114-'main page'!$K$29*M114-(1-'main page'!$K$29)*controls!$B$9)</f>
        <v>354.75000000000006</v>
      </c>
      <c r="O114" s="61">
        <f t="shared" ca="1" si="6"/>
        <v>0</v>
      </c>
      <c r="P114" s="63">
        <f ca="1">IF(controls!$B$10=1,hystere!N114+hystere!M114,hystere!Q114)</f>
        <v>-390.48750000000007</v>
      </c>
      <c r="Q114" s="61">
        <f ca="1">IF('main page'!$Y$53=1,'choose m.p.'!$I$22*100,R114)</f>
        <v>-390.48750000000007</v>
      </c>
      <c r="R114" s="83">
        <f ca="1">'main page'!$K$29*M114+(1-'main page'!$K$29)*controls!$B$9+S114+(('main page'!$K$25*'main page'!$U$13*'main page'!$K$29)/('main page'!$K$27*(1+('main page'!$K$25^2)*'main page'!$U$13)))*(M114-(controls!$B$9/100)*100)</f>
        <v>-390.48750000000007</v>
      </c>
      <c r="S114" s="81">
        <f ca="1">IF(controls!$B$33=1,(J115-E114*X115-B114)/'main page'!$K$27,(I115-E114*X115-B114)/'main page'!$K$27)</f>
        <v>53.45</v>
      </c>
      <c r="U114" s="58">
        <f>IF(controls!$B$6=1,$AG$4*(1+('main page'!$K$35/100))^V114-$AG$4*(1+('main page'!$K$35/100))^V113,$AG$4*(1+('main page'!$G$8/100))*(1+('main page'!$K$35/100))^V114-$AG$4*(1+('main page'!$G$8/100))*(1+('main page'!$K$35/100))^V113)</f>
        <v>0</v>
      </c>
      <c r="V114" s="60">
        <v>106</v>
      </c>
      <c r="W114" s="36">
        <f ca="1">'normal case'!AC113</f>
        <v>0</v>
      </c>
      <c r="X114" s="36">
        <f ca="1">'normal case'!AD113</f>
        <v>0</v>
      </c>
      <c r="Y114" s="44">
        <f ca="1">IF(controls!$B$33=1,E114-($J$4-'main page'!$K$27*2)*(1+('main page'!$K$35/100))^A113,E114-$AG$5)</f>
        <v>-99.9</v>
      </c>
      <c r="Z114" s="44">
        <f ca="1">ABS(M114-(controls!$B$9/100)*100)</f>
        <v>356.75000000000006</v>
      </c>
      <c r="AI114" s="36"/>
      <c r="AJ114" s="36"/>
    </row>
    <row r="115" spans="1:36">
      <c r="A115" s="43">
        <v>112</v>
      </c>
      <c r="B115" s="62">
        <f ca="1">IF(controls!$B$6=2,AVERAGE(E111:E114)+B114*W115+hystere!$AG$9,AVERAGE(E111:E114)+B114*W115)</f>
        <v>1.1000000000000001</v>
      </c>
      <c r="C115" s="67">
        <f t="shared" ca="1" si="7"/>
        <v>0</v>
      </c>
      <c r="D115" s="88">
        <f t="shared" ca="1" si="8"/>
        <v>-1</v>
      </c>
      <c r="E115" s="64">
        <f t="shared" ca="1" si="9"/>
        <v>0.1</v>
      </c>
      <c r="F115" s="64">
        <f ca="1">IF('main page'!$K$34=1,hystere!H115,hystere!G115)</f>
        <v>-601.50000000000011</v>
      </c>
      <c r="G115" s="78">
        <f ca="1">I115-'main page'!$K$27*hystere!N114</f>
        <v>-601.50000000000011</v>
      </c>
      <c r="H115" s="62">
        <f ca="1">J115-'main page'!$K$27*N114</f>
        <v>-601.50000000000011</v>
      </c>
      <c r="I115" s="62">
        <f t="shared" ca="1" si="10"/>
        <v>108</v>
      </c>
      <c r="J115" s="62">
        <f t="shared" ca="1" si="11"/>
        <v>108</v>
      </c>
      <c r="M115" s="62">
        <f ca="1">IF(ABS('main page'!$K$29*M114+(1-'main page'!$K$29)*(controls!$B$9/100)*100+'main page'!$K$25*(E115-B115)-M114)&lt;0.0000001,M114,'main page'!$K$29*M114+(1-'main page'!$K$29)*(controls!$B$9/100)*100+'main page'!$K$25*(E115-B115))</f>
        <v>-355.75000000000006</v>
      </c>
      <c r="N115" s="62">
        <f ca="1">IF(controls!$B$10=1,N114,O115-'main page'!$K$29*M115-(1-'main page'!$K$29)*controls!$B$9)</f>
        <v>355.75000000000006</v>
      </c>
      <c r="O115" s="61">
        <f t="shared" ca="1" si="6"/>
        <v>0</v>
      </c>
      <c r="P115" s="63">
        <f ca="1">IF(controls!$B$10=1,hystere!N115+hystere!M115,hystere!Q115)</f>
        <v>-391.73750000000007</v>
      </c>
      <c r="Q115" s="61">
        <f ca="1">IF('main page'!$Y$53=1,'choose m.p.'!$I$22*100,R115)</f>
        <v>-391.73750000000007</v>
      </c>
      <c r="R115" s="83">
        <f ca="1">'main page'!$K$29*M115+(1-'main page'!$K$29)*controls!$B$9+S115+(('main page'!$K$25*'main page'!$U$13*'main page'!$K$29)/('main page'!$K$27*(1+('main page'!$K$25^2)*'main page'!$U$13)))*(M115-(controls!$B$9/100)*100)</f>
        <v>-391.73750000000007</v>
      </c>
      <c r="S115" s="81">
        <f ca="1">IF(controls!$B$33=1,(J116-E115*X116-B115)/'main page'!$K$27,(I116-E115*X116-B115)/'main page'!$K$27)</f>
        <v>53.45</v>
      </c>
      <c r="U115" s="58">
        <f>IF(controls!$B$6=1,$AG$4*(1+('main page'!$K$35/100))^V115-$AG$4*(1+('main page'!$K$35/100))^V114,$AG$4*(1+('main page'!$G$8/100))*(1+('main page'!$K$35/100))^V115-$AG$4*(1+('main page'!$G$8/100))*(1+('main page'!$K$35/100))^V114)</f>
        <v>0</v>
      </c>
      <c r="V115" s="60">
        <v>107</v>
      </c>
      <c r="W115" s="36">
        <f>'normal case'!AC114</f>
        <v>0</v>
      </c>
      <c r="X115" s="36">
        <f>'normal case'!AD114</f>
        <v>0</v>
      </c>
      <c r="Y115" s="44">
        <f ca="1">IF(controls!$B$33=1,E115-($J$4-'main page'!$K$27*2)*(1+('main page'!$K$35/100))^A114,E115-$AG$5)</f>
        <v>-99.9</v>
      </c>
      <c r="Z115" s="44">
        <f ca="1">ABS(M115-(controls!$B$9/100)*100)</f>
        <v>357.75000000000006</v>
      </c>
      <c r="AI115" s="36"/>
      <c r="AJ115" s="36"/>
    </row>
    <row r="116" spans="1:36">
      <c r="A116" s="43">
        <v>113</v>
      </c>
      <c r="B116" s="62">
        <f ca="1">IF(controls!$B$6=2,AVERAGE(E112:E115)+B115*W116+hystere!$AG$9,AVERAGE(E112:E115)+B115*W116)</f>
        <v>1.1000000000000001</v>
      </c>
      <c r="C116" s="67">
        <f t="shared" ca="1" si="7"/>
        <v>0</v>
      </c>
      <c r="D116" s="88">
        <f t="shared" ca="1" si="8"/>
        <v>-1</v>
      </c>
      <c r="E116" s="64">
        <f t="shared" ca="1" si="9"/>
        <v>0.1</v>
      </c>
      <c r="F116" s="64">
        <f ca="1">IF('main page'!$K$34=1,hystere!H116,hystere!G116)</f>
        <v>-603.50000000000011</v>
      </c>
      <c r="G116" s="78">
        <f ca="1">I116-'main page'!$K$27*hystere!N115</f>
        <v>-603.50000000000011</v>
      </c>
      <c r="H116" s="62">
        <f ca="1">J116-'main page'!$K$27*N115</f>
        <v>-603.50000000000011</v>
      </c>
      <c r="I116" s="62">
        <f t="shared" ca="1" si="10"/>
        <v>108</v>
      </c>
      <c r="J116" s="62">
        <f t="shared" ca="1" si="11"/>
        <v>108</v>
      </c>
      <c r="M116" s="62">
        <f ca="1">IF(ABS('main page'!$K$29*M115+(1-'main page'!$K$29)*(controls!$B$9/100)*100+'main page'!$K$25*(E116-B116)-M115)&lt;0.0000001,M115,'main page'!$K$29*M115+(1-'main page'!$K$29)*(controls!$B$9/100)*100+'main page'!$K$25*(E116-B116))</f>
        <v>-356.75000000000006</v>
      </c>
      <c r="N116" s="62">
        <f ca="1">IF(controls!$B$10=1,N115,O116-'main page'!$K$29*M116-(1-'main page'!$K$29)*controls!$B$9)</f>
        <v>356.75000000000006</v>
      </c>
      <c r="O116" s="61">
        <f t="shared" ca="1" si="6"/>
        <v>0</v>
      </c>
      <c r="P116" s="63">
        <f ca="1">IF(controls!$B$10=1,hystere!N116+hystere!M116,hystere!Q116)</f>
        <v>-392.98750000000007</v>
      </c>
      <c r="Q116" s="61">
        <f ca="1">IF('main page'!$Y$53=1,'choose m.p.'!$I$22*100,R116)</f>
        <v>-392.98750000000007</v>
      </c>
      <c r="R116" s="83">
        <f ca="1">'main page'!$K$29*M116+(1-'main page'!$K$29)*controls!$B$9+S116+(('main page'!$K$25*'main page'!$U$13*'main page'!$K$29)/('main page'!$K$27*(1+('main page'!$K$25^2)*'main page'!$U$13)))*(M116-(controls!$B$9/100)*100)</f>
        <v>-392.98750000000007</v>
      </c>
      <c r="S116" s="81">
        <f ca="1">IF(controls!$B$33=1,(J117-E116*X117-B116)/'main page'!$K$27,(I117-E116*X117-B116)/'main page'!$K$27)</f>
        <v>53.45</v>
      </c>
      <c r="U116" s="58">
        <f>IF(controls!$B$6=1,$AG$4*(1+('main page'!$K$35/100))^V116-$AG$4*(1+('main page'!$K$35/100))^V115,$AG$4*(1+('main page'!$G$8/100))*(1+('main page'!$K$35/100))^V116-$AG$4*(1+('main page'!$G$8/100))*(1+('main page'!$K$35/100))^V115)</f>
        <v>0</v>
      </c>
      <c r="V116" s="60">
        <v>108</v>
      </c>
      <c r="W116" s="36">
        <f>'normal case'!AC115</f>
        <v>0</v>
      </c>
      <c r="X116" s="36">
        <f>'normal case'!AD115</f>
        <v>0</v>
      </c>
      <c r="Y116" s="44">
        <f ca="1">IF(controls!$B$33=1,E116-($J$4-'main page'!$K$27*2)*(1+('main page'!$K$35/100))^A115,E116-$AG$5)</f>
        <v>-99.9</v>
      </c>
      <c r="Z116" s="44">
        <f ca="1">ABS(M116-(controls!$B$9/100)*100)</f>
        <v>358.75000000000006</v>
      </c>
      <c r="AI116" s="36"/>
      <c r="AJ116" s="36"/>
    </row>
    <row r="117" spans="1:36">
      <c r="A117" s="43">
        <v>114</v>
      </c>
      <c r="B117" s="62">
        <f ca="1">IF(controls!$B$6=2,AVERAGE(E113:E116)+B116*W117+hystere!$AG$9,AVERAGE(E113:E116)+B116*W117)</f>
        <v>1.1000000000000001</v>
      </c>
      <c r="C117" s="67">
        <f t="shared" ca="1" si="7"/>
        <v>0</v>
      </c>
      <c r="D117" s="88">
        <f t="shared" ca="1" si="8"/>
        <v>-1</v>
      </c>
      <c r="E117" s="64">
        <f t="shared" ca="1" si="9"/>
        <v>0.1</v>
      </c>
      <c r="F117" s="64">
        <f ca="1">IF('main page'!$K$34=1,hystere!H117,hystere!G117)</f>
        <v>-605.50000000000011</v>
      </c>
      <c r="G117" s="78">
        <f ca="1">I117-'main page'!$K$27*hystere!N116</f>
        <v>-605.50000000000011</v>
      </c>
      <c r="H117" s="62">
        <f ca="1">J117-'main page'!$K$27*N116</f>
        <v>-605.50000000000011</v>
      </c>
      <c r="I117" s="62">
        <f t="shared" ca="1" si="10"/>
        <v>108</v>
      </c>
      <c r="J117" s="62">
        <f t="shared" ca="1" si="11"/>
        <v>108</v>
      </c>
      <c r="M117" s="62">
        <f ca="1">IF(ABS('main page'!$K$29*M116+(1-'main page'!$K$29)*(controls!$B$9/100)*100+'main page'!$K$25*(E117-B117)-M116)&lt;0.0000001,M116,'main page'!$K$29*M116+(1-'main page'!$K$29)*(controls!$B$9/100)*100+'main page'!$K$25*(E117-B117))</f>
        <v>-357.75000000000006</v>
      </c>
      <c r="N117" s="62">
        <f ca="1">IF(controls!$B$10=1,N116,O117-'main page'!$K$29*M117-(1-'main page'!$K$29)*controls!$B$9)</f>
        <v>357.75000000000006</v>
      </c>
      <c r="O117" s="61">
        <f t="shared" ca="1" si="6"/>
        <v>0</v>
      </c>
      <c r="P117" s="63">
        <f ca="1">IF(controls!$B$10=1,hystere!N117+hystere!M117,hystere!Q117)</f>
        <v>-394.23750000000007</v>
      </c>
      <c r="Q117" s="61">
        <f ca="1">IF('main page'!$Y$53=1,'choose m.p.'!$I$22*100,R117)</f>
        <v>-394.23750000000007</v>
      </c>
      <c r="R117" s="83">
        <f ca="1">'main page'!$K$29*M117+(1-'main page'!$K$29)*controls!$B$9+S117+(('main page'!$K$25*'main page'!$U$13*'main page'!$K$29)/('main page'!$K$27*(1+('main page'!$K$25^2)*'main page'!$U$13)))*(M117-(controls!$B$9/100)*100)</f>
        <v>-394.23750000000007</v>
      </c>
      <c r="S117" s="81">
        <f ca="1">IF(controls!$B$33=1,(J118-E117*X118-B117)/'main page'!$K$27,(I118-E117*X118-B117)/'main page'!$K$27)</f>
        <v>53.45</v>
      </c>
      <c r="U117" s="58">
        <f>IF(controls!$B$6=1,$AG$4*(1+('main page'!$K$35/100))^V117-$AG$4*(1+('main page'!$K$35/100))^V116,$AG$4*(1+('main page'!$G$8/100))*(1+('main page'!$K$35/100))^V117-$AG$4*(1+('main page'!$G$8/100))*(1+('main page'!$K$35/100))^V116)</f>
        <v>0</v>
      </c>
      <c r="V117" s="60">
        <v>109</v>
      </c>
      <c r="W117" s="36">
        <f ca="1">'normal case'!AC116</f>
        <v>0</v>
      </c>
      <c r="X117" s="36">
        <f ca="1">'normal case'!AD116</f>
        <v>0</v>
      </c>
      <c r="Y117" s="44">
        <f ca="1">IF(controls!$B$33=1,E117-($J$4-'main page'!$K$27*2)*(1+('main page'!$K$35/100))^A116,E117-$AG$5)</f>
        <v>-99.9</v>
      </c>
      <c r="Z117" s="44">
        <f ca="1">ABS(M117-(controls!$B$9/100)*100)</f>
        <v>359.75000000000006</v>
      </c>
      <c r="AI117" s="36"/>
      <c r="AJ117" s="36"/>
    </row>
    <row r="118" spans="1:36">
      <c r="A118" s="43">
        <v>115</v>
      </c>
      <c r="B118" s="62">
        <f ca="1">IF(controls!$B$6=2,AVERAGE(E114:E117)+B117*W118+hystere!$AG$9,AVERAGE(E114:E117)+B117*W118)</f>
        <v>1.1000000000000001</v>
      </c>
      <c r="C118" s="67">
        <f t="shared" ca="1" si="7"/>
        <v>0</v>
      </c>
      <c r="D118" s="88">
        <f t="shared" ca="1" si="8"/>
        <v>-1</v>
      </c>
      <c r="E118" s="64">
        <f t="shared" ca="1" si="9"/>
        <v>0.1</v>
      </c>
      <c r="F118" s="64">
        <f ca="1">IF('main page'!$K$34=1,hystere!H118,hystere!G118)</f>
        <v>-607.50000000000011</v>
      </c>
      <c r="G118" s="78">
        <f ca="1">I118-'main page'!$K$27*hystere!N117</f>
        <v>-607.50000000000011</v>
      </c>
      <c r="H118" s="62">
        <f ca="1">J118-'main page'!$K$27*N117</f>
        <v>-607.50000000000011</v>
      </c>
      <c r="I118" s="62">
        <f t="shared" ca="1" si="10"/>
        <v>108</v>
      </c>
      <c r="J118" s="62">
        <f t="shared" ca="1" si="11"/>
        <v>108</v>
      </c>
      <c r="M118" s="62">
        <f ca="1">IF(ABS('main page'!$K$29*M117+(1-'main page'!$K$29)*(controls!$B$9/100)*100+'main page'!$K$25*(E118-B118)-M117)&lt;0.0000001,M117,'main page'!$K$29*M117+(1-'main page'!$K$29)*(controls!$B$9/100)*100+'main page'!$K$25*(E118-B118))</f>
        <v>-358.75000000000006</v>
      </c>
      <c r="N118" s="62">
        <f ca="1">IF(controls!$B$10=1,N117,O118-'main page'!$K$29*M118-(1-'main page'!$K$29)*controls!$B$9)</f>
        <v>358.75000000000006</v>
      </c>
      <c r="O118" s="61">
        <f t="shared" ca="1" si="6"/>
        <v>0</v>
      </c>
      <c r="P118" s="63">
        <f ca="1">IF(controls!$B$10=1,hystere!N118+hystere!M118,hystere!Q118)</f>
        <v>-395.48750000000007</v>
      </c>
      <c r="Q118" s="61">
        <f ca="1">IF('main page'!$Y$53=1,'choose m.p.'!$I$22*100,R118)</f>
        <v>-395.48750000000007</v>
      </c>
      <c r="R118" s="83">
        <f ca="1">'main page'!$K$29*M118+(1-'main page'!$K$29)*controls!$B$9+S118+(('main page'!$K$25*'main page'!$U$13*'main page'!$K$29)/('main page'!$K$27*(1+('main page'!$K$25^2)*'main page'!$U$13)))*(M118-(controls!$B$9/100)*100)</f>
        <v>-395.48750000000007</v>
      </c>
      <c r="S118" s="81">
        <f ca="1">IF(controls!$B$33=1,(J119-E118*X119-B118)/'main page'!$K$27,(I119-E118*X119-B118)/'main page'!$K$27)</f>
        <v>53.45</v>
      </c>
      <c r="U118" s="58">
        <f>IF(controls!$B$6=1,$AG$4*(1+('main page'!$K$35/100))^V118-$AG$4*(1+('main page'!$K$35/100))^V117,$AG$4*(1+('main page'!$G$8/100))*(1+('main page'!$K$35/100))^V118-$AG$4*(1+('main page'!$G$8/100))*(1+('main page'!$K$35/100))^V117)</f>
        <v>0</v>
      </c>
      <c r="V118" s="60">
        <v>110</v>
      </c>
      <c r="W118" s="36">
        <f>'normal case'!AC117</f>
        <v>0</v>
      </c>
      <c r="X118" s="36">
        <f>'normal case'!AD117</f>
        <v>0</v>
      </c>
      <c r="Y118" s="44">
        <f ca="1">IF(controls!$B$33=1,E118-($J$4-'main page'!$K$27*2)*(1+('main page'!$K$35/100))^A117,E118-$AG$5)</f>
        <v>-99.9</v>
      </c>
      <c r="Z118" s="44">
        <f ca="1">ABS(M118-(controls!$B$9/100)*100)</f>
        <v>360.75000000000006</v>
      </c>
      <c r="AI118" s="36"/>
      <c r="AJ118" s="36"/>
    </row>
    <row r="119" spans="1:36">
      <c r="A119" s="43">
        <v>116</v>
      </c>
      <c r="B119" s="62">
        <f ca="1">IF(controls!$B$6=2,AVERAGE(E115:E118)+B118*W119+hystere!$AG$9,AVERAGE(E115:E118)+B118*W119)</f>
        <v>1.1000000000000001</v>
      </c>
      <c r="C119" s="67">
        <f t="shared" ca="1" si="7"/>
        <v>0</v>
      </c>
      <c r="D119" s="88">
        <f t="shared" ca="1" si="8"/>
        <v>-1</v>
      </c>
      <c r="E119" s="64">
        <f t="shared" ca="1" si="9"/>
        <v>0.1</v>
      </c>
      <c r="F119" s="64">
        <f ca="1">IF('main page'!$K$34=1,hystere!H119,hystere!G119)</f>
        <v>-609.50000000000011</v>
      </c>
      <c r="G119" s="78">
        <f ca="1">I119-'main page'!$K$27*hystere!N118</f>
        <v>-609.50000000000011</v>
      </c>
      <c r="H119" s="62">
        <f ca="1">J119-'main page'!$K$27*N118</f>
        <v>-609.50000000000011</v>
      </c>
      <c r="I119" s="62">
        <f t="shared" ca="1" si="10"/>
        <v>108</v>
      </c>
      <c r="J119" s="62">
        <f t="shared" ca="1" si="11"/>
        <v>108</v>
      </c>
      <c r="M119" s="62">
        <f ca="1">IF(ABS('main page'!$K$29*M118+(1-'main page'!$K$29)*(controls!$B$9/100)*100+'main page'!$K$25*(E119-B119)-M118)&lt;0.0000001,M118,'main page'!$K$29*M118+(1-'main page'!$K$29)*(controls!$B$9/100)*100+'main page'!$K$25*(E119-B119))</f>
        <v>-359.75000000000006</v>
      </c>
      <c r="N119" s="62">
        <f ca="1">IF(controls!$B$10=1,N118,O119-'main page'!$K$29*M119-(1-'main page'!$K$29)*controls!$B$9)</f>
        <v>359.75000000000006</v>
      </c>
      <c r="O119" s="61">
        <f t="shared" ca="1" si="6"/>
        <v>0</v>
      </c>
      <c r="P119" s="63">
        <f ca="1">IF(controls!$B$10=1,hystere!N119+hystere!M119,hystere!Q119)</f>
        <v>-396.73750000000007</v>
      </c>
      <c r="Q119" s="61">
        <f ca="1">IF('main page'!$Y$53=1,'choose m.p.'!$I$22*100,R119)</f>
        <v>-396.73750000000007</v>
      </c>
      <c r="R119" s="83">
        <f ca="1">'main page'!$K$29*M119+(1-'main page'!$K$29)*controls!$B$9+S119+(('main page'!$K$25*'main page'!$U$13*'main page'!$K$29)/('main page'!$K$27*(1+('main page'!$K$25^2)*'main page'!$U$13)))*(M119-(controls!$B$9/100)*100)</f>
        <v>-396.73750000000007</v>
      </c>
      <c r="S119" s="81">
        <f ca="1">IF(controls!$B$33=1,(J120-E119*X120-B119)/'main page'!$K$27,(I120-E119*X120-B119)/'main page'!$K$27)</f>
        <v>53.45</v>
      </c>
      <c r="U119" s="58">
        <f>IF(controls!$B$6=1,$AG$4*(1+('main page'!$K$35/100))^V119-$AG$4*(1+('main page'!$K$35/100))^V118,$AG$4*(1+('main page'!$G$8/100))*(1+('main page'!$K$35/100))^V119-$AG$4*(1+('main page'!$G$8/100))*(1+('main page'!$K$35/100))^V118)</f>
        <v>0</v>
      </c>
      <c r="V119" s="60">
        <v>111</v>
      </c>
      <c r="W119" s="36">
        <f>'normal case'!AC118</f>
        <v>0</v>
      </c>
      <c r="X119" s="36">
        <f>'normal case'!AD118</f>
        <v>0</v>
      </c>
      <c r="Y119" s="44">
        <f ca="1">IF(controls!$B$33=1,E119-($J$4-'main page'!$K$27*2)*(1+('main page'!$K$35/100))^A118,E119-$AG$5)</f>
        <v>-99.9</v>
      </c>
      <c r="Z119" s="44">
        <f ca="1">ABS(M119-(controls!$B$9/100)*100)</f>
        <v>361.75000000000006</v>
      </c>
      <c r="AI119" s="36"/>
      <c r="AJ119" s="36"/>
    </row>
    <row r="120" spans="1:36">
      <c r="A120" s="43">
        <v>117</v>
      </c>
      <c r="B120" s="62">
        <f ca="1">IF(controls!$B$6=2,AVERAGE(E116:E119)+B119*W120+hystere!$AG$9,AVERAGE(E116:E119)+B119*W120)</f>
        <v>1.1000000000000001</v>
      </c>
      <c r="C120" s="67">
        <f t="shared" ca="1" si="7"/>
        <v>0</v>
      </c>
      <c r="D120" s="88">
        <f t="shared" ca="1" si="8"/>
        <v>-1</v>
      </c>
      <c r="E120" s="64">
        <f t="shared" ca="1" si="9"/>
        <v>0.1</v>
      </c>
      <c r="F120" s="64">
        <f ca="1">IF('main page'!$K$34=1,hystere!H120,hystere!G120)</f>
        <v>-611.50000000000011</v>
      </c>
      <c r="G120" s="78">
        <f ca="1">I120-'main page'!$K$27*hystere!N119</f>
        <v>-611.50000000000011</v>
      </c>
      <c r="H120" s="62">
        <f ca="1">J120-'main page'!$K$27*N119</f>
        <v>-611.50000000000011</v>
      </c>
      <c r="I120" s="62">
        <f t="shared" ca="1" si="10"/>
        <v>108</v>
      </c>
      <c r="J120" s="62">
        <f t="shared" ca="1" si="11"/>
        <v>108</v>
      </c>
      <c r="M120" s="62">
        <f ca="1">IF(ABS('main page'!$K$29*M119+(1-'main page'!$K$29)*(controls!$B$9/100)*100+'main page'!$K$25*(E120-B120)-M119)&lt;0.0000001,M119,'main page'!$K$29*M119+(1-'main page'!$K$29)*(controls!$B$9/100)*100+'main page'!$K$25*(E120-B120))</f>
        <v>-360.75000000000006</v>
      </c>
      <c r="N120" s="62">
        <f ca="1">IF(controls!$B$10=1,N119,O120-'main page'!$K$29*M120-(1-'main page'!$K$29)*controls!$B$9)</f>
        <v>360.75000000000006</v>
      </c>
      <c r="O120" s="61">
        <f t="shared" ca="1" si="6"/>
        <v>0</v>
      </c>
      <c r="P120" s="63">
        <f ca="1">IF(controls!$B$10=1,hystere!N120+hystere!M120,hystere!Q120)</f>
        <v>-397.98750000000007</v>
      </c>
      <c r="Q120" s="61">
        <f ca="1">IF('main page'!$Y$53=1,'choose m.p.'!$I$22*100,R120)</f>
        <v>-397.98750000000007</v>
      </c>
      <c r="R120" s="83">
        <f ca="1">'main page'!$K$29*M120+(1-'main page'!$K$29)*controls!$B$9+S120+(('main page'!$K$25*'main page'!$U$13*'main page'!$K$29)/('main page'!$K$27*(1+('main page'!$K$25^2)*'main page'!$U$13)))*(M120-(controls!$B$9/100)*100)</f>
        <v>-397.98750000000007</v>
      </c>
      <c r="S120" s="81">
        <f ca="1">IF(controls!$B$33=1,(J121-E120*X121-B120)/'main page'!$K$27,(I121-E120*X121-B120)/'main page'!$K$27)</f>
        <v>53.45</v>
      </c>
      <c r="U120" s="58">
        <f>IF(controls!$B$6=1,$AG$4*(1+('main page'!$K$35/100))^V120-$AG$4*(1+('main page'!$K$35/100))^V119,$AG$4*(1+('main page'!$G$8/100))*(1+('main page'!$K$35/100))^V120-$AG$4*(1+('main page'!$G$8/100))*(1+('main page'!$K$35/100))^V119)</f>
        <v>0</v>
      </c>
      <c r="V120" s="60">
        <v>112</v>
      </c>
      <c r="W120" s="36">
        <f ca="1">'normal case'!AC119</f>
        <v>0</v>
      </c>
      <c r="X120" s="36">
        <f ca="1">'normal case'!AD119</f>
        <v>0</v>
      </c>
      <c r="Y120" s="44">
        <f ca="1">IF(controls!$B$33=1,E120-($J$4-'main page'!$K$27*2)*(1+('main page'!$K$35/100))^A119,E120-$AG$5)</f>
        <v>-99.9</v>
      </c>
      <c r="Z120" s="44">
        <f ca="1">ABS(M120-(controls!$B$9/100)*100)</f>
        <v>362.75000000000006</v>
      </c>
      <c r="AI120" s="36"/>
      <c r="AJ120" s="36"/>
    </row>
    <row r="121" spans="1:36">
      <c r="A121" s="43">
        <v>118</v>
      </c>
      <c r="B121" s="62">
        <f ca="1">IF(controls!$B$6=2,AVERAGE(E117:E120)+B120*W121+hystere!$AG$9,AVERAGE(E117:E120)+B120*W121)</f>
        <v>1.1000000000000001</v>
      </c>
      <c r="C121" s="67">
        <f t="shared" ca="1" si="7"/>
        <v>0</v>
      </c>
      <c r="D121" s="88">
        <f t="shared" ca="1" si="8"/>
        <v>-1</v>
      </c>
      <c r="E121" s="64">
        <f t="shared" ca="1" si="9"/>
        <v>0.1</v>
      </c>
      <c r="F121" s="64">
        <f ca="1">IF('main page'!$K$34=1,hystere!H121,hystere!G121)</f>
        <v>-613.50000000000011</v>
      </c>
      <c r="G121" s="78">
        <f ca="1">I121-'main page'!$K$27*hystere!N120</f>
        <v>-613.50000000000011</v>
      </c>
      <c r="H121" s="62">
        <f ca="1">J121-'main page'!$K$27*N120</f>
        <v>-613.50000000000011</v>
      </c>
      <c r="I121" s="62">
        <f t="shared" ca="1" si="10"/>
        <v>108</v>
      </c>
      <c r="J121" s="62">
        <f t="shared" ca="1" si="11"/>
        <v>108</v>
      </c>
      <c r="M121" s="62">
        <f ca="1">IF(ABS('main page'!$K$29*M120+(1-'main page'!$K$29)*(controls!$B$9/100)*100+'main page'!$K$25*(E121-B121)-M120)&lt;0.0000001,M120,'main page'!$K$29*M120+(1-'main page'!$K$29)*(controls!$B$9/100)*100+'main page'!$K$25*(E121-B121))</f>
        <v>-361.75000000000006</v>
      </c>
      <c r="N121" s="62">
        <f ca="1">IF(controls!$B$10=1,N120,O121-'main page'!$K$29*M121-(1-'main page'!$K$29)*controls!$B$9)</f>
        <v>361.75000000000006</v>
      </c>
      <c r="O121" s="61">
        <f t="shared" ca="1" si="6"/>
        <v>0</v>
      </c>
      <c r="P121" s="63">
        <f ca="1">IF(controls!$B$10=1,hystere!N121+hystere!M121,hystere!Q121)</f>
        <v>-399.23750000000007</v>
      </c>
      <c r="Q121" s="61">
        <f ca="1">IF('main page'!$Y$53=1,'choose m.p.'!$I$22*100,R121)</f>
        <v>-399.23750000000007</v>
      </c>
      <c r="R121" s="83">
        <f ca="1">'main page'!$K$29*M121+(1-'main page'!$K$29)*controls!$B$9+S121+(('main page'!$K$25*'main page'!$U$13*'main page'!$K$29)/('main page'!$K$27*(1+('main page'!$K$25^2)*'main page'!$U$13)))*(M121-(controls!$B$9/100)*100)</f>
        <v>-399.23750000000007</v>
      </c>
      <c r="S121" s="81">
        <f ca="1">IF(controls!$B$33=1,(J122-E121*X122-B121)/'main page'!$K$27,(I122-E121*X122-B121)/'main page'!$K$27)</f>
        <v>53.45</v>
      </c>
      <c r="U121" s="58">
        <f>IF(controls!$B$6=1,$AG$4*(1+('main page'!$K$35/100))^V121-$AG$4*(1+('main page'!$K$35/100))^V120,$AG$4*(1+('main page'!$G$8/100))*(1+('main page'!$K$35/100))^V121-$AG$4*(1+('main page'!$G$8/100))*(1+('main page'!$K$35/100))^V120)</f>
        <v>0</v>
      </c>
      <c r="V121" s="60">
        <v>113</v>
      </c>
      <c r="W121" s="36">
        <f>'normal case'!AC120</f>
        <v>0</v>
      </c>
      <c r="X121" s="36">
        <f>'normal case'!AD120</f>
        <v>0</v>
      </c>
      <c r="Y121" s="44">
        <f ca="1">IF(controls!$B$33=1,E121-($J$4-'main page'!$K$27*2)*(1+('main page'!$K$35/100))^A120,E121-$AG$5)</f>
        <v>-99.9</v>
      </c>
      <c r="Z121" s="44">
        <f ca="1">ABS(M121-(controls!$B$9/100)*100)</f>
        <v>363.75000000000006</v>
      </c>
      <c r="AI121" s="36"/>
      <c r="AJ121" s="36"/>
    </row>
    <row r="122" spans="1:36">
      <c r="A122" s="43">
        <v>119</v>
      </c>
      <c r="B122" s="62">
        <f ca="1">IF(controls!$B$6=2,AVERAGE(E118:E121)+B121*W122+hystere!$AG$9,AVERAGE(E118:E121)+B121*W122)</f>
        <v>1.1000000000000001</v>
      </c>
      <c r="C122" s="67">
        <f t="shared" ca="1" si="7"/>
        <v>0</v>
      </c>
      <c r="D122" s="88">
        <f t="shared" ca="1" si="8"/>
        <v>-1</v>
      </c>
      <c r="E122" s="64">
        <f t="shared" ca="1" si="9"/>
        <v>0.1</v>
      </c>
      <c r="F122" s="64">
        <f ca="1">IF('main page'!$K$34=1,hystere!H122,hystere!G122)</f>
        <v>-615.50000000000011</v>
      </c>
      <c r="G122" s="78">
        <f ca="1">I122-'main page'!$K$27*hystere!N121</f>
        <v>-615.50000000000011</v>
      </c>
      <c r="H122" s="62">
        <f ca="1">J122-'main page'!$K$27*N121</f>
        <v>-615.50000000000011</v>
      </c>
      <c r="I122" s="62">
        <f t="shared" ca="1" si="10"/>
        <v>108</v>
      </c>
      <c r="J122" s="62">
        <f t="shared" ca="1" si="11"/>
        <v>108</v>
      </c>
      <c r="M122" s="62">
        <f ca="1">IF(ABS('main page'!$K$29*M121+(1-'main page'!$K$29)*(controls!$B$9/100)*100+'main page'!$K$25*(E122-B122)-M121)&lt;0.0000001,M121,'main page'!$K$29*M121+(1-'main page'!$K$29)*(controls!$B$9/100)*100+'main page'!$K$25*(E122-B122))</f>
        <v>-362.75000000000006</v>
      </c>
      <c r="N122" s="62">
        <f ca="1">IF(controls!$B$10=1,N121,O122-'main page'!$K$29*M122-(1-'main page'!$K$29)*controls!$B$9)</f>
        <v>362.75000000000006</v>
      </c>
      <c r="O122" s="61">
        <f t="shared" ca="1" si="6"/>
        <v>0</v>
      </c>
      <c r="P122" s="63">
        <f ca="1">IF(controls!$B$10=1,hystere!N122+hystere!M122,hystere!Q122)</f>
        <v>-400.48750000000007</v>
      </c>
      <c r="Q122" s="61">
        <f ca="1">IF('main page'!$Y$53=1,'choose m.p.'!$I$22*100,R122)</f>
        <v>-400.48750000000007</v>
      </c>
      <c r="R122" s="83">
        <f ca="1">'main page'!$K$29*M122+(1-'main page'!$K$29)*controls!$B$9+S122+(('main page'!$K$25*'main page'!$U$13*'main page'!$K$29)/('main page'!$K$27*(1+('main page'!$K$25^2)*'main page'!$U$13)))*(M122-(controls!$B$9/100)*100)</f>
        <v>-400.48750000000007</v>
      </c>
      <c r="S122" s="81">
        <f ca="1">IF(controls!$B$33=1,(J123-E122*X123-B122)/'main page'!$K$27,(I123-E122*X123-B122)/'main page'!$K$27)</f>
        <v>53.45</v>
      </c>
      <c r="U122" s="58">
        <f>IF(controls!$B$6=1,$AG$4*(1+('main page'!$K$35/100))^V122-$AG$4*(1+('main page'!$K$35/100))^V121,$AG$4*(1+('main page'!$G$8/100))*(1+('main page'!$K$35/100))^V122-$AG$4*(1+('main page'!$G$8/100))*(1+('main page'!$K$35/100))^V121)</f>
        <v>0</v>
      </c>
      <c r="V122" s="60">
        <v>114</v>
      </c>
      <c r="W122" s="36">
        <f>'normal case'!AC121</f>
        <v>0</v>
      </c>
      <c r="X122" s="36">
        <f>'normal case'!AD121</f>
        <v>0</v>
      </c>
      <c r="Y122" s="44">
        <f ca="1">IF(controls!$B$33=1,E122-($J$4-'main page'!$K$27*2)*(1+('main page'!$K$35/100))^A121,E122-$AG$5)</f>
        <v>-99.9</v>
      </c>
      <c r="Z122" s="44">
        <f ca="1">ABS(M122-(controls!$B$9/100)*100)</f>
        <v>364.75000000000006</v>
      </c>
      <c r="AI122" s="36"/>
      <c r="AJ122" s="36"/>
    </row>
    <row r="123" spans="1:36">
      <c r="A123" s="43">
        <v>120</v>
      </c>
      <c r="B123" s="62">
        <f ca="1">IF(controls!$B$6=2,AVERAGE(E119:E122)+B122*W123+hystere!$AG$9,AVERAGE(E119:E122)+B122*W123)</f>
        <v>1.1000000000000001</v>
      </c>
      <c r="C123" s="67">
        <f t="shared" ca="1" si="7"/>
        <v>0</v>
      </c>
      <c r="D123" s="88">
        <f t="shared" ca="1" si="8"/>
        <v>-1</v>
      </c>
      <c r="E123" s="64">
        <f t="shared" ca="1" si="9"/>
        <v>0.1</v>
      </c>
      <c r="F123" s="64">
        <f ca="1">IF('main page'!$K$34=1,hystere!H123,hystere!G123)</f>
        <v>-617.50000000000011</v>
      </c>
      <c r="G123" s="78">
        <f ca="1">I123-'main page'!$K$27*hystere!N122</f>
        <v>-617.50000000000011</v>
      </c>
      <c r="H123" s="62">
        <f ca="1">J123-'main page'!$K$27*N122</f>
        <v>-617.50000000000011</v>
      </c>
      <c r="I123" s="62">
        <f t="shared" ca="1" si="10"/>
        <v>108</v>
      </c>
      <c r="J123" s="62">
        <f t="shared" ca="1" si="11"/>
        <v>108</v>
      </c>
      <c r="M123" s="62">
        <f ca="1">IF(ABS('main page'!$K$29*M122+(1-'main page'!$K$29)*(controls!$B$9/100)*100+'main page'!$K$25*(E123-B123)-M122)&lt;0.0000001,M122,'main page'!$K$29*M122+(1-'main page'!$K$29)*(controls!$B$9/100)*100+'main page'!$K$25*(E123-B123))</f>
        <v>-363.75000000000006</v>
      </c>
      <c r="N123" s="62">
        <f ca="1">IF(controls!$B$10=1,N122,O123-'main page'!$K$29*M123-(1-'main page'!$K$29)*controls!$B$9)</f>
        <v>363.75000000000006</v>
      </c>
      <c r="O123" s="61">
        <f t="shared" ca="1" si="6"/>
        <v>0</v>
      </c>
      <c r="P123" s="63">
        <f ca="1">IF(controls!$B$10=1,hystere!N123+hystere!M123,hystere!Q123)</f>
        <v>-401.73750000000007</v>
      </c>
      <c r="Q123" s="61">
        <f ca="1">IF('main page'!$Y$53=1,'choose m.p.'!$I$22*100,R123)</f>
        <v>-401.73750000000007</v>
      </c>
      <c r="R123" s="83">
        <f ca="1">'main page'!$K$29*M123+(1-'main page'!$K$29)*controls!$B$9+S123+(('main page'!$K$25*'main page'!$U$13*'main page'!$K$29)/('main page'!$K$27*(1+('main page'!$K$25^2)*'main page'!$U$13)))*(M123-(controls!$B$9/100)*100)</f>
        <v>-401.73750000000007</v>
      </c>
      <c r="S123" s="81">
        <f ca="1">IF(controls!$B$33=1,(J124-E123*X124-B123)/'main page'!$K$27,(I124-E123*X124-B123)/'main page'!$K$27)</f>
        <v>53.45</v>
      </c>
      <c r="U123" s="58">
        <f>IF(controls!$B$6=1,$AG$4*(1+('main page'!$K$35/100))^V123-$AG$4*(1+('main page'!$K$35/100))^V122,$AG$4*(1+('main page'!$G$8/100))*(1+('main page'!$K$35/100))^V123-$AG$4*(1+('main page'!$G$8/100))*(1+('main page'!$K$35/100))^V122)</f>
        <v>0</v>
      </c>
      <c r="V123" s="60">
        <v>115</v>
      </c>
      <c r="W123" s="36">
        <f ca="1">'normal case'!AC122</f>
        <v>0</v>
      </c>
      <c r="X123" s="36">
        <f ca="1">'normal case'!AD122</f>
        <v>0</v>
      </c>
      <c r="Y123" s="44">
        <f ca="1">IF(controls!$B$33=1,E123-($J$4-'main page'!$K$27*2)*(1+('main page'!$K$35/100))^A122,E123-$AG$5)</f>
        <v>-99.9</v>
      </c>
      <c r="Z123" s="44">
        <f ca="1">ABS(M123-(controls!$B$9/100)*100)</f>
        <v>365.75000000000006</v>
      </c>
      <c r="AI123" s="36"/>
      <c r="AJ123" s="36"/>
    </row>
    <row r="124" spans="1:36">
      <c r="A124" s="43">
        <v>121</v>
      </c>
      <c r="B124" s="62">
        <f ca="1">IF(controls!$B$6=2,AVERAGE(E120:E123)+B123*W124+hystere!$AG$9,AVERAGE(E120:E123)+B123*W124)</f>
        <v>1.1000000000000001</v>
      </c>
      <c r="C124" s="67">
        <f t="shared" ca="1" si="7"/>
        <v>0</v>
      </c>
      <c r="D124" s="88">
        <f t="shared" ca="1" si="8"/>
        <v>-1</v>
      </c>
      <c r="E124" s="64">
        <f t="shared" ca="1" si="9"/>
        <v>0.1</v>
      </c>
      <c r="F124" s="64">
        <f ca="1">IF('main page'!$K$34=1,hystere!H124,hystere!G124)</f>
        <v>-619.50000000000011</v>
      </c>
      <c r="G124" s="78">
        <f ca="1">I124-'main page'!$K$27*hystere!N123</f>
        <v>-619.50000000000011</v>
      </c>
      <c r="H124" s="62">
        <f ca="1">J124-'main page'!$K$27*N123</f>
        <v>-619.50000000000011</v>
      </c>
      <c r="I124" s="62">
        <f t="shared" ca="1" si="10"/>
        <v>108</v>
      </c>
      <c r="J124" s="62">
        <f t="shared" ca="1" si="11"/>
        <v>108</v>
      </c>
      <c r="M124" s="62">
        <f ca="1">IF(ABS('main page'!$K$29*M123+(1-'main page'!$K$29)*(controls!$B$9/100)*100+'main page'!$K$25*(E124-B124)-M123)&lt;0.0000001,M123,'main page'!$K$29*M123+(1-'main page'!$K$29)*(controls!$B$9/100)*100+'main page'!$K$25*(E124-B124))</f>
        <v>-364.75000000000006</v>
      </c>
      <c r="N124" s="62">
        <f ca="1">IF(controls!$B$10=1,N123,O124-'main page'!$K$29*M124-(1-'main page'!$K$29)*controls!$B$9)</f>
        <v>364.75000000000006</v>
      </c>
      <c r="O124" s="61">
        <f t="shared" ca="1" si="6"/>
        <v>0</v>
      </c>
      <c r="P124" s="63">
        <f ca="1">IF(controls!$B$10=1,hystere!N124+hystere!M124,hystere!Q124)</f>
        <v>-402.98750000000007</v>
      </c>
      <c r="Q124" s="61">
        <f ca="1">IF('main page'!$Y$53=1,'choose m.p.'!$I$22*100,R124)</f>
        <v>-402.98750000000007</v>
      </c>
      <c r="R124" s="83">
        <f ca="1">'main page'!$K$29*M124+(1-'main page'!$K$29)*controls!$B$9+S124+(('main page'!$K$25*'main page'!$U$13*'main page'!$K$29)/('main page'!$K$27*(1+('main page'!$K$25^2)*'main page'!$U$13)))*(M124-(controls!$B$9/100)*100)</f>
        <v>-402.98750000000007</v>
      </c>
      <c r="S124" s="81">
        <f ca="1">IF(controls!$B$33=1,(J125-E124*X125-B124)/'main page'!$K$27,(I125-E124*X125-B124)/'main page'!$K$27)</f>
        <v>53.45</v>
      </c>
      <c r="U124" s="58">
        <f>IF(controls!$B$6=1,$AG$4*(1+('main page'!$K$35/100))^V124-$AG$4*(1+('main page'!$K$35/100))^V123,$AG$4*(1+('main page'!$G$8/100))*(1+('main page'!$K$35/100))^V124-$AG$4*(1+('main page'!$G$8/100))*(1+('main page'!$K$35/100))^V123)</f>
        <v>0</v>
      </c>
      <c r="V124" s="60">
        <v>116</v>
      </c>
      <c r="W124" s="36">
        <f>'normal case'!AC123</f>
        <v>0</v>
      </c>
      <c r="X124" s="36">
        <f>'normal case'!AD123</f>
        <v>0</v>
      </c>
      <c r="Y124" s="44">
        <f ca="1">IF(controls!$B$33=1,E124-($J$4-'main page'!$K$27*2)*(1+('main page'!$K$35/100))^A123,E124-$AG$5)</f>
        <v>-99.9</v>
      </c>
      <c r="Z124" s="44">
        <f ca="1">ABS(M124-(controls!$B$9/100)*100)</f>
        <v>366.75000000000006</v>
      </c>
      <c r="AI124" s="36"/>
      <c r="AJ124" s="36"/>
    </row>
    <row r="125" spans="1:36">
      <c r="A125" s="43">
        <v>122</v>
      </c>
      <c r="B125" s="62">
        <f ca="1">IF(controls!$B$6=2,AVERAGE(E121:E124)+B124*W125+hystere!$AG$9,AVERAGE(E121:E124)+B124*W125)</f>
        <v>1.1000000000000001</v>
      </c>
      <c r="C125" s="67">
        <f t="shared" ca="1" si="7"/>
        <v>0</v>
      </c>
      <c r="D125" s="88">
        <f t="shared" ca="1" si="8"/>
        <v>-1</v>
      </c>
      <c r="E125" s="64">
        <f t="shared" ca="1" si="9"/>
        <v>0.1</v>
      </c>
      <c r="F125" s="64">
        <f ca="1">IF('main page'!$K$34=1,hystere!H125,hystere!G125)</f>
        <v>-621.50000000000011</v>
      </c>
      <c r="G125" s="78">
        <f ca="1">I125-'main page'!$K$27*hystere!N124</f>
        <v>-621.50000000000011</v>
      </c>
      <c r="H125" s="62">
        <f ca="1">J125-'main page'!$K$27*N124</f>
        <v>-621.50000000000011</v>
      </c>
      <c r="I125" s="62">
        <f t="shared" ca="1" si="10"/>
        <v>108</v>
      </c>
      <c r="J125" s="62">
        <f t="shared" ca="1" si="11"/>
        <v>108</v>
      </c>
      <c r="M125" s="62">
        <f ca="1">IF(ABS('main page'!$K$29*M124+(1-'main page'!$K$29)*(controls!$B$9/100)*100+'main page'!$K$25*(E125-B125)-M124)&lt;0.0000001,M124,'main page'!$K$29*M124+(1-'main page'!$K$29)*(controls!$B$9/100)*100+'main page'!$K$25*(E125-B125))</f>
        <v>-365.75000000000006</v>
      </c>
      <c r="N125" s="62">
        <f ca="1">IF(controls!$B$10=1,N124,O125-'main page'!$K$29*M125-(1-'main page'!$K$29)*controls!$B$9)</f>
        <v>365.75000000000006</v>
      </c>
      <c r="O125" s="61">
        <f t="shared" ca="1" si="6"/>
        <v>0</v>
      </c>
      <c r="P125" s="63">
        <f ca="1">IF(controls!$B$10=1,hystere!N125+hystere!M125,hystere!Q125)</f>
        <v>-404.23750000000007</v>
      </c>
      <c r="Q125" s="61">
        <f ca="1">IF('main page'!$Y$53=1,'choose m.p.'!$I$22*100,R125)</f>
        <v>-404.23750000000007</v>
      </c>
      <c r="R125" s="83">
        <f ca="1">'main page'!$K$29*M125+(1-'main page'!$K$29)*controls!$B$9+S125+(('main page'!$K$25*'main page'!$U$13*'main page'!$K$29)/('main page'!$K$27*(1+('main page'!$K$25^2)*'main page'!$U$13)))*(M125-(controls!$B$9/100)*100)</f>
        <v>-404.23750000000007</v>
      </c>
      <c r="S125" s="81">
        <f ca="1">IF(controls!$B$33=1,(J126-E125*X126-B125)/'main page'!$K$27,(I126-E125*X126-B125)/'main page'!$K$27)</f>
        <v>53.45</v>
      </c>
      <c r="U125" s="58">
        <f>IF(controls!$B$6=1,$AG$4*(1+('main page'!$K$35/100))^V125-$AG$4*(1+('main page'!$K$35/100))^V124,$AG$4*(1+('main page'!$G$8/100))*(1+('main page'!$K$35/100))^V125-$AG$4*(1+('main page'!$G$8/100))*(1+('main page'!$K$35/100))^V124)</f>
        <v>0</v>
      </c>
      <c r="V125" s="60">
        <v>117</v>
      </c>
      <c r="W125" s="36">
        <f>'normal case'!AC124</f>
        <v>0</v>
      </c>
      <c r="X125" s="36">
        <f>'normal case'!AD124</f>
        <v>0</v>
      </c>
      <c r="Y125" s="44">
        <f ca="1">IF(controls!$B$33=1,E125-($J$4-'main page'!$K$27*2)*(1+('main page'!$K$35/100))^A124,E125-$AG$5)</f>
        <v>-99.9</v>
      </c>
      <c r="Z125" s="44">
        <f ca="1">ABS(M125-(controls!$B$9/100)*100)</f>
        <v>367.75000000000006</v>
      </c>
      <c r="AI125" s="36"/>
      <c r="AJ125" s="36"/>
    </row>
    <row r="126" spans="1:36">
      <c r="A126" s="43">
        <v>123</v>
      </c>
      <c r="B126" s="62">
        <f ca="1">IF(controls!$B$6=2,AVERAGE(E122:E125)+B125*W126+hystere!$AG$9,AVERAGE(E122:E125)+B125*W126)</f>
        <v>1.1000000000000001</v>
      </c>
      <c r="C126" s="67">
        <f t="shared" ca="1" si="7"/>
        <v>0</v>
      </c>
      <c r="D126" s="88">
        <f t="shared" ca="1" si="8"/>
        <v>-1</v>
      </c>
      <c r="E126" s="64">
        <f t="shared" ca="1" si="9"/>
        <v>0.1</v>
      </c>
      <c r="F126" s="64">
        <f ca="1">IF('main page'!$K$34=1,hystere!H126,hystere!G126)</f>
        <v>-623.50000000000011</v>
      </c>
      <c r="G126" s="78">
        <f ca="1">I126-'main page'!$K$27*hystere!N125</f>
        <v>-623.50000000000011</v>
      </c>
      <c r="H126" s="62">
        <f ca="1">J126-'main page'!$K$27*N125</f>
        <v>-623.50000000000011</v>
      </c>
      <c r="I126" s="62">
        <f t="shared" ca="1" si="10"/>
        <v>108</v>
      </c>
      <c r="J126" s="62">
        <f t="shared" ca="1" si="11"/>
        <v>108</v>
      </c>
      <c r="M126" s="62">
        <f ca="1">IF(ABS('main page'!$K$29*M125+(1-'main page'!$K$29)*(controls!$B$9/100)*100+'main page'!$K$25*(E126-B126)-M125)&lt;0.0000001,M125,'main page'!$K$29*M125+(1-'main page'!$K$29)*(controls!$B$9/100)*100+'main page'!$K$25*(E126-B126))</f>
        <v>-366.75000000000006</v>
      </c>
      <c r="N126" s="62">
        <f ca="1">IF(controls!$B$10=1,N125,O126-'main page'!$K$29*M126-(1-'main page'!$K$29)*controls!$B$9)</f>
        <v>366.75000000000006</v>
      </c>
      <c r="O126" s="61">
        <f t="shared" ca="1" si="6"/>
        <v>0</v>
      </c>
      <c r="P126" s="63">
        <f ca="1">IF(controls!$B$10=1,hystere!N126+hystere!M126,hystere!Q126)</f>
        <v>-405.48750000000007</v>
      </c>
      <c r="Q126" s="61">
        <f ca="1">IF('main page'!$Y$53=1,'choose m.p.'!$I$22*100,R126)</f>
        <v>-405.48750000000007</v>
      </c>
      <c r="R126" s="83">
        <f ca="1">'main page'!$K$29*M126+(1-'main page'!$K$29)*controls!$B$9+S126+(('main page'!$K$25*'main page'!$U$13*'main page'!$K$29)/('main page'!$K$27*(1+('main page'!$K$25^2)*'main page'!$U$13)))*(M126-(controls!$B$9/100)*100)</f>
        <v>-405.48750000000007</v>
      </c>
      <c r="S126" s="81">
        <f ca="1">IF(controls!$B$33=1,(J127-E126*X127-B126)/'main page'!$K$27,(I127-E126*X127-B126)/'main page'!$K$27)</f>
        <v>53.45</v>
      </c>
      <c r="U126" s="58">
        <f>IF(controls!$B$6=1,$AG$4*(1+('main page'!$K$35/100))^V126-$AG$4*(1+('main page'!$K$35/100))^V125,$AG$4*(1+('main page'!$G$8/100))*(1+('main page'!$K$35/100))^V126-$AG$4*(1+('main page'!$G$8/100))*(1+('main page'!$K$35/100))^V125)</f>
        <v>0</v>
      </c>
      <c r="V126" s="60">
        <v>118</v>
      </c>
      <c r="W126" s="36">
        <f ca="1">'normal case'!AC125</f>
        <v>0</v>
      </c>
      <c r="X126" s="36">
        <f ca="1">'normal case'!AD125</f>
        <v>0</v>
      </c>
      <c r="Y126" s="44">
        <f ca="1">IF(controls!$B$33=1,E126-($J$4-'main page'!$K$27*2)*(1+('main page'!$K$35/100))^A125,E126-$AG$5)</f>
        <v>-99.9</v>
      </c>
      <c r="Z126" s="44">
        <f ca="1">ABS(M126-(controls!$B$9/100)*100)</f>
        <v>368.75000000000006</v>
      </c>
      <c r="AI126" s="36"/>
      <c r="AJ126" s="36"/>
    </row>
    <row r="127" spans="1:36">
      <c r="A127" s="43">
        <v>124</v>
      </c>
      <c r="B127" s="62">
        <f ca="1">IF(controls!$B$6=2,AVERAGE(E123:E126)+B126*W127+hystere!$AG$9,AVERAGE(E123:E126)+B126*W127)</f>
        <v>1.1000000000000001</v>
      </c>
      <c r="C127" s="67">
        <f t="shared" ca="1" si="7"/>
        <v>0</v>
      </c>
      <c r="D127" s="88">
        <f t="shared" ca="1" si="8"/>
        <v>-1</v>
      </c>
      <c r="E127" s="64">
        <f t="shared" ca="1" si="9"/>
        <v>0.1</v>
      </c>
      <c r="F127" s="64">
        <f ca="1">IF('main page'!$K$34=1,hystere!H127,hystere!G127)</f>
        <v>-625.50000000000011</v>
      </c>
      <c r="G127" s="78">
        <f ca="1">I127-'main page'!$K$27*hystere!N126</f>
        <v>-625.50000000000011</v>
      </c>
      <c r="H127" s="62">
        <f ca="1">J127-'main page'!$K$27*N126</f>
        <v>-625.50000000000011</v>
      </c>
      <c r="I127" s="62">
        <f t="shared" ca="1" si="10"/>
        <v>108</v>
      </c>
      <c r="J127" s="62">
        <f t="shared" ca="1" si="11"/>
        <v>108</v>
      </c>
      <c r="M127" s="62">
        <f ca="1">IF(ABS('main page'!$K$29*M126+(1-'main page'!$K$29)*(controls!$B$9/100)*100+'main page'!$K$25*(E127-B127)-M126)&lt;0.0000001,M126,'main page'!$K$29*M126+(1-'main page'!$K$29)*(controls!$B$9/100)*100+'main page'!$K$25*(E127-B127))</f>
        <v>-367.75000000000006</v>
      </c>
      <c r="N127" s="62">
        <f ca="1">IF(controls!$B$10=1,N126,O127-'main page'!$K$29*M127-(1-'main page'!$K$29)*controls!$B$9)</f>
        <v>367.75000000000006</v>
      </c>
      <c r="O127" s="61">
        <f t="shared" ca="1" si="6"/>
        <v>0</v>
      </c>
      <c r="P127" s="63">
        <f ca="1">IF(controls!$B$10=1,hystere!N127+hystere!M127,hystere!Q127)</f>
        <v>-406.73750000000007</v>
      </c>
      <c r="Q127" s="61">
        <f ca="1">IF('main page'!$Y$53=1,'choose m.p.'!$I$22*100,R127)</f>
        <v>-406.73750000000007</v>
      </c>
      <c r="R127" s="83">
        <f ca="1">'main page'!$K$29*M127+(1-'main page'!$K$29)*controls!$B$9+S127+(('main page'!$K$25*'main page'!$U$13*'main page'!$K$29)/('main page'!$K$27*(1+('main page'!$K$25^2)*'main page'!$U$13)))*(M127-(controls!$B$9/100)*100)</f>
        <v>-406.73750000000007</v>
      </c>
      <c r="S127" s="81">
        <f ca="1">IF(controls!$B$33=1,(J128-E127*X128-B127)/'main page'!$K$27,(I128-E127*X128-B127)/'main page'!$K$27)</f>
        <v>53.45</v>
      </c>
      <c r="U127" s="58">
        <f>IF(controls!$B$6=1,$AG$4*(1+('main page'!$K$35/100))^V127-$AG$4*(1+('main page'!$K$35/100))^V126,$AG$4*(1+('main page'!$G$8/100))*(1+('main page'!$K$35/100))^V127-$AG$4*(1+('main page'!$G$8/100))*(1+('main page'!$K$35/100))^V126)</f>
        <v>0</v>
      </c>
      <c r="V127" s="60">
        <v>119</v>
      </c>
      <c r="W127" s="36">
        <f>'normal case'!AC126</f>
        <v>0</v>
      </c>
      <c r="X127" s="36">
        <f>'normal case'!AD126</f>
        <v>0</v>
      </c>
      <c r="Y127" s="44">
        <f ca="1">IF(controls!$B$33=1,E127-($J$4-'main page'!$K$27*2)*(1+('main page'!$K$35/100))^A126,E127-$AG$5)</f>
        <v>-99.9</v>
      </c>
      <c r="Z127" s="44">
        <f ca="1">ABS(M127-(controls!$B$9/100)*100)</f>
        <v>369.75000000000006</v>
      </c>
      <c r="AI127" s="36"/>
      <c r="AJ127" s="36"/>
    </row>
    <row r="128" spans="1:36">
      <c r="A128" s="43">
        <v>125</v>
      </c>
      <c r="B128" s="62">
        <f ca="1">IF(controls!$B$6=2,AVERAGE(E124:E127)+B127*W128+hystere!$AG$9,AVERAGE(E124:E127)+B127*W128)</f>
        <v>1.1000000000000001</v>
      </c>
      <c r="C128" s="67">
        <f t="shared" ca="1" si="7"/>
        <v>0</v>
      </c>
      <c r="D128" s="88">
        <f t="shared" ca="1" si="8"/>
        <v>-1</v>
      </c>
      <c r="E128" s="64">
        <f t="shared" ca="1" si="9"/>
        <v>0.1</v>
      </c>
      <c r="F128" s="64">
        <f ca="1">IF('main page'!$K$34=1,hystere!H128,hystere!G128)</f>
        <v>-627.50000000000011</v>
      </c>
      <c r="G128" s="78">
        <f ca="1">I128-'main page'!$K$27*hystere!N127</f>
        <v>-627.50000000000011</v>
      </c>
      <c r="H128" s="62">
        <f ca="1">J128-'main page'!$K$27*N127</f>
        <v>-627.50000000000011</v>
      </c>
      <c r="I128" s="62">
        <f t="shared" ca="1" si="10"/>
        <v>108</v>
      </c>
      <c r="J128" s="62">
        <f t="shared" ca="1" si="11"/>
        <v>108</v>
      </c>
      <c r="M128" s="62">
        <f ca="1">IF(ABS('main page'!$K$29*M127+(1-'main page'!$K$29)*(controls!$B$9/100)*100+'main page'!$K$25*(E128-B128)-M127)&lt;0.0000001,M127,'main page'!$K$29*M127+(1-'main page'!$K$29)*(controls!$B$9/100)*100+'main page'!$K$25*(E128-B128))</f>
        <v>-368.75000000000006</v>
      </c>
      <c r="N128" s="62">
        <f ca="1">IF(controls!$B$10=1,N127,O128-'main page'!$K$29*M128-(1-'main page'!$K$29)*controls!$B$9)</f>
        <v>368.75000000000006</v>
      </c>
      <c r="O128" s="61">
        <f t="shared" ca="1" si="6"/>
        <v>0</v>
      </c>
      <c r="P128" s="63">
        <f ca="1">IF(controls!$B$10=1,hystere!N128+hystere!M128,hystere!Q128)</f>
        <v>-407.98750000000007</v>
      </c>
      <c r="Q128" s="61">
        <f ca="1">IF('main page'!$Y$53=1,'choose m.p.'!$I$22*100,R128)</f>
        <v>-407.98750000000007</v>
      </c>
      <c r="R128" s="83">
        <f ca="1">'main page'!$K$29*M128+(1-'main page'!$K$29)*controls!$B$9+S128+(('main page'!$K$25*'main page'!$U$13*'main page'!$K$29)/('main page'!$K$27*(1+('main page'!$K$25^2)*'main page'!$U$13)))*(M128-(controls!$B$9/100)*100)</f>
        <v>-407.98750000000007</v>
      </c>
      <c r="S128" s="81">
        <f ca="1">IF(controls!$B$33=1,(J129-E128*X129-B128)/'main page'!$K$27,(I129-E128*X129-B128)/'main page'!$K$27)</f>
        <v>53.45</v>
      </c>
      <c r="U128" s="58">
        <f>IF(controls!$B$6=1,$AG$4*(1+('main page'!$K$35/100))^V128-$AG$4*(1+('main page'!$K$35/100))^V127,$AG$4*(1+('main page'!$G$8/100))*(1+('main page'!$K$35/100))^V128-$AG$4*(1+('main page'!$G$8/100))*(1+('main page'!$K$35/100))^V127)</f>
        <v>0</v>
      </c>
      <c r="V128" s="60">
        <v>120</v>
      </c>
      <c r="W128" s="36">
        <f>'normal case'!AC127</f>
        <v>0</v>
      </c>
      <c r="X128" s="36">
        <f>'normal case'!AD127</f>
        <v>0</v>
      </c>
      <c r="Y128" s="44">
        <f ca="1">IF(controls!$B$33=1,E128-($J$4-'main page'!$K$27*2)*(1+('main page'!$K$35/100))^A127,E128-$AG$5)</f>
        <v>-99.9</v>
      </c>
      <c r="Z128" s="44">
        <f ca="1">ABS(M128-(controls!$B$9/100)*100)</f>
        <v>370.75000000000006</v>
      </c>
      <c r="AI128" s="36"/>
      <c r="AJ128" s="36"/>
    </row>
    <row r="129" spans="1:36">
      <c r="A129" s="43">
        <v>126</v>
      </c>
      <c r="B129" s="62">
        <f ca="1">IF(controls!$B$6=2,AVERAGE(E125:E128)+B128*W129+hystere!$AG$9,AVERAGE(E125:E128)+B128*W129)</f>
        <v>1.1000000000000001</v>
      </c>
      <c r="C129" s="67">
        <f t="shared" ca="1" si="7"/>
        <v>0</v>
      </c>
      <c r="D129" s="88">
        <f t="shared" ca="1" si="8"/>
        <v>-1</v>
      </c>
      <c r="E129" s="64">
        <f t="shared" ca="1" si="9"/>
        <v>0.1</v>
      </c>
      <c r="F129" s="64">
        <f ca="1">IF('main page'!$K$34=1,hystere!H129,hystere!G129)</f>
        <v>-629.50000000000011</v>
      </c>
      <c r="G129" s="78">
        <f ca="1">I129-'main page'!$K$27*hystere!N128</f>
        <v>-629.50000000000011</v>
      </c>
      <c r="H129" s="62">
        <f ca="1">J129-'main page'!$K$27*N128</f>
        <v>-629.50000000000011</v>
      </c>
      <c r="I129" s="62">
        <f t="shared" ca="1" si="10"/>
        <v>108</v>
      </c>
      <c r="J129" s="62">
        <f t="shared" ca="1" si="11"/>
        <v>108</v>
      </c>
      <c r="M129" s="62">
        <f ca="1">IF(ABS('main page'!$K$29*M128+(1-'main page'!$K$29)*(controls!$B$9/100)*100+'main page'!$K$25*(E129-B129)-M128)&lt;0.0000001,M128,'main page'!$K$29*M128+(1-'main page'!$K$29)*(controls!$B$9/100)*100+'main page'!$K$25*(E129-B129))</f>
        <v>-369.75000000000006</v>
      </c>
      <c r="N129" s="62">
        <f ca="1">IF(controls!$B$10=1,N128,O129-'main page'!$K$29*M129-(1-'main page'!$K$29)*controls!$B$9)</f>
        <v>369.75000000000006</v>
      </c>
      <c r="O129" s="61">
        <f t="shared" ca="1" si="6"/>
        <v>0</v>
      </c>
      <c r="P129" s="63">
        <f ca="1">IF(controls!$B$10=1,hystere!N129+hystere!M129,hystere!Q129)</f>
        <v>-409.23750000000007</v>
      </c>
      <c r="Q129" s="61">
        <f ca="1">IF('main page'!$Y$53=1,'choose m.p.'!$I$22*100,R129)</f>
        <v>-409.23750000000007</v>
      </c>
      <c r="R129" s="83">
        <f ca="1">'main page'!$K$29*M129+(1-'main page'!$K$29)*controls!$B$9+S129+(('main page'!$K$25*'main page'!$U$13*'main page'!$K$29)/('main page'!$K$27*(1+('main page'!$K$25^2)*'main page'!$U$13)))*(M129-(controls!$B$9/100)*100)</f>
        <v>-409.23750000000007</v>
      </c>
      <c r="S129" s="81">
        <f ca="1">IF(controls!$B$33=1,(J130-E129*X130-B129)/'main page'!$K$27,(I130-E129*X130-B129)/'main page'!$K$27)</f>
        <v>53.45</v>
      </c>
      <c r="U129" s="58">
        <f>IF(controls!$B$6=1,$AG$4*(1+('main page'!$K$35/100))^V129-$AG$4*(1+('main page'!$K$35/100))^V128,$AG$4*(1+('main page'!$G$8/100))*(1+('main page'!$K$35/100))^V129-$AG$4*(1+('main page'!$G$8/100))*(1+('main page'!$K$35/100))^V128)</f>
        <v>0</v>
      </c>
      <c r="V129" s="60">
        <v>121</v>
      </c>
      <c r="W129" s="36">
        <f ca="1">'normal case'!AC128</f>
        <v>0</v>
      </c>
      <c r="X129" s="36">
        <f ca="1">'normal case'!AD128</f>
        <v>0</v>
      </c>
      <c r="Y129" s="44">
        <f ca="1">IF(controls!$B$33=1,E129-($J$4-'main page'!$K$27*2)*(1+('main page'!$K$35/100))^A128,E129-$AG$5)</f>
        <v>-99.9</v>
      </c>
      <c r="Z129" s="44">
        <f ca="1">ABS(M129-(controls!$B$9/100)*100)</f>
        <v>371.75000000000006</v>
      </c>
      <c r="AI129" s="36"/>
      <c r="AJ129" s="36"/>
    </row>
    <row r="130" spans="1:36">
      <c r="A130" s="43">
        <v>127</v>
      </c>
      <c r="B130" s="62">
        <f ca="1">IF(controls!$B$6=2,AVERAGE(E126:E129)+B129*W130+hystere!$AG$9,AVERAGE(E126:E129)+B129*W130)</f>
        <v>1.1000000000000001</v>
      </c>
      <c r="C130" s="67">
        <f t="shared" ca="1" si="7"/>
        <v>0</v>
      </c>
      <c r="D130" s="88">
        <f t="shared" ca="1" si="8"/>
        <v>-1</v>
      </c>
      <c r="E130" s="64">
        <f t="shared" ca="1" si="9"/>
        <v>0.1</v>
      </c>
      <c r="F130" s="64">
        <f ca="1">IF('main page'!$K$34=1,hystere!H130,hystere!G130)</f>
        <v>-631.50000000000011</v>
      </c>
      <c r="G130" s="78">
        <f ca="1">I130-'main page'!$K$27*hystere!N129</f>
        <v>-631.50000000000011</v>
      </c>
      <c r="H130" s="62">
        <f ca="1">J130-'main page'!$K$27*N129</f>
        <v>-631.50000000000011</v>
      </c>
      <c r="I130" s="62">
        <f t="shared" ca="1" si="10"/>
        <v>108</v>
      </c>
      <c r="J130" s="62">
        <f t="shared" ca="1" si="11"/>
        <v>108</v>
      </c>
      <c r="M130" s="62">
        <f ca="1">IF(ABS('main page'!$K$29*M129+(1-'main page'!$K$29)*(controls!$B$9/100)*100+'main page'!$K$25*(E130-B130)-M129)&lt;0.0000001,M129,'main page'!$K$29*M129+(1-'main page'!$K$29)*(controls!$B$9/100)*100+'main page'!$K$25*(E130-B130))</f>
        <v>-370.75000000000006</v>
      </c>
      <c r="N130" s="62">
        <f ca="1">IF(controls!$B$10=1,N129,O130-'main page'!$K$29*M130-(1-'main page'!$K$29)*controls!$B$9)</f>
        <v>370.75000000000006</v>
      </c>
      <c r="O130" s="61">
        <f t="shared" ca="1" si="6"/>
        <v>0</v>
      </c>
      <c r="P130" s="63">
        <f ca="1">IF(controls!$B$10=1,hystere!N130+hystere!M130,hystere!Q130)</f>
        <v>-410.48750000000007</v>
      </c>
      <c r="Q130" s="61">
        <f ca="1">IF('main page'!$Y$53=1,'choose m.p.'!$I$22*100,R130)</f>
        <v>-410.48750000000007</v>
      </c>
      <c r="R130" s="83">
        <f ca="1">'main page'!$K$29*M130+(1-'main page'!$K$29)*controls!$B$9+S130+(('main page'!$K$25*'main page'!$U$13*'main page'!$K$29)/('main page'!$K$27*(1+('main page'!$K$25^2)*'main page'!$U$13)))*(M130-(controls!$B$9/100)*100)</f>
        <v>-410.48750000000007</v>
      </c>
      <c r="S130" s="81">
        <f ca="1">IF(controls!$B$33=1,(J131-E130*X131-B130)/'main page'!$K$27,(I131-E130*X131-B130)/'main page'!$K$27)</f>
        <v>53.45</v>
      </c>
      <c r="U130" s="58">
        <f>IF(controls!$B$6=1,$AG$4*(1+('main page'!$K$35/100))^V130-$AG$4*(1+('main page'!$K$35/100))^V129,$AG$4*(1+('main page'!$G$8/100))*(1+('main page'!$K$35/100))^V130-$AG$4*(1+('main page'!$G$8/100))*(1+('main page'!$K$35/100))^V129)</f>
        <v>0</v>
      </c>
      <c r="V130" s="60">
        <v>122</v>
      </c>
      <c r="W130" s="36">
        <f>'normal case'!AC129</f>
        <v>0</v>
      </c>
      <c r="X130" s="36">
        <f>'normal case'!AD129</f>
        <v>0</v>
      </c>
      <c r="Y130" s="44">
        <f ca="1">IF(controls!$B$33=1,E130-($J$4-'main page'!$K$27*2)*(1+('main page'!$K$35/100))^A129,E130-$AG$5)</f>
        <v>-99.9</v>
      </c>
      <c r="Z130" s="44">
        <f ca="1">ABS(M130-(controls!$B$9/100)*100)</f>
        <v>372.75000000000006</v>
      </c>
      <c r="AI130" s="36"/>
      <c r="AJ130" s="36"/>
    </row>
    <row r="131" spans="1:36">
      <c r="A131" s="43">
        <v>128</v>
      </c>
      <c r="B131" s="62">
        <f ca="1">IF(controls!$B$6=2,AVERAGE(E127:E130)+B130*W131+hystere!$AG$9,AVERAGE(E127:E130)+B130*W131)</f>
        <v>1.1000000000000001</v>
      </c>
      <c r="C131" s="67">
        <f t="shared" ca="1" si="7"/>
        <v>0</v>
      </c>
      <c r="D131" s="88">
        <f t="shared" ca="1" si="8"/>
        <v>-1</v>
      </c>
      <c r="E131" s="64">
        <f t="shared" ca="1" si="9"/>
        <v>0.1</v>
      </c>
      <c r="F131" s="64">
        <f ca="1">IF('main page'!$K$34=1,hystere!H131,hystere!G131)</f>
        <v>-633.50000000000011</v>
      </c>
      <c r="G131" s="78">
        <f ca="1">I131-'main page'!$K$27*hystere!N130</f>
        <v>-633.50000000000011</v>
      </c>
      <c r="H131" s="62">
        <f ca="1">J131-'main page'!$K$27*N130</f>
        <v>-633.50000000000011</v>
      </c>
      <c r="I131" s="62">
        <f t="shared" ca="1" si="10"/>
        <v>108</v>
      </c>
      <c r="J131" s="62">
        <f t="shared" ca="1" si="11"/>
        <v>108</v>
      </c>
      <c r="M131" s="62">
        <f ca="1">IF(ABS('main page'!$K$29*M130+(1-'main page'!$K$29)*(controls!$B$9/100)*100+'main page'!$K$25*(E131-B131)-M130)&lt;0.0000001,M130,'main page'!$K$29*M130+(1-'main page'!$K$29)*(controls!$B$9/100)*100+'main page'!$K$25*(E131-B131))</f>
        <v>-371.75000000000006</v>
      </c>
      <c r="N131" s="62">
        <f ca="1">IF(controls!$B$10=1,N130,O131-'main page'!$K$29*M131-(1-'main page'!$K$29)*controls!$B$9)</f>
        <v>371.75000000000006</v>
      </c>
      <c r="O131" s="61">
        <f t="shared" ca="1" si="6"/>
        <v>0</v>
      </c>
      <c r="P131" s="63">
        <f ca="1">IF(controls!$B$10=1,hystere!N131+hystere!M131,hystere!Q131)</f>
        <v>-411.73750000000007</v>
      </c>
      <c r="Q131" s="61">
        <f ca="1">IF('main page'!$Y$53=1,'choose m.p.'!$I$22*100,R131)</f>
        <v>-411.73750000000007</v>
      </c>
      <c r="R131" s="83">
        <f ca="1">'main page'!$K$29*M131+(1-'main page'!$K$29)*controls!$B$9+S131+(('main page'!$K$25*'main page'!$U$13*'main page'!$K$29)/('main page'!$K$27*(1+('main page'!$K$25^2)*'main page'!$U$13)))*(M131-(controls!$B$9/100)*100)</f>
        <v>-411.73750000000007</v>
      </c>
      <c r="S131" s="81">
        <f ca="1">IF(controls!$B$33=1,(J132-E131*X132-B131)/'main page'!$K$27,(I132-E131*X132-B131)/'main page'!$K$27)</f>
        <v>53.45</v>
      </c>
      <c r="U131" s="58">
        <f>IF(controls!$B$6=1,$AG$4*(1+('main page'!$K$35/100))^V131-$AG$4*(1+('main page'!$K$35/100))^V130,$AG$4*(1+('main page'!$G$8/100))*(1+('main page'!$K$35/100))^V131-$AG$4*(1+('main page'!$G$8/100))*(1+('main page'!$K$35/100))^V130)</f>
        <v>0</v>
      </c>
      <c r="V131" s="60">
        <v>123</v>
      </c>
      <c r="W131" s="36">
        <f>'normal case'!AC130</f>
        <v>0</v>
      </c>
      <c r="X131" s="36">
        <f>'normal case'!AD130</f>
        <v>0</v>
      </c>
      <c r="Y131" s="44">
        <f ca="1">IF(controls!$B$33=1,E131-($J$4-'main page'!$K$27*2)*(1+('main page'!$K$35/100))^A130,E131-$AG$5)</f>
        <v>-99.9</v>
      </c>
      <c r="Z131" s="44">
        <f ca="1">ABS(M131-(controls!$B$9/100)*100)</f>
        <v>373.75000000000006</v>
      </c>
      <c r="AI131" s="36"/>
      <c r="AJ131" s="36"/>
    </row>
    <row r="132" spans="1:36">
      <c r="A132" s="43">
        <v>129</v>
      </c>
      <c r="B132" s="62">
        <f ca="1">IF(controls!$B$6=2,AVERAGE(E128:E131)+B131*W132+hystere!$AG$9,AVERAGE(E128:E131)+B131*W132)</f>
        <v>1.1000000000000001</v>
      </c>
      <c r="C132" s="67">
        <f t="shared" ca="1" si="7"/>
        <v>0</v>
      </c>
      <c r="D132" s="88">
        <f t="shared" ca="1" si="8"/>
        <v>-1</v>
      </c>
      <c r="E132" s="64">
        <f t="shared" ca="1" si="9"/>
        <v>0.1</v>
      </c>
      <c r="F132" s="64">
        <f ca="1">IF('main page'!$K$34=1,hystere!H132,hystere!G132)</f>
        <v>-635.50000000000011</v>
      </c>
      <c r="G132" s="78">
        <f ca="1">I132-'main page'!$K$27*hystere!N131</f>
        <v>-635.50000000000011</v>
      </c>
      <c r="H132" s="62">
        <f ca="1">J132-'main page'!$K$27*N131</f>
        <v>-635.50000000000011</v>
      </c>
      <c r="I132" s="62">
        <f t="shared" ca="1" si="10"/>
        <v>108</v>
      </c>
      <c r="J132" s="62">
        <f t="shared" ca="1" si="11"/>
        <v>108</v>
      </c>
      <c r="M132" s="62">
        <f ca="1">IF(ABS('main page'!$K$29*M131+(1-'main page'!$K$29)*(controls!$B$9/100)*100+'main page'!$K$25*(E132-B132)-M131)&lt;0.0000001,M131,'main page'!$K$29*M131+(1-'main page'!$K$29)*(controls!$B$9/100)*100+'main page'!$K$25*(E132-B132))</f>
        <v>-372.75000000000006</v>
      </c>
      <c r="N132" s="62">
        <f ca="1">IF(controls!$B$10=1,N131,O132-'main page'!$K$29*M132-(1-'main page'!$K$29)*controls!$B$9)</f>
        <v>372.75000000000006</v>
      </c>
      <c r="O132" s="61">
        <f t="shared" ref="O132:O195" ca="1" si="12">IF(P132&lt;0,0,P132)</f>
        <v>0</v>
      </c>
      <c r="P132" s="63">
        <f ca="1">IF(controls!$B$10=1,hystere!N132+hystere!M132,hystere!Q132)</f>
        <v>-412.98750000000007</v>
      </c>
      <c r="Q132" s="61">
        <f ca="1">IF('main page'!$Y$53=1,'choose m.p.'!$I$22*100,R132)</f>
        <v>-412.98750000000007</v>
      </c>
      <c r="R132" s="83">
        <f ca="1">'main page'!$K$29*M132+(1-'main page'!$K$29)*controls!$B$9+S132+(('main page'!$K$25*'main page'!$U$13*'main page'!$K$29)/('main page'!$K$27*(1+('main page'!$K$25^2)*'main page'!$U$13)))*(M132-(controls!$B$9/100)*100)</f>
        <v>-412.98750000000007</v>
      </c>
      <c r="S132" s="81">
        <f ca="1">IF(controls!$B$33=1,(J133-E132*X133-B132)/'main page'!$K$27,(I133-E132*X133-B132)/'main page'!$K$27)</f>
        <v>53.45</v>
      </c>
      <c r="U132" s="58">
        <f>IF(controls!$B$6=1,$AG$4*(1+('main page'!$K$35/100))^V132-$AG$4*(1+('main page'!$K$35/100))^V131,$AG$4*(1+('main page'!$G$8/100))*(1+('main page'!$K$35/100))^V132-$AG$4*(1+('main page'!$G$8/100))*(1+('main page'!$K$35/100))^V131)</f>
        <v>0</v>
      </c>
      <c r="V132" s="60">
        <v>124</v>
      </c>
      <c r="W132" s="36">
        <f ca="1">'normal case'!AC131</f>
        <v>0</v>
      </c>
      <c r="X132" s="36">
        <f ca="1">'normal case'!AD131</f>
        <v>0</v>
      </c>
      <c r="Y132" s="44">
        <f ca="1">IF(controls!$B$33=1,E132-($J$4-'main page'!$K$27*2)*(1+('main page'!$K$35/100))^A131,E132-$AG$5)</f>
        <v>-99.9</v>
      </c>
      <c r="Z132" s="44">
        <f ca="1">ABS(M132-(controls!$B$9/100)*100)</f>
        <v>374.75000000000006</v>
      </c>
      <c r="AI132" s="36"/>
      <c r="AJ132" s="36"/>
    </row>
    <row r="133" spans="1:36">
      <c r="A133" s="43">
        <v>130</v>
      </c>
      <c r="B133" s="62">
        <f ca="1">IF(controls!$B$6=2,AVERAGE(E129:E132)+B132*W133+hystere!$AG$9,AVERAGE(E129:E132)+B132*W133)</f>
        <v>1.1000000000000001</v>
      </c>
      <c r="C133" s="67">
        <f t="shared" ref="C133:C196" ca="1" si="13">E133/E132-1</f>
        <v>0</v>
      </c>
      <c r="D133" s="88">
        <f t="shared" ref="D133:D196" ca="1" si="14">E133-B133</f>
        <v>-1</v>
      </c>
      <c r="E133" s="64">
        <f t="shared" ref="E133:E196" ca="1" si="15">IF(F133&gt;0,F133,0.1)</f>
        <v>0.1</v>
      </c>
      <c r="F133" s="64">
        <f ca="1">IF('main page'!$K$34=1,hystere!H133,hystere!G133)</f>
        <v>-637.50000000000011</v>
      </c>
      <c r="G133" s="78">
        <f ca="1">I133-'main page'!$K$27*hystere!N132</f>
        <v>-637.50000000000011</v>
      </c>
      <c r="H133" s="62">
        <f ca="1">J133-'main page'!$K$27*N132</f>
        <v>-637.50000000000011</v>
      </c>
      <c r="I133" s="62">
        <f t="shared" ca="1" si="10"/>
        <v>108</v>
      </c>
      <c r="J133" s="62">
        <f t="shared" ca="1" si="11"/>
        <v>108</v>
      </c>
      <c r="M133" s="62">
        <f ca="1">IF(ABS('main page'!$K$29*M132+(1-'main page'!$K$29)*(controls!$B$9/100)*100+'main page'!$K$25*(E133-B133)-M132)&lt;0.0000001,M132,'main page'!$K$29*M132+(1-'main page'!$K$29)*(controls!$B$9/100)*100+'main page'!$K$25*(E133-B133))</f>
        <v>-373.75000000000006</v>
      </c>
      <c r="N133" s="62">
        <f ca="1">IF(controls!$B$10=1,N132,O133-'main page'!$K$29*M133-(1-'main page'!$K$29)*controls!$B$9)</f>
        <v>373.75000000000006</v>
      </c>
      <c r="O133" s="61">
        <f t="shared" ca="1" si="12"/>
        <v>0</v>
      </c>
      <c r="P133" s="63">
        <f ca="1">IF(controls!$B$10=1,hystere!N133+hystere!M133,hystere!Q133)</f>
        <v>-414.23750000000007</v>
      </c>
      <c r="Q133" s="61">
        <f ca="1">IF('main page'!$Y$53=1,'choose m.p.'!$I$22*100,R133)</f>
        <v>-414.23750000000007</v>
      </c>
      <c r="R133" s="83">
        <f ca="1">'main page'!$K$29*M133+(1-'main page'!$K$29)*controls!$B$9+S133+(('main page'!$K$25*'main page'!$U$13*'main page'!$K$29)/('main page'!$K$27*(1+('main page'!$K$25^2)*'main page'!$U$13)))*(M133-(controls!$B$9/100)*100)</f>
        <v>-414.23750000000007</v>
      </c>
      <c r="S133" s="81">
        <f ca="1">IF(controls!$B$33=1,(J134-E133*X134-B133)/'main page'!$K$27,(I134-E133*X134-B133)/'main page'!$K$27)</f>
        <v>53.45</v>
      </c>
      <c r="U133" s="58">
        <f>IF(controls!$B$6=1,$AG$4*(1+('main page'!$K$35/100))^V133-$AG$4*(1+('main page'!$K$35/100))^V132,$AG$4*(1+('main page'!$G$8/100))*(1+('main page'!$K$35/100))^V133-$AG$4*(1+('main page'!$G$8/100))*(1+('main page'!$K$35/100))^V132)</f>
        <v>0</v>
      </c>
      <c r="V133" s="60">
        <v>125</v>
      </c>
      <c r="W133" s="36">
        <f>'normal case'!AC132</f>
        <v>0</v>
      </c>
      <c r="X133" s="36">
        <f>'normal case'!AD132</f>
        <v>0</v>
      </c>
      <c r="Y133" s="44">
        <f ca="1">IF(controls!$B$33=1,E133-($J$4-'main page'!$K$27*2)*(1+('main page'!$K$35/100))^A132,E133-$AG$5)</f>
        <v>-99.9</v>
      </c>
      <c r="Z133" s="44">
        <f ca="1">ABS(M133-(controls!$B$9/100)*100)</f>
        <v>375.75000000000006</v>
      </c>
      <c r="AI133" s="36"/>
      <c r="AJ133" s="36"/>
    </row>
    <row r="134" spans="1:36">
      <c r="A134" s="43">
        <v>131</v>
      </c>
      <c r="B134" s="62">
        <f ca="1">IF(controls!$B$6=2,AVERAGE(E130:E133)+B133*W134+hystere!$AG$9,AVERAGE(E130:E133)+B133*W134)</f>
        <v>1.1000000000000001</v>
      </c>
      <c r="C134" s="67">
        <f t="shared" ca="1" si="13"/>
        <v>0</v>
      </c>
      <c r="D134" s="88">
        <f t="shared" ca="1" si="14"/>
        <v>-1</v>
      </c>
      <c r="E134" s="64">
        <f t="shared" ca="1" si="15"/>
        <v>0.1</v>
      </c>
      <c r="F134" s="64">
        <f ca="1">IF('main page'!$K$34=1,hystere!H134,hystere!G134)</f>
        <v>-639.50000000000011</v>
      </c>
      <c r="G134" s="78">
        <f ca="1">I134-'main page'!$K$27*hystere!N133</f>
        <v>-639.50000000000011</v>
      </c>
      <c r="H134" s="62">
        <f ca="1">J134-'main page'!$K$27*N133</f>
        <v>-639.50000000000011</v>
      </c>
      <c r="I134" s="62">
        <f t="shared" ca="1" si="10"/>
        <v>108</v>
      </c>
      <c r="J134" s="62">
        <f t="shared" ca="1" si="11"/>
        <v>108</v>
      </c>
      <c r="M134" s="62">
        <f ca="1">IF(ABS('main page'!$K$29*M133+(1-'main page'!$K$29)*(controls!$B$9/100)*100+'main page'!$K$25*(E134-B134)-M133)&lt;0.0000001,M133,'main page'!$K$29*M133+(1-'main page'!$K$29)*(controls!$B$9/100)*100+'main page'!$K$25*(E134-B134))</f>
        <v>-374.75000000000006</v>
      </c>
      <c r="N134" s="62">
        <f ca="1">IF(controls!$B$10=1,N133,O134-'main page'!$K$29*M134-(1-'main page'!$K$29)*controls!$B$9)</f>
        <v>374.75000000000006</v>
      </c>
      <c r="O134" s="61">
        <f t="shared" ca="1" si="12"/>
        <v>0</v>
      </c>
      <c r="P134" s="63">
        <f ca="1">IF(controls!$B$10=1,hystere!N134+hystere!M134,hystere!Q134)</f>
        <v>-415.48750000000007</v>
      </c>
      <c r="Q134" s="61">
        <f ca="1">IF('main page'!$Y$53=1,'choose m.p.'!$I$22*100,R134)</f>
        <v>-415.48750000000007</v>
      </c>
      <c r="R134" s="83">
        <f ca="1">'main page'!$K$29*M134+(1-'main page'!$K$29)*controls!$B$9+S134+(('main page'!$K$25*'main page'!$U$13*'main page'!$K$29)/('main page'!$K$27*(1+('main page'!$K$25^2)*'main page'!$U$13)))*(M134-(controls!$B$9/100)*100)</f>
        <v>-415.48750000000007</v>
      </c>
      <c r="S134" s="81">
        <f ca="1">IF(controls!$B$33=1,(J135-E134*X135-B134)/'main page'!$K$27,(I135-E134*X135-B134)/'main page'!$K$27)</f>
        <v>53.45</v>
      </c>
      <c r="U134" s="58">
        <f>IF(controls!$B$6=1,$AG$4*(1+('main page'!$K$35/100))^V134-$AG$4*(1+('main page'!$K$35/100))^V133,$AG$4*(1+('main page'!$G$8/100))*(1+('main page'!$K$35/100))^V134-$AG$4*(1+('main page'!$G$8/100))*(1+('main page'!$K$35/100))^V133)</f>
        <v>0</v>
      </c>
      <c r="V134" s="60">
        <v>126</v>
      </c>
      <c r="W134" s="36">
        <f>'normal case'!AC133</f>
        <v>0</v>
      </c>
      <c r="X134" s="36">
        <f>'normal case'!AD133</f>
        <v>0</v>
      </c>
      <c r="Y134" s="44">
        <f ca="1">IF(controls!$B$33=1,E134-($J$4-'main page'!$K$27*2)*(1+('main page'!$K$35/100))^A133,E134-$AG$5)</f>
        <v>-99.9</v>
      </c>
      <c r="Z134" s="44">
        <f ca="1">ABS(M134-(controls!$B$9/100)*100)</f>
        <v>376.75000000000006</v>
      </c>
      <c r="AI134" s="36"/>
      <c r="AJ134" s="36"/>
    </row>
    <row r="135" spans="1:36">
      <c r="A135" s="43">
        <v>132</v>
      </c>
      <c r="B135" s="62">
        <f ca="1">IF(controls!$B$6=2,AVERAGE(E131:E134)+B134*W135+hystere!$AG$9,AVERAGE(E131:E134)+B134*W135)</f>
        <v>1.1000000000000001</v>
      </c>
      <c r="C135" s="67">
        <f t="shared" ca="1" si="13"/>
        <v>0</v>
      </c>
      <c r="D135" s="88">
        <f t="shared" ca="1" si="14"/>
        <v>-1</v>
      </c>
      <c r="E135" s="64">
        <f t="shared" ca="1" si="15"/>
        <v>0.1</v>
      </c>
      <c r="F135" s="64">
        <f ca="1">IF('main page'!$K$34=1,hystere!H135,hystere!G135)</f>
        <v>-641.50000000000011</v>
      </c>
      <c r="G135" s="78">
        <f ca="1">I135-'main page'!$K$27*hystere!N134</f>
        <v>-641.50000000000011</v>
      </c>
      <c r="H135" s="62">
        <f ca="1">J135-'main page'!$K$27*N134</f>
        <v>-641.50000000000011</v>
      </c>
      <c r="I135" s="62">
        <f t="shared" ca="1" si="10"/>
        <v>108</v>
      </c>
      <c r="J135" s="62">
        <f t="shared" ca="1" si="11"/>
        <v>108</v>
      </c>
      <c r="M135" s="62">
        <f ca="1">IF(ABS('main page'!$K$29*M134+(1-'main page'!$K$29)*(controls!$B$9/100)*100+'main page'!$K$25*(E135-B135)-M134)&lt;0.0000001,M134,'main page'!$K$29*M134+(1-'main page'!$K$29)*(controls!$B$9/100)*100+'main page'!$K$25*(E135-B135))</f>
        <v>-375.75000000000006</v>
      </c>
      <c r="N135" s="62">
        <f ca="1">IF(controls!$B$10=1,N134,O135-'main page'!$K$29*M135-(1-'main page'!$K$29)*controls!$B$9)</f>
        <v>375.75000000000006</v>
      </c>
      <c r="O135" s="61">
        <f t="shared" ca="1" si="12"/>
        <v>0</v>
      </c>
      <c r="P135" s="63">
        <f ca="1">IF(controls!$B$10=1,hystere!N135+hystere!M135,hystere!Q135)</f>
        <v>-416.73750000000007</v>
      </c>
      <c r="Q135" s="61">
        <f ca="1">IF('main page'!$Y$53=1,'choose m.p.'!$I$22*100,R135)</f>
        <v>-416.73750000000007</v>
      </c>
      <c r="R135" s="83">
        <f ca="1">'main page'!$K$29*M135+(1-'main page'!$K$29)*controls!$B$9+S135+(('main page'!$K$25*'main page'!$U$13*'main page'!$K$29)/('main page'!$K$27*(1+('main page'!$K$25^2)*'main page'!$U$13)))*(M135-(controls!$B$9/100)*100)</f>
        <v>-416.73750000000007</v>
      </c>
      <c r="S135" s="81">
        <f ca="1">IF(controls!$B$33=1,(J136-E135*X136-B135)/'main page'!$K$27,(I136-E135*X136-B135)/'main page'!$K$27)</f>
        <v>53.45</v>
      </c>
      <c r="U135" s="58">
        <f>IF(controls!$B$6=1,$AG$4*(1+('main page'!$K$35/100))^V135-$AG$4*(1+('main page'!$K$35/100))^V134,$AG$4*(1+('main page'!$G$8/100))*(1+('main page'!$K$35/100))^V135-$AG$4*(1+('main page'!$G$8/100))*(1+('main page'!$K$35/100))^V134)</f>
        <v>0</v>
      </c>
      <c r="V135" s="60">
        <v>127</v>
      </c>
      <c r="W135" s="36">
        <f ca="1">'normal case'!AC134</f>
        <v>0</v>
      </c>
      <c r="X135" s="36">
        <f ca="1">'normal case'!AD134</f>
        <v>0</v>
      </c>
      <c r="Y135" s="44">
        <f ca="1">IF(controls!$B$33=1,E135-($J$4-'main page'!$K$27*2)*(1+('main page'!$K$35/100))^A134,E135-$AG$5)</f>
        <v>-99.9</v>
      </c>
      <c r="Z135" s="44">
        <f ca="1">ABS(M135-(controls!$B$9/100)*100)</f>
        <v>377.75000000000006</v>
      </c>
      <c r="AI135" s="36"/>
      <c r="AJ135" s="36"/>
    </row>
    <row r="136" spans="1:36">
      <c r="A136" s="43">
        <v>133</v>
      </c>
      <c r="B136" s="62">
        <f ca="1">IF(controls!$B$6=2,AVERAGE(E132:E135)+B135*W136+hystere!$AG$9,AVERAGE(E132:E135)+B135*W136)</f>
        <v>1.1000000000000001</v>
      </c>
      <c r="C136" s="67">
        <f t="shared" ca="1" si="13"/>
        <v>0</v>
      </c>
      <c r="D136" s="88">
        <f t="shared" ca="1" si="14"/>
        <v>-1</v>
      </c>
      <c r="E136" s="64">
        <f t="shared" ca="1" si="15"/>
        <v>0.1</v>
      </c>
      <c r="F136" s="64">
        <f ca="1">IF('main page'!$K$34=1,hystere!H136,hystere!G136)</f>
        <v>-643.50000000000011</v>
      </c>
      <c r="G136" s="78">
        <f ca="1">I136-'main page'!$K$27*hystere!N135</f>
        <v>-643.50000000000011</v>
      </c>
      <c r="H136" s="62">
        <f ca="1">J136-'main page'!$K$27*N135</f>
        <v>-643.50000000000011</v>
      </c>
      <c r="I136" s="62">
        <f t="shared" ca="1" si="10"/>
        <v>108</v>
      </c>
      <c r="J136" s="62">
        <f t="shared" ca="1" si="11"/>
        <v>108</v>
      </c>
      <c r="M136" s="62">
        <f ca="1">IF(ABS('main page'!$K$29*M135+(1-'main page'!$K$29)*(controls!$B$9/100)*100+'main page'!$K$25*(E136-B136)-M135)&lt;0.0000001,M135,'main page'!$K$29*M135+(1-'main page'!$K$29)*(controls!$B$9/100)*100+'main page'!$K$25*(E136-B136))</f>
        <v>-376.75000000000006</v>
      </c>
      <c r="N136" s="62">
        <f ca="1">IF(controls!$B$10=1,N135,O136-'main page'!$K$29*M136-(1-'main page'!$K$29)*controls!$B$9)</f>
        <v>376.75000000000006</v>
      </c>
      <c r="O136" s="61">
        <f t="shared" ca="1" si="12"/>
        <v>0</v>
      </c>
      <c r="P136" s="63">
        <f ca="1">IF(controls!$B$10=1,hystere!N136+hystere!M136,hystere!Q136)</f>
        <v>-417.98750000000007</v>
      </c>
      <c r="Q136" s="61">
        <f ca="1">IF('main page'!$Y$53=1,'choose m.p.'!$I$22*100,R136)</f>
        <v>-417.98750000000007</v>
      </c>
      <c r="R136" s="83">
        <f ca="1">'main page'!$K$29*M136+(1-'main page'!$K$29)*controls!$B$9+S136+(('main page'!$K$25*'main page'!$U$13*'main page'!$K$29)/('main page'!$K$27*(1+('main page'!$K$25^2)*'main page'!$U$13)))*(M136-(controls!$B$9/100)*100)</f>
        <v>-417.98750000000007</v>
      </c>
      <c r="S136" s="81">
        <f ca="1">IF(controls!$B$33=1,(J137-E136*X137-B136)/'main page'!$K$27,(I137-E136*X137-B136)/'main page'!$K$27)</f>
        <v>53.45</v>
      </c>
      <c r="U136" s="58">
        <f>IF(controls!$B$6=1,$AG$4*(1+('main page'!$K$35/100))^V136-$AG$4*(1+('main page'!$K$35/100))^V135,$AG$4*(1+('main page'!$G$8/100))*(1+('main page'!$K$35/100))^V136-$AG$4*(1+('main page'!$G$8/100))*(1+('main page'!$K$35/100))^V135)</f>
        <v>0</v>
      </c>
      <c r="V136" s="60">
        <v>128</v>
      </c>
      <c r="W136" s="36">
        <f>'normal case'!AC135</f>
        <v>0</v>
      </c>
      <c r="X136" s="36">
        <f>'normal case'!AD135</f>
        <v>0</v>
      </c>
      <c r="Y136" s="44">
        <f ca="1">IF(controls!$B$33=1,E136-($J$4-'main page'!$K$27*2)*(1+('main page'!$K$35/100))^A135,E136-$AG$5)</f>
        <v>-99.9</v>
      </c>
      <c r="Z136" s="44">
        <f ca="1">ABS(M136-(controls!$B$9/100)*100)</f>
        <v>378.75000000000006</v>
      </c>
      <c r="AI136" s="36"/>
      <c r="AJ136" s="36"/>
    </row>
    <row r="137" spans="1:36">
      <c r="A137" s="43">
        <v>134</v>
      </c>
      <c r="B137" s="62">
        <f ca="1">IF(controls!$B$6=2,AVERAGE(E133:E136)+B136*W137+hystere!$AG$9,AVERAGE(E133:E136)+B136*W137)</f>
        <v>1.1000000000000001</v>
      </c>
      <c r="C137" s="67">
        <f t="shared" ca="1" si="13"/>
        <v>0</v>
      </c>
      <c r="D137" s="88">
        <f t="shared" ca="1" si="14"/>
        <v>-1</v>
      </c>
      <c r="E137" s="64">
        <f t="shared" ca="1" si="15"/>
        <v>0.1</v>
      </c>
      <c r="F137" s="64">
        <f ca="1">IF('main page'!$K$34=1,hystere!H137,hystere!G137)</f>
        <v>-645.50000000000011</v>
      </c>
      <c r="G137" s="78">
        <f ca="1">I137-'main page'!$K$27*hystere!N136</f>
        <v>-645.50000000000011</v>
      </c>
      <c r="H137" s="62">
        <f ca="1">J137-'main page'!$K$27*N136</f>
        <v>-645.50000000000011</v>
      </c>
      <c r="I137" s="62">
        <f t="shared" ca="1" si="10"/>
        <v>108</v>
      </c>
      <c r="J137" s="62">
        <f t="shared" ca="1" si="11"/>
        <v>108</v>
      </c>
      <c r="M137" s="62">
        <f ca="1">IF(ABS('main page'!$K$29*M136+(1-'main page'!$K$29)*(controls!$B$9/100)*100+'main page'!$K$25*(E137-B137)-M136)&lt;0.0000001,M136,'main page'!$K$29*M136+(1-'main page'!$K$29)*(controls!$B$9/100)*100+'main page'!$K$25*(E137-B137))</f>
        <v>-377.75000000000006</v>
      </c>
      <c r="N137" s="62">
        <f ca="1">IF(controls!$B$10=1,N136,O137-'main page'!$K$29*M137-(1-'main page'!$K$29)*controls!$B$9)</f>
        <v>377.75000000000006</v>
      </c>
      <c r="O137" s="61">
        <f t="shared" ca="1" si="12"/>
        <v>0</v>
      </c>
      <c r="P137" s="63">
        <f ca="1">IF(controls!$B$10=1,hystere!N137+hystere!M137,hystere!Q137)</f>
        <v>-419.23750000000007</v>
      </c>
      <c r="Q137" s="61">
        <f ca="1">IF('main page'!$Y$53=1,'choose m.p.'!$I$22*100,R137)</f>
        <v>-419.23750000000007</v>
      </c>
      <c r="R137" s="83">
        <f ca="1">'main page'!$K$29*M137+(1-'main page'!$K$29)*controls!$B$9+S137+(('main page'!$K$25*'main page'!$U$13*'main page'!$K$29)/('main page'!$K$27*(1+('main page'!$K$25^2)*'main page'!$U$13)))*(M137-(controls!$B$9/100)*100)</f>
        <v>-419.23750000000007</v>
      </c>
      <c r="S137" s="81">
        <f ca="1">IF(controls!$B$33=1,(J138-E137*X138-B137)/'main page'!$K$27,(I138-E137*X138-B137)/'main page'!$K$27)</f>
        <v>53.45</v>
      </c>
      <c r="U137" s="58">
        <f>IF(controls!$B$6=1,$AG$4*(1+('main page'!$K$35/100))^V137-$AG$4*(1+('main page'!$K$35/100))^V136,$AG$4*(1+('main page'!$G$8/100))*(1+('main page'!$K$35/100))^V137-$AG$4*(1+('main page'!$G$8/100))*(1+('main page'!$K$35/100))^V136)</f>
        <v>0</v>
      </c>
      <c r="V137" s="60">
        <v>129</v>
      </c>
      <c r="W137" s="36">
        <f>'normal case'!AC136</f>
        <v>0</v>
      </c>
      <c r="X137" s="36">
        <f>'normal case'!AD136</f>
        <v>0</v>
      </c>
      <c r="Y137" s="44">
        <f ca="1">IF(controls!$B$33=1,E137-($J$4-'main page'!$K$27*2)*(1+('main page'!$K$35/100))^A136,E137-$AG$5)</f>
        <v>-99.9</v>
      </c>
      <c r="Z137" s="44">
        <f ca="1">ABS(M137-(controls!$B$9/100)*100)</f>
        <v>379.75000000000006</v>
      </c>
      <c r="AI137" s="36"/>
      <c r="AJ137" s="36"/>
    </row>
    <row r="138" spans="1:36">
      <c r="A138" s="43">
        <v>135</v>
      </c>
      <c r="B138" s="62">
        <f ca="1">IF(controls!$B$6=2,AVERAGE(E134:E137)+B137*W138+hystere!$AG$9,AVERAGE(E134:E137)+B137*W138)</f>
        <v>1.1000000000000001</v>
      </c>
      <c r="C138" s="67">
        <f t="shared" ca="1" si="13"/>
        <v>0</v>
      </c>
      <c r="D138" s="88">
        <f t="shared" ca="1" si="14"/>
        <v>-1</v>
      </c>
      <c r="E138" s="64">
        <f t="shared" ca="1" si="15"/>
        <v>0.1</v>
      </c>
      <c r="F138" s="64">
        <f ca="1">IF('main page'!$K$34=1,hystere!H138,hystere!G138)</f>
        <v>-647.50000000000011</v>
      </c>
      <c r="G138" s="78">
        <f ca="1">I138-'main page'!$K$27*hystere!N137</f>
        <v>-647.50000000000011</v>
      </c>
      <c r="H138" s="62">
        <f ca="1">J138-'main page'!$K$27*N137</f>
        <v>-647.50000000000011</v>
      </c>
      <c r="I138" s="62">
        <f t="shared" ca="1" si="10"/>
        <v>108</v>
      </c>
      <c r="J138" s="62">
        <f t="shared" ca="1" si="11"/>
        <v>108</v>
      </c>
      <c r="M138" s="62">
        <f ca="1">IF(ABS('main page'!$K$29*M137+(1-'main page'!$K$29)*(controls!$B$9/100)*100+'main page'!$K$25*(E138-B138)-M137)&lt;0.0000001,M137,'main page'!$K$29*M137+(1-'main page'!$K$29)*(controls!$B$9/100)*100+'main page'!$K$25*(E138-B138))</f>
        <v>-378.75000000000006</v>
      </c>
      <c r="N138" s="62">
        <f ca="1">IF(controls!$B$10=1,N137,O138-'main page'!$K$29*M138-(1-'main page'!$K$29)*controls!$B$9)</f>
        <v>378.75000000000006</v>
      </c>
      <c r="O138" s="61">
        <f t="shared" ca="1" si="12"/>
        <v>0</v>
      </c>
      <c r="P138" s="63">
        <f ca="1">IF(controls!$B$10=1,hystere!N138+hystere!M138,hystere!Q138)</f>
        <v>-420.48750000000007</v>
      </c>
      <c r="Q138" s="61">
        <f ca="1">IF('main page'!$Y$53=1,'choose m.p.'!$I$22*100,R138)</f>
        <v>-420.48750000000007</v>
      </c>
      <c r="R138" s="83">
        <f ca="1">'main page'!$K$29*M138+(1-'main page'!$K$29)*controls!$B$9+S138+(('main page'!$K$25*'main page'!$U$13*'main page'!$K$29)/('main page'!$K$27*(1+('main page'!$K$25^2)*'main page'!$U$13)))*(M138-(controls!$B$9/100)*100)</f>
        <v>-420.48750000000007</v>
      </c>
      <c r="S138" s="81">
        <f ca="1">IF(controls!$B$33=1,(J139-E138*X139-B138)/'main page'!$K$27,(I139-E138*X139-B138)/'main page'!$K$27)</f>
        <v>53.45</v>
      </c>
      <c r="U138" s="58">
        <f>IF(controls!$B$6=1,$AG$4*(1+('main page'!$K$35/100))^V138-$AG$4*(1+('main page'!$K$35/100))^V137,$AG$4*(1+('main page'!$G$8/100))*(1+('main page'!$K$35/100))^V138-$AG$4*(1+('main page'!$G$8/100))*(1+('main page'!$K$35/100))^V137)</f>
        <v>0</v>
      </c>
      <c r="V138" s="60">
        <v>130</v>
      </c>
      <c r="W138" s="36">
        <f ca="1">'normal case'!AC137</f>
        <v>0</v>
      </c>
      <c r="X138" s="36">
        <f ca="1">'normal case'!AD137</f>
        <v>0</v>
      </c>
      <c r="Y138" s="44">
        <f ca="1">IF(controls!$B$33=1,E138-($J$4-'main page'!$K$27*2)*(1+('main page'!$K$35/100))^A137,E138-$AG$5)</f>
        <v>-99.9</v>
      </c>
      <c r="Z138" s="44">
        <f ca="1">ABS(M138-(controls!$B$9/100)*100)</f>
        <v>380.75000000000006</v>
      </c>
      <c r="AI138" s="36"/>
      <c r="AJ138" s="36"/>
    </row>
    <row r="139" spans="1:36">
      <c r="A139" s="43">
        <v>136</v>
      </c>
      <c r="B139" s="62">
        <f ca="1">IF(controls!$B$6=2,AVERAGE(E135:E138)+B138*W139+hystere!$AG$9,AVERAGE(E135:E138)+B138*W139)</f>
        <v>1.1000000000000001</v>
      </c>
      <c r="C139" s="67">
        <f t="shared" ca="1" si="13"/>
        <v>0</v>
      </c>
      <c r="D139" s="88">
        <f t="shared" ca="1" si="14"/>
        <v>-1</v>
      </c>
      <c r="E139" s="64">
        <f t="shared" ca="1" si="15"/>
        <v>0.1</v>
      </c>
      <c r="F139" s="64">
        <f ca="1">IF('main page'!$K$34=1,hystere!H139,hystere!G139)</f>
        <v>-649.50000000000011</v>
      </c>
      <c r="G139" s="78">
        <f ca="1">I139-'main page'!$K$27*hystere!N138</f>
        <v>-649.50000000000011</v>
      </c>
      <c r="H139" s="62">
        <f ca="1">J139-'main page'!$K$27*N138</f>
        <v>-649.50000000000011</v>
      </c>
      <c r="I139" s="62">
        <f t="shared" ca="1" si="10"/>
        <v>108</v>
      </c>
      <c r="J139" s="62">
        <f t="shared" ca="1" si="11"/>
        <v>108</v>
      </c>
      <c r="M139" s="62">
        <f ca="1">IF(ABS('main page'!$K$29*M138+(1-'main page'!$K$29)*(controls!$B$9/100)*100+'main page'!$K$25*(E139-B139)-M138)&lt;0.0000001,M138,'main page'!$K$29*M138+(1-'main page'!$K$29)*(controls!$B$9/100)*100+'main page'!$K$25*(E139-B139))</f>
        <v>-379.75000000000006</v>
      </c>
      <c r="N139" s="62">
        <f ca="1">IF(controls!$B$10=1,N138,O139-'main page'!$K$29*M139-(1-'main page'!$K$29)*controls!$B$9)</f>
        <v>379.75000000000006</v>
      </c>
      <c r="O139" s="61">
        <f t="shared" ca="1" si="12"/>
        <v>0</v>
      </c>
      <c r="P139" s="63">
        <f ca="1">IF(controls!$B$10=1,hystere!N139+hystere!M139,hystere!Q139)</f>
        <v>-421.73750000000007</v>
      </c>
      <c r="Q139" s="61">
        <f ca="1">IF('main page'!$Y$53=1,'choose m.p.'!$I$22*100,R139)</f>
        <v>-421.73750000000007</v>
      </c>
      <c r="R139" s="83">
        <f ca="1">'main page'!$K$29*M139+(1-'main page'!$K$29)*controls!$B$9+S139+(('main page'!$K$25*'main page'!$U$13*'main page'!$K$29)/('main page'!$K$27*(1+('main page'!$K$25^2)*'main page'!$U$13)))*(M139-(controls!$B$9/100)*100)</f>
        <v>-421.73750000000007</v>
      </c>
      <c r="S139" s="81">
        <f ca="1">IF(controls!$B$33=1,(J140-E139*X140-B139)/'main page'!$K$27,(I140-E139*X140-B139)/'main page'!$K$27)</f>
        <v>53.45</v>
      </c>
      <c r="U139" s="58">
        <f>IF(controls!$B$6=1,$AG$4*(1+('main page'!$K$35/100))^V139-$AG$4*(1+('main page'!$K$35/100))^V138,$AG$4*(1+('main page'!$G$8/100))*(1+('main page'!$K$35/100))^V139-$AG$4*(1+('main page'!$G$8/100))*(1+('main page'!$K$35/100))^V138)</f>
        <v>0</v>
      </c>
      <c r="V139" s="60">
        <v>131</v>
      </c>
      <c r="W139" s="36">
        <f>'normal case'!AC138</f>
        <v>0</v>
      </c>
      <c r="X139" s="36">
        <f>'normal case'!AD138</f>
        <v>0</v>
      </c>
      <c r="Y139" s="44">
        <f ca="1">IF(controls!$B$33=1,E139-($J$4-'main page'!$K$27*2)*(1+('main page'!$K$35/100))^A138,E139-$AG$5)</f>
        <v>-99.9</v>
      </c>
      <c r="Z139" s="44">
        <f ca="1">ABS(M139-(controls!$B$9/100)*100)</f>
        <v>381.75000000000006</v>
      </c>
      <c r="AI139" s="36"/>
      <c r="AJ139" s="36"/>
    </row>
    <row r="140" spans="1:36">
      <c r="A140" s="43">
        <v>137</v>
      </c>
      <c r="B140" s="62">
        <f ca="1">IF(controls!$B$6=2,AVERAGE(E136:E139)+B139*W140+hystere!$AG$9,AVERAGE(E136:E139)+B139*W140)</f>
        <v>1.1000000000000001</v>
      </c>
      <c r="C140" s="67">
        <f t="shared" ca="1" si="13"/>
        <v>0</v>
      </c>
      <c r="D140" s="88">
        <f t="shared" ca="1" si="14"/>
        <v>-1</v>
      </c>
      <c r="E140" s="64">
        <f t="shared" ca="1" si="15"/>
        <v>0.1</v>
      </c>
      <c r="F140" s="64">
        <f ca="1">IF('main page'!$K$34=1,hystere!H140,hystere!G140)</f>
        <v>-651.50000000000011</v>
      </c>
      <c r="G140" s="78">
        <f ca="1">I140-'main page'!$K$27*hystere!N139</f>
        <v>-651.50000000000011</v>
      </c>
      <c r="H140" s="62">
        <f ca="1">J140-'main page'!$K$27*N139</f>
        <v>-651.50000000000011</v>
      </c>
      <c r="I140" s="62">
        <f t="shared" ca="1" si="10"/>
        <v>108</v>
      </c>
      <c r="J140" s="62">
        <f t="shared" ca="1" si="11"/>
        <v>108</v>
      </c>
      <c r="M140" s="62">
        <f ca="1">IF(ABS('main page'!$K$29*M139+(1-'main page'!$K$29)*(controls!$B$9/100)*100+'main page'!$K$25*(E140-B140)-M139)&lt;0.0000001,M139,'main page'!$K$29*M139+(1-'main page'!$K$29)*(controls!$B$9/100)*100+'main page'!$K$25*(E140-B140))</f>
        <v>-380.75000000000006</v>
      </c>
      <c r="N140" s="62">
        <f ca="1">IF(controls!$B$10=1,N139,O140-'main page'!$K$29*M140-(1-'main page'!$K$29)*controls!$B$9)</f>
        <v>380.75000000000006</v>
      </c>
      <c r="O140" s="61">
        <f t="shared" ca="1" si="12"/>
        <v>0</v>
      </c>
      <c r="P140" s="63">
        <f ca="1">IF(controls!$B$10=1,hystere!N140+hystere!M140,hystere!Q140)</f>
        <v>-422.98750000000007</v>
      </c>
      <c r="Q140" s="61">
        <f ca="1">IF('main page'!$Y$53=1,'choose m.p.'!$I$22*100,R140)</f>
        <v>-422.98750000000007</v>
      </c>
      <c r="R140" s="83">
        <f ca="1">'main page'!$K$29*M140+(1-'main page'!$K$29)*controls!$B$9+S140+(('main page'!$K$25*'main page'!$U$13*'main page'!$K$29)/('main page'!$K$27*(1+('main page'!$K$25^2)*'main page'!$U$13)))*(M140-(controls!$B$9/100)*100)</f>
        <v>-422.98750000000007</v>
      </c>
      <c r="S140" s="81">
        <f ca="1">IF(controls!$B$33=1,(J141-E140*X141-B140)/'main page'!$K$27,(I141-E140*X141-B140)/'main page'!$K$27)</f>
        <v>53.45</v>
      </c>
      <c r="U140" s="58">
        <f>IF(controls!$B$6=1,$AG$4*(1+('main page'!$K$35/100))^V140-$AG$4*(1+('main page'!$K$35/100))^V139,$AG$4*(1+('main page'!$G$8/100))*(1+('main page'!$K$35/100))^V140-$AG$4*(1+('main page'!$G$8/100))*(1+('main page'!$K$35/100))^V139)</f>
        <v>0</v>
      </c>
      <c r="V140" s="60">
        <v>132</v>
      </c>
      <c r="W140" s="36">
        <f>'normal case'!AC139</f>
        <v>0</v>
      </c>
      <c r="X140" s="36">
        <f>'normal case'!AD139</f>
        <v>0</v>
      </c>
      <c r="Y140" s="44">
        <f ca="1">IF(controls!$B$33=1,E140-($J$4-'main page'!$K$27*2)*(1+('main page'!$K$35/100))^A139,E140-$AG$5)</f>
        <v>-99.9</v>
      </c>
      <c r="Z140" s="44">
        <f ca="1">ABS(M140-(controls!$B$9/100)*100)</f>
        <v>382.75000000000006</v>
      </c>
      <c r="AI140" s="36"/>
      <c r="AJ140" s="36"/>
    </row>
    <row r="141" spans="1:36">
      <c r="A141" s="43">
        <v>138</v>
      </c>
      <c r="B141" s="62">
        <f ca="1">IF(controls!$B$6=2,AVERAGE(E137:E140)+B140*W141+hystere!$AG$9,AVERAGE(E137:E140)+B140*W141)</f>
        <v>1.1000000000000001</v>
      </c>
      <c r="C141" s="67">
        <f t="shared" ca="1" si="13"/>
        <v>0</v>
      </c>
      <c r="D141" s="88">
        <f t="shared" ca="1" si="14"/>
        <v>-1</v>
      </c>
      <c r="E141" s="64">
        <f t="shared" ca="1" si="15"/>
        <v>0.1</v>
      </c>
      <c r="F141" s="64">
        <f ca="1">IF('main page'!$K$34=1,hystere!H141,hystere!G141)</f>
        <v>-653.50000000000011</v>
      </c>
      <c r="G141" s="78">
        <f ca="1">I141-'main page'!$K$27*hystere!N140</f>
        <v>-653.50000000000011</v>
      </c>
      <c r="H141" s="62">
        <f ca="1">J141-'main page'!$K$27*N140</f>
        <v>-653.50000000000011</v>
      </c>
      <c r="I141" s="62">
        <f t="shared" ca="1" si="10"/>
        <v>108</v>
      </c>
      <c r="J141" s="62">
        <f t="shared" ca="1" si="11"/>
        <v>108</v>
      </c>
      <c r="M141" s="62">
        <f ca="1">IF(ABS('main page'!$K$29*M140+(1-'main page'!$K$29)*(controls!$B$9/100)*100+'main page'!$K$25*(E141-B141)-M140)&lt;0.0000001,M140,'main page'!$K$29*M140+(1-'main page'!$K$29)*(controls!$B$9/100)*100+'main page'!$K$25*(E141-B141))</f>
        <v>-381.75000000000006</v>
      </c>
      <c r="N141" s="62">
        <f ca="1">IF(controls!$B$10=1,N140,O141-'main page'!$K$29*M141-(1-'main page'!$K$29)*controls!$B$9)</f>
        <v>381.75000000000006</v>
      </c>
      <c r="O141" s="61">
        <f t="shared" ca="1" si="12"/>
        <v>0</v>
      </c>
      <c r="P141" s="63">
        <f ca="1">IF(controls!$B$10=1,hystere!N141+hystere!M141,hystere!Q141)</f>
        <v>-424.23750000000007</v>
      </c>
      <c r="Q141" s="61">
        <f ca="1">IF('main page'!$Y$53=1,'choose m.p.'!$I$22*100,R141)</f>
        <v>-424.23750000000007</v>
      </c>
      <c r="R141" s="83">
        <f ca="1">'main page'!$K$29*M141+(1-'main page'!$K$29)*controls!$B$9+S141+(('main page'!$K$25*'main page'!$U$13*'main page'!$K$29)/('main page'!$K$27*(1+('main page'!$K$25^2)*'main page'!$U$13)))*(M141-(controls!$B$9/100)*100)</f>
        <v>-424.23750000000007</v>
      </c>
      <c r="S141" s="81">
        <f ca="1">IF(controls!$B$33=1,(J142-E141*X142-B141)/'main page'!$K$27,(I142-E141*X142-B141)/'main page'!$K$27)</f>
        <v>53.45</v>
      </c>
      <c r="U141" s="58">
        <f>IF(controls!$B$6=1,$AG$4*(1+('main page'!$K$35/100))^V141-$AG$4*(1+('main page'!$K$35/100))^V140,$AG$4*(1+('main page'!$G$8/100))*(1+('main page'!$K$35/100))^V141-$AG$4*(1+('main page'!$G$8/100))*(1+('main page'!$K$35/100))^V140)</f>
        <v>0</v>
      </c>
      <c r="V141" s="60">
        <v>133</v>
      </c>
      <c r="W141" s="36">
        <f ca="1">'normal case'!AC140</f>
        <v>0</v>
      </c>
      <c r="X141" s="36">
        <f ca="1">'normal case'!AD140</f>
        <v>0</v>
      </c>
      <c r="Y141" s="44">
        <f ca="1">IF(controls!$B$33=1,E141-($J$4-'main page'!$K$27*2)*(1+('main page'!$K$35/100))^A140,E141-$AG$5)</f>
        <v>-99.9</v>
      </c>
      <c r="Z141" s="44">
        <f ca="1">ABS(M141-(controls!$B$9/100)*100)</f>
        <v>383.75000000000006</v>
      </c>
      <c r="AI141" s="36"/>
      <c r="AJ141" s="36"/>
    </row>
    <row r="142" spans="1:36">
      <c r="A142" s="43">
        <v>139</v>
      </c>
      <c r="B142" s="62">
        <f ca="1">IF(controls!$B$6=2,AVERAGE(E138:E141)+B141*W142+hystere!$AG$9,AVERAGE(E138:E141)+B141*W142)</f>
        <v>1.1000000000000001</v>
      </c>
      <c r="C142" s="67">
        <f t="shared" ca="1" si="13"/>
        <v>0</v>
      </c>
      <c r="D142" s="88">
        <f t="shared" ca="1" si="14"/>
        <v>-1</v>
      </c>
      <c r="E142" s="64">
        <f t="shared" ca="1" si="15"/>
        <v>0.1</v>
      </c>
      <c r="F142" s="64">
        <f ca="1">IF('main page'!$K$34=1,hystere!H142,hystere!G142)</f>
        <v>-655.50000000000011</v>
      </c>
      <c r="G142" s="78">
        <f ca="1">I142-'main page'!$K$27*hystere!N141</f>
        <v>-655.50000000000011</v>
      </c>
      <c r="H142" s="62">
        <f ca="1">J142-'main page'!$K$27*N141</f>
        <v>-655.50000000000011</v>
      </c>
      <c r="I142" s="62">
        <f t="shared" ca="1" si="10"/>
        <v>108</v>
      </c>
      <c r="J142" s="62">
        <f t="shared" ca="1" si="11"/>
        <v>108</v>
      </c>
      <c r="M142" s="62">
        <f ca="1">IF(ABS('main page'!$K$29*M141+(1-'main page'!$K$29)*(controls!$B$9/100)*100+'main page'!$K$25*(E142-B142)-M141)&lt;0.0000001,M141,'main page'!$K$29*M141+(1-'main page'!$K$29)*(controls!$B$9/100)*100+'main page'!$K$25*(E142-B142))</f>
        <v>-382.75000000000006</v>
      </c>
      <c r="N142" s="62">
        <f ca="1">IF(controls!$B$10=1,N141,O142-'main page'!$K$29*M142-(1-'main page'!$K$29)*controls!$B$9)</f>
        <v>382.75000000000006</v>
      </c>
      <c r="O142" s="61">
        <f t="shared" ca="1" si="12"/>
        <v>0</v>
      </c>
      <c r="P142" s="63">
        <f ca="1">IF(controls!$B$10=1,hystere!N142+hystere!M142,hystere!Q142)</f>
        <v>-425.48750000000007</v>
      </c>
      <c r="Q142" s="61">
        <f ca="1">IF('main page'!$Y$53=1,'choose m.p.'!$I$22*100,R142)</f>
        <v>-425.48750000000007</v>
      </c>
      <c r="R142" s="83">
        <f ca="1">'main page'!$K$29*M142+(1-'main page'!$K$29)*controls!$B$9+S142+(('main page'!$K$25*'main page'!$U$13*'main page'!$K$29)/('main page'!$K$27*(1+('main page'!$K$25^2)*'main page'!$U$13)))*(M142-(controls!$B$9/100)*100)</f>
        <v>-425.48750000000007</v>
      </c>
      <c r="S142" s="81">
        <f ca="1">IF(controls!$B$33=1,(J143-E142*X143-B142)/'main page'!$K$27,(I143-E142*X143-B142)/'main page'!$K$27)</f>
        <v>53.45</v>
      </c>
      <c r="U142" s="58">
        <f>IF(controls!$B$6=1,$AG$4*(1+('main page'!$K$35/100))^V142-$AG$4*(1+('main page'!$K$35/100))^V141,$AG$4*(1+('main page'!$G$8/100))*(1+('main page'!$K$35/100))^V142-$AG$4*(1+('main page'!$G$8/100))*(1+('main page'!$K$35/100))^V141)</f>
        <v>0</v>
      </c>
      <c r="V142" s="60">
        <v>134</v>
      </c>
      <c r="W142" s="36">
        <f>'normal case'!AC141</f>
        <v>0</v>
      </c>
      <c r="X142" s="36">
        <f>'normal case'!AD141</f>
        <v>0</v>
      </c>
      <c r="Y142" s="44">
        <f ca="1">IF(controls!$B$33=1,E142-($J$4-'main page'!$K$27*2)*(1+('main page'!$K$35/100))^A141,E142-$AG$5)</f>
        <v>-99.9</v>
      </c>
      <c r="Z142" s="44">
        <f ca="1">ABS(M142-(controls!$B$9/100)*100)</f>
        <v>384.75000000000006</v>
      </c>
      <c r="AI142" s="36"/>
      <c r="AJ142" s="36"/>
    </row>
    <row r="143" spans="1:36">
      <c r="A143" s="43">
        <v>140</v>
      </c>
      <c r="B143" s="62">
        <f ca="1">IF(controls!$B$6=2,AVERAGE(E139:E142)+B142*W143+hystere!$AG$9,AVERAGE(E139:E142)+B142*W143)</f>
        <v>1.1000000000000001</v>
      </c>
      <c r="C143" s="67">
        <f t="shared" ca="1" si="13"/>
        <v>0</v>
      </c>
      <c r="D143" s="88">
        <f t="shared" ca="1" si="14"/>
        <v>-1</v>
      </c>
      <c r="E143" s="64">
        <f t="shared" ca="1" si="15"/>
        <v>0.1</v>
      </c>
      <c r="F143" s="64">
        <f ca="1">IF('main page'!$K$34=1,hystere!H143,hystere!G143)</f>
        <v>-657.50000000000011</v>
      </c>
      <c r="G143" s="78">
        <f ca="1">I143-'main page'!$K$27*hystere!N142</f>
        <v>-657.50000000000011</v>
      </c>
      <c r="H143" s="62">
        <f ca="1">J143-'main page'!$K$27*N142</f>
        <v>-657.50000000000011</v>
      </c>
      <c r="I143" s="62">
        <f t="shared" ca="1" si="10"/>
        <v>108</v>
      </c>
      <c r="J143" s="62">
        <f t="shared" ca="1" si="11"/>
        <v>108</v>
      </c>
      <c r="M143" s="62">
        <f ca="1">IF(ABS('main page'!$K$29*M142+(1-'main page'!$K$29)*(controls!$B$9/100)*100+'main page'!$K$25*(E143-B143)-M142)&lt;0.0000001,M142,'main page'!$K$29*M142+(1-'main page'!$K$29)*(controls!$B$9/100)*100+'main page'!$K$25*(E143-B143))</f>
        <v>-383.75000000000006</v>
      </c>
      <c r="N143" s="62">
        <f ca="1">IF(controls!$B$10=1,N142,O143-'main page'!$K$29*M143-(1-'main page'!$K$29)*controls!$B$9)</f>
        <v>383.75000000000006</v>
      </c>
      <c r="O143" s="61">
        <f t="shared" ca="1" si="12"/>
        <v>0</v>
      </c>
      <c r="P143" s="63">
        <f ca="1">IF(controls!$B$10=1,hystere!N143+hystere!M143,hystere!Q143)</f>
        <v>-426.73750000000007</v>
      </c>
      <c r="Q143" s="61">
        <f ca="1">IF('main page'!$Y$53=1,'choose m.p.'!$I$22*100,R143)</f>
        <v>-426.73750000000007</v>
      </c>
      <c r="R143" s="83">
        <f ca="1">'main page'!$K$29*M143+(1-'main page'!$K$29)*controls!$B$9+S143+(('main page'!$K$25*'main page'!$U$13*'main page'!$K$29)/('main page'!$K$27*(1+('main page'!$K$25^2)*'main page'!$U$13)))*(M143-(controls!$B$9/100)*100)</f>
        <v>-426.73750000000007</v>
      </c>
      <c r="S143" s="81">
        <f ca="1">IF(controls!$B$33=1,(J144-E143*X144-B143)/'main page'!$K$27,(I144-E143*X144-B143)/'main page'!$K$27)</f>
        <v>53.45</v>
      </c>
      <c r="U143" s="58">
        <f>IF(controls!$B$6=1,$AG$4*(1+('main page'!$K$35/100))^V143-$AG$4*(1+('main page'!$K$35/100))^V142,$AG$4*(1+('main page'!$G$8/100))*(1+('main page'!$K$35/100))^V143-$AG$4*(1+('main page'!$G$8/100))*(1+('main page'!$K$35/100))^V142)</f>
        <v>0</v>
      </c>
      <c r="V143" s="60">
        <v>135</v>
      </c>
      <c r="W143" s="36">
        <f>'normal case'!AC142</f>
        <v>0</v>
      </c>
      <c r="X143" s="36">
        <f>'normal case'!AD142</f>
        <v>0</v>
      </c>
      <c r="Y143" s="44">
        <f ca="1">IF(controls!$B$33=1,E143-($J$4-'main page'!$K$27*2)*(1+('main page'!$K$35/100))^A142,E143-$AG$5)</f>
        <v>-99.9</v>
      </c>
      <c r="Z143" s="44">
        <f ca="1">ABS(M143-(controls!$B$9/100)*100)</f>
        <v>385.75000000000006</v>
      </c>
      <c r="AI143" s="36"/>
      <c r="AJ143" s="36"/>
    </row>
    <row r="144" spans="1:36">
      <c r="A144" s="43">
        <v>141</v>
      </c>
      <c r="B144" s="62">
        <f ca="1">IF(controls!$B$6=2,AVERAGE(E140:E143)+B143*W144+hystere!$AG$9,AVERAGE(E140:E143)+B143*W144)</f>
        <v>1.1000000000000001</v>
      </c>
      <c r="C144" s="67">
        <f t="shared" ca="1" si="13"/>
        <v>0</v>
      </c>
      <c r="D144" s="88">
        <f t="shared" ca="1" si="14"/>
        <v>-1</v>
      </c>
      <c r="E144" s="64">
        <f t="shared" ca="1" si="15"/>
        <v>0.1</v>
      </c>
      <c r="F144" s="64">
        <f ca="1">IF('main page'!$K$34=1,hystere!H144,hystere!G144)</f>
        <v>-659.50000000000011</v>
      </c>
      <c r="G144" s="78">
        <f ca="1">I144-'main page'!$K$27*hystere!N143</f>
        <v>-659.50000000000011</v>
      </c>
      <c r="H144" s="62">
        <f ca="1">J144-'main page'!$K$27*N143</f>
        <v>-659.50000000000011</v>
      </c>
      <c r="I144" s="62">
        <f t="shared" ca="1" si="10"/>
        <v>108</v>
      </c>
      <c r="J144" s="62">
        <f t="shared" ca="1" si="11"/>
        <v>108</v>
      </c>
      <c r="M144" s="62">
        <f ca="1">IF(ABS('main page'!$K$29*M143+(1-'main page'!$K$29)*(controls!$B$9/100)*100+'main page'!$K$25*(E144-B144)-M143)&lt;0.0000001,M143,'main page'!$K$29*M143+(1-'main page'!$K$29)*(controls!$B$9/100)*100+'main page'!$K$25*(E144-B144))</f>
        <v>-384.75000000000006</v>
      </c>
      <c r="N144" s="62">
        <f ca="1">IF(controls!$B$10=1,N143,O144-'main page'!$K$29*M144-(1-'main page'!$K$29)*controls!$B$9)</f>
        <v>384.75000000000006</v>
      </c>
      <c r="O144" s="61">
        <f t="shared" ca="1" si="12"/>
        <v>0</v>
      </c>
      <c r="P144" s="63">
        <f ca="1">IF(controls!$B$10=1,hystere!N144+hystere!M144,hystere!Q144)</f>
        <v>-427.98750000000007</v>
      </c>
      <c r="Q144" s="61">
        <f ca="1">IF('main page'!$Y$53=1,'choose m.p.'!$I$22*100,R144)</f>
        <v>-427.98750000000007</v>
      </c>
      <c r="R144" s="83">
        <f ca="1">'main page'!$K$29*M144+(1-'main page'!$K$29)*controls!$B$9+S144+(('main page'!$K$25*'main page'!$U$13*'main page'!$K$29)/('main page'!$K$27*(1+('main page'!$K$25^2)*'main page'!$U$13)))*(M144-(controls!$B$9/100)*100)</f>
        <v>-427.98750000000007</v>
      </c>
      <c r="S144" s="81">
        <f ca="1">IF(controls!$B$33=1,(J145-E144*X145-B144)/'main page'!$K$27,(I145-E144*X145-B144)/'main page'!$K$27)</f>
        <v>53.45</v>
      </c>
      <c r="U144" s="58">
        <f>IF(controls!$B$6=1,$AG$4*(1+('main page'!$K$35/100))^V144-$AG$4*(1+('main page'!$K$35/100))^V143,$AG$4*(1+('main page'!$G$8/100))*(1+('main page'!$K$35/100))^V144-$AG$4*(1+('main page'!$G$8/100))*(1+('main page'!$K$35/100))^V143)</f>
        <v>0</v>
      </c>
      <c r="V144" s="60">
        <v>136</v>
      </c>
      <c r="W144" s="36">
        <f ca="1">'normal case'!AC143</f>
        <v>0</v>
      </c>
      <c r="X144" s="36">
        <f ca="1">'normal case'!AD143</f>
        <v>0</v>
      </c>
      <c r="Y144" s="44">
        <f ca="1">IF(controls!$B$33=1,E144-($J$4-'main page'!$K$27*2)*(1+('main page'!$K$35/100))^A143,E144-$AG$5)</f>
        <v>-99.9</v>
      </c>
      <c r="Z144" s="44">
        <f ca="1">ABS(M144-(controls!$B$9/100)*100)</f>
        <v>386.75000000000006</v>
      </c>
      <c r="AI144" s="36"/>
      <c r="AJ144" s="36"/>
    </row>
    <row r="145" spans="1:36">
      <c r="A145" s="43">
        <v>142</v>
      </c>
      <c r="B145" s="62">
        <f ca="1">IF(controls!$B$6=2,AVERAGE(E141:E144)+B144*W145+hystere!$AG$9,AVERAGE(E141:E144)+B144*W145)</f>
        <v>1.1000000000000001</v>
      </c>
      <c r="C145" s="67">
        <f t="shared" ca="1" si="13"/>
        <v>0</v>
      </c>
      <c r="D145" s="88">
        <f t="shared" ca="1" si="14"/>
        <v>-1</v>
      </c>
      <c r="E145" s="64">
        <f t="shared" ca="1" si="15"/>
        <v>0.1</v>
      </c>
      <c r="F145" s="64">
        <f ca="1">IF('main page'!$K$34=1,hystere!H145,hystere!G145)</f>
        <v>-661.50000000000011</v>
      </c>
      <c r="G145" s="78">
        <f ca="1">I145-'main page'!$K$27*hystere!N144</f>
        <v>-661.50000000000011</v>
      </c>
      <c r="H145" s="62">
        <f ca="1">J145-'main page'!$K$27*N144</f>
        <v>-661.50000000000011</v>
      </c>
      <c r="I145" s="62">
        <f t="shared" ca="1" si="10"/>
        <v>108</v>
      </c>
      <c r="J145" s="62">
        <f t="shared" ca="1" si="11"/>
        <v>108</v>
      </c>
      <c r="M145" s="62">
        <f ca="1">IF(ABS('main page'!$K$29*M144+(1-'main page'!$K$29)*(controls!$B$9/100)*100+'main page'!$K$25*(E145-B145)-M144)&lt;0.0000001,M144,'main page'!$K$29*M144+(1-'main page'!$K$29)*(controls!$B$9/100)*100+'main page'!$K$25*(E145-B145))</f>
        <v>-385.75000000000006</v>
      </c>
      <c r="N145" s="62">
        <f ca="1">IF(controls!$B$10=1,N144,O145-'main page'!$K$29*M145-(1-'main page'!$K$29)*controls!$B$9)</f>
        <v>385.75000000000006</v>
      </c>
      <c r="O145" s="61">
        <f t="shared" ca="1" si="12"/>
        <v>0</v>
      </c>
      <c r="P145" s="63">
        <f ca="1">IF(controls!$B$10=1,hystere!N145+hystere!M145,hystere!Q145)</f>
        <v>-429.23750000000007</v>
      </c>
      <c r="Q145" s="61">
        <f ca="1">IF('main page'!$Y$53=1,'choose m.p.'!$I$22*100,R145)</f>
        <v>-429.23750000000007</v>
      </c>
      <c r="R145" s="83">
        <f ca="1">'main page'!$K$29*M145+(1-'main page'!$K$29)*controls!$B$9+S145+(('main page'!$K$25*'main page'!$U$13*'main page'!$K$29)/('main page'!$K$27*(1+('main page'!$K$25^2)*'main page'!$U$13)))*(M145-(controls!$B$9/100)*100)</f>
        <v>-429.23750000000007</v>
      </c>
      <c r="S145" s="81">
        <f ca="1">IF(controls!$B$33=1,(J146-E145*X146-B145)/'main page'!$K$27,(I146-E145*X146-B145)/'main page'!$K$27)</f>
        <v>53.45</v>
      </c>
      <c r="U145" s="58">
        <f>IF(controls!$B$6=1,$AG$4*(1+('main page'!$K$35/100))^V145-$AG$4*(1+('main page'!$K$35/100))^V144,$AG$4*(1+('main page'!$G$8/100))*(1+('main page'!$K$35/100))^V145-$AG$4*(1+('main page'!$G$8/100))*(1+('main page'!$K$35/100))^V144)</f>
        <v>0</v>
      </c>
      <c r="V145" s="60">
        <v>137</v>
      </c>
      <c r="W145" s="36">
        <f>'normal case'!AC144</f>
        <v>0</v>
      </c>
      <c r="X145" s="36">
        <f>'normal case'!AD144</f>
        <v>0</v>
      </c>
      <c r="Y145" s="44">
        <f ca="1">IF(controls!$B$33=1,E145-($J$4-'main page'!$K$27*2)*(1+('main page'!$K$35/100))^A144,E145-$AG$5)</f>
        <v>-99.9</v>
      </c>
      <c r="Z145" s="44">
        <f ca="1">ABS(M145-(controls!$B$9/100)*100)</f>
        <v>387.75000000000006</v>
      </c>
      <c r="AI145" s="36"/>
      <c r="AJ145" s="36"/>
    </row>
    <row r="146" spans="1:36">
      <c r="A146" s="43">
        <v>143</v>
      </c>
      <c r="B146" s="62">
        <f ca="1">IF(controls!$B$6=2,AVERAGE(E142:E145)+B145*W146+hystere!$AG$9,AVERAGE(E142:E145)+B145*W146)</f>
        <v>1.1000000000000001</v>
      </c>
      <c r="C146" s="67">
        <f t="shared" ca="1" si="13"/>
        <v>0</v>
      </c>
      <c r="D146" s="88">
        <f t="shared" ca="1" si="14"/>
        <v>-1</v>
      </c>
      <c r="E146" s="64">
        <f t="shared" ca="1" si="15"/>
        <v>0.1</v>
      </c>
      <c r="F146" s="64">
        <f ca="1">IF('main page'!$K$34=1,hystere!H146,hystere!G146)</f>
        <v>-663.50000000000011</v>
      </c>
      <c r="G146" s="78">
        <f ca="1">I146-'main page'!$K$27*hystere!N145</f>
        <v>-663.50000000000011</v>
      </c>
      <c r="H146" s="62">
        <f ca="1">J146-'main page'!$K$27*N145</f>
        <v>-663.50000000000011</v>
      </c>
      <c r="I146" s="62">
        <f t="shared" ca="1" si="10"/>
        <v>108</v>
      </c>
      <c r="J146" s="62">
        <f t="shared" ca="1" si="11"/>
        <v>108</v>
      </c>
      <c r="M146" s="62">
        <f ca="1">IF(ABS('main page'!$K$29*M145+(1-'main page'!$K$29)*(controls!$B$9/100)*100+'main page'!$K$25*(E146-B146)-M145)&lt;0.0000001,M145,'main page'!$K$29*M145+(1-'main page'!$K$29)*(controls!$B$9/100)*100+'main page'!$K$25*(E146-B146))</f>
        <v>-386.75000000000006</v>
      </c>
      <c r="N146" s="62">
        <f ca="1">IF(controls!$B$10=1,N145,O146-'main page'!$K$29*M146-(1-'main page'!$K$29)*controls!$B$9)</f>
        <v>386.75000000000006</v>
      </c>
      <c r="O146" s="61">
        <f t="shared" ca="1" si="12"/>
        <v>0</v>
      </c>
      <c r="P146" s="63">
        <f ca="1">IF(controls!$B$10=1,hystere!N146+hystere!M146,hystere!Q146)</f>
        <v>-430.48750000000007</v>
      </c>
      <c r="Q146" s="61">
        <f ca="1">IF('main page'!$Y$53=1,'choose m.p.'!$I$22*100,R146)</f>
        <v>-430.48750000000007</v>
      </c>
      <c r="R146" s="83">
        <f ca="1">'main page'!$K$29*M146+(1-'main page'!$K$29)*controls!$B$9+S146+(('main page'!$K$25*'main page'!$U$13*'main page'!$K$29)/('main page'!$K$27*(1+('main page'!$K$25^2)*'main page'!$U$13)))*(M146-(controls!$B$9/100)*100)</f>
        <v>-430.48750000000007</v>
      </c>
      <c r="S146" s="81">
        <f ca="1">IF(controls!$B$33=1,(J147-E146*X147-B146)/'main page'!$K$27,(I147-E146*X147-B146)/'main page'!$K$27)</f>
        <v>53.45</v>
      </c>
      <c r="U146" s="58">
        <f>IF(controls!$B$6=1,$AG$4*(1+('main page'!$K$35/100))^V146-$AG$4*(1+('main page'!$K$35/100))^V145,$AG$4*(1+('main page'!$G$8/100))*(1+('main page'!$K$35/100))^V146-$AG$4*(1+('main page'!$G$8/100))*(1+('main page'!$K$35/100))^V145)</f>
        <v>0</v>
      </c>
      <c r="V146" s="60">
        <v>138</v>
      </c>
      <c r="W146" s="36">
        <f>'normal case'!AC145</f>
        <v>0</v>
      </c>
      <c r="X146" s="36">
        <f>'normal case'!AD145</f>
        <v>0</v>
      </c>
      <c r="Y146" s="44">
        <f ca="1">IF(controls!$B$33=1,E146-($J$4-'main page'!$K$27*2)*(1+('main page'!$K$35/100))^A145,E146-$AG$5)</f>
        <v>-99.9</v>
      </c>
      <c r="Z146" s="44">
        <f ca="1">ABS(M146-(controls!$B$9/100)*100)</f>
        <v>388.75000000000006</v>
      </c>
      <c r="AI146" s="36"/>
      <c r="AJ146" s="36"/>
    </row>
    <row r="147" spans="1:36">
      <c r="A147" s="43">
        <v>144</v>
      </c>
      <c r="B147" s="62">
        <f ca="1">IF(controls!$B$6=2,AVERAGE(E143:E146)+B146*W147+hystere!$AG$9,AVERAGE(E143:E146)+B146*W147)</f>
        <v>1.1000000000000001</v>
      </c>
      <c r="C147" s="67">
        <f t="shared" ca="1" si="13"/>
        <v>0</v>
      </c>
      <c r="D147" s="88">
        <f t="shared" ca="1" si="14"/>
        <v>-1</v>
      </c>
      <c r="E147" s="64">
        <f t="shared" ca="1" si="15"/>
        <v>0.1</v>
      </c>
      <c r="F147" s="64">
        <f ca="1">IF('main page'!$K$34=1,hystere!H147,hystere!G147)</f>
        <v>-665.50000000000011</v>
      </c>
      <c r="G147" s="78">
        <f ca="1">I147-'main page'!$K$27*hystere!N146</f>
        <v>-665.50000000000011</v>
      </c>
      <c r="H147" s="62">
        <f ca="1">J147-'main page'!$K$27*N146</f>
        <v>-665.50000000000011</v>
      </c>
      <c r="I147" s="62">
        <f t="shared" ca="1" si="10"/>
        <v>108</v>
      </c>
      <c r="J147" s="62">
        <f t="shared" ca="1" si="11"/>
        <v>108</v>
      </c>
      <c r="M147" s="62">
        <f ca="1">IF(ABS('main page'!$K$29*M146+(1-'main page'!$K$29)*(controls!$B$9/100)*100+'main page'!$K$25*(E147-B147)-M146)&lt;0.0000001,M146,'main page'!$K$29*M146+(1-'main page'!$K$29)*(controls!$B$9/100)*100+'main page'!$K$25*(E147-B147))</f>
        <v>-387.75000000000006</v>
      </c>
      <c r="N147" s="62">
        <f ca="1">IF(controls!$B$10=1,N146,O147-'main page'!$K$29*M147-(1-'main page'!$K$29)*controls!$B$9)</f>
        <v>387.75000000000006</v>
      </c>
      <c r="O147" s="61">
        <f t="shared" ca="1" si="12"/>
        <v>0</v>
      </c>
      <c r="P147" s="63">
        <f ca="1">IF(controls!$B$10=1,hystere!N147+hystere!M147,hystere!Q147)</f>
        <v>-431.73750000000007</v>
      </c>
      <c r="Q147" s="61">
        <f ca="1">IF('main page'!$Y$53=1,'choose m.p.'!$I$22*100,R147)</f>
        <v>-431.73750000000007</v>
      </c>
      <c r="R147" s="83">
        <f ca="1">'main page'!$K$29*M147+(1-'main page'!$K$29)*controls!$B$9+S147+(('main page'!$K$25*'main page'!$U$13*'main page'!$K$29)/('main page'!$K$27*(1+('main page'!$K$25^2)*'main page'!$U$13)))*(M147-(controls!$B$9/100)*100)</f>
        <v>-431.73750000000007</v>
      </c>
      <c r="S147" s="81">
        <f ca="1">IF(controls!$B$33=1,(J148-E147*X148-B147)/'main page'!$K$27,(I148-E147*X148-B147)/'main page'!$K$27)</f>
        <v>53.45</v>
      </c>
      <c r="U147" s="58">
        <f>IF(controls!$B$6=1,$AG$4*(1+('main page'!$K$35/100))^V147-$AG$4*(1+('main page'!$K$35/100))^V146,$AG$4*(1+('main page'!$G$8/100))*(1+('main page'!$K$35/100))^V147-$AG$4*(1+('main page'!$G$8/100))*(1+('main page'!$K$35/100))^V146)</f>
        <v>0</v>
      </c>
      <c r="V147" s="60">
        <v>139</v>
      </c>
      <c r="W147" s="36">
        <f ca="1">'normal case'!AC146</f>
        <v>0</v>
      </c>
      <c r="X147" s="36">
        <f ca="1">'normal case'!AD146</f>
        <v>0</v>
      </c>
      <c r="Y147" s="44">
        <f ca="1">IF(controls!$B$33=1,E147-($J$4-'main page'!$K$27*2)*(1+('main page'!$K$35/100))^A146,E147-$AG$5)</f>
        <v>-99.9</v>
      </c>
      <c r="Z147" s="44">
        <f ca="1">ABS(M147-(controls!$B$9/100)*100)</f>
        <v>389.75000000000006</v>
      </c>
      <c r="AI147" s="36"/>
      <c r="AJ147" s="36"/>
    </row>
    <row r="148" spans="1:36">
      <c r="A148" s="43">
        <v>145</v>
      </c>
      <c r="B148" s="62">
        <f ca="1">IF(controls!$B$6=2,AVERAGE(E144:E147)+B147*W148+hystere!$AG$9,AVERAGE(E144:E147)+B147*W148)</f>
        <v>1.1000000000000001</v>
      </c>
      <c r="C148" s="67">
        <f t="shared" ca="1" si="13"/>
        <v>0</v>
      </c>
      <c r="D148" s="88">
        <f t="shared" ca="1" si="14"/>
        <v>-1</v>
      </c>
      <c r="E148" s="64">
        <f t="shared" ca="1" si="15"/>
        <v>0.1</v>
      </c>
      <c r="F148" s="64">
        <f ca="1">IF('main page'!$K$34=1,hystere!H148,hystere!G148)</f>
        <v>-667.50000000000011</v>
      </c>
      <c r="G148" s="78">
        <f ca="1">I148-'main page'!$K$27*hystere!N147</f>
        <v>-667.50000000000011</v>
      </c>
      <c r="H148" s="62">
        <f ca="1">J148-'main page'!$K$27*N147</f>
        <v>-667.50000000000011</v>
      </c>
      <c r="I148" s="62">
        <f t="shared" ca="1" si="10"/>
        <v>108</v>
      </c>
      <c r="J148" s="62">
        <f t="shared" ca="1" si="11"/>
        <v>108</v>
      </c>
      <c r="M148" s="62">
        <f ca="1">IF(ABS('main page'!$K$29*M147+(1-'main page'!$K$29)*(controls!$B$9/100)*100+'main page'!$K$25*(E148-B148)-M147)&lt;0.0000001,M147,'main page'!$K$29*M147+(1-'main page'!$K$29)*(controls!$B$9/100)*100+'main page'!$K$25*(E148-B148))</f>
        <v>-388.75000000000006</v>
      </c>
      <c r="N148" s="62">
        <f ca="1">IF(controls!$B$10=1,N147,O148-'main page'!$K$29*M148-(1-'main page'!$K$29)*controls!$B$9)</f>
        <v>388.75000000000006</v>
      </c>
      <c r="O148" s="61">
        <f t="shared" ca="1" si="12"/>
        <v>0</v>
      </c>
      <c r="P148" s="63">
        <f ca="1">IF(controls!$B$10=1,hystere!N148+hystere!M148,hystere!Q148)</f>
        <v>-432.98750000000007</v>
      </c>
      <c r="Q148" s="61">
        <f ca="1">IF('main page'!$Y$53=1,'choose m.p.'!$I$22*100,R148)</f>
        <v>-432.98750000000007</v>
      </c>
      <c r="R148" s="83">
        <f ca="1">'main page'!$K$29*M148+(1-'main page'!$K$29)*controls!$B$9+S148+(('main page'!$K$25*'main page'!$U$13*'main page'!$K$29)/('main page'!$K$27*(1+('main page'!$K$25^2)*'main page'!$U$13)))*(M148-(controls!$B$9/100)*100)</f>
        <v>-432.98750000000007</v>
      </c>
      <c r="S148" s="81">
        <f ca="1">IF(controls!$B$33=1,(J149-E148*X149-B148)/'main page'!$K$27,(I149-E148*X149-B148)/'main page'!$K$27)</f>
        <v>53.45</v>
      </c>
      <c r="U148" s="58">
        <f>IF(controls!$B$6=1,$AG$4*(1+('main page'!$K$35/100))^V148-$AG$4*(1+('main page'!$K$35/100))^V147,$AG$4*(1+('main page'!$G$8/100))*(1+('main page'!$K$35/100))^V148-$AG$4*(1+('main page'!$G$8/100))*(1+('main page'!$K$35/100))^V147)</f>
        <v>0</v>
      </c>
      <c r="V148" s="60">
        <v>140</v>
      </c>
      <c r="W148" s="36">
        <f>'normal case'!AC147</f>
        <v>0</v>
      </c>
      <c r="X148" s="36">
        <f>'normal case'!AD147</f>
        <v>0</v>
      </c>
      <c r="Y148" s="44">
        <f ca="1">IF(controls!$B$33=1,E148-($J$4-'main page'!$K$27*2)*(1+('main page'!$K$35/100))^A147,E148-$AG$5)</f>
        <v>-99.9</v>
      </c>
      <c r="Z148" s="44">
        <f ca="1">ABS(M148-(controls!$B$9/100)*100)</f>
        <v>390.75000000000006</v>
      </c>
      <c r="AI148" s="36"/>
      <c r="AJ148" s="36"/>
    </row>
    <row r="149" spans="1:36">
      <c r="A149" s="43">
        <v>146</v>
      </c>
      <c r="B149" s="62">
        <f ca="1">IF(controls!$B$6=2,AVERAGE(E145:E148)+B148*W149+hystere!$AG$9,AVERAGE(E145:E148)+B148*W149)</f>
        <v>1.1000000000000001</v>
      </c>
      <c r="C149" s="67">
        <f t="shared" ca="1" si="13"/>
        <v>0</v>
      </c>
      <c r="D149" s="88">
        <f t="shared" ca="1" si="14"/>
        <v>-1</v>
      </c>
      <c r="E149" s="64">
        <f t="shared" ca="1" si="15"/>
        <v>0.1</v>
      </c>
      <c r="F149" s="64">
        <f ca="1">IF('main page'!$K$34=1,hystere!H149,hystere!G149)</f>
        <v>-669.50000000000011</v>
      </c>
      <c r="G149" s="78">
        <f ca="1">I149-'main page'!$K$27*hystere!N148</f>
        <v>-669.50000000000011</v>
      </c>
      <c r="H149" s="62">
        <f ca="1">J149-'main page'!$K$27*N148</f>
        <v>-669.50000000000011</v>
      </c>
      <c r="I149" s="62">
        <f t="shared" ca="1" si="10"/>
        <v>108</v>
      </c>
      <c r="J149" s="62">
        <f t="shared" ca="1" si="11"/>
        <v>108</v>
      </c>
      <c r="M149" s="62">
        <f ca="1">IF(ABS('main page'!$K$29*M148+(1-'main page'!$K$29)*(controls!$B$9/100)*100+'main page'!$K$25*(E149-B149)-M148)&lt;0.0000001,M148,'main page'!$K$29*M148+(1-'main page'!$K$29)*(controls!$B$9/100)*100+'main page'!$K$25*(E149-B149))</f>
        <v>-389.75000000000006</v>
      </c>
      <c r="N149" s="62">
        <f ca="1">IF(controls!$B$10=1,N148,O149-'main page'!$K$29*M149-(1-'main page'!$K$29)*controls!$B$9)</f>
        <v>389.75000000000006</v>
      </c>
      <c r="O149" s="61">
        <f t="shared" ca="1" si="12"/>
        <v>0</v>
      </c>
      <c r="P149" s="63">
        <f ca="1">IF(controls!$B$10=1,hystere!N149+hystere!M149,hystere!Q149)</f>
        <v>-434.23750000000007</v>
      </c>
      <c r="Q149" s="61">
        <f ca="1">IF('main page'!$Y$53=1,'choose m.p.'!$I$22*100,R149)</f>
        <v>-434.23750000000007</v>
      </c>
      <c r="R149" s="83">
        <f ca="1">'main page'!$K$29*M149+(1-'main page'!$K$29)*controls!$B$9+S149+(('main page'!$K$25*'main page'!$U$13*'main page'!$K$29)/('main page'!$K$27*(1+('main page'!$K$25^2)*'main page'!$U$13)))*(M149-(controls!$B$9/100)*100)</f>
        <v>-434.23750000000007</v>
      </c>
      <c r="S149" s="81">
        <f ca="1">IF(controls!$B$33=1,(J150-E149*X150-B149)/'main page'!$K$27,(I150-E149*X150-B149)/'main page'!$K$27)</f>
        <v>53.45</v>
      </c>
      <c r="U149" s="58">
        <f>IF(controls!$B$6=1,$AG$4*(1+('main page'!$K$35/100))^V149-$AG$4*(1+('main page'!$K$35/100))^V148,$AG$4*(1+('main page'!$G$8/100))*(1+('main page'!$K$35/100))^V149-$AG$4*(1+('main page'!$G$8/100))*(1+('main page'!$K$35/100))^V148)</f>
        <v>0</v>
      </c>
      <c r="V149" s="60">
        <v>141</v>
      </c>
      <c r="W149" s="36">
        <f>'normal case'!AC148</f>
        <v>0</v>
      </c>
      <c r="X149" s="36">
        <f>'normal case'!AD148</f>
        <v>0</v>
      </c>
      <c r="Y149" s="44">
        <f ca="1">IF(controls!$B$33=1,E149-($J$4-'main page'!$K$27*2)*(1+('main page'!$K$35/100))^A148,E149-$AG$5)</f>
        <v>-99.9</v>
      </c>
      <c r="Z149" s="44">
        <f ca="1">ABS(M149-(controls!$B$9/100)*100)</f>
        <v>391.75000000000006</v>
      </c>
      <c r="AI149" s="36"/>
      <c r="AJ149" s="36"/>
    </row>
    <row r="150" spans="1:36">
      <c r="A150" s="43">
        <v>147</v>
      </c>
      <c r="B150" s="62">
        <f ca="1">IF(controls!$B$6=2,AVERAGE(E146:E149)+B149*W150+hystere!$AG$9,AVERAGE(E146:E149)+B149*W150)</f>
        <v>1.1000000000000001</v>
      </c>
      <c r="C150" s="67">
        <f t="shared" ca="1" si="13"/>
        <v>0</v>
      </c>
      <c r="D150" s="88">
        <f t="shared" ca="1" si="14"/>
        <v>-1</v>
      </c>
      <c r="E150" s="64">
        <f t="shared" ca="1" si="15"/>
        <v>0.1</v>
      </c>
      <c r="F150" s="64">
        <f ca="1">IF('main page'!$K$34=1,hystere!H150,hystere!G150)</f>
        <v>-671.50000000000011</v>
      </c>
      <c r="G150" s="78">
        <f ca="1">I150-'main page'!$K$27*hystere!N149</f>
        <v>-671.50000000000011</v>
      </c>
      <c r="H150" s="62">
        <f ca="1">J150-'main page'!$K$27*N149</f>
        <v>-671.50000000000011</v>
      </c>
      <c r="I150" s="62">
        <f t="shared" ca="1" si="10"/>
        <v>108</v>
      </c>
      <c r="J150" s="62">
        <f t="shared" ca="1" si="11"/>
        <v>108</v>
      </c>
      <c r="M150" s="62">
        <f ca="1">IF(ABS('main page'!$K$29*M149+(1-'main page'!$K$29)*(controls!$B$9/100)*100+'main page'!$K$25*(E150-B150)-M149)&lt;0.0000001,M149,'main page'!$K$29*M149+(1-'main page'!$K$29)*(controls!$B$9/100)*100+'main page'!$K$25*(E150-B150))</f>
        <v>-390.75000000000006</v>
      </c>
      <c r="N150" s="62">
        <f ca="1">IF(controls!$B$10=1,N149,O150-'main page'!$K$29*M150-(1-'main page'!$K$29)*controls!$B$9)</f>
        <v>390.75000000000006</v>
      </c>
      <c r="O150" s="61">
        <f t="shared" ca="1" si="12"/>
        <v>0</v>
      </c>
      <c r="P150" s="63">
        <f ca="1">IF(controls!$B$10=1,hystere!N150+hystere!M150,hystere!Q150)</f>
        <v>-435.48750000000007</v>
      </c>
      <c r="Q150" s="61">
        <f ca="1">IF('main page'!$Y$53=1,'choose m.p.'!$I$22*100,R150)</f>
        <v>-435.48750000000007</v>
      </c>
      <c r="R150" s="83">
        <f ca="1">'main page'!$K$29*M150+(1-'main page'!$K$29)*controls!$B$9+S150+(('main page'!$K$25*'main page'!$U$13*'main page'!$K$29)/('main page'!$K$27*(1+('main page'!$K$25^2)*'main page'!$U$13)))*(M150-(controls!$B$9/100)*100)</f>
        <v>-435.48750000000007</v>
      </c>
      <c r="S150" s="81">
        <f ca="1">IF(controls!$B$33=1,(J151-E150*X151-B150)/'main page'!$K$27,(I151-E150*X151-B150)/'main page'!$K$27)</f>
        <v>53.45</v>
      </c>
      <c r="U150" s="58">
        <f>IF(controls!$B$6=1,$AG$4*(1+('main page'!$K$35/100))^V150-$AG$4*(1+('main page'!$K$35/100))^V149,$AG$4*(1+('main page'!$G$8/100))*(1+('main page'!$K$35/100))^V150-$AG$4*(1+('main page'!$G$8/100))*(1+('main page'!$K$35/100))^V149)</f>
        <v>0</v>
      </c>
      <c r="V150" s="60">
        <v>142</v>
      </c>
      <c r="W150" s="36">
        <f ca="1">'normal case'!AC149</f>
        <v>0</v>
      </c>
      <c r="X150" s="36">
        <f ca="1">'normal case'!AD149</f>
        <v>0</v>
      </c>
      <c r="Y150" s="44">
        <f ca="1">IF(controls!$B$33=1,E150-($J$4-'main page'!$K$27*2)*(1+('main page'!$K$35/100))^A149,E150-$AG$5)</f>
        <v>-99.9</v>
      </c>
      <c r="Z150" s="44">
        <f ca="1">ABS(M150-(controls!$B$9/100)*100)</f>
        <v>392.75000000000006</v>
      </c>
      <c r="AI150" s="36"/>
      <c r="AJ150" s="36"/>
    </row>
    <row r="151" spans="1:36">
      <c r="A151" s="43">
        <v>148</v>
      </c>
      <c r="B151" s="62">
        <f ca="1">IF(controls!$B$6=2,AVERAGE(E147:E150)+B150*W151+hystere!$AG$9,AVERAGE(E147:E150)+B150*W151)</f>
        <v>1.1000000000000001</v>
      </c>
      <c r="C151" s="67">
        <f t="shared" ca="1" si="13"/>
        <v>0</v>
      </c>
      <c r="D151" s="88">
        <f t="shared" ca="1" si="14"/>
        <v>-1</v>
      </c>
      <c r="E151" s="64">
        <f t="shared" ca="1" si="15"/>
        <v>0.1</v>
      </c>
      <c r="F151" s="64">
        <f ca="1">IF('main page'!$K$34=1,hystere!H151,hystere!G151)</f>
        <v>-673.50000000000011</v>
      </c>
      <c r="G151" s="78">
        <f ca="1">I151-'main page'!$K$27*hystere!N150</f>
        <v>-673.50000000000011</v>
      </c>
      <c r="H151" s="62">
        <f ca="1">J151-'main page'!$K$27*N150</f>
        <v>-673.50000000000011</v>
      </c>
      <c r="I151" s="62">
        <f t="shared" ca="1" si="10"/>
        <v>108</v>
      </c>
      <c r="J151" s="62">
        <f t="shared" ca="1" si="11"/>
        <v>108</v>
      </c>
      <c r="M151" s="62">
        <f ca="1">IF(ABS('main page'!$K$29*M150+(1-'main page'!$K$29)*(controls!$B$9/100)*100+'main page'!$K$25*(E151-B151)-M150)&lt;0.0000001,M150,'main page'!$K$29*M150+(1-'main page'!$K$29)*(controls!$B$9/100)*100+'main page'!$K$25*(E151-B151))</f>
        <v>-391.75000000000006</v>
      </c>
      <c r="N151" s="62">
        <f ca="1">IF(controls!$B$10=1,N150,O151-'main page'!$K$29*M151-(1-'main page'!$K$29)*controls!$B$9)</f>
        <v>391.75000000000006</v>
      </c>
      <c r="O151" s="61">
        <f t="shared" ca="1" si="12"/>
        <v>0</v>
      </c>
      <c r="P151" s="63">
        <f ca="1">IF(controls!$B$10=1,hystere!N151+hystere!M151,hystere!Q151)</f>
        <v>-436.73750000000007</v>
      </c>
      <c r="Q151" s="61">
        <f ca="1">IF('main page'!$Y$53=1,'choose m.p.'!$I$22*100,R151)</f>
        <v>-436.73750000000007</v>
      </c>
      <c r="R151" s="83">
        <f ca="1">'main page'!$K$29*M151+(1-'main page'!$K$29)*controls!$B$9+S151+(('main page'!$K$25*'main page'!$U$13*'main page'!$K$29)/('main page'!$K$27*(1+('main page'!$K$25^2)*'main page'!$U$13)))*(M151-(controls!$B$9/100)*100)</f>
        <v>-436.73750000000007</v>
      </c>
      <c r="S151" s="81">
        <f ca="1">IF(controls!$B$33=1,(J152-E151*X152-B151)/'main page'!$K$27,(I152-E151*X152-B151)/'main page'!$K$27)</f>
        <v>53.45</v>
      </c>
      <c r="U151" s="58">
        <f>IF(controls!$B$6=1,$AG$4*(1+('main page'!$K$35/100))^V151-$AG$4*(1+('main page'!$K$35/100))^V150,$AG$4*(1+('main page'!$G$8/100))*(1+('main page'!$K$35/100))^V151-$AG$4*(1+('main page'!$G$8/100))*(1+('main page'!$K$35/100))^V150)</f>
        <v>0</v>
      </c>
      <c r="V151" s="60">
        <v>143</v>
      </c>
      <c r="W151" s="36">
        <f>'normal case'!AC150</f>
        <v>0</v>
      </c>
      <c r="X151" s="36">
        <f>'normal case'!AD150</f>
        <v>0</v>
      </c>
      <c r="Y151" s="44">
        <f ca="1">IF(controls!$B$33=1,E151-($J$4-'main page'!$K$27*2)*(1+('main page'!$K$35/100))^A150,E151-$AG$5)</f>
        <v>-99.9</v>
      </c>
      <c r="Z151" s="44">
        <f ca="1">ABS(M151-(controls!$B$9/100)*100)</f>
        <v>393.75000000000006</v>
      </c>
      <c r="AI151" s="36"/>
      <c r="AJ151" s="36"/>
    </row>
    <row r="152" spans="1:36">
      <c r="A152" s="43">
        <v>149</v>
      </c>
      <c r="B152" s="62">
        <f ca="1">IF(controls!$B$6=2,AVERAGE(E148:E151)+B151*W152+hystere!$AG$9,AVERAGE(E148:E151)+B151*W152)</f>
        <v>1.1000000000000001</v>
      </c>
      <c r="C152" s="67">
        <f t="shared" ca="1" si="13"/>
        <v>0</v>
      </c>
      <c r="D152" s="88">
        <f t="shared" ca="1" si="14"/>
        <v>-1</v>
      </c>
      <c r="E152" s="64">
        <f t="shared" ca="1" si="15"/>
        <v>0.1</v>
      </c>
      <c r="F152" s="64">
        <f ca="1">IF('main page'!$K$34=1,hystere!H152,hystere!G152)</f>
        <v>-675.50000000000011</v>
      </c>
      <c r="G152" s="78">
        <f ca="1">I152-'main page'!$K$27*hystere!N151</f>
        <v>-675.50000000000011</v>
      </c>
      <c r="H152" s="62">
        <f ca="1">J152-'main page'!$K$27*N151</f>
        <v>-675.50000000000011</v>
      </c>
      <c r="I152" s="62">
        <f t="shared" ca="1" si="10"/>
        <v>108</v>
      </c>
      <c r="J152" s="62">
        <f t="shared" ca="1" si="11"/>
        <v>108</v>
      </c>
      <c r="M152" s="62">
        <f ca="1">IF(ABS('main page'!$K$29*M151+(1-'main page'!$K$29)*(controls!$B$9/100)*100+'main page'!$K$25*(E152-B152)-M151)&lt;0.0000001,M151,'main page'!$K$29*M151+(1-'main page'!$K$29)*(controls!$B$9/100)*100+'main page'!$K$25*(E152-B152))</f>
        <v>-392.75000000000006</v>
      </c>
      <c r="N152" s="62">
        <f ca="1">IF(controls!$B$10=1,N151,O152-'main page'!$K$29*M152-(1-'main page'!$K$29)*controls!$B$9)</f>
        <v>392.75000000000006</v>
      </c>
      <c r="O152" s="61">
        <f t="shared" ca="1" si="12"/>
        <v>0</v>
      </c>
      <c r="P152" s="63">
        <f ca="1">IF(controls!$B$10=1,hystere!N152+hystere!M152,hystere!Q152)</f>
        <v>-437.98750000000007</v>
      </c>
      <c r="Q152" s="61">
        <f ca="1">IF('main page'!$Y$53=1,'choose m.p.'!$I$22*100,R152)</f>
        <v>-437.98750000000007</v>
      </c>
      <c r="R152" s="83">
        <f ca="1">'main page'!$K$29*M152+(1-'main page'!$K$29)*controls!$B$9+S152+(('main page'!$K$25*'main page'!$U$13*'main page'!$K$29)/('main page'!$K$27*(1+('main page'!$K$25^2)*'main page'!$U$13)))*(M152-(controls!$B$9/100)*100)</f>
        <v>-437.98750000000007</v>
      </c>
      <c r="S152" s="81">
        <f ca="1">IF(controls!$B$33=1,(J153-E152*X153-B152)/'main page'!$K$27,(I153-E152*X153-B152)/'main page'!$K$27)</f>
        <v>53.45</v>
      </c>
      <c r="U152" s="58">
        <f>IF(controls!$B$6=1,$AG$4*(1+('main page'!$K$35/100))^V152-$AG$4*(1+('main page'!$K$35/100))^V151,$AG$4*(1+('main page'!$G$8/100))*(1+('main page'!$K$35/100))^V152-$AG$4*(1+('main page'!$G$8/100))*(1+('main page'!$K$35/100))^V151)</f>
        <v>0</v>
      </c>
      <c r="V152" s="60">
        <v>144</v>
      </c>
      <c r="W152" s="36">
        <f>'normal case'!AC151</f>
        <v>0</v>
      </c>
      <c r="X152" s="36">
        <f>'normal case'!AD151</f>
        <v>0</v>
      </c>
      <c r="Y152" s="44">
        <f ca="1">IF(controls!$B$33=1,E152-($J$4-'main page'!$K$27*2)*(1+('main page'!$K$35/100))^A151,E152-$AG$5)</f>
        <v>-99.9</v>
      </c>
      <c r="Z152" s="44">
        <f ca="1">ABS(M152-(controls!$B$9/100)*100)</f>
        <v>394.75000000000006</v>
      </c>
      <c r="AI152" s="36"/>
      <c r="AJ152" s="36"/>
    </row>
    <row r="153" spans="1:36">
      <c r="A153" s="43">
        <v>150</v>
      </c>
      <c r="B153" s="62">
        <f ca="1">IF(controls!$B$6=2,AVERAGE(E149:E152)+B152*W153+hystere!$AG$9,AVERAGE(E149:E152)+B152*W153)</f>
        <v>1.1000000000000001</v>
      </c>
      <c r="C153" s="67">
        <f t="shared" ca="1" si="13"/>
        <v>0</v>
      </c>
      <c r="D153" s="88">
        <f t="shared" ca="1" si="14"/>
        <v>-1</v>
      </c>
      <c r="E153" s="64">
        <f t="shared" ca="1" si="15"/>
        <v>0.1</v>
      </c>
      <c r="F153" s="64">
        <f ca="1">IF('main page'!$K$34=1,hystere!H153,hystere!G153)</f>
        <v>-677.50000000000011</v>
      </c>
      <c r="G153" s="78">
        <f ca="1">I153-'main page'!$K$27*hystere!N152</f>
        <v>-677.50000000000011</v>
      </c>
      <c r="H153" s="62">
        <f ca="1">J153-'main page'!$K$27*N152</f>
        <v>-677.50000000000011</v>
      </c>
      <c r="I153" s="62">
        <f t="shared" ref="I153:I216" ca="1" si="16">I152+E152*X153</f>
        <v>108</v>
      </c>
      <c r="J153" s="62">
        <f t="shared" ref="J153:J216" ca="1" si="17">J152+E152*X153+U153</f>
        <v>108</v>
      </c>
      <c r="M153" s="62">
        <f ca="1">IF(ABS('main page'!$K$29*M152+(1-'main page'!$K$29)*(controls!$B$9/100)*100+'main page'!$K$25*(E153-B153)-M152)&lt;0.0000001,M152,'main page'!$K$29*M152+(1-'main page'!$K$29)*(controls!$B$9/100)*100+'main page'!$K$25*(E153-B153))</f>
        <v>-393.75000000000006</v>
      </c>
      <c r="N153" s="62">
        <f ca="1">IF(controls!$B$10=1,N152,O153-'main page'!$K$29*M153-(1-'main page'!$K$29)*controls!$B$9)</f>
        <v>393.75000000000006</v>
      </c>
      <c r="O153" s="61">
        <f t="shared" ca="1" si="12"/>
        <v>0</v>
      </c>
      <c r="P153" s="63">
        <f ca="1">IF(controls!$B$10=1,hystere!N153+hystere!M153,hystere!Q153)</f>
        <v>-439.23750000000007</v>
      </c>
      <c r="Q153" s="61">
        <f ca="1">IF('main page'!$Y$53=1,'choose m.p.'!$I$22*100,R153)</f>
        <v>-439.23750000000007</v>
      </c>
      <c r="R153" s="83">
        <f ca="1">'main page'!$K$29*M153+(1-'main page'!$K$29)*controls!$B$9+S153+(('main page'!$K$25*'main page'!$U$13*'main page'!$K$29)/('main page'!$K$27*(1+('main page'!$K$25^2)*'main page'!$U$13)))*(M153-(controls!$B$9/100)*100)</f>
        <v>-439.23750000000007</v>
      </c>
      <c r="S153" s="81">
        <f ca="1">IF(controls!$B$33=1,(J154-E153*X154-B153)/'main page'!$K$27,(I154-E153*X154-B153)/'main page'!$K$27)</f>
        <v>53.45</v>
      </c>
      <c r="U153" s="58">
        <f>IF(controls!$B$6=1,$AG$4*(1+('main page'!$K$35/100))^V153-$AG$4*(1+('main page'!$K$35/100))^V152,$AG$4*(1+('main page'!$G$8/100))*(1+('main page'!$K$35/100))^V153-$AG$4*(1+('main page'!$G$8/100))*(1+('main page'!$K$35/100))^V152)</f>
        <v>0</v>
      </c>
      <c r="V153" s="60">
        <v>145</v>
      </c>
      <c r="W153" s="36">
        <f ca="1">'normal case'!AC152</f>
        <v>0</v>
      </c>
      <c r="X153" s="36">
        <f ca="1">'normal case'!AD152</f>
        <v>0</v>
      </c>
      <c r="Y153" s="44">
        <f ca="1">IF(controls!$B$33=1,E153-($J$4-'main page'!$K$27*2)*(1+('main page'!$K$35/100))^A152,E153-$AG$5)</f>
        <v>-99.9</v>
      </c>
      <c r="Z153" s="44">
        <f ca="1">ABS(M153-(controls!$B$9/100)*100)</f>
        <v>395.75000000000006</v>
      </c>
      <c r="AI153" s="36"/>
      <c r="AJ153" s="36"/>
    </row>
    <row r="154" spans="1:36">
      <c r="A154" s="43">
        <v>151</v>
      </c>
      <c r="B154" s="62">
        <f ca="1">IF(controls!$B$6=2,AVERAGE(E150:E153)+B153*W154+hystere!$AG$9,AVERAGE(E150:E153)+B153*W154)</f>
        <v>1.1000000000000001</v>
      </c>
      <c r="C154" s="67">
        <f t="shared" ca="1" si="13"/>
        <v>0</v>
      </c>
      <c r="D154" s="88">
        <f t="shared" ca="1" si="14"/>
        <v>-1</v>
      </c>
      <c r="E154" s="64">
        <f t="shared" ca="1" si="15"/>
        <v>0.1</v>
      </c>
      <c r="F154" s="64">
        <f ca="1">IF('main page'!$K$34=1,hystere!H154,hystere!G154)</f>
        <v>-679.50000000000011</v>
      </c>
      <c r="G154" s="78">
        <f ca="1">I154-'main page'!$K$27*hystere!N153</f>
        <v>-679.50000000000011</v>
      </c>
      <c r="H154" s="62">
        <f ca="1">J154-'main page'!$K$27*N153</f>
        <v>-679.50000000000011</v>
      </c>
      <c r="I154" s="62">
        <f t="shared" ca="1" si="16"/>
        <v>108</v>
      </c>
      <c r="J154" s="62">
        <f t="shared" ca="1" si="17"/>
        <v>108</v>
      </c>
      <c r="M154" s="62">
        <f ca="1">IF(ABS('main page'!$K$29*M153+(1-'main page'!$K$29)*(controls!$B$9/100)*100+'main page'!$K$25*(E154-B154)-M153)&lt;0.0000001,M153,'main page'!$K$29*M153+(1-'main page'!$K$29)*(controls!$B$9/100)*100+'main page'!$K$25*(E154-B154))</f>
        <v>-394.75000000000006</v>
      </c>
      <c r="N154" s="62">
        <f ca="1">IF(controls!$B$10=1,N153,O154-'main page'!$K$29*M154-(1-'main page'!$K$29)*controls!$B$9)</f>
        <v>394.75000000000006</v>
      </c>
      <c r="O154" s="61">
        <f t="shared" ca="1" si="12"/>
        <v>0</v>
      </c>
      <c r="P154" s="63">
        <f ca="1">IF(controls!$B$10=1,hystere!N154+hystere!M154,hystere!Q154)</f>
        <v>-440.48750000000007</v>
      </c>
      <c r="Q154" s="61">
        <f ca="1">IF('main page'!$Y$53=1,'choose m.p.'!$I$22*100,R154)</f>
        <v>-440.48750000000007</v>
      </c>
      <c r="R154" s="83">
        <f ca="1">'main page'!$K$29*M154+(1-'main page'!$K$29)*controls!$B$9+S154+(('main page'!$K$25*'main page'!$U$13*'main page'!$K$29)/('main page'!$K$27*(1+('main page'!$K$25^2)*'main page'!$U$13)))*(M154-(controls!$B$9/100)*100)</f>
        <v>-440.48750000000007</v>
      </c>
      <c r="S154" s="81">
        <f ca="1">IF(controls!$B$33=1,(J155-E154*X155-B154)/'main page'!$K$27,(I155-E154*X155-B154)/'main page'!$K$27)</f>
        <v>53.45</v>
      </c>
      <c r="U154" s="58">
        <f>IF(controls!$B$6=1,$AG$4*(1+('main page'!$K$35/100))^V154-$AG$4*(1+('main page'!$K$35/100))^V153,$AG$4*(1+('main page'!$G$8/100))*(1+('main page'!$K$35/100))^V154-$AG$4*(1+('main page'!$G$8/100))*(1+('main page'!$K$35/100))^V153)</f>
        <v>0</v>
      </c>
      <c r="V154" s="60">
        <v>146</v>
      </c>
      <c r="W154" s="36">
        <f>'normal case'!AC153</f>
        <v>0</v>
      </c>
      <c r="X154" s="36">
        <f>'normal case'!AD153</f>
        <v>0</v>
      </c>
      <c r="Y154" s="44">
        <f ca="1">IF(controls!$B$33=1,E154-($J$4-'main page'!$K$27*2)*(1+('main page'!$K$35/100))^A153,E154-$AG$5)</f>
        <v>-99.9</v>
      </c>
      <c r="Z154" s="44">
        <f ca="1">ABS(M154-(controls!$B$9/100)*100)</f>
        <v>396.75000000000006</v>
      </c>
      <c r="AI154" s="36"/>
      <c r="AJ154" s="36"/>
    </row>
    <row r="155" spans="1:36">
      <c r="A155" s="43">
        <v>152</v>
      </c>
      <c r="B155" s="62">
        <f ca="1">IF(controls!$B$6=2,AVERAGE(E151:E154)+B154*W155+hystere!$AG$9,AVERAGE(E151:E154)+B154*W155)</f>
        <v>1.1000000000000001</v>
      </c>
      <c r="C155" s="67">
        <f t="shared" ca="1" si="13"/>
        <v>0</v>
      </c>
      <c r="D155" s="88">
        <f t="shared" ca="1" si="14"/>
        <v>-1</v>
      </c>
      <c r="E155" s="64">
        <f t="shared" ca="1" si="15"/>
        <v>0.1</v>
      </c>
      <c r="F155" s="64">
        <f ca="1">IF('main page'!$K$34=1,hystere!H155,hystere!G155)</f>
        <v>-681.50000000000011</v>
      </c>
      <c r="G155" s="78">
        <f ca="1">I155-'main page'!$K$27*hystere!N154</f>
        <v>-681.50000000000011</v>
      </c>
      <c r="H155" s="62">
        <f ca="1">J155-'main page'!$K$27*N154</f>
        <v>-681.50000000000011</v>
      </c>
      <c r="I155" s="62">
        <f t="shared" ca="1" si="16"/>
        <v>108</v>
      </c>
      <c r="J155" s="62">
        <f t="shared" ca="1" si="17"/>
        <v>108</v>
      </c>
      <c r="M155" s="62">
        <f ca="1">IF(ABS('main page'!$K$29*M154+(1-'main page'!$K$29)*(controls!$B$9/100)*100+'main page'!$K$25*(E155-B155)-M154)&lt;0.0000001,M154,'main page'!$K$29*M154+(1-'main page'!$K$29)*(controls!$B$9/100)*100+'main page'!$K$25*(E155-B155))</f>
        <v>-395.75000000000006</v>
      </c>
      <c r="N155" s="62">
        <f ca="1">IF(controls!$B$10=1,N154,O155-'main page'!$K$29*M155-(1-'main page'!$K$29)*controls!$B$9)</f>
        <v>395.75000000000006</v>
      </c>
      <c r="O155" s="61">
        <f t="shared" ca="1" si="12"/>
        <v>0</v>
      </c>
      <c r="P155" s="63">
        <f ca="1">IF(controls!$B$10=1,hystere!N155+hystere!M155,hystere!Q155)</f>
        <v>-441.73750000000007</v>
      </c>
      <c r="Q155" s="61">
        <f ca="1">IF('main page'!$Y$53=1,'choose m.p.'!$I$22*100,R155)</f>
        <v>-441.73750000000007</v>
      </c>
      <c r="R155" s="83">
        <f ca="1">'main page'!$K$29*M155+(1-'main page'!$K$29)*controls!$B$9+S155+(('main page'!$K$25*'main page'!$U$13*'main page'!$K$29)/('main page'!$K$27*(1+('main page'!$K$25^2)*'main page'!$U$13)))*(M155-(controls!$B$9/100)*100)</f>
        <v>-441.73750000000007</v>
      </c>
      <c r="S155" s="81">
        <f ca="1">IF(controls!$B$33=1,(J156-E155*X156-B155)/'main page'!$K$27,(I156-E155*X156-B155)/'main page'!$K$27)</f>
        <v>53.45</v>
      </c>
      <c r="U155" s="58">
        <f>IF(controls!$B$6=1,$AG$4*(1+('main page'!$K$35/100))^V155-$AG$4*(1+('main page'!$K$35/100))^V154,$AG$4*(1+('main page'!$G$8/100))*(1+('main page'!$K$35/100))^V155-$AG$4*(1+('main page'!$G$8/100))*(1+('main page'!$K$35/100))^V154)</f>
        <v>0</v>
      </c>
      <c r="V155" s="60">
        <v>147</v>
      </c>
      <c r="W155" s="36">
        <f>'normal case'!AC154</f>
        <v>0</v>
      </c>
      <c r="X155" s="36">
        <f>'normal case'!AD154</f>
        <v>0</v>
      </c>
      <c r="Y155" s="44">
        <f ca="1">IF(controls!$B$33=1,E155-($J$4-'main page'!$K$27*2)*(1+('main page'!$K$35/100))^A154,E155-$AG$5)</f>
        <v>-99.9</v>
      </c>
      <c r="Z155" s="44">
        <f ca="1">ABS(M155-(controls!$B$9/100)*100)</f>
        <v>397.75000000000006</v>
      </c>
      <c r="AI155" s="36"/>
      <c r="AJ155" s="36"/>
    </row>
    <row r="156" spans="1:36">
      <c r="A156" s="43">
        <v>153</v>
      </c>
      <c r="B156" s="62">
        <f ca="1">IF(controls!$B$6=2,AVERAGE(E152:E155)+B155*W156+hystere!$AG$9,AVERAGE(E152:E155)+B155*W156)</f>
        <v>1.1000000000000001</v>
      </c>
      <c r="C156" s="67">
        <f t="shared" ca="1" si="13"/>
        <v>0</v>
      </c>
      <c r="D156" s="88">
        <f t="shared" ca="1" si="14"/>
        <v>-1</v>
      </c>
      <c r="E156" s="64">
        <f t="shared" ca="1" si="15"/>
        <v>0.1</v>
      </c>
      <c r="F156" s="64">
        <f ca="1">IF('main page'!$K$34=1,hystere!H156,hystere!G156)</f>
        <v>-683.50000000000011</v>
      </c>
      <c r="G156" s="78">
        <f ca="1">I156-'main page'!$K$27*hystere!N155</f>
        <v>-683.50000000000011</v>
      </c>
      <c r="H156" s="62">
        <f ca="1">J156-'main page'!$K$27*N155</f>
        <v>-683.50000000000011</v>
      </c>
      <c r="I156" s="62">
        <f t="shared" ca="1" si="16"/>
        <v>108</v>
      </c>
      <c r="J156" s="62">
        <f t="shared" ca="1" si="17"/>
        <v>108</v>
      </c>
      <c r="M156" s="62">
        <f ca="1">IF(ABS('main page'!$K$29*M155+(1-'main page'!$K$29)*(controls!$B$9/100)*100+'main page'!$K$25*(E156-B156)-M155)&lt;0.0000001,M155,'main page'!$K$29*M155+(1-'main page'!$K$29)*(controls!$B$9/100)*100+'main page'!$K$25*(E156-B156))</f>
        <v>-396.75000000000006</v>
      </c>
      <c r="N156" s="62">
        <f ca="1">IF(controls!$B$10=1,N155,O156-'main page'!$K$29*M156-(1-'main page'!$K$29)*controls!$B$9)</f>
        <v>396.75000000000006</v>
      </c>
      <c r="O156" s="61">
        <f t="shared" ca="1" si="12"/>
        <v>0</v>
      </c>
      <c r="P156" s="63">
        <f ca="1">IF(controls!$B$10=1,hystere!N156+hystere!M156,hystere!Q156)</f>
        <v>-442.98750000000007</v>
      </c>
      <c r="Q156" s="61">
        <f ca="1">IF('main page'!$Y$53=1,'choose m.p.'!$I$22*100,R156)</f>
        <v>-442.98750000000007</v>
      </c>
      <c r="R156" s="83">
        <f ca="1">'main page'!$K$29*M156+(1-'main page'!$K$29)*controls!$B$9+S156+(('main page'!$K$25*'main page'!$U$13*'main page'!$K$29)/('main page'!$K$27*(1+('main page'!$K$25^2)*'main page'!$U$13)))*(M156-(controls!$B$9/100)*100)</f>
        <v>-442.98750000000007</v>
      </c>
      <c r="S156" s="81">
        <f ca="1">IF(controls!$B$33=1,(J157-E156*X157-B156)/'main page'!$K$27,(I157-E156*X157-B156)/'main page'!$K$27)</f>
        <v>53.45</v>
      </c>
      <c r="U156" s="58">
        <f>IF(controls!$B$6=1,$AG$4*(1+('main page'!$K$35/100))^V156-$AG$4*(1+('main page'!$K$35/100))^V155,$AG$4*(1+('main page'!$G$8/100))*(1+('main page'!$K$35/100))^V156-$AG$4*(1+('main page'!$G$8/100))*(1+('main page'!$K$35/100))^V155)</f>
        <v>0</v>
      </c>
      <c r="V156" s="60">
        <v>148</v>
      </c>
      <c r="W156" s="36">
        <f ca="1">'normal case'!AC155</f>
        <v>0</v>
      </c>
      <c r="X156" s="36">
        <f ca="1">'normal case'!AD155</f>
        <v>0</v>
      </c>
      <c r="Y156" s="44">
        <f ca="1">IF(controls!$B$33=1,E156-($J$4-'main page'!$K$27*2)*(1+('main page'!$K$35/100))^A155,E156-$AG$5)</f>
        <v>-99.9</v>
      </c>
      <c r="Z156" s="44">
        <f ca="1">ABS(M156-(controls!$B$9/100)*100)</f>
        <v>398.75000000000006</v>
      </c>
      <c r="AI156" s="36"/>
      <c r="AJ156" s="36"/>
    </row>
    <row r="157" spans="1:36">
      <c r="A157" s="43">
        <v>154</v>
      </c>
      <c r="B157" s="62">
        <f ca="1">IF(controls!$B$6=2,AVERAGE(E153:E156)+B156*W157+hystere!$AG$9,AVERAGE(E153:E156)+B156*W157)</f>
        <v>1.1000000000000001</v>
      </c>
      <c r="C157" s="67">
        <f t="shared" ca="1" si="13"/>
        <v>0</v>
      </c>
      <c r="D157" s="88">
        <f t="shared" ca="1" si="14"/>
        <v>-1</v>
      </c>
      <c r="E157" s="64">
        <f t="shared" ca="1" si="15"/>
        <v>0.1</v>
      </c>
      <c r="F157" s="64">
        <f ca="1">IF('main page'!$K$34=1,hystere!H157,hystere!G157)</f>
        <v>-685.50000000000011</v>
      </c>
      <c r="G157" s="78">
        <f ca="1">I157-'main page'!$K$27*hystere!N156</f>
        <v>-685.50000000000011</v>
      </c>
      <c r="H157" s="62">
        <f ca="1">J157-'main page'!$K$27*N156</f>
        <v>-685.50000000000011</v>
      </c>
      <c r="I157" s="62">
        <f t="shared" ca="1" si="16"/>
        <v>108</v>
      </c>
      <c r="J157" s="62">
        <f t="shared" ca="1" si="17"/>
        <v>108</v>
      </c>
      <c r="M157" s="62">
        <f ca="1">IF(ABS('main page'!$K$29*M156+(1-'main page'!$K$29)*(controls!$B$9/100)*100+'main page'!$K$25*(E157-B157)-M156)&lt;0.0000001,M156,'main page'!$K$29*M156+(1-'main page'!$K$29)*(controls!$B$9/100)*100+'main page'!$K$25*(E157-B157))</f>
        <v>-397.75000000000006</v>
      </c>
      <c r="N157" s="62">
        <f ca="1">IF(controls!$B$10=1,N156,O157-'main page'!$K$29*M157-(1-'main page'!$K$29)*controls!$B$9)</f>
        <v>397.75000000000006</v>
      </c>
      <c r="O157" s="61">
        <f t="shared" ca="1" si="12"/>
        <v>0</v>
      </c>
      <c r="P157" s="63">
        <f ca="1">IF(controls!$B$10=1,hystere!N157+hystere!M157,hystere!Q157)</f>
        <v>-444.23750000000007</v>
      </c>
      <c r="Q157" s="61">
        <f ca="1">IF('main page'!$Y$53=1,'choose m.p.'!$I$22*100,R157)</f>
        <v>-444.23750000000007</v>
      </c>
      <c r="R157" s="83">
        <f ca="1">'main page'!$K$29*M157+(1-'main page'!$K$29)*controls!$B$9+S157+(('main page'!$K$25*'main page'!$U$13*'main page'!$K$29)/('main page'!$K$27*(1+('main page'!$K$25^2)*'main page'!$U$13)))*(M157-(controls!$B$9/100)*100)</f>
        <v>-444.23750000000007</v>
      </c>
      <c r="S157" s="81">
        <f ca="1">IF(controls!$B$33=1,(J158-E157*X158-B157)/'main page'!$K$27,(I158-E157*X158-B157)/'main page'!$K$27)</f>
        <v>53.45</v>
      </c>
      <c r="U157" s="58">
        <f>IF(controls!$B$6=1,$AG$4*(1+('main page'!$K$35/100))^V157-$AG$4*(1+('main page'!$K$35/100))^V156,$AG$4*(1+('main page'!$G$8/100))*(1+('main page'!$K$35/100))^V157-$AG$4*(1+('main page'!$G$8/100))*(1+('main page'!$K$35/100))^V156)</f>
        <v>0</v>
      </c>
      <c r="V157" s="60">
        <v>149</v>
      </c>
      <c r="W157" s="36">
        <f>'normal case'!AC156</f>
        <v>0</v>
      </c>
      <c r="X157" s="36">
        <f>'normal case'!AD156</f>
        <v>0</v>
      </c>
      <c r="Y157" s="44">
        <f ca="1">IF(controls!$B$33=1,E157-($J$4-'main page'!$K$27*2)*(1+('main page'!$K$35/100))^A156,E157-$AG$5)</f>
        <v>-99.9</v>
      </c>
      <c r="Z157" s="44">
        <f ca="1">ABS(M157-(controls!$B$9/100)*100)</f>
        <v>399.75000000000006</v>
      </c>
      <c r="AI157" s="36"/>
      <c r="AJ157" s="36"/>
    </row>
    <row r="158" spans="1:36">
      <c r="A158" s="43">
        <v>155</v>
      </c>
      <c r="B158" s="62">
        <f ca="1">IF(controls!$B$6=2,AVERAGE(E154:E157)+B157*W158+hystere!$AG$9,AVERAGE(E154:E157)+B157*W158)</f>
        <v>1.1000000000000001</v>
      </c>
      <c r="C158" s="67">
        <f t="shared" ca="1" si="13"/>
        <v>0</v>
      </c>
      <c r="D158" s="88">
        <f t="shared" ca="1" si="14"/>
        <v>-1</v>
      </c>
      <c r="E158" s="64">
        <f t="shared" ca="1" si="15"/>
        <v>0.1</v>
      </c>
      <c r="F158" s="64">
        <f ca="1">IF('main page'!$K$34=1,hystere!H158,hystere!G158)</f>
        <v>-687.50000000000011</v>
      </c>
      <c r="G158" s="78">
        <f ca="1">I158-'main page'!$K$27*hystere!N157</f>
        <v>-687.50000000000011</v>
      </c>
      <c r="H158" s="62">
        <f ca="1">J158-'main page'!$K$27*N157</f>
        <v>-687.50000000000011</v>
      </c>
      <c r="I158" s="62">
        <f t="shared" ca="1" si="16"/>
        <v>108</v>
      </c>
      <c r="J158" s="62">
        <f t="shared" ca="1" si="17"/>
        <v>108</v>
      </c>
      <c r="M158" s="62">
        <f ca="1">IF(ABS('main page'!$K$29*M157+(1-'main page'!$K$29)*(controls!$B$9/100)*100+'main page'!$K$25*(E158-B158)-M157)&lt;0.0000001,M157,'main page'!$K$29*M157+(1-'main page'!$K$29)*(controls!$B$9/100)*100+'main page'!$K$25*(E158-B158))</f>
        <v>-398.75000000000006</v>
      </c>
      <c r="N158" s="62">
        <f ca="1">IF(controls!$B$10=1,N157,O158-'main page'!$K$29*M158-(1-'main page'!$K$29)*controls!$B$9)</f>
        <v>398.75000000000006</v>
      </c>
      <c r="O158" s="61">
        <f t="shared" ca="1" si="12"/>
        <v>0</v>
      </c>
      <c r="P158" s="63">
        <f ca="1">IF(controls!$B$10=1,hystere!N158+hystere!M158,hystere!Q158)</f>
        <v>-445.48750000000007</v>
      </c>
      <c r="Q158" s="61">
        <f ca="1">IF('main page'!$Y$53=1,'choose m.p.'!$I$22*100,R158)</f>
        <v>-445.48750000000007</v>
      </c>
      <c r="R158" s="83">
        <f ca="1">'main page'!$K$29*M158+(1-'main page'!$K$29)*controls!$B$9+S158+(('main page'!$K$25*'main page'!$U$13*'main page'!$K$29)/('main page'!$K$27*(1+('main page'!$K$25^2)*'main page'!$U$13)))*(M158-(controls!$B$9/100)*100)</f>
        <v>-445.48750000000007</v>
      </c>
      <c r="S158" s="81">
        <f ca="1">IF(controls!$B$33=1,(J159-E158*X159-B158)/'main page'!$K$27,(I159-E158*X159-B158)/'main page'!$K$27)</f>
        <v>53.45</v>
      </c>
      <c r="U158" s="58">
        <f>IF(controls!$B$6=1,$AG$4*(1+('main page'!$K$35/100))^V158-$AG$4*(1+('main page'!$K$35/100))^V157,$AG$4*(1+('main page'!$G$8/100))*(1+('main page'!$K$35/100))^V158-$AG$4*(1+('main page'!$G$8/100))*(1+('main page'!$K$35/100))^V157)</f>
        <v>0</v>
      </c>
      <c r="V158" s="60">
        <v>150</v>
      </c>
      <c r="W158" s="36">
        <f>'normal case'!AC157</f>
        <v>0</v>
      </c>
      <c r="X158" s="36">
        <f>'normal case'!AD157</f>
        <v>0</v>
      </c>
      <c r="Y158" s="44">
        <f ca="1">IF(controls!$B$33=1,E158-($J$4-'main page'!$K$27*2)*(1+('main page'!$K$35/100))^A157,E158-$AG$5)</f>
        <v>-99.9</v>
      </c>
      <c r="Z158" s="44">
        <f ca="1">ABS(M158-(controls!$B$9/100)*100)</f>
        <v>400.75000000000006</v>
      </c>
      <c r="AI158" s="36"/>
      <c r="AJ158" s="36"/>
    </row>
    <row r="159" spans="1:36">
      <c r="A159" s="43">
        <v>156</v>
      </c>
      <c r="B159" s="62">
        <f ca="1">IF(controls!$B$6=2,AVERAGE(E155:E158)+B158*W159+hystere!$AG$9,AVERAGE(E155:E158)+B158*W159)</f>
        <v>1.1000000000000001</v>
      </c>
      <c r="C159" s="67">
        <f t="shared" ca="1" si="13"/>
        <v>0</v>
      </c>
      <c r="D159" s="88">
        <f t="shared" ca="1" si="14"/>
        <v>-1</v>
      </c>
      <c r="E159" s="64">
        <f t="shared" ca="1" si="15"/>
        <v>0.1</v>
      </c>
      <c r="F159" s="64">
        <f ca="1">IF('main page'!$K$34=1,hystere!H159,hystere!G159)</f>
        <v>-689.50000000000011</v>
      </c>
      <c r="G159" s="78">
        <f ca="1">I159-'main page'!$K$27*hystere!N158</f>
        <v>-689.50000000000011</v>
      </c>
      <c r="H159" s="62">
        <f ca="1">J159-'main page'!$K$27*N158</f>
        <v>-689.50000000000011</v>
      </c>
      <c r="I159" s="62">
        <f t="shared" ca="1" si="16"/>
        <v>108</v>
      </c>
      <c r="J159" s="62">
        <f t="shared" ca="1" si="17"/>
        <v>108</v>
      </c>
      <c r="M159" s="62">
        <f ca="1">IF(ABS('main page'!$K$29*M158+(1-'main page'!$K$29)*(controls!$B$9/100)*100+'main page'!$K$25*(E159-B159)-M158)&lt;0.0000001,M158,'main page'!$K$29*M158+(1-'main page'!$K$29)*(controls!$B$9/100)*100+'main page'!$K$25*(E159-B159))</f>
        <v>-399.75000000000006</v>
      </c>
      <c r="N159" s="62">
        <f ca="1">IF(controls!$B$10=1,N158,O159-'main page'!$K$29*M159-(1-'main page'!$K$29)*controls!$B$9)</f>
        <v>399.75000000000006</v>
      </c>
      <c r="O159" s="61">
        <f t="shared" ca="1" si="12"/>
        <v>0</v>
      </c>
      <c r="P159" s="63">
        <f ca="1">IF(controls!$B$10=1,hystere!N159+hystere!M159,hystere!Q159)</f>
        <v>-446.73750000000007</v>
      </c>
      <c r="Q159" s="61">
        <f ca="1">IF('main page'!$Y$53=1,'choose m.p.'!$I$22*100,R159)</f>
        <v>-446.73750000000007</v>
      </c>
      <c r="R159" s="83">
        <f ca="1">'main page'!$K$29*M159+(1-'main page'!$K$29)*controls!$B$9+S159+(('main page'!$K$25*'main page'!$U$13*'main page'!$K$29)/('main page'!$K$27*(1+('main page'!$K$25^2)*'main page'!$U$13)))*(M159-(controls!$B$9/100)*100)</f>
        <v>-446.73750000000007</v>
      </c>
      <c r="S159" s="81">
        <f ca="1">IF(controls!$B$33=1,(J160-E159*X160-B159)/'main page'!$K$27,(I160-E159*X160-B159)/'main page'!$K$27)</f>
        <v>53.45</v>
      </c>
      <c r="U159" s="58">
        <f>IF(controls!$B$6=1,$AG$4*(1+('main page'!$K$35/100))^V159-$AG$4*(1+('main page'!$K$35/100))^V158,$AG$4*(1+('main page'!$G$8/100))*(1+('main page'!$K$35/100))^V159-$AG$4*(1+('main page'!$G$8/100))*(1+('main page'!$K$35/100))^V158)</f>
        <v>0</v>
      </c>
      <c r="V159" s="60">
        <v>151</v>
      </c>
      <c r="W159" s="36">
        <f ca="1">'normal case'!AC158</f>
        <v>0</v>
      </c>
      <c r="X159" s="36">
        <f ca="1">'normal case'!AD158</f>
        <v>0</v>
      </c>
      <c r="Y159" s="44">
        <f ca="1">IF(controls!$B$33=1,E159-($J$4-'main page'!$K$27*2)*(1+('main page'!$K$35/100))^A158,E159-$AG$5)</f>
        <v>-99.9</v>
      </c>
      <c r="Z159" s="44">
        <f ca="1">ABS(M159-(controls!$B$9/100)*100)</f>
        <v>401.75000000000006</v>
      </c>
      <c r="AI159" s="36"/>
      <c r="AJ159" s="36"/>
    </row>
    <row r="160" spans="1:36">
      <c r="A160" s="43">
        <v>157</v>
      </c>
      <c r="B160" s="62">
        <f ca="1">IF(controls!$B$6=2,AVERAGE(E156:E159)+B159*W160+hystere!$AG$9,AVERAGE(E156:E159)+B159*W160)</f>
        <v>1.1000000000000001</v>
      </c>
      <c r="C160" s="67">
        <f t="shared" ca="1" si="13"/>
        <v>0</v>
      </c>
      <c r="D160" s="88">
        <f t="shared" ca="1" si="14"/>
        <v>-1</v>
      </c>
      <c r="E160" s="64">
        <f t="shared" ca="1" si="15"/>
        <v>0.1</v>
      </c>
      <c r="F160" s="64">
        <f ca="1">IF('main page'!$K$34=1,hystere!H160,hystere!G160)</f>
        <v>-691.50000000000011</v>
      </c>
      <c r="G160" s="78">
        <f ca="1">I160-'main page'!$K$27*hystere!N159</f>
        <v>-691.50000000000011</v>
      </c>
      <c r="H160" s="62">
        <f ca="1">J160-'main page'!$K$27*N159</f>
        <v>-691.50000000000011</v>
      </c>
      <c r="I160" s="62">
        <f t="shared" ca="1" si="16"/>
        <v>108</v>
      </c>
      <c r="J160" s="62">
        <f t="shared" ca="1" si="17"/>
        <v>108</v>
      </c>
      <c r="M160" s="62">
        <f ca="1">IF(ABS('main page'!$K$29*M159+(1-'main page'!$K$29)*(controls!$B$9/100)*100+'main page'!$K$25*(E160-B160)-M159)&lt;0.0000001,M159,'main page'!$K$29*M159+(1-'main page'!$K$29)*(controls!$B$9/100)*100+'main page'!$K$25*(E160-B160))</f>
        <v>-400.75000000000006</v>
      </c>
      <c r="N160" s="62">
        <f ca="1">IF(controls!$B$10=1,N159,O160-'main page'!$K$29*M160-(1-'main page'!$K$29)*controls!$B$9)</f>
        <v>400.75000000000006</v>
      </c>
      <c r="O160" s="61">
        <f t="shared" ca="1" si="12"/>
        <v>0</v>
      </c>
      <c r="P160" s="63">
        <f ca="1">IF(controls!$B$10=1,hystere!N160+hystere!M160,hystere!Q160)</f>
        <v>-447.98750000000007</v>
      </c>
      <c r="Q160" s="61">
        <f ca="1">IF('main page'!$Y$53=1,'choose m.p.'!$I$22*100,R160)</f>
        <v>-447.98750000000007</v>
      </c>
      <c r="R160" s="83">
        <f ca="1">'main page'!$K$29*M160+(1-'main page'!$K$29)*controls!$B$9+S160+(('main page'!$K$25*'main page'!$U$13*'main page'!$K$29)/('main page'!$K$27*(1+('main page'!$K$25^2)*'main page'!$U$13)))*(M160-(controls!$B$9/100)*100)</f>
        <v>-447.98750000000007</v>
      </c>
      <c r="S160" s="81">
        <f ca="1">IF(controls!$B$33=1,(J161-E160*X161-B160)/'main page'!$K$27,(I161-E160*X161-B160)/'main page'!$K$27)</f>
        <v>53.45</v>
      </c>
      <c r="U160" s="58">
        <f>IF(controls!$B$6=1,$AG$4*(1+('main page'!$K$35/100))^V160-$AG$4*(1+('main page'!$K$35/100))^V159,$AG$4*(1+('main page'!$G$8/100))*(1+('main page'!$K$35/100))^V160-$AG$4*(1+('main page'!$G$8/100))*(1+('main page'!$K$35/100))^V159)</f>
        <v>0</v>
      </c>
      <c r="V160" s="60">
        <v>152</v>
      </c>
      <c r="W160" s="36">
        <f>'normal case'!AC159</f>
        <v>0</v>
      </c>
      <c r="X160" s="36">
        <f>'normal case'!AD159</f>
        <v>0</v>
      </c>
      <c r="Y160" s="44">
        <f ca="1">IF(controls!$B$33=1,E160-($J$4-'main page'!$K$27*2)*(1+('main page'!$K$35/100))^A159,E160-$AG$5)</f>
        <v>-99.9</v>
      </c>
      <c r="Z160" s="44">
        <f ca="1">ABS(M160-(controls!$B$9/100)*100)</f>
        <v>402.75000000000006</v>
      </c>
      <c r="AI160" s="36"/>
      <c r="AJ160" s="36"/>
    </row>
    <row r="161" spans="1:36">
      <c r="A161" s="43">
        <v>158</v>
      </c>
      <c r="B161" s="62">
        <f ca="1">IF(controls!$B$6=2,AVERAGE(E157:E160)+B160*W161+hystere!$AG$9,AVERAGE(E157:E160)+B160*W161)</f>
        <v>1.1000000000000001</v>
      </c>
      <c r="C161" s="67">
        <f t="shared" ca="1" si="13"/>
        <v>0</v>
      </c>
      <c r="D161" s="88">
        <f t="shared" ca="1" si="14"/>
        <v>-1</v>
      </c>
      <c r="E161" s="64">
        <f t="shared" ca="1" si="15"/>
        <v>0.1</v>
      </c>
      <c r="F161" s="64">
        <f ca="1">IF('main page'!$K$34=1,hystere!H161,hystere!G161)</f>
        <v>-693.50000000000011</v>
      </c>
      <c r="G161" s="78">
        <f ca="1">I161-'main page'!$K$27*hystere!N160</f>
        <v>-693.50000000000011</v>
      </c>
      <c r="H161" s="62">
        <f ca="1">J161-'main page'!$K$27*N160</f>
        <v>-693.50000000000011</v>
      </c>
      <c r="I161" s="62">
        <f t="shared" ca="1" si="16"/>
        <v>108</v>
      </c>
      <c r="J161" s="62">
        <f t="shared" ca="1" si="17"/>
        <v>108</v>
      </c>
      <c r="M161" s="62">
        <f ca="1">IF(ABS('main page'!$K$29*M160+(1-'main page'!$K$29)*(controls!$B$9/100)*100+'main page'!$K$25*(E161-B161)-M160)&lt;0.0000001,M160,'main page'!$K$29*M160+(1-'main page'!$K$29)*(controls!$B$9/100)*100+'main page'!$K$25*(E161-B161))</f>
        <v>-401.75000000000006</v>
      </c>
      <c r="N161" s="62">
        <f ca="1">IF(controls!$B$10=1,N160,O161-'main page'!$K$29*M161-(1-'main page'!$K$29)*controls!$B$9)</f>
        <v>401.75000000000006</v>
      </c>
      <c r="O161" s="61">
        <f t="shared" ca="1" si="12"/>
        <v>0</v>
      </c>
      <c r="P161" s="63">
        <f ca="1">IF(controls!$B$10=1,hystere!N161+hystere!M161,hystere!Q161)</f>
        <v>-449.23750000000007</v>
      </c>
      <c r="Q161" s="61">
        <f ca="1">IF('main page'!$Y$53=1,'choose m.p.'!$I$22*100,R161)</f>
        <v>-449.23750000000007</v>
      </c>
      <c r="R161" s="83">
        <f ca="1">'main page'!$K$29*M161+(1-'main page'!$K$29)*controls!$B$9+S161+(('main page'!$K$25*'main page'!$U$13*'main page'!$K$29)/('main page'!$K$27*(1+('main page'!$K$25^2)*'main page'!$U$13)))*(M161-(controls!$B$9/100)*100)</f>
        <v>-449.23750000000007</v>
      </c>
      <c r="S161" s="81">
        <f ca="1">IF(controls!$B$33=1,(J162-E161*X162-B161)/'main page'!$K$27,(I162-E161*X162-B161)/'main page'!$K$27)</f>
        <v>53.45</v>
      </c>
      <c r="U161" s="58">
        <f>IF(controls!$B$6=1,$AG$4*(1+('main page'!$K$35/100))^V161-$AG$4*(1+('main page'!$K$35/100))^V160,$AG$4*(1+('main page'!$G$8/100))*(1+('main page'!$K$35/100))^V161-$AG$4*(1+('main page'!$G$8/100))*(1+('main page'!$K$35/100))^V160)</f>
        <v>0</v>
      </c>
      <c r="V161" s="60">
        <v>153</v>
      </c>
      <c r="W161" s="36">
        <f>'normal case'!AC160</f>
        <v>0</v>
      </c>
      <c r="X161" s="36">
        <f>'normal case'!AD160</f>
        <v>0</v>
      </c>
      <c r="Y161" s="44">
        <f ca="1">IF(controls!$B$33=1,E161-($J$4-'main page'!$K$27*2)*(1+('main page'!$K$35/100))^A160,E161-$AG$5)</f>
        <v>-99.9</v>
      </c>
      <c r="Z161" s="44">
        <f ca="1">ABS(M161-(controls!$B$9/100)*100)</f>
        <v>403.75000000000006</v>
      </c>
      <c r="AI161" s="36"/>
      <c r="AJ161" s="36"/>
    </row>
    <row r="162" spans="1:36">
      <c r="A162" s="43">
        <v>159</v>
      </c>
      <c r="B162" s="62">
        <f ca="1">IF(controls!$B$6=2,AVERAGE(E158:E161)+B161*W162+hystere!$AG$9,AVERAGE(E158:E161)+B161*W162)</f>
        <v>1.1000000000000001</v>
      </c>
      <c r="C162" s="67">
        <f t="shared" ca="1" si="13"/>
        <v>0</v>
      </c>
      <c r="D162" s="88">
        <f t="shared" ca="1" si="14"/>
        <v>-1</v>
      </c>
      <c r="E162" s="64">
        <f t="shared" ca="1" si="15"/>
        <v>0.1</v>
      </c>
      <c r="F162" s="64">
        <f ca="1">IF('main page'!$K$34=1,hystere!H162,hystere!G162)</f>
        <v>-695.50000000000011</v>
      </c>
      <c r="G162" s="78">
        <f ca="1">I162-'main page'!$K$27*hystere!N161</f>
        <v>-695.50000000000011</v>
      </c>
      <c r="H162" s="62">
        <f ca="1">J162-'main page'!$K$27*N161</f>
        <v>-695.50000000000011</v>
      </c>
      <c r="I162" s="62">
        <f t="shared" ca="1" si="16"/>
        <v>108</v>
      </c>
      <c r="J162" s="62">
        <f t="shared" ca="1" si="17"/>
        <v>108</v>
      </c>
      <c r="M162" s="62">
        <f ca="1">IF(ABS('main page'!$K$29*M161+(1-'main page'!$K$29)*(controls!$B$9/100)*100+'main page'!$K$25*(E162-B162)-M161)&lt;0.0000001,M161,'main page'!$K$29*M161+(1-'main page'!$K$29)*(controls!$B$9/100)*100+'main page'!$K$25*(E162-B162))</f>
        <v>-402.75000000000006</v>
      </c>
      <c r="N162" s="62">
        <f ca="1">IF(controls!$B$10=1,N161,O162-'main page'!$K$29*M162-(1-'main page'!$K$29)*controls!$B$9)</f>
        <v>402.75000000000006</v>
      </c>
      <c r="O162" s="61">
        <f t="shared" ca="1" si="12"/>
        <v>0</v>
      </c>
      <c r="P162" s="63">
        <f ca="1">IF(controls!$B$10=1,hystere!N162+hystere!M162,hystere!Q162)</f>
        <v>-450.48750000000007</v>
      </c>
      <c r="Q162" s="61">
        <f ca="1">IF('main page'!$Y$53=1,'choose m.p.'!$I$22*100,R162)</f>
        <v>-450.48750000000007</v>
      </c>
      <c r="R162" s="83">
        <f ca="1">'main page'!$K$29*M162+(1-'main page'!$K$29)*controls!$B$9+S162+(('main page'!$K$25*'main page'!$U$13*'main page'!$K$29)/('main page'!$K$27*(1+('main page'!$K$25^2)*'main page'!$U$13)))*(M162-(controls!$B$9/100)*100)</f>
        <v>-450.48750000000007</v>
      </c>
      <c r="S162" s="81">
        <f ca="1">IF(controls!$B$33=1,(J163-E162*X163-B162)/'main page'!$K$27,(I163-E162*X163-B162)/'main page'!$K$27)</f>
        <v>53.45</v>
      </c>
      <c r="U162" s="58">
        <f>IF(controls!$B$6=1,$AG$4*(1+('main page'!$K$35/100))^V162-$AG$4*(1+('main page'!$K$35/100))^V161,$AG$4*(1+('main page'!$G$8/100))*(1+('main page'!$K$35/100))^V162-$AG$4*(1+('main page'!$G$8/100))*(1+('main page'!$K$35/100))^V161)</f>
        <v>0</v>
      </c>
      <c r="V162" s="60">
        <v>154</v>
      </c>
      <c r="W162" s="36">
        <f ca="1">'normal case'!AC161</f>
        <v>0</v>
      </c>
      <c r="X162" s="36">
        <f ca="1">'normal case'!AD161</f>
        <v>0</v>
      </c>
      <c r="Y162" s="44">
        <f ca="1">IF(controls!$B$33=1,E162-($J$4-'main page'!$K$27*2)*(1+('main page'!$K$35/100))^A161,E162-$AG$5)</f>
        <v>-99.9</v>
      </c>
      <c r="Z162" s="44">
        <f ca="1">ABS(M162-(controls!$B$9/100)*100)</f>
        <v>404.75000000000006</v>
      </c>
      <c r="AI162" s="36"/>
      <c r="AJ162" s="36"/>
    </row>
    <row r="163" spans="1:36">
      <c r="A163" s="43">
        <v>160</v>
      </c>
      <c r="B163" s="62">
        <f ca="1">IF(controls!$B$6=2,AVERAGE(E159:E162)+B162*W163+hystere!$AG$9,AVERAGE(E159:E162)+B162*W163)</f>
        <v>1.1000000000000001</v>
      </c>
      <c r="C163" s="67">
        <f t="shared" ca="1" si="13"/>
        <v>0</v>
      </c>
      <c r="D163" s="88">
        <f t="shared" ca="1" si="14"/>
        <v>-1</v>
      </c>
      <c r="E163" s="64">
        <f t="shared" ca="1" si="15"/>
        <v>0.1</v>
      </c>
      <c r="F163" s="64">
        <f ca="1">IF('main page'!$K$34=1,hystere!H163,hystere!G163)</f>
        <v>-697.50000000000011</v>
      </c>
      <c r="G163" s="78">
        <f ca="1">I163-'main page'!$K$27*hystere!N162</f>
        <v>-697.50000000000011</v>
      </c>
      <c r="H163" s="62">
        <f ca="1">J163-'main page'!$K$27*N162</f>
        <v>-697.50000000000011</v>
      </c>
      <c r="I163" s="62">
        <f t="shared" ca="1" si="16"/>
        <v>108</v>
      </c>
      <c r="J163" s="62">
        <f t="shared" ca="1" si="17"/>
        <v>108</v>
      </c>
      <c r="M163" s="62">
        <f ca="1">IF(ABS('main page'!$K$29*M162+(1-'main page'!$K$29)*(controls!$B$9/100)*100+'main page'!$K$25*(E163-B163)-M162)&lt;0.0000001,M162,'main page'!$K$29*M162+(1-'main page'!$K$29)*(controls!$B$9/100)*100+'main page'!$K$25*(E163-B163))</f>
        <v>-403.75000000000006</v>
      </c>
      <c r="N163" s="62">
        <f ca="1">IF(controls!$B$10=1,N162,O163-'main page'!$K$29*M163-(1-'main page'!$K$29)*controls!$B$9)</f>
        <v>403.75000000000006</v>
      </c>
      <c r="O163" s="61">
        <f t="shared" ca="1" si="12"/>
        <v>0</v>
      </c>
      <c r="P163" s="63">
        <f ca="1">IF(controls!$B$10=1,hystere!N163+hystere!M163,hystere!Q163)</f>
        <v>-451.73750000000007</v>
      </c>
      <c r="Q163" s="61">
        <f ca="1">IF('main page'!$Y$53=1,'choose m.p.'!$I$22*100,R163)</f>
        <v>-451.73750000000007</v>
      </c>
      <c r="R163" s="83">
        <f ca="1">'main page'!$K$29*M163+(1-'main page'!$K$29)*controls!$B$9+S163+(('main page'!$K$25*'main page'!$U$13*'main page'!$K$29)/('main page'!$K$27*(1+('main page'!$K$25^2)*'main page'!$U$13)))*(M163-(controls!$B$9/100)*100)</f>
        <v>-451.73750000000007</v>
      </c>
      <c r="S163" s="81">
        <f ca="1">IF(controls!$B$33=1,(J164-E163*X164-B163)/'main page'!$K$27,(I164-E163*X164-B163)/'main page'!$K$27)</f>
        <v>53.45</v>
      </c>
      <c r="U163" s="58">
        <f>IF(controls!$B$6=1,$AG$4*(1+('main page'!$K$35/100))^V163-$AG$4*(1+('main page'!$K$35/100))^V162,$AG$4*(1+('main page'!$G$8/100))*(1+('main page'!$K$35/100))^V163-$AG$4*(1+('main page'!$G$8/100))*(1+('main page'!$K$35/100))^V162)</f>
        <v>0</v>
      </c>
      <c r="V163" s="60">
        <v>155</v>
      </c>
      <c r="W163" s="36">
        <f>'normal case'!AC162</f>
        <v>0</v>
      </c>
      <c r="X163" s="36">
        <f>'normal case'!AD162</f>
        <v>0</v>
      </c>
      <c r="Y163" s="44">
        <f ca="1">IF(controls!$B$33=1,E163-($J$4-'main page'!$K$27*2)*(1+('main page'!$K$35/100))^A162,E163-$AG$5)</f>
        <v>-99.9</v>
      </c>
      <c r="Z163" s="44">
        <f ca="1">ABS(M163-(controls!$B$9/100)*100)</f>
        <v>405.75000000000006</v>
      </c>
      <c r="AI163" s="36"/>
      <c r="AJ163" s="36"/>
    </row>
    <row r="164" spans="1:36">
      <c r="A164" s="43">
        <v>161</v>
      </c>
      <c r="B164" s="62">
        <f ca="1">IF(controls!$B$6=2,AVERAGE(E160:E163)+B163*W164+hystere!$AG$9,AVERAGE(E160:E163)+B163*W164)</f>
        <v>1.1000000000000001</v>
      </c>
      <c r="C164" s="67">
        <f t="shared" ca="1" si="13"/>
        <v>0</v>
      </c>
      <c r="D164" s="88">
        <f t="shared" ca="1" si="14"/>
        <v>-1</v>
      </c>
      <c r="E164" s="64">
        <f t="shared" ca="1" si="15"/>
        <v>0.1</v>
      </c>
      <c r="F164" s="64">
        <f ca="1">IF('main page'!$K$34=1,hystere!H164,hystere!G164)</f>
        <v>-699.50000000000011</v>
      </c>
      <c r="G164" s="78">
        <f ca="1">I164-'main page'!$K$27*hystere!N163</f>
        <v>-699.50000000000011</v>
      </c>
      <c r="H164" s="62">
        <f ca="1">J164-'main page'!$K$27*N163</f>
        <v>-699.50000000000011</v>
      </c>
      <c r="I164" s="62">
        <f t="shared" ca="1" si="16"/>
        <v>108</v>
      </c>
      <c r="J164" s="62">
        <f t="shared" ca="1" si="17"/>
        <v>108</v>
      </c>
      <c r="M164" s="62">
        <f ca="1">IF(ABS('main page'!$K$29*M163+(1-'main page'!$K$29)*(controls!$B$9/100)*100+'main page'!$K$25*(E164-B164)-M163)&lt;0.0000001,M163,'main page'!$K$29*M163+(1-'main page'!$K$29)*(controls!$B$9/100)*100+'main page'!$K$25*(E164-B164))</f>
        <v>-404.75000000000006</v>
      </c>
      <c r="N164" s="62">
        <f ca="1">IF(controls!$B$10=1,N163,O164-'main page'!$K$29*M164-(1-'main page'!$K$29)*controls!$B$9)</f>
        <v>404.75000000000006</v>
      </c>
      <c r="O164" s="61">
        <f t="shared" ca="1" si="12"/>
        <v>0</v>
      </c>
      <c r="P164" s="63">
        <f ca="1">IF(controls!$B$10=1,hystere!N164+hystere!M164,hystere!Q164)</f>
        <v>-452.98750000000007</v>
      </c>
      <c r="Q164" s="61">
        <f ca="1">IF('main page'!$Y$53=1,'choose m.p.'!$I$22*100,R164)</f>
        <v>-452.98750000000007</v>
      </c>
      <c r="R164" s="83">
        <f ca="1">'main page'!$K$29*M164+(1-'main page'!$K$29)*controls!$B$9+S164+(('main page'!$K$25*'main page'!$U$13*'main page'!$K$29)/('main page'!$K$27*(1+('main page'!$K$25^2)*'main page'!$U$13)))*(M164-(controls!$B$9/100)*100)</f>
        <v>-452.98750000000007</v>
      </c>
      <c r="S164" s="81">
        <f ca="1">IF(controls!$B$33=1,(J165-E164*X165-B164)/'main page'!$K$27,(I165-E164*X165-B164)/'main page'!$K$27)</f>
        <v>53.45</v>
      </c>
      <c r="U164" s="58">
        <f>IF(controls!$B$6=1,$AG$4*(1+('main page'!$K$35/100))^V164-$AG$4*(1+('main page'!$K$35/100))^V163,$AG$4*(1+('main page'!$G$8/100))*(1+('main page'!$K$35/100))^V164-$AG$4*(1+('main page'!$G$8/100))*(1+('main page'!$K$35/100))^V163)</f>
        <v>0</v>
      </c>
      <c r="V164" s="60">
        <v>156</v>
      </c>
      <c r="W164" s="36">
        <f>'normal case'!AC163</f>
        <v>0</v>
      </c>
      <c r="X164" s="36">
        <f>'normal case'!AD163</f>
        <v>0</v>
      </c>
      <c r="Y164" s="44">
        <f ca="1">IF(controls!$B$33=1,E164-($J$4-'main page'!$K$27*2)*(1+('main page'!$K$35/100))^A163,E164-$AG$5)</f>
        <v>-99.9</v>
      </c>
      <c r="Z164" s="44">
        <f ca="1">ABS(M164-(controls!$B$9/100)*100)</f>
        <v>406.75000000000006</v>
      </c>
      <c r="AI164" s="36"/>
      <c r="AJ164" s="36"/>
    </row>
    <row r="165" spans="1:36">
      <c r="A165" s="43">
        <v>162</v>
      </c>
      <c r="B165" s="62">
        <f ca="1">IF(controls!$B$6=2,AVERAGE(E161:E164)+B164*W165+hystere!$AG$9,AVERAGE(E161:E164)+B164*W165)</f>
        <v>1.1000000000000001</v>
      </c>
      <c r="C165" s="67">
        <f t="shared" ca="1" si="13"/>
        <v>0</v>
      </c>
      <c r="D165" s="88">
        <f t="shared" ca="1" si="14"/>
        <v>-1</v>
      </c>
      <c r="E165" s="64">
        <f t="shared" ca="1" si="15"/>
        <v>0.1</v>
      </c>
      <c r="F165" s="64">
        <f ca="1">IF('main page'!$K$34=1,hystere!H165,hystere!G165)</f>
        <v>-701.50000000000011</v>
      </c>
      <c r="G165" s="78">
        <f ca="1">I165-'main page'!$K$27*hystere!N164</f>
        <v>-701.50000000000011</v>
      </c>
      <c r="H165" s="62">
        <f ca="1">J165-'main page'!$K$27*N164</f>
        <v>-701.50000000000011</v>
      </c>
      <c r="I165" s="62">
        <f t="shared" ca="1" si="16"/>
        <v>108</v>
      </c>
      <c r="J165" s="62">
        <f t="shared" ca="1" si="17"/>
        <v>108</v>
      </c>
      <c r="M165" s="62">
        <f ca="1">IF(ABS('main page'!$K$29*M164+(1-'main page'!$K$29)*(controls!$B$9/100)*100+'main page'!$K$25*(E165-B165)-M164)&lt;0.0000001,M164,'main page'!$K$29*M164+(1-'main page'!$K$29)*(controls!$B$9/100)*100+'main page'!$K$25*(E165-B165))</f>
        <v>-405.75000000000006</v>
      </c>
      <c r="N165" s="62">
        <f ca="1">IF(controls!$B$10=1,N164,O165-'main page'!$K$29*M165-(1-'main page'!$K$29)*controls!$B$9)</f>
        <v>405.75000000000006</v>
      </c>
      <c r="O165" s="61">
        <f t="shared" ca="1" si="12"/>
        <v>0</v>
      </c>
      <c r="P165" s="63">
        <f ca="1">IF(controls!$B$10=1,hystere!N165+hystere!M165,hystere!Q165)</f>
        <v>-454.23750000000007</v>
      </c>
      <c r="Q165" s="61">
        <f ca="1">IF('main page'!$Y$53=1,'choose m.p.'!$I$22*100,R165)</f>
        <v>-454.23750000000007</v>
      </c>
      <c r="R165" s="83">
        <f ca="1">'main page'!$K$29*M165+(1-'main page'!$K$29)*controls!$B$9+S165+(('main page'!$K$25*'main page'!$U$13*'main page'!$K$29)/('main page'!$K$27*(1+('main page'!$K$25^2)*'main page'!$U$13)))*(M165-(controls!$B$9/100)*100)</f>
        <v>-454.23750000000007</v>
      </c>
      <c r="S165" s="81">
        <f ca="1">IF(controls!$B$33=1,(J166-E165*X166-B165)/'main page'!$K$27,(I166-E165*X166-B165)/'main page'!$K$27)</f>
        <v>53.45</v>
      </c>
      <c r="U165" s="58">
        <f>IF(controls!$B$6=1,$AG$4*(1+('main page'!$K$35/100))^V165-$AG$4*(1+('main page'!$K$35/100))^V164,$AG$4*(1+('main page'!$G$8/100))*(1+('main page'!$K$35/100))^V165-$AG$4*(1+('main page'!$G$8/100))*(1+('main page'!$K$35/100))^V164)</f>
        <v>0</v>
      </c>
      <c r="V165" s="60">
        <v>157</v>
      </c>
      <c r="W165" s="36">
        <f ca="1">'normal case'!AC164</f>
        <v>0</v>
      </c>
      <c r="X165" s="36">
        <f ca="1">'normal case'!AD164</f>
        <v>0</v>
      </c>
      <c r="Y165" s="44">
        <f ca="1">IF(controls!$B$33=1,E165-($J$4-'main page'!$K$27*2)*(1+('main page'!$K$35/100))^A164,E165-$AG$5)</f>
        <v>-99.9</v>
      </c>
      <c r="Z165" s="44">
        <f ca="1">ABS(M165-(controls!$B$9/100)*100)</f>
        <v>407.75000000000006</v>
      </c>
      <c r="AI165" s="36"/>
      <c r="AJ165" s="36"/>
    </row>
    <row r="166" spans="1:36">
      <c r="A166" s="43">
        <v>163</v>
      </c>
      <c r="B166" s="62">
        <f ca="1">IF(controls!$B$6=2,AVERAGE(E162:E165)+B165*W166+hystere!$AG$9,AVERAGE(E162:E165)+B165*W166)</f>
        <v>1.1000000000000001</v>
      </c>
      <c r="C166" s="67">
        <f t="shared" ca="1" si="13"/>
        <v>0</v>
      </c>
      <c r="D166" s="88">
        <f t="shared" ca="1" si="14"/>
        <v>-1</v>
      </c>
      <c r="E166" s="64">
        <f t="shared" ca="1" si="15"/>
        <v>0.1</v>
      </c>
      <c r="F166" s="64">
        <f ca="1">IF('main page'!$K$34=1,hystere!H166,hystere!G166)</f>
        <v>-703.50000000000011</v>
      </c>
      <c r="G166" s="78">
        <f ca="1">I166-'main page'!$K$27*hystere!N165</f>
        <v>-703.50000000000011</v>
      </c>
      <c r="H166" s="62">
        <f ca="1">J166-'main page'!$K$27*N165</f>
        <v>-703.50000000000011</v>
      </c>
      <c r="I166" s="62">
        <f t="shared" ca="1" si="16"/>
        <v>108</v>
      </c>
      <c r="J166" s="62">
        <f t="shared" ca="1" si="17"/>
        <v>108</v>
      </c>
      <c r="M166" s="62">
        <f ca="1">IF(ABS('main page'!$K$29*M165+(1-'main page'!$K$29)*(controls!$B$9/100)*100+'main page'!$K$25*(E166-B166)-M165)&lt;0.0000001,M165,'main page'!$K$29*M165+(1-'main page'!$K$29)*(controls!$B$9/100)*100+'main page'!$K$25*(E166-B166))</f>
        <v>-406.75000000000006</v>
      </c>
      <c r="N166" s="62">
        <f ca="1">IF(controls!$B$10=1,N165,O166-'main page'!$K$29*M166-(1-'main page'!$K$29)*controls!$B$9)</f>
        <v>406.75000000000006</v>
      </c>
      <c r="O166" s="61">
        <f t="shared" ca="1" si="12"/>
        <v>0</v>
      </c>
      <c r="P166" s="63">
        <f ca="1">IF(controls!$B$10=1,hystere!N166+hystere!M166,hystere!Q166)</f>
        <v>-455.48750000000007</v>
      </c>
      <c r="Q166" s="61">
        <f ca="1">IF('main page'!$Y$53=1,'choose m.p.'!$I$22*100,R166)</f>
        <v>-455.48750000000007</v>
      </c>
      <c r="R166" s="83">
        <f ca="1">'main page'!$K$29*M166+(1-'main page'!$K$29)*controls!$B$9+S166+(('main page'!$K$25*'main page'!$U$13*'main page'!$K$29)/('main page'!$K$27*(1+('main page'!$K$25^2)*'main page'!$U$13)))*(M166-(controls!$B$9/100)*100)</f>
        <v>-455.48750000000007</v>
      </c>
      <c r="S166" s="81">
        <f ca="1">IF(controls!$B$33=1,(J167-E166*X167-B166)/'main page'!$K$27,(I167-E166*X167-B166)/'main page'!$K$27)</f>
        <v>53.45</v>
      </c>
      <c r="U166" s="58">
        <f>IF(controls!$B$6=1,$AG$4*(1+('main page'!$K$35/100))^V166-$AG$4*(1+('main page'!$K$35/100))^V165,$AG$4*(1+('main page'!$G$8/100))*(1+('main page'!$K$35/100))^V166-$AG$4*(1+('main page'!$G$8/100))*(1+('main page'!$K$35/100))^V165)</f>
        <v>0</v>
      </c>
      <c r="V166" s="60">
        <v>158</v>
      </c>
      <c r="W166" s="36">
        <f>'normal case'!AC165</f>
        <v>0</v>
      </c>
      <c r="X166" s="36">
        <f>'normal case'!AD165</f>
        <v>0</v>
      </c>
      <c r="Y166" s="44">
        <f ca="1">IF(controls!$B$33=1,E166-($J$4-'main page'!$K$27*2)*(1+('main page'!$K$35/100))^A165,E166-$AG$5)</f>
        <v>-99.9</v>
      </c>
      <c r="Z166" s="44">
        <f ca="1">ABS(M166-(controls!$B$9/100)*100)</f>
        <v>408.75000000000006</v>
      </c>
      <c r="AI166" s="36"/>
      <c r="AJ166" s="36"/>
    </row>
    <row r="167" spans="1:36">
      <c r="A167" s="43">
        <v>164</v>
      </c>
      <c r="B167" s="62">
        <f ca="1">IF(controls!$B$6=2,AVERAGE(E163:E166)+B166*W167+hystere!$AG$9,AVERAGE(E163:E166)+B166*W167)</f>
        <v>1.1000000000000001</v>
      </c>
      <c r="C167" s="67">
        <f t="shared" ca="1" si="13"/>
        <v>0</v>
      </c>
      <c r="D167" s="88">
        <f t="shared" ca="1" si="14"/>
        <v>-1</v>
      </c>
      <c r="E167" s="64">
        <f t="shared" ca="1" si="15"/>
        <v>0.1</v>
      </c>
      <c r="F167" s="64">
        <f ca="1">IF('main page'!$K$34=1,hystere!H167,hystere!G167)</f>
        <v>-705.50000000000011</v>
      </c>
      <c r="G167" s="78">
        <f ca="1">I167-'main page'!$K$27*hystere!N166</f>
        <v>-705.50000000000011</v>
      </c>
      <c r="H167" s="62">
        <f ca="1">J167-'main page'!$K$27*N166</f>
        <v>-705.50000000000011</v>
      </c>
      <c r="I167" s="62">
        <f t="shared" ca="1" si="16"/>
        <v>108</v>
      </c>
      <c r="J167" s="62">
        <f t="shared" ca="1" si="17"/>
        <v>108</v>
      </c>
      <c r="M167" s="62">
        <f ca="1">IF(ABS('main page'!$K$29*M166+(1-'main page'!$K$29)*(controls!$B$9/100)*100+'main page'!$K$25*(E167-B167)-M166)&lt;0.0000001,M166,'main page'!$K$29*M166+(1-'main page'!$K$29)*(controls!$B$9/100)*100+'main page'!$K$25*(E167-B167))</f>
        <v>-407.75000000000006</v>
      </c>
      <c r="N167" s="62">
        <f ca="1">IF(controls!$B$10=1,N166,O167-'main page'!$K$29*M167-(1-'main page'!$K$29)*controls!$B$9)</f>
        <v>407.75000000000006</v>
      </c>
      <c r="O167" s="61">
        <f t="shared" ca="1" si="12"/>
        <v>0</v>
      </c>
      <c r="P167" s="63">
        <f ca="1">IF(controls!$B$10=1,hystere!N167+hystere!M167,hystere!Q167)</f>
        <v>-456.73750000000007</v>
      </c>
      <c r="Q167" s="61">
        <f ca="1">IF('main page'!$Y$53=1,'choose m.p.'!$I$22*100,R167)</f>
        <v>-456.73750000000007</v>
      </c>
      <c r="R167" s="83">
        <f ca="1">'main page'!$K$29*M167+(1-'main page'!$K$29)*controls!$B$9+S167+(('main page'!$K$25*'main page'!$U$13*'main page'!$K$29)/('main page'!$K$27*(1+('main page'!$K$25^2)*'main page'!$U$13)))*(M167-(controls!$B$9/100)*100)</f>
        <v>-456.73750000000007</v>
      </c>
      <c r="S167" s="81">
        <f ca="1">IF(controls!$B$33=1,(J168-E167*X168-B167)/'main page'!$K$27,(I168-E167*X168-B167)/'main page'!$K$27)</f>
        <v>53.45</v>
      </c>
      <c r="U167" s="58">
        <f>IF(controls!$B$6=1,$AG$4*(1+('main page'!$K$35/100))^V167-$AG$4*(1+('main page'!$K$35/100))^V166,$AG$4*(1+('main page'!$G$8/100))*(1+('main page'!$K$35/100))^V167-$AG$4*(1+('main page'!$G$8/100))*(1+('main page'!$K$35/100))^V166)</f>
        <v>0</v>
      </c>
      <c r="V167" s="60">
        <v>159</v>
      </c>
      <c r="W167" s="36">
        <f>'normal case'!AC166</f>
        <v>0</v>
      </c>
      <c r="X167" s="36">
        <f>'normal case'!AD166</f>
        <v>0</v>
      </c>
      <c r="Y167" s="44">
        <f ca="1">IF(controls!$B$33=1,E167-($J$4-'main page'!$K$27*2)*(1+('main page'!$K$35/100))^A166,E167-$AG$5)</f>
        <v>-99.9</v>
      </c>
      <c r="Z167" s="44">
        <f ca="1">ABS(M167-(controls!$B$9/100)*100)</f>
        <v>409.75000000000006</v>
      </c>
      <c r="AI167" s="36"/>
      <c r="AJ167" s="36"/>
    </row>
    <row r="168" spans="1:36">
      <c r="A168" s="43">
        <v>165</v>
      </c>
      <c r="B168" s="62">
        <f ca="1">IF(controls!$B$6=2,AVERAGE(E164:E167)+B167*W168+hystere!$AG$9,AVERAGE(E164:E167)+B167*W168)</f>
        <v>1.1000000000000001</v>
      </c>
      <c r="C168" s="67">
        <f t="shared" ca="1" si="13"/>
        <v>0</v>
      </c>
      <c r="D168" s="88">
        <f t="shared" ca="1" si="14"/>
        <v>-1</v>
      </c>
      <c r="E168" s="64">
        <f t="shared" ca="1" si="15"/>
        <v>0.1</v>
      </c>
      <c r="F168" s="64">
        <f ca="1">IF('main page'!$K$34=1,hystere!H168,hystere!G168)</f>
        <v>-707.50000000000011</v>
      </c>
      <c r="G168" s="78">
        <f ca="1">I168-'main page'!$K$27*hystere!N167</f>
        <v>-707.50000000000011</v>
      </c>
      <c r="H168" s="62">
        <f ca="1">J168-'main page'!$K$27*N167</f>
        <v>-707.50000000000011</v>
      </c>
      <c r="I168" s="62">
        <f t="shared" ca="1" si="16"/>
        <v>108</v>
      </c>
      <c r="J168" s="62">
        <f t="shared" ca="1" si="17"/>
        <v>108</v>
      </c>
      <c r="M168" s="62">
        <f ca="1">IF(ABS('main page'!$K$29*M167+(1-'main page'!$K$29)*(controls!$B$9/100)*100+'main page'!$K$25*(E168-B168)-M167)&lt;0.0000001,M167,'main page'!$K$29*M167+(1-'main page'!$K$29)*(controls!$B$9/100)*100+'main page'!$K$25*(E168-B168))</f>
        <v>-408.75000000000006</v>
      </c>
      <c r="N168" s="62">
        <f ca="1">IF(controls!$B$10=1,N167,O168-'main page'!$K$29*M168-(1-'main page'!$K$29)*controls!$B$9)</f>
        <v>408.75000000000006</v>
      </c>
      <c r="O168" s="61">
        <f t="shared" ca="1" si="12"/>
        <v>0</v>
      </c>
      <c r="P168" s="63">
        <f ca="1">IF(controls!$B$10=1,hystere!N168+hystere!M168,hystere!Q168)</f>
        <v>-457.98750000000007</v>
      </c>
      <c r="Q168" s="61">
        <f ca="1">IF('main page'!$Y$53=1,'choose m.p.'!$I$22*100,R168)</f>
        <v>-457.98750000000007</v>
      </c>
      <c r="R168" s="83">
        <f ca="1">'main page'!$K$29*M168+(1-'main page'!$K$29)*controls!$B$9+S168+(('main page'!$K$25*'main page'!$U$13*'main page'!$K$29)/('main page'!$K$27*(1+('main page'!$K$25^2)*'main page'!$U$13)))*(M168-(controls!$B$9/100)*100)</f>
        <v>-457.98750000000007</v>
      </c>
      <c r="S168" s="81">
        <f ca="1">IF(controls!$B$33=1,(J169-E168*X169-B168)/'main page'!$K$27,(I169-E168*X169-B168)/'main page'!$K$27)</f>
        <v>53.45</v>
      </c>
      <c r="U168" s="58">
        <f>IF(controls!$B$6=1,$AG$4*(1+('main page'!$K$35/100))^V168-$AG$4*(1+('main page'!$K$35/100))^V167,$AG$4*(1+('main page'!$G$8/100))*(1+('main page'!$K$35/100))^V168-$AG$4*(1+('main page'!$G$8/100))*(1+('main page'!$K$35/100))^V167)</f>
        <v>0</v>
      </c>
      <c r="V168" s="60">
        <v>160</v>
      </c>
      <c r="W168" s="36">
        <f ca="1">'normal case'!AC167</f>
        <v>0</v>
      </c>
      <c r="X168" s="36">
        <f ca="1">'normal case'!AD167</f>
        <v>0</v>
      </c>
      <c r="Y168" s="44">
        <f ca="1">IF(controls!$B$33=1,E168-($J$4-'main page'!$K$27*2)*(1+('main page'!$K$35/100))^A167,E168-$AG$5)</f>
        <v>-99.9</v>
      </c>
      <c r="Z168" s="44">
        <f ca="1">ABS(M168-(controls!$B$9/100)*100)</f>
        <v>410.75000000000006</v>
      </c>
      <c r="AI168" s="36"/>
      <c r="AJ168" s="36"/>
    </row>
    <row r="169" spans="1:36">
      <c r="A169" s="43">
        <v>166</v>
      </c>
      <c r="B169" s="62">
        <f ca="1">IF(controls!$B$6=2,AVERAGE(E165:E168)+B168*W169+hystere!$AG$9,AVERAGE(E165:E168)+B168*W169)</f>
        <v>1.1000000000000001</v>
      </c>
      <c r="C169" s="67">
        <f t="shared" ca="1" si="13"/>
        <v>0</v>
      </c>
      <c r="D169" s="88">
        <f t="shared" ca="1" si="14"/>
        <v>-1</v>
      </c>
      <c r="E169" s="64">
        <f t="shared" ca="1" si="15"/>
        <v>0.1</v>
      </c>
      <c r="F169" s="64">
        <f ca="1">IF('main page'!$K$34=1,hystere!H169,hystere!G169)</f>
        <v>-709.50000000000011</v>
      </c>
      <c r="G169" s="78">
        <f ca="1">I169-'main page'!$K$27*hystere!N168</f>
        <v>-709.50000000000011</v>
      </c>
      <c r="H169" s="62">
        <f ca="1">J169-'main page'!$K$27*N168</f>
        <v>-709.50000000000011</v>
      </c>
      <c r="I169" s="62">
        <f t="shared" ca="1" si="16"/>
        <v>108</v>
      </c>
      <c r="J169" s="62">
        <f t="shared" ca="1" si="17"/>
        <v>108</v>
      </c>
      <c r="M169" s="62">
        <f ca="1">IF(ABS('main page'!$K$29*M168+(1-'main page'!$K$29)*(controls!$B$9/100)*100+'main page'!$K$25*(E169-B169)-M168)&lt;0.0000001,M168,'main page'!$K$29*M168+(1-'main page'!$K$29)*(controls!$B$9/100)*100+'main page'!$K$25*(E169-B169))</f>
        <v>-409.75000000000006</v>
      </c>
      <c r="N169" s="62">
        <f ca="1">IF(controls!$B$10=1,N168,O169-'main page'!$K$29*M169-(1-'main page'!$K$29)*controls!$B$9)</f>
        <v>409.75000000000006</v>
      </c>
      <c r="O169" s="61">
        <f t="shared" ca="1" si="12"/>
        <v>0</v>
      </c>
      <c r="P169" s="63">
        <f ca="1">IF(controls!$B$10=1,hystere!N169+hystere!M169,hystere!Q169)</f>
        <v>-459.23750000000007</v>
      </c>
      <c r="Q169" s="61">
        <f ca="1">IF('main page'!$Y$53=1,'choose m.p.'!$I$22*100,R169)</f>
        <v>-459.23750000000007</v>
      </c>
      <c r="R169" s="83">
        <f ca="1">'main page'!$K$29*M169+(1-'main page'!$K$29)*controls!$B$9+S169+(('main page'!$K$25*'main page'!$U$13*'main page'!$K$29)/('main page'!$K$27*(1+('main page'!$K$25^2)*'main page'!$U$13)))*(M169-(controls!$B$9/100)*100)</f>
        <v>-459.23750000000007</v>
      </c>
      <c r="S169" s="81">
        <f ca="1">IF(controls!$B$33=1,(J170-E169*X170-B169)/'main page'!$K$27,(I170-E169*X170-B169)/'main page'!$K$27)</f>
        <v>53.45</v>
      </c>
      <c r="U169" s="58">
        <f>IF(controls!$B$6=1,$AG$4*(1+('main page'!$K$35/100))^V169-$AG$4*(1+('main page'!$K$35/100))^V168,$AG$4*(1+('main page'!$G$8/100))*(1+('main page'!$K$35/100))^V169-$AG$4*(1+('main page'!$G$8/100))*(1+('main page'!$K$35/100))^V168)</f>
        <v>0</v>
      </c>
      <c r="V169" s="60">
        <v>161</v>
      </c>
      <c r="W169" s="36">
        <f>'normal case'!AC168</f>
        <v>0</v>
      </c>
      <c r="X169" s="36">
        <f>'normal case'!AD168</f>
        <v>0</v>
      </c>
      <c r="Y169" s="44">
        <f ca="1">IF(controls!$B$33=1,E169-($J$4-'main page'!$K$27*2)*(1+('main page'!$K$35/100))^A168,E169-$AG$5)</f>
        <v>-99.9</v>
      </c>
      <c r="Z169" s="44">
        <f ca="1">ABS(M169-(controls!$B$9/100)*100)</f>
        <v>411.75000000000006</v>
      </c>
      <c r="AI169" s="36"/>
      <c r="AJ169" s="36"/>
    </row>
    <row r="170" spans="1:36">
      <c r="A170" s="43">
        <v>167</v>
      </c>
      <c r="B170" s="62">
        <f ca="1">IF(controls!$B$6=2,AVERAGE(E166:E169)+B169*W170+hystere!$AG$9,AVERAGE(E166:E169)+B169*W170)</f>
        <v>1.1000000000000001</v>
      </c>
      <c r="C170" s="67">
        <f t="shared" ca="1" si="13"/>
        <v>0</v>
      </c>
      <c r="D170" s="88">
        <f t="shared" ca="1" si="14"/>
        <v>-1</v>
      </c>
      <c r="E170" s="64">
        <f t="shared" ca="1" si="15"/>
        <v>0.1</v>
      </c>
      <c r="F170" s="64">
        <f ca="1">IF('main page'!$K$34=1,hystere!H170,hystere!G170)</f>
        <v>-711.50000000000011</v>
      </c>
      <c r="G170" s="78">
        <f ca="1">I170-'main page'!$K$27*hystere!N169</f>
        <v>-711.50000000000011</v>
      </c>
      <c r="H170" s="62">
        <f ca="1">J170-'main page'!$K$27*N169</f>
        <v>-711.50000000000011</v>
      </c>
      <c r="I170" s="62">
        <f t="shared" ca="1" si="16"/>
        <v>108</v>
      </c>
      <c r="J170" s="62">
        <f t="shared" ca="1" si="17"/>
        <v>108</v>
      </c>
      <c r="M170" s="62">
        <f ca="1">IF(ABS('main page'!$K$29*M169+(1-'main page'!$K$29)*(controls!$B$9/100)*100+'main page'!$K$25*(E170-B170)-M169)&lt;0.0000001,M169,'main page'!$K$29*M169+(1-'main page'!$K$29)*(controls!$B$9/100)*100+'main page'!$K$25*(E170-B170))</f>
        <v>-410.75000000000006</v>
      </c>
      <c r="N170" s="62">
        <f ca="1">IF(controls!$B$10=1,N169,O170-'main page'!$K$29*M170-(1-'main page'!$K$29)*controls!$B$9)</f>
        <v>410.75000000000006</v>
      </c>
      <c r="O170" s="61">
        <f t="shared" ca="1" si="12"/>
        <v>0</v>
      </c>
      <c r="P170" s="63">
        <f ca="1">IF(controls!$B$10=1,hystere!N170+hystere!M170,hystere!Q170)</f>
        <v>-460.48750000000007</v>
      </c>
      <c r="Q170" s="61">
        <f ca="1">IF('main page'!$Y$53=1,'choose m.p.'!$I$22*100,R170)</f>
        <v>-460.48750000000007</v>
      </c>
      <c r="R170" s="83">
        <f ca="1">'main page'!$K$29*M170+(1-'main page'!$K$29)*controls!$B$9+S170+(('main page'!$K$25*'main page'!$U$13*'main page'!$K$29)/('main page'!$K$27*(1+('main page'!$K$25^2)*'main page'!$U$13)))*(M170-(controls!$B$9/100)*100)</f>
        <v>-460.48750000000007</v>
      </c>
      <c r="S170" s="81">
        <f ca="1">IF(controls!$B$33=1,(J171-E170*X171-B170)/'main page'!$K$27,(I171-E170*X171-B170)/'main page'!$K$27)</f>
        <v>53.45</v>
      </c>
      <c r="U170" s="58">
        <f>IF(controls!$B$6=1,$AG$4*(1+('main page'!$K$35/100))^V170-$AG$4*(1+('main page'!$K$35/100))^V169,$AG$4*(1+('main page'!$G$8/100))*(1+('main page'!$K$35/100))^V170-$AG$4*(1+('main page'!$G$8/100))*(1+('main page'!$K$35/100))^V169)</f>
        <v>0</v>
      </c>
      <c r="V170" s="60">
        <v>162</v>
      </c>
      <c r="W170" s="36">
        <f>'normal case'!AC169</f>
        <v>0</v>
      </c>
      <c r="X170" s="36">
        <f>'normal case'!AD169</f>
        <v>0</v>
      </c>
      <c r="Y170" s="44">
        <f ca="1">IF(controls!$B$33=1,E170-($J$4-'main page'!$K$27*2)*(1+('main page'!$K$35/100))^A169,E170-$AG$5)</f>
        <v>-99.9</v>
      </c>
      <c r="Z170" s="44">
        <f ca="1">ABS(M170-(controls!$B$9/100)*100)</f>
        <v>412.75000000000006</v>
      </c>
      <c r="AI170" s="36"/>
      <c r="AJ170" s="36"/>
    </row>
    <row r="171" spans="1:36">
      <c r="A171" s="43">
        <v>168</v>
      </c>
      <c r="B171" s="62">
        <f ca="1">IF(controls!$B$6=2,AVERAGE(E167:E170)+B170*W171+hystere!$AG$9,AVERAGE(E167:E170)+B170*W171)</f>
        <v>1.1000000000000001</v>
      </c>
      <c r="C171" s="67">
        <f t="shared" ca="1" si="13"/>
        <v>0</v>
      </c>
      <c r="D171" s="88">
        <f t="shared" ca="1" si="14"/>
        <v>-1</v>
      </c>
      <c r="E171" s="64">
        <f t="shared" ca="1" si="15"/>
        <v>0.1</v>
      </c>
      <c r="F171" s="64">
        <f ca="1">IF('main page'!$K$34=1,hystere!H171,hystere!G171)</f>
        <v>-713.50000000000011</v>
      </c>
      <c r="G171" s="78">
        <f ca="1">I171-'main page'!$K$27*hystere!N170</f>
        <v>-713.50000000000011</v>
      </c>
      <c r="H171" s="62">
        <f ca="1">J171-'main page'!$K$27*N170</f>
        <v>-713.50000000000011</v>
      </c>
      <c r="I171" s="62">
        <f t="shared" ca="1" si="16"/>
        <v>108</v>
      </c>
      <c r="J171" s="62">
        <f t="shared" ca="1" si="17"/>
        <v>108</v>
      </c>
      <c r="M171" s="62">
        <f ca="1">IF(ABS('main page'!$K$29*M170+(1-'main page'!$K$29)*(controls!$B$9/100)*100+'main page'!$K$25*(E171-B171)-M170)&lt;0.0000001,M170,'main page'!$K$29*M170+(1-'main page'!$K$29)*(controls!$B$9/100)*100+'main page'!$K$25*(E171-B171))</f>
        <v>-411.75000000000006</v>
      </c>
      <c r="N171" s="62">
        <f ca="1">IF(controls!$B$10=1,N170,O171-'main page'!$K$29*M171-(1-'main page'!$K$29)*controls!$B$9)</f>
        <v>411.75000000000006</v>
      </c>
      <c r="O171" s="61">
        <f t="shared" ca="1" si="12"/>
        <v>0</v>
      </c>
      <c r="P171" s="63">
        <f ca="1">IF(controls!$B$10=1,hystere!N171+hystere!M171,hystere!Q171)</f>
        <v>-461.73750000000007</v>
      </c>
      <c r="Q171" s="61">
        <f ca="1">IF('main page'!$Y$53=1,'choose m.p.'!$I$22*100,R171)</f>
        <v>-461.73750000000007</v>
      </c>
      <c r="R171" s="83">
        <f ca="1">'main page'!$K$29*M171+(1-'main page'!$K$29)*controls!$B$9+S171+(('main page'!$K$25*'main page'!$U$13*'main page'!$K$29)/('main page'!$K$27*(1+('main page'!$K$25^2)*'main page'!$U$13)))*(M171-(controls!$B$9/100)*100)</f>
        <v>-461.73750000000007</v>
      </c>
      <c r="S171" s="81">
        <f ca="1">IF(controls!$B$33=1,(J172-E171*X172-B171)/'main page'!$K$27,(I172-E171*X172-B171)/'main page'!$K$27)</f>
        <v>53.45</v>
      </c>
      <c r="U171" s="58">
        <f>IF(controls!$B$6=1,$AG$4*(1+('main page'!$K$35/100))^V171-$AG$4*(1+('main page'!$K$35/100))^V170,$AG$4*(1+('main page'!$G$8/100))*(1+('main page'!$K$35/100))^V171-$AG$4*(1+('main page'!$G$8/100))*(1+('main page'!$K$35/100))^V170)</f>
        <v>0</v>
      </c>
      <c r="V171" s="60">
        <v>163</v>
      </c>
      <c r="W171" s="36">
        <f ca="1">'normal case'!AC170</f>
        <v>0</v>
      </c>
      <c r="X171" s="36">
        <f ca="1">'normal case'!AD170</f>
        <v>0</v>
      </c>
      <c r="Y171" s="44">
        <f ca="1">IF(controls!$B$33=1,E171-($J$4-'main page'!$K$27*2)*(1+('main page'!$K$35/100))^A170,E171-$AG$5)</f>
        <v>-99.9</v>
      </c>
      <c r="Z171" s="44">
        <f ca="1">ABS(M171-(controls!$B$9/100)*100)</f>
        <v>413.75000000000006</v>
      </c>
      <c r="AI171" s="36"/>
      <c r="AJ171" s="36"/>
    </row>
    <row r="172" spans="1:36">
      <c r="A172" s="43">
        <v>169</v>
      </c>
      <c r="B172" s="62">
        <f ca="1">IF(controls!$B$6=2,AVERAGE(E168:E171)+B171*W172+hystere!$AG$9,AVERAGE(E168:E171)+B171*W172)</f>
        <v>1.1000000000000001</v>
      </c>
      <c r="C172" s="67">
        <f t="shared" ca="1" si="13"/>
        <v>0</v>
      </c>
      <c r="D172" s="88">
        <f t="shared" ca="1" si="14"/>
        <v>-1</v>
      </c>
      <c r="E172" s="64">
        <f t="shared" ca="1" si="15"/>
        <v>0.1</v>
      </c>
      <c r="F172" s="64">
        <f ca="1">IF('main page'!$K$34=1,hystere!H172,hystere!G172)</f>
        <v>-715.50000000000011</v>
      </c>
      <c r="G172" s="78">
        <f ca="1">I172-'main page'!$K$27*hystere!N171</f>
        <v>-715.50000000000011</v>
      </c>
      <c r="H172" s="62">
        <f ca="1">J172-'main page'!$K$27*N171</f>
        <v>-715.50000000000011</v>
      </c>
      <c r="I172" s="62">
        <f t="shared" ca="1" si="16"/>
        <v>108</v>
      </c>
      <c r="J172" s="62">
        <f t="shared" ca="1" si="17"/>
        <v>108</v>
      </c>
      <c r="M172" s="62">
        <f ca="1">IF(ABS('main page'!$K$29*M171+(1-'main page'!$K$29)*(controls!$B$9/100)*100+'main page'!$K$25*(E172-B172)-M171)&lt;0.0000001,M171,'main page'!$K$29*M171+(1-'main page'!$K$29)*(controls!$B$9/100)*100+'main page'!$K$25*(E172-B172))</f>
        <v>-412.75000000000006</v>
      </c>
      <c r="N172" s="62">
        <f ca="1">IF(controls!$B$10=1,N171,O172-'main page'!$K$29*M172-(1-'main page'!$K$29)*controls!$B$9)</f>
        <v>412.75000000000006</v>
      </c>
      <c r="O172" s="61">
        <f t="shared" ca="1" si="12"/>
        <v>0</v>
      </c>
      <c r="P172" s="63">
        <f ca="1">IF(controls!$B$10=1,hystere!N172+hystere!M172,hystere!Q172)</f>
        <v>-462.98750000000007</v>
      </c>
      <c r="Q172" s="61">
        <f ca="1">IF('main page'!$Y$53=1,'choose m.p.'!$I$22*100,R172)</f>
        <v>-462.98750000000007</v>
      </c>
      <c r="R172" s="83">
        <f ca="1">'main page'!$K$29*M172+(1-'main page'!$K$29)*controls!$B$9+S172+(('main page'!$K$25*'main page'!$U$13*'main page'!$K$29)/('main page'!$K$27*(1+('main page'!$K$25^2)*'main page'!$U$13)))*(M172-(controls!$B$9/100)*100)</f>
        <v>-462.98750000000007</v>
      </c>
      <c r="S172" s="81">
        <f ca="1">IF(controls!$B$33=1,(J173-E172*X173-B172)/'main page'!$K$27,(I173-E172*X173-B172)/'main page'!$K$27)</f>
        <v>53.45</v>
      </c>
      <c r="U172" s="58">
        <f>IF(controls!$B$6=1,$AG$4*(1+('main page'!$K$35/100))^V172-$AG$4*(1+('main page'!$K$35/100))^V171,$AG$4*(1+('main page'!$G$8/100))*(1+('main page'!$K$35/100))^V172-$AG$4*(1+('main page'!$G$8/100))*(1+('main page'!$K$35/100))^V171)</f>
        <v>0</v>
      </c>
      <c r="V172" s="60">
        <v>164</v>
      </c>
      <c r="W172" s="36">
        <f>'normal case'!AC171</f>
        <v>0</v>
      </c>
      <c r="X172" s="36">
        <f>'normal case'!AD171</f>
        <v>0</v>
      </c>
      <c r="Y172" s="44">
        <f ca="1">IF(controls!$B$33=1,E172-($J$4-'main page'!$K$27*2)*(1+('main page'!$K$35/100))^A171,E172-$AG$5)</f>
        <v>-99.9</v>
      </c>
      <c r="Z172" s="44">
        <f ca="1">ABS(M172-(controls!$B$9/100)*100)</f>
        <v>414.75000000000006</v>
      </c>
      <c r="AI172" s="36"/>
      <c r="AJ172" s="36"/>
    </row>
    <row r="173" spans="1:36">
      <c r="A173" s="43">
        <v>170</v>
      </c>
      <c r="B173" s="62">
        <f ca="1">IF(controls!$B$6=2,AVERAGE(E169:E172)+B172*W173+hystere!$AG$9,AVERAGE(E169:E172)+B172*W173)</f>
        <v>1.1000000000000001</v>
      </c>
      <c r="C173" s="67">
        <f t="shared" ca="1" si="13"/>
        <v>0</v>
      </c>
      <c r="D173" s="88">
        <f t="shared" ca="1" si="14"/>
        <v>-1</v>
      </c>
      <c r="E173" s="64">
        <f t="shared" ca="1" si="15"/>
        <v>0.1</v>
      </c>
      <c r="F173" s="64">
        <f ca="1">IF('main page'!$K$34=1,hystere!H173,hystere!G173)</f>
        <v>-717.50000000000011</v>
      </c>
      <c r="G173" s="78">
        <f ca="1">I173-'main page'!$K$27*hystere!N172</f>
        <v>-717.50000000000011</v>
      </c>
      <c r="H173" s="62">
        <f ca="1">J173-'main page'!$K$27*N172</f>
        <v>-717.50000000000011</v>
      </c>
      <c r="I173" s="62">
        <f t="shared" ca="1" si="16"/>
        <v>108</v>
      </c>
      <c r="J173" s="62">
        <f t="shared" ca="1" si="17"/>
        <v>108</v>
      </c>
      <c r="M173" s="62">
        <f ca="1">IF(ABS('main page'!$K$29*M172+(1-'main page'!$K$29)*(controls!$B$9/100)*100+'main page'!$K$25*(E173-B173)-M172)&lt;0.0000001,M172,'main page'!$K$29*M172+(1-'main page'!$K$29)*(controls!$B$9/100)*100+'main page'!$K$25*(E173-B173))</f>
        <v>-413.75000000000006</v>
      </c>
      <c r="N173" s="62">
        <f ca="1">IF(controls!$B$10=1,N172,O173-'main page'!$K$29*M173-(1-'main page'!$K$29)*controls!$B$9)</f>
        <v>413.75000000000006</v>
      </c>
      <c r="O173" s="61">
        <f t="shared" ca="1" si="12"/>
        <v>0</v>
      </c>
      <c r="P173" s="63">
        <f ca="1">IF(controls!$B$10=1,hystere!N173+hystere!M173,hystere!Q173)</f>
        <v>-464.23750000000007</v>
      </c>
      <c r="Q173" s="61">
        <f ca="1">IF('main page'!$Y$53=1,'choose m.p.'!$I$22*100,R173)</f>
        <v>-464.23750000000007</v>
      </c>
      <c r="R173" s="83">
        <f ca="1">'main page'!$K$29*M173+(1-'main page'!$K$29)*controls!$B$9+S173+(('main page'!$K$25*'main page'!$U$13*'main page'!$K$29)/('main page'!$K$27*(1+('main page'!$K$25^2)*'main page'!$U$13)))*(M173-(controls!$B$9/100)*100)</f>
        <v>-464.23750000000007</v>
      </c>
      <c r="S173" s="81">
        <f ca="1">IF(controls!$B$33=1,(J174-E173*X174-B173)/'main page'!$K$27,(I174-E173*X174-B173)/'main page'!$K$27)</f>
        <v>53.45</v>
      </c>
      <c r="U173" s="58">
        <f>IF(controls!$B$6=1,$AG$4*(1+('main page'!$K$35/100))^V173-$AG$4*(1+('main page'!$K$35/100))^V172,$AG$4*(1+('main page'!$G$8/100))*(1+('main page'!$K$35/100))^V173-$AG$4*(1+('main page'!$G$8/100))*(1+('main page'!$K$35/100))^V172)</f>
        <v>0</v>
      </c>
      <c r="V173" s="60">
        <v>165</v>
      </c>
      <c r="W173" s="36">
        <f>'normal case'!AC172</f>
        <v>0</v>
      </c>
      <c r="X173" s="36">
        <f>'normal case'!AD172</f>
        <v>0</v>
      </c>
      <c r="Y173" s="44">
        <f ca="1">IF(controls!$B$33=1,E173-($J$4-'main page'!$K$27*2)*(1+('main page'!$K$35/100))^A172,E173-$AG$5)</f>
        <v>-99.9</v>
      </c>
      <c r="Z173" s="44">
        <f ca="1">ABS(M173-(controls!$B$9/100)*100)</f>
        <v>415.75000000000006</v>
      </c>
      <c r="AI173" s="36"/>
      <c r="AJ173" s="36"/>
    </row>
    <row r="174" spans="1:36">
      <c r="A174" s="43">
        <v>171</v>
      </c>
      <c r="B174" s="62">
        <f ca="1">IF(controls!$B$6=2,AVERAGE(E170:E173)+B173*W174+hystere!$AG$9,AVERAGE(E170:E173)+B173*W174)</f>
        <v>1.1000000000000001</v>
      </c>
      <c r="C174" s="67">
        <f t="shared" ca="1" si="13"/>
        <v>0</v>
      </c>
      <c r="D174" s="88">
        <f t="shared" ca="1" si="14"/>
        <v>-1</v>
      </c>
      <c r="E174" s="64">
        <f t="shared" ca="1" si="15"/>
        <v>0.1</v>
      </c>
      <c r="F174" s="64">
        <f ca="1">IF('main page'!$K$34=1,hystere!H174,hystere!G174)</f>
        <v>-719.50000000000011</v>
      </c>
      <c r="G174" s="78">
        <f ca="1">I174-'main page'!$K$27*hystere!N173</f>
        <v>-719.50000000000011</v>
      </c>
      <c r="H174" s="62">
        <f ca="1">J174-'main page'!$K$27*N173</f>
        <v>-719.50000000000011</v>
      </c>
      <c r="I174" s="62">
        <f t="shared" ca="1" si="16"/>
        <v>108</v>
      </c>
      <c r="J174" s="62">
        <f t="shared" ca="1" si="17"/>
        <v>108</v>
      </c>
      <c r="M174" s="62">
        <f ca="1">IF(ABS('main page'!$K$29*M173+(1-'main page'!$K$29)*(controls!$B$9/100)*100+'main page'!$K$25*(E174-B174)-M173)&lt;0.0000001,M173,'main page'!$K$29*M173+(1-'main page'!$K$29)*(controls!$B$9/100)*100+'main page'!$K$25*(E174-B174))</f>
        <v>-414.75000000000006</v>
      </c>
      <c r="N174" s="62">
        <f ca="1">IF(controls!$B$10=1,N173,O174-'main page'!$K$29*M174-(1-'main page'!$K$29)*controls!$B$9)</f>
        <v>414.75000000000006</v>
      </c>
      <c r="O174" s="61">
        <f t="shared" ca="1" si="12"/>
        <v>0</v>
      </c>
      <c r="P174" s="63">
        <f ca="1">IF(controls!$B$10=1,hystere!N174+hystere!M174,hystere!Q174)</f>
        <v>-465.48750000000007</v>
      </c>
      <c r="Q174" s="61">
        <f ca="1">IF('main page'!$Y$53=1,'choose m.p.'!$I$22*100,R174)</f>
        <v>-465.48750000000007</v>
      </c>
      <c r="R174" s="83">
        <f ca="1">'main page'!$K$29*M174+(1-'main page'!$K$29)*controls!$B$9+S174+(('main page'!$K$25*'main page'!$U$13*'main page'!$K$29)/('main page'!$K$27*(1+('main page'!$K$25^2)*'main page'!$U$13)))*(M174-(controls!$B$9/100)*100)</f>
        <v>-465.48750000000007</v>
      </c>
      <c r="S174" s="81">
        <f ca="1">IF(controls!$B$33=1,(J175-E174*X175-B174)/'main page'!$K$27,(I175-E174*X175-B174)/'main page'!$K$27)</f>
        <v>53.45</v>
      </c>
      <c r="U174" s="58">
        <f>IF(controls!$B$6=1,$AG$4*(1+('main page'!$K$35/100))^V174-$AG$4*(1+('main page'!$K$35/100))^V173,$AG$4*(1+('main page'!$G$8/100))*(1+('main page'!$K$35/100))^V174-$AG$4*(1+('main page'!$G$8/100))*(1+('main page'!$K$35/100))^V173)</f>
        <v>0</v>
      </c>
      <c r="V174" s="60">
        <v>166</v>
      </c>
      <c r="W174" s="36">
        <f ca="1">'normal case'!AC173</f>
        <v>0</v>
      </c>
      <c r="X174" s="36">
        <f ca="1">'normal case'!AD173</f>
        <v>0</v>
      </c>
      <c r="Y174" s="44">
        <f ca="1">IF(controls!$B$33=1,E174-($J$4-'main page'!$K$27*2)*(1+('main page'!$K$35/100))^A173,E174-$AG$5)</f>
        <v>-99.9</v>
      </c>
      <c r="Z174" s="44">
        <f ca="1">ABS(M174-(controls!$B$9/100)*100)</f>
        <v>416.75000000000006</v>
      </c>
      <c r="AI174" s="36"/>
      <c r="AJ174" s="36"/>
    </row>
    <row r="175" spans="1:36">
      <c r="A175" s="43">
        <v>172</v>
      </c>
      <c r="B175" s="62">
        <f ca="1">IF(controls!$B$6=2,AVERAGE(E171:E174)+B174*W175+hystere!$AG$9,AVERAGE(E171:E174)+B174*W175)</f>
        <v>1.1000000000000001</v>
      </c>
      <c r="C175" s="67">
        <f t="shared" ca="1" si="13"/>
        <v>0</v>
      </c>
      <c r="D175" s="88">
        <f t="shared" ca="1" si="14"/>
        <v>-1</v>
      </c>
      <c r="E175" s="64">
        <f t="shared" ca="1" si="15"/>
        <v>0.1</v>
      </c>
      <c r="F175" s="64">
        <f ca="1">IF('main page'!$K$34=1,hystere!H175,hystere!G175)</f>
        <v>-721.50000000000011</v>
      </c>
      <c r="G175" s="78">
        <f ca="1">I175-'main page'!$K$27*hystere!N174</f>
        <v>-721.50000000000011</v>
      </c>
      <c r="H175" s="62">
        <f ca="1">J175-'main page'!$K$27*N174</f>
        <v>-721.50000000000011</v>
      </c>
      <c r="I175" s="62">
        <f t="shared" ca="1" si="16"/>
        <v>108</v>
      </c>
      <c r="J175" s="62">
        <f t="shared" ca="1" si="17"/>
        <v>108</v>
      </c>
      <c r="M175" s="62">
        <f ca="1">IF(ABS('main page'!$K$29*M174+(1-'main page'!$K$29)*(controls!$B$9/100)*100+'main page'!$K$25*(E175-B175)-M174)&lt;0.0000001,M174,'main page'!$K$29*M174+(1-'main page'!$K$29)*(controls!$B$9/100)*100+'main page'!$K$25*(E175-B175))</f>
        <v>-415.75000000000006</v>
      </c>
      <c r="N175" s="62">
        <f ca="1">IF(controls!$B$10=1,N174,O175-'main page'!$K$29*M175-(1-'main page'!$K$29)*controls!$B$9)</f>
        <v>415.75000000000006</v>
      </c>
      <c r="O175" s="61">
        <f t="shared" ca="1" si="12"/>
        <v>0</v>
      </c>
      <c r="P175" s="63">
        <f ca="1">IF(controls!$B$10=1,hystere!N175+hystere!M175,hystere!Q175)</f>
        <v>-466.73750000000007</v>
      </c>
      <c r="Q175" s="61">
        <f ca="1">IF('main page'!$Y$53=1,'choose m.p.'!$I$22*100,R175)</f>
        <v>-466.73750000000007</v>
      </c>
      <c r="R175" s="83">
        <f ca="1">'main page'!$K$29*M175+(1-'main page'!$K$29)*controls!$B$9+S175+(('main page'!$K$25*'main page'!$U$13*'main page'!$K$29)/('main page'!$K$27*(1+('main page'!$K$25^2)*'main page'!$U$13)))*(M175-(controls!$B$9/100)*100)</f>
        <v>-466.73750000000007</v>
      </c>
      <c r="S175" s="81">
        <f ca="1">IF(controls!$B$33=1,(J176-E175*X176-B175)/'main page'!$K$27,(I176-E175*X176-B175)/'main page'!$K$27)</f>
        <v>53.45</v>
      </c>
      <c r="U175" s="58">
        <f>IF(controls!$B$6=1,$AG$4*(1+('main page'!$K$35/100))^V175-$AG$4*(1+('main page'!$K$35/100))^V174,$AG$4*(1+('main page'!$G$8/100))*(1+('main page'!$K$35/100))^V175-$AG$4*(1+('main page'!$G$8/100))*(1+('main page'!$K$35/100))^V174)</f>
        <v>0</v>
      </c>
      <c r="V175" s="60">
        <v>167</v>
      </c>
      <c r="W175" s="36">
        <f>'normal case'!AC174</f>
        <v>0</v>
      </c>
      <c r="X175" s="36">
        <f>'normal case'!AD174</f>
        <v>0</v>
      </c>
      <c r="Y175" s="44">
        <f ca="1">IF(controls!$B$33=1,E175-($J$4-'main page'!$K$27*2)*(1+('main page'!$K$35/100))^A174,E175-$AG$5)</f>
        <v>-99.9</v>
      </c>
      <c r="Z175" s="44">
        <f ca="1">ABS(M175-(controls!$B$9/100)*100)</f>
        <v>417.75000000000006</v>
      </c>
      <c r="AI175" s="36"/>
      <c r="AJ175" s="36"/>
    </row>
    <row r="176" spans="1:36">
      <c r="A176" s="43">
        <v>173</v>
      </c>
      <c r="B176" s="62">
        <f ca="1">IF(controls!$B$6=2,AVERAGE(E172:E175)+B175*W176+hystere!$AG$9,AVERAGE(E172:E175)+B175*W176)</f>
        <v>1.1000000000000001</v>
      </c>
      <c r="C176" s="67">
        <f t="shared" ca="1" si="13"/>
        <v>0</v>
      </c>
      <c r="D176" s="88">
        <f t="shared" ca="1" si="14"/>
        <v>-1</v>
      </c>
      <c r="E176" s="64">
        <f t="shared" ca="1" si="15"/>
        <v>0.1</v>
      </c>
      <c r="F176" s="64">
        <f ca="1">IF('main page'!$K$34=1,hystere!H176,hystere!G176)</f>
        <v>-723.50000000000011</v>
      </c>
      <c r="G176" s="78">
        <f ca="1">I176-'main page'!$K$27*hystere!N175</f>
        <v>-723.50000000000011</v>
      </c>
      <c r="H176" s="62">
        <f ca="1">J176-'main page'!$K$27*N175</f>
        <v>-723.50000000000011</v>
      </c>
      <c r="I176" s="62">
        <f t="shared" ca="1" si="16"/>
        <v>108</v>
      </c>
      <c r="J176" s="62">
        <f t="shared" ca="1" si="17"/>
        <v>108</v>
      </c>
      <c r="M176" s="62">
        <f ca="1">IF(ABS('main page'!$K$29*M175+(1-'main page'!$K$29)*(controls!$B$9/100)*100+'main page'!$K$25*(E176-B176)-M175)&lt;0.0000001,M175,'main page'!$K$29*M175+(1-'main page'!$K$29)*(controls!$B$9/100)*100+'main page'!$K$25*(E176-B176))</f>
        <v>-416.75000000000006</v>
      </c>
      <c r="N176" s="62">
        <f ca="1">IF(controls!$B$10=1,N175,O176-'main page'!$K$29*M176-(1-'main page'!$K$29)*controls!$B$9)</f>
        <v>416.75000000000006</v>
      </c>
      <c r="O176" s="61">
        <f t="shared" ca="1" si="12"/>
        <v>0</v>
      </c>
      <c r="P176" s="63">
        <f ca="1">IF(controls!$B$10=1,hystere!N176+hystere!M176,hystere!Q176)</f>
        <v>-467.98750000000007</v>
      </c>
      <c r="Q176" s="61">
        <f ca="1">IF('main page'!$Y$53=1,'choose m.p.'!$I$22*100,R176)</f>
        <v>-467.98750000000007</v>
      </c>
      <c r="R176" s="83">
        <f ca="1">'main page'!$K$29*M176+(1-'main page'!$K$29)*controls!$B$9+S176+(('main page'!$K$25*'main page'!$U$13*'main page'!$K$29)/('main page'!$K$27*(1+('main page'!$K$25^2)*'main page'!$U$13)))*(M176-(controls!$B$9/100)*100)</f>
        <v>-467.98750000000007</v>
      </c>
      <c r="S176" s="81">
        <f ca="1">IF(controls!$B$33=1,(J177-E176*X177-B176)/'main page'!$K$27,(I177-E176*X177-B176)/'main page'!$K$27)</f>
        <v>53.45</v>
      </c>
      <c r="U176" s="58">
        <f>IF(controls!$B$6=1,$AG$4*(1+('main page'!$K$35/100))^V176-$AG$4*(1+('main page'!$K$35/100))^V175,$AG$4*(1+('main page'!$G$8/100))*(1+('main page'!$K$35/100))^V176-$AG$4*(1+('main page'!$G$8/100))*(1+('main page'!$K$35/100))^V175)</f>
        <v>0</v>
      </c>
      <c r="V176" s="60">
        <v>168</v>
      </c>
      <c r="W176" s="36">
        <f>'normal case'!AC175</f>
        <v>0</v>
      </c>
      <c r="X176" s="36">
        <f>'normal case'!AD175</f>
        <v>0</v>
      </c>
      <c r="Y176" s="44">
        <f ca="1">IF(controls!$B$33=1,E176-($J$4-'main page'!$K$27*2)*(1+('main page'!$K$35/100))^A175,E176-$AG$5)</f>
        <v>-99.9</v>
      </c>
      <c r="Z176" s="44">
        <f ca="1">ABS(M176-(controls!$B$9/100)*100)</f>
        <v>418.75000000000006</v>
      </c>
      <c r="AI176" s="36"/>
      <c r="AJ176" s="36"/>
    </row>
    <row r="177" spans="1:36">
      <c r="A177" s="43">
        <v>174</v>
      </c>
      <c r="B177" s="62">
        <f ca="1">IF(controls!$B$6=2,AVERAGE(E173:E176)+B176*W177+hystere!$AG$9,AVERAGE(E173:E176)+B176*W177)</f>
        <v>1.1000000000000001</v>
      </c>
      <c r="C177" s="67">
        <f t="shared" ca="1" si="13"/>
        <v>0</v>
      </c>
      <c r="D177" s="88">
        <f t="shared" ca="1" si="14"/>
        <v>-1</v>
      </c>
      <c r="E177" s="64">
        <f t="shared" ca="1" si="15"/>
        <v>0.1</v>
      </c>
      <c r="F177" s="64">
        <f ca="1">IF('main page'!$K$34=1,hystere!H177,hystere!G177)</f>
        <v>-725.50000000000011</v>
      </c>
      <c r="G177" s="78">
        <f ca="1">I177-'main page'!$K$27*hystere!N176</f>
        <v>-725.50000000000011</v>
      </c>
      <c r="H177" s="62">
        <f ca="1">J177-'main page'!$K$27*N176</f>
        <v>-725.50000000000011</v>
      </c>
      <c r="I177" s="62">
        <f t="shared" ca="1" si="16"/>
        <v>108</v>
      </c>
      <c r="J177" s="62">
        <f t="shared" ca="1" si="17"/>
        <v>108</v>
      </c>
      <c r="M177" s="62">
        <f ca="1">IF(ABS('main page'!$K$29*M176+(1-'main page'!$K$29)*(controls!$B$9/100)*100+'main page'!$K$25*(E177-B177)-M176)&lt;0.0000001,M176,'main page'!$K$29*M176+(1-'main page'!$K$29)*(controls!$B$9/100)*100+'main page'!$K$25*(E177-B177))</f>
        <v>-417.75000000000006</v>
      </c>
      <c r="N177" s="62">
        <f ca="1">IF(controls!$B$10=1,N176,O177-'main page'!$K$29*M177-(1-'main page'!$K$29)*controls!$B$9)</f>
        <v>417.75000000000006</v>
      </c>
      <c r="O177" s="61">
        <f t="shared" ca="1" si="12"/>
        <v>0</v>
      </c>
      <c r="P177" s="63">
        <f ca="1">IF(controls!$B$10=1,hystere!N177+hystere!M177,hystere!Q177)</f>
        <v>-469.23750000000007</v>
      </c>
      <c r="Q177" s="61">
        <f ca="1">IF('main page'!$Y$53=1,'choose m.p.'!$I$22*100,R177)</f>
        <v>-469.23750000000007</v>
      </c>
      <c r="R177" s="83">
        <f ca="1">'main page'!$K$29*M177+(1-'main page'!$K$29)*controls!$B$9+S177+(('main page'!$K$25*'main page'!$U$13*'main page'!$K$29)/('main page'!$K$27*(1+('main page'!$K$25^2)*'main page'!$U$13)))*(M177-(controls!$B$9/100)*100)</f>
        <v>-469.23750000000007</v>
      </c>
      <c r="S177" s="81">
        <f ca="1">IF(controls!$B$33=1,(J178-E177*X178-B177)/'main page'!$K$27,(I178-E177*X178-B177)/'main page'!$K$27)</f>
        <v>53.45</v>
      </c>
      <c r="U177" s="58">
        <f>IF(controls!$B$6=1,$AG$4*(1+('main page'!$K$35/100))^V177-$AG$4*(1+('main page'!$K$35/100))^V176,$AG$4*(1+('main page'!$G$8/100))*(1+('main page'!$K$35/100))^V177-$AG$4*(1+('main page'!$G$8/100))*(1+('main page'!$K$35/100))^V176)</f>
        <v>0</v>
      </c>
      <c r="V177" s="60">
        <v>169</v>
      </c>
      <c r="W177" s="36">
        <f ca="1">'normal case'!AC176</f>
        <v>0</v>
      </c>
      <c r="X177" s="36">
        <f ca="1">'normal case'!AD176</f>
        <v>0</v>
      </c>
      <c r="Y177" s="44">
        <f ca="1">IF(controls!$B$33=1,E177-($J$4-'main page'!$K$27*2)*(1+('main page'!$K$35/100))^A176,E177-$AG$5)</f>
        <v>-99.9</v>
      </c>
      <c r="Z177" s="44">
        <f ca="1">ABS(M177-(controls!$B$9/100)*100)</f>
        <v>419.75000000000006</v>
      </c>
      <c r="AI177" s="36"/>
      <c r="AJ177" s="36"/>
    </row>
    <row r="178" spans="1:36">
      <c r="A178" s="43">
        <v>175</v>
      </c>
      <c r="B178" s="62">
        <f ca="1">IF(controls!$B$6=2,AVERAGE(E174:E177)+B177*W178+hystere!$AG$9,AVERAGE(E174:E177)+B177*W178)</f>
        <v>1.1000000000000001</v>
      </c>
      <c r="C178" s="67">
        <f t="shared" ca="1" si="13"/>
        <v>0</v>
      </c>
      <c r="D178" s="88">
        <f t="shared" ca="1" si="14"/>
        <v>-1</v>
      </c>
      <c r="E178" s="64">
        <f t="shared" ca="1" si="15"/>
        <v>0.1</v>
      </c>
      <c r="F178" s="64">
        <f ca="1">IF('main page'!$K$34=1,hystere!H178,hystere!G178)</f>
        <v>-727.50000000000011</v>
      </c>
      <c r="G178" s="78">
        <f ca="1">I178-'main page'!$K$27*hystere!N177</f>
        <v>-727.50000000000011</v>
      </c>
      <c r="H178" s="62">
        <f ca="1">J178-'main page'!$K$27*N177</f>
        <v>-727.50000000000011</v>
      </c>
      <c r="I178" s="62">
        <f t="shared" ca="1" si="16"/>
        <v>108</v>
      </c>
      <c r="J178" s="62">
        <f t="shared" ca="1" si="17"/>
        <v>108</v>
      </c>
      <c r="M178" s="62">
        <f ca="1">IF(ABS('main page'!$K$29*M177+(1-'main page'!$K$29)*(controls!$B$9/100)*100+'main page'!$K$25*(E178-B178)-M177)&lt;0.0000001,M177,'main page'!$K$29*M177+(1-'main page'!$K$29)*(controls!$B$9/100)*100+'main page'!$K$25*(E178-B178))</f>
        <v>-418.75000000000006</v>
      </c>
      <c r="N178" s="62">
        <f ca="1">IF(controls!$B$10=1,N177,O178-'main page'!$K$29*M178-(1-'main page'!$K$29)*controls!$B$9)</f>
        <v>418.75000000000006</v>
      </c>
      <c r="O178" s="61">
        <f t="shared" ca="1" si="12"/>
        <v>0</v>
      </c>
      <c r="P178" s="63">
        <f ca="1">IF(controls!$B$10=1,hystere!N178+hystere!M178,hystere!Q178)</f>
        <v>-470.48750000000007</v>
      </c>
      <c r="Q178" s="61">
        <f ca="1">IF('main page'!$Y$53=1,'choose m.p.'!$I$22*100,R178)</f>
        <v>-470.48750000000007</v>
      </c>
      <c r="R178" s="83">
        <f ca="1">'main page'!$K$29*M178+(1-'main page'!$K$29)*controls!$B$9+S178+(('main page'!$K$25*'main page'!$U$13*'main page'!$K$29)/('main page'!$K$27*(1+('main page'!$K$25^2)*'main page'!$U$13)))*(M178-(controls!$B$9/100)*100)</f>
        <v>-470.48750000000007</v>
      </c>
      <c r="S178" s="81">
        <f ca="1">IF(controls!$B$33=1,(J179-E178*X179-B178)/'main page'!$K$27,(I179-E178*X179-B178)/'main page'!$K$27)</f>
        <v>53.45</v>
      </c>
      <c r="U178" s="58">
        <f>IF(controls!$B$6=1,$AG$4*(1+('main page'!$K$35/100))^V178-$AG$4*(1+('main page'!$K$35/100))^V177,$AG$4*(1+('main page'!$G$8/100))*(1+('main page'!$K$35/100))^V178-$AG$4*(1+('main page'!$G$8/100))*(1+('main page'!$K$35/100))^V177)</f>
        <v>0</v>
      </c>
      <c r="V178" s="60">
        <v>170</v>
      </c>
      <c r="W178" s="36">
        <f>'normal case'!AC177</f>
        <v>0</v>
      </c>
      <c r="X178" s="36">
        <f>'normal case'!AD177</f>
        <v>0</v>
      </c>
      <c r="Y178" s="44">
        <f ca="1">IF(controls!$B$33=1,E178-($J$4-'main page'!$K$27*2)*(1+('main page'!$K$35/100))^A177,E178-$AG$5)</f>
        <v>-99.9</v>
      </c>
      <c r="Z178" s="44">
        <f ca="1">ABS(M178-(controls!$B$9/100)*100)</f>
        <v>420.75000000000006</v>
      </c>
      <c r="AI178" s="36"/>
      <c r="AJ178" s="36"/>
    </row>
    <row r="179" spans="1:36">
      <c r="A179" s="43">
        <v>176</v>
      </c>
      <c r="B179" s="62">
        <f ca="1">IF(controls!$B$6=2,AVERAGE(E175:E178)+B178*W179+hystere!$AG$9,AVERAGE(E175:E178)+B178*W179)</f>
        <v>1.1000000000000001</v>
      </c>
      <c r="C179" s="67">
        <f t="shared" ca="1" si="13"/>
        <v>0</v>
      </c>
      <c r="D179" s="88">
        <f t="shared" ca="1" si="14"/>
        <v>-1</v>
      </c>
      <c r="E179" s="64">
        <f t="shared" ca="1" si="15"/>
        <v>0.1</v>
      </c>
      <c r="F179" s="64">
        <f ca="1">IF('main page'!$K$34=1,hystere!H179,hystere!G179)</f>
        <v>-729.50000000000011</v>
      </c>
      <c r="G179" s="78">
        <f ca="1">I179-'main page'!$K$27*hystere!N178</f>
        <v>-729.50000000000011</v>
      </c>
      <c r="H179" s="62">
        <f ca="1">J179-'main page'!$K$27*N178</f>
        <v>-729.50000000000011</v>
      </c>
      <c r="I179" s="62">
        <f t="shared" ca="1" si="16"/>
        <v>108</v>
      </c>
      <c r="J179" s="62">
        <f t="shared" ca="1" si="17"/>
        <v>108</v>
      </c>
      <c r="M179" s="62">
        <f ca="1">IF(ABS('main page'!$K$29*M178+(1-'main page'!$K$29)*(controls!$B$9/100)*100+'main page'!$K$25*(E179-B179)-M178)&lt;0.0000001,M178,'main page'!$K$29*M178+(1-'main page'!$K$29)*(controls!$B$9/100)*100+'main page'!$K$25*(E179-B179))</f>
        <v>-419.75000000000006</v>
      </c>
      <c r="N179" s="62">
        <f ca="1">IF(controls!$B$10=1,N178,O179-'main page'!$K$29*M179-(1-'main page'!$K$29)*controls!$B$9)</f>
        <v>419.75000000000006</v>
      </c>
      <c r="O179" s="61">
        <f t="shared" ca="1" si="12"/>
        <v>0</v>
      </c>
      <c r="P179" s="63">
        <f ca="1">IF(controls!$B$10=1,hystere!N179+hystere!M179,hystere!Q179)</f>
        <v>-471.73750000000007</v>
      </c>
      <c r="Q179" s="61">
        <f ca="1">IF('main page'!$Y$53=1,'choose m.p.'!$I$22*100,R179)</f>
        <v>-471.73750000000007</v>
      </c>
      <c r="R179" s="83">
        <f ca="1">'main page'!$K$29*M179+(1-'main page'!$K$29)*controls!$B$9+S179+(('main page'!$K$25*'main page'!$U$13*'main page'!$K$29)/('main page'!$K$27*(1+('main page'!$K$25^2)*'main page'!$U$13)))*(M179-(controls!$B$9/100)*100)</f>
        <v>-471.73750000000007</v>
      </c>
      <c r="S179" s="81">
        <f ca="1">IF(controls!$B$33=1,(J180-E179*X180-B179)/'main page'!$K$27,(I180-E179*X180-B179)/'main page'!$K$27)</f>
        <v>53.45</v>
      </c>
      <c r="U179" s="58">
        <f>IF(controls!$B$6=1,$AG$4*(1+('main page'!$K$35/100))^V179-$AG$4*(1+('main page'!$K$35/100))^V178,$AG$4*(1+('main page'!$G$8/100))*(1+('main page'!$K$35/100))^V179-$AG$4*(1+('main page'!$G$8/100))*(1+('main page'!$K$35/100))^V178)</f>
        <v>0</v>
      </c>
      <c r="V179" s="60">
        <v>171</v>
      </c>
      <c r="W179" s="36">
        <f>'normal case'!AC178</f>
        <v>0</v>
      </c>
      <c r="X179" s="36">
        <f>'normal case'!AD178</f>
        <v>0</v>
      </c>
      <c r="Y179" s="44">
        <f ca="1">IF(controls!$B$33=1,E179-($J$4-'main page'!$K$27*2)*(1+('main page'!$K$35/100))^A178,E179-$AG$5)</f>
        <v>-99.9</v>
      </c>
      <c r="Z179" s="44">
        <f ca="1">ABS(M179-(controls!$B$9/100)*100)</f>
        <v>421.75000000000006</v>
      </c>
      <c r="AI179" s="36"/>
      <c r="AJ179" s="36"/>
    </row>
    <row r="180" spans="1:36">
      <c r="A180" s="43">
        <v>177</v>
      </c>
      <c r="B180" s="62">
        <f ca="1">IF(controls!$B$6=2,AVERAGE(E176:E179)+B179*W180+hystere!$AG$9,AVERAGE(E176:E179)+B179*W180)</f>
        <v>1.1000000000000001</v>
      </c>
      <c r="C180" s="67">
        <f t="shared" ca="1" si="13"/>
        <v>0</v>
      </c>
      <c r="D180" s="88">
        <f t="shared" ca="1" si="14"/>
        <v>-1</v>
      </c>
      <c r="E180" s="64">
        <f t="shared" ca="1" si="15"/>
        <v>0.1</v>
      </c>
      <c r="F180" s="64">
        <f ca="1">IF('main page'!$K$34=1,hystere!H180,hystere!G180)</f>
        <v>-731.50000000000011</v>
      </c>
      <c r="G180" s="78">
        <f ca="1">I180-'main page'!$K$27*hystere!N179</f>
        <v>-731.50000000000011</v>
      </c>
      <c r="H180" s="62">
        <f ca="1">J180-'main page'!$K$27*N179</f>
        <v>-731.50000000000011</v>
      </c>
      <c r="I180" s="62">
        <f t="shared" ca="1" si="16"/>
        <v>108</v>
      </c>
      <c r="J180" s="62">
        <f t="shared" ca="1" si="17"/>
        <v>108</v>
      </c>
      <c r="M180" s="62">
        <f ca="1">IF(ABS('main page'!$K$29*M179+(1-'main page'!$K$29)*(controls!$B$9/100)*100+'main page'!$K$25*(E180-B180)-M179)&lt;0.0000001,M179,'main page'!$K$29*M179+(1-'main page'!$K$29)*(controls!$B$9/100)*100+'main page'!$K$25*(E180-B180))</f>
        <v>-420.75000000000006</v>
      </c>
      <c r="N180" s="62">
        <f ca="1">IF(controls!$B$10=1,N179,O180-'main page'!$K$29*M180-(1-'main page'!$K$29)*controls!$B$9)</f>
        <v>420.75000000000006</v>
      </c>
      <c r="O180" s="61">
        <f t="shared" ca="1" si="12"/>
        <v>0</v>
      </c>
      <c r="P180" s="63">
        <f ca="1">IF(controls!$B$10=1,hystere!N180+hystere!M180,hystere!Q180)</f>
        <v>-472.98750000000007</v>
      </c>
      <c r="Q180" s="61">
        <f ca="1">IF('main page'!$Y$53=1,'choose m.p.'!$I$22*100,R180)</f>
        <v>-472.98750000000007</v>
      </c>
      <c r="R180" s="83">
        <f ca="1">'main page'!$K$29*M180+(1-'main page'!$K$29)*controls!$B$9+S180+(('main page'!$K$25*'main page'!$U$13*'main page'!$K$29)/('main page'!$K$27*(1+('main page'!$K$25^2)*'main page'!$U$13)))*(M180-(controls!$B$9/100)*100)</f>
        <v>-472.98750000000007</v>
      </c>
      <c r="S180" s="81">
        <f ca="1">IF(controls!$B$33=1,(J181-E180*X181-B180)/'main page'!$K$27,(I181-E180*X181-B180)/'main page'!$K$27)</f>
        <v>53.45</v>
      </c>
      <c r="U180" s="58">
        <f>IF(controls!$B$6=1,$AG$4*(1+('main page'!$K$35/100))^V180-$AG$4*(1+('main page'!$K$35/100))^V179,$AG$4*(1+('main page'!$G$8/100))*(1+('main page'!$K$35/100))^V180-$AG$4*(1+('main page'!$G$8/100))*(1+('main page'!$K$35/100))^V179)</f>
        <v>0</v>
      </c>
      <c r="V180" s="60">
        <v>172</v>
      </c>
      <c r="W180" s="36">
        <f ca="1">'normal case'!AC179</f>
        <v>0</v>
      </c>
      <c r="X180" s="36">
        <f ca="1">'normal case'!AD179</f>
        <v>0</v>
      </c>
      <c r="Y180" s="44">
        <f ca="1">IF(controls!$B$33=1,E180-($J$4-'main page'!$K$27*2)*(1+('main page'!$K$35/100))^A179,E180-$AG$5)</f>
        <v>-99.9</v>
      </c>
      <c r="Z180" s="44">
        <f ca="1">ABS(M180-(controls!$B$9/100)*100)</f>
        <v>422.75000000000006</v>
      </c>
      <c r="AI180" s="36"/>
      <c r="AJ180" s="36"/>
    </row>
    <row r="181" spans="1:36">
      <c r="A181" s="43">
        <v>178</v>
      </c>
      <c r="B181" s="62">
        <f ca="1">IF(controls!$B$6=2,AVERAGE(E177:E180)+B180*W181+hystere!$AG$9,AVERAGE(E177:E180)+B180*W181)</f>
        <v>1.1000000000000001</v>
      </c>
      <c r="C181" s="67">
        <f t="shared" ca="1" si="13"/>
        <v>0</v>
      </c>
      <c r="D181" s="88">
        <f t="shared" ca="1" si="14"/>
        <v>-1</v>
      </c>
      <c r="E181" s="64">
        <f t="shared" ca="1" si="15"/>
        <v>0.1</v>
      </c>
      <c r="F181" s="64">
        <f ca="1">IF('main page'!$K$34=1,hystere!H181,hystere!G181)</f>
        <v>-733.50000000000011</v>
      </c>
      <c r="G181" s="78">
        <f ca="1">I181-'main page'!$K$27*hystere!N180</f>
        <v>-733.50000000000011</v>
      </c>
      <c r="H181" s="62">
        <f ca="1">J181-'main page'!$K$27*N180</f>
        <v>-733.50000000000011</v>
      </c>
      <c r="I181" s="62">
        <f t="shared" ca="1" si="16"/>
        <v>108</v>
      </c>
      <c r="J181" s="62">
        <f t="shared" ca="1" si="17"/>
        <v>108</v>
      </c>
      <c r="M181" s="62">
        <f ca="1">IF(ABS('main page'!$K$29*M180+(1-'main page'!$K$29)*(controls!$B$9/100)*100+'main page'!$K$25*(E181-B181)-M180)&lt;0.0000001,M180,'main page'!$K$29*M180+(1-'main page'!$K$29)*(controls!$B$9/100)*100+'main page'!$K$25*(E181-B181))</f>
        <v>-421.75000000000006</v>
      </c>
      <c r="N181" s="62">
        <f ca="1">IF(controls!$B$10=1,N180,O181-'main page'!$K$29*M181-(1-'main page'!$K$29)*controls!$B$9)</f>
        <v>421.75000000000006</v>
      </c>
      <c r="O181" s="61">
        <f t="shared" ca="1" si="12"/>
        <v>0</v>
      </c>
      <c r="P181" s="63">
        <f ca="1">IF(controls!$B$10=1,hystere!N181+hystere!M181,hystere!Q181)</f>
        <v>-474.23750000000007</v>
      </c>
      <c r="Q181" s="61">
        <f ca="1">IF('main page'!$Y$53=1,'choose m.p.'!$I$22*100,R181)</f>
        <v>-474.23750000000007</v>
      </c>
      <c r="R181" s="83">
        <f ca="1">'main page'!$K$29*M181+(1-'main page'!$K$29)*controls!$B$9+S181+(('main page'!$K$25*'main page'!$U$13*'main page'!$K$29)/('main page'!$K$27*(1+('main page'!$K$25^2)*'main page'!$U$13)))*(M181-(controls!$B$9/100)*100)</f>
        <v>-474.23750000000007</v>
      </c>
      <c r="S181" s="81">
        <f ca="1">IF(controls!$B$33=1,(J182-E181*X182-B181)/'main page'!$K$27,(I182-E181*X182-B181)/'main page'!$K$27)</f>
        <v>53.45</v>
      </c>
      <c r="U181" s="58">
        <f>IF(controls!$B$6=1,$AG$4*(1+('main page'!$K$35/100))^V181-$AG$4*(1+('main page'!$K$35/100))^V180,$AG$4*(1+('main page'!$G$8/100))*(1+('main page'!$K$35/100))^V181-$AG$4*(1+('main page'!$G$8/100))*(1+('main page'!$K$35/100))^V180)</f>
        <v>0</v>
      </c>
      <c r="V181" s="60">
        <v>173</v>
      </c>
      <c r="W181" s="36">
        <f>'normal case'!AC180</f>
        <v>0</v>
      </c>
      <c r="X181" s="36">
        <f>'normal case'!AD180</f>
        <v>0</v>
      </c>
      <c r="Y181" s="44">
        <f ca="1">IF(controls!$B$33=1,E181-($J$4-'main page'!$K$27*2)*(1+('main page'!$K$35/100))^A180,E181-$AG$5)</f>
        <v>-99.9</v>
      </c>
      <c r="Z181" s="44">
        <f ca="1">ABS(M181-(controls!$B$9/100)*100)</f>
        <v>423.75000000000006</v>
      </c>
      <c r="AI181" s="36"/>
      <c r="AJ181" s="36"/>
    </row>
    <row r="182" spans="1:36">
      <c r="A182" s="43">
        <v>179</v>
      </c>
      <c r="B182" s="62">
        <f ca="1">IF(controls!$B$6=2,AVERAGE(E178:E181)+B181*W182+hystere!$AG$9,AVERAGE(E178:E181)+B181*W182)</f>
        <v>1.1000000000000001</v>
      </c>
      <c r="C182" s="67">
        <f t="shared" ca="1" si="13"/>
        <v>0</v>
      </c>
      <c r="D182" s="88">
        <f t="shared" ca="1" si="14"/>
        <v>-1</v>
      </c>
      <c r="E182" s="64">
        <f t="shared" ca="1" si="15"/>
        <v>0.1</v>
      </c>
      <c r="F182" s="64">
        <f ca="1">IF('main page'!$K$34=1,hystere!H182,hystere!G182)</f>
        <v>-735.50000000000011</v>
      </c>
      <c r="G182" s="78">
        <f ca="1">I182-'main page'!$K$27*hystere!N181</f>
        <v>-735.50000000000011</v>
      </c>
      <c r="H182" s="62">
        <f ca="1">J182-'main page'!$K$27*N181</f>
        <v>-735.50000000000011</v>
      </c>
      <c r="I182" s="62">
        <f t="shared" ca="1" si="16"/>
        <v>108</v>
      </c>
      <c r="J182" s="62">
        <f t="shared" ca="1" si="17"/>
        <v>108</v>
      </c>
      <c r="M182" s="62">
        <f ca="1">IF(ABS('main page'!$K$29*M181+(1-'main page'!$K$29)*(controls!$B$9/100)*100+'main page'!$K$25*(E182-B182)-M181)&lt;0.0000001,M181,'main page'!$K$29*M181+(1-'main page'!$K$29)*(controls!$B$9/100)*100+'main page'!$K$25*(E182-B182))</f>
        <v>-422.75000000000006</v>
      </c>
      <c r="N182" s="62">
        <f ca="1">IF(controls!$B$10=1,N181,O182-'main page'!$K$29*M182-(1-'main page'!$K$29)*controls!$B$9)</f>
        <v>422.75000000000006</v>
      </c>
      <c r="O182" s="61">
        <f t="shared" ca="1" si="12"/>
        <v>0</v>
      </c>
      <c r="P182" s="63">
        <f ca="1">IF(controls!$B$10=1,hystere!N182+hystere!M182,hystere!Q182)</f>
        <v>-475.48750000000007</v>
      </c>
      <c r="Q182" s="61">
        <f ca="1">IF('main page'!$Y$53=1,'choose m.p.'!$I$22*100,R182)</f>
        <v>-475.48750000000007</v>
      </c>
      <c r="R182" s="83">
        <f ca="1">'main page'!$K$29*M182+(1-'main page'!$K$29)*controls!$B$9+S182+(('main page'!$K$25*'main page'!$U$13*'main page'!$K$29)/('main page'!$K$27*(1+('main page'!$K$25^2)*'main page'!$U$13)))*(M182-(controls!$B$9/100)*100)</f>
        <v>-475.48750000000007</v>
      </c>
      <c r="S182" s="81">
        <f ca="1">IF(controls!$B$33=1,(J183-E182*X183-B182)/'main page'!$K$27,(I183-E182*X183-B182)/'main page'!$K$27)</f>
        <v>53.45</v>
      </c>
      <c r="U182" s="58">
        <f>IF(controls!$B$6=1,$AG$4*(1+('main page'!$K$35/100))^V182-$AG$4*(1+('main page'!$K$35/100))^V181,$AG$4*(1+('main page'!$G$8/100))*(1+('main page'!$K$35/100))^V182-$AG$4*(1+('main page'!$G$8/100))*(1+('main page'!$K$35/100))^V181)</f>
        <v>0</v>
      </c>
      <c r="V182" s="60">
        <v>174</v>
      </c>
      <c r="W182" s="36">
        <f>'normal case'!AC181</f>
        <v>0</v>
      </c>
      <c r="X182" s="36">
        <f>'normal case'!AD181</f>
        <v>0</v>
      </c>
      <c r="Y182" s="44">
        <f ca="1">IF(controls!$B$33=1,E182-($J$4-'main page'!$K$27*2)*(1+('main page'!$K$35/100))^A181,E182-$AG$5)</f>
        <v>-99.9</v>
      </c>
      <c r="Z182" s="44">
        <f ca="1">ABS(M182-(controls!$B$9/100)*100)</f>
        <v>424.75000000000006</v>
      </c>
      <c r="AI182" s="36"/>
      <c r="AJ182" s="36"/>
    </row>
    <row r="183" spans="1:36">
      <c r="A183" s="43">
        <v>180</v>
      </c>
      <c r="B183" s="62">
        <f ca="1">IF(controls!$B$6=2,AVERAGE(E179:E182)+B182*W183+hystere!$AG$9,AVERAGE(E179:E182)+B182*W183)</f>
        <v>1.1000000000000001</v>
      </c>
      <c r="C183" s="67">
        <f t="shared" ca="1" si="13"/>
        <v>0</v>
      </c>
      <c r="D183" s="88">
        <f t="shared" ca="1" si="14"/>
        <v>-1</v>
      </c>
      <c r="E183" s="64">
        <f t="shared" ca="1" si="15"/>
        <v>0.1</v>
      </c>
      <c r="F183" s="64">
        <f ca="1">IF('main page'!$K$34=1,hystere!H183,hystere!G183)</f>
        <v>-737.50000000000011</v>
      </c>
      <c r="G183" s="78">
        <f ca="1">I183-'main page'!$K$27*hystere!N182</f>
        <v>-737.50000000000011</v>
      </c>
      <c r="H183" s="62">
        <f ca="1">J183-'main page'!$K$27*N182</f>
        <v>-737.50000000000011</v>
      </c>
      <c r="I183" s="62">
        <f t="shared" ca="1" si="16"/>
        <v>108</v>
      </c>
      <c r="J183" s="62">
        <f t="shared" ca="1" si="17"/>
        <v>108</v>
      </c>
      <c r="M183" s="62">
        <f ca="1">IF(ABS('main page'!$K$29*M182+(1-'main page'!$K$29)*(controls!$B$9/100)*100+'main page'!$K$25*(E183-B183)-M182)&lt;0.0000001,M182,'main page'!$K$29*M182+(1-'main page'!$K$29)*(controls!$B$9/100)*100+'main page'!$K$25*(E183-B183))</f>
        <v>-423.75000000000006</v>
      </c>
      <c r="N183" s="62">
        <f ca="1">IF(controls!$B$10=1,N182,O183-'main page'!$K$29*M183-(1-'main page'!$K$29)*controls!$B$9)</f>
        <v>423.75000000000006</v>
      </c>
      <c r="O183" s="61">
        <f t="shared" ca="1" si="12"/>
        <v>0</v>
      </c>
      <c r="P183" s="63">
        <f ca="1">IF(controls!$B$10=1,hystere!N183+hystere!M183,hystere!Q183)</f>
        <v>-476.73750000000007</v>
      </c>
      <c r="Q183" s="61">
        <f ca="1">IF('main page'!$Y$53=1,'choose m.p.'!$I$22*100,R183)</f>
        <v>-476.73750000000007</v>
      </c>
      <c r="R183" s="83">
        <f ca="1">'main page'!$K$29*M183+(1-'main page'!$K$29)*controls!$B$9+S183+(('main page'!$K$25*'main page'!$U$13*'main page'!$K$29)/('main page'!$K$27*(1+('main page'!$K$25^2)*'main page'!$U$13)))*(M183-(controls!$B$9/100)*100)</f>
        <v>-476.73750000000007</v>
      </c>
      <c r="S183" s="81">
        <f ca="1">IF(controls!$B$33=1,(J184-E183*X184-B183)/'main page'!$K$27,(I184-E183*X184-B183)/'main page'!$K$27)</f>
        <v>53.45</v>
      </c>
      <c r="U183" s="58">
        <f>IF(controls!$B$6=1,$AG$4*(1+('main page'!$K$35/100))^V183-$AG$4*(1+('main page'!$K$35/100))^V182,$AG$4*(1+('main page'!$G$8/100))*(1+('main page'!$K$35/100))^V183-$AG$4*(1+('main page'!$G$8/100))*(1+('main page'!$K$35/100))^V182)</f>
        <v>0</v>
      </c>
      <c r="V183" s="60">
        <v>175</v>
      </c>
      <c r="W183" s="36">
        <f ca="1">'normal case'!AC182</f>
        <v>0</v>
      </c>
      <c r="X183" s="36">
        <f ca="1">'normal case'!AD182</f>
        <v>0</v>
      </c>
      <c r="Y183" s="44">
        <f ca="1">IF(controls!$B$33=1,E183-($J$4-'main page'!$K$27*2)*(1+('main page'!$K$35/100))^A182,E183-$AG$5)</f>
        <v>-99.9</v>
      </c>
      <c r="Z183" s="44">
        <f ca="1">ABS(M183-(controls!$B$9/100)*100)</f>
        <v>425.75000000000006</v>
      </c>
      <c r="AI183" s="36"/>
      <c r="AJ183" s="36"/>
    </row>
    <row r="184" spans="1:36">
      <c r="A184" s="43">
        <v>181</v>
      </c>
      <c r="B184" s="62">
        <f ca="1">IF(controls!$B$6=2,AVERAGE(E180:E183)+B183*W184+hystere!$AG$9,AVERAGE(E180:E183)+B183*W184)</f>
        <v>1.1000000000000001</v>
      </c>
      <c r="C184" s="67">
        <f t="shared" ca="1" si="13"/>
        <v>0</v>
      </c>
      <c r="D184" s="88">
        <f t="shared" ca="1" si="14"/>
        <v>-1</v>
      </c>
      <c r="E184" s="64">
        <f t="shared" ca="1" si="15"/>
        <v>0.1</v>
      </c>
      <c r="F184" s="64">
        <f ca="1">IF('main page'!$K$34=1,hystere!H184,hystere!G184)</f>
        <v>-739.50000000000011</v>
      </c>
      <c r="G184" s="78">
        <f ca="1">I184-'main page'!$K$27*hystere!N183</f>
        <v>-739.50000000000011</v>
      </c>
      <c r="H184" s="62">
        <f ca="1">J184-'main page'!$K$27*N183</f>
        <v>-739.50000000000011</v>
      </c>
      <c r="I184" s="62">
        <f t="shared" ca="1" si="16"/>
        <v>108</v>
      </c>
      <c r="J184" s="62">
        <f t="shared" ca="1" si="17"/>
        <v>108</v>
      </c>
      <c r="M184" s="62">
        <f ca="1">IF(ABS('main page'!$K$29*M183+(1-'main page'!$K$29)*(controls!$B$9/100)*100+'main page'!$K$25*(E184-B184)-M183)&lt;0.0000001,M183,'main page'!$K$29*M183+(1-'main page'!$K$29)*(controls!$B$9/100)*100+'main page'!$K$25*(E184-B184))</f>
        <v>-424.75000000000006</v>
      </c>
      <c r="N184" s="62">
        <f ca="1">IF(controls!$B$10=1,N183,O184-'main page'!$K$29*M184-(1-'main page'!$K$29)*controls!$B$9)</f>
        <v>424.75000000000006</v>
      </c>
      <c r="O184" s="61">
        <f t="shared" ca="1" si="12"/>
        <v>0</v>
      </c>
      <c r="P184" s="63">
        <f ca="1">IF(controls!$B$10=1,hystere!N184+hystere!M184,hystere!Q184)</f>
        <v>-477.98750000000007</v>
      </c>
      <c r="Q184" s="61">
        <f ca="1">IF('main page'!$Y$53=1,'choose m.p.'!$I$22*100,R184)</f>
        <v>-477.98750000000007</v>
      </c>
      <c r="R184" s="83">
        <f ca="1">'main page'!$K$29*M184+(1-'main page'!$K$29)*controls!$B$9+S184+(('main page'!$K$25*'main page'!$U$13*'main page'!$K$29)/('main page'!$K$27*(1+('main page'!$K$25^2)*'main page'!$U$13)))*(M184-(controls!$B$9/100)*100)</f>
        <v>-477.98750000000007</v>
      </c>
      <c r="S184" s="81">
        <f ca="1">IF(controls!$B$33=1,(J185-E184*X185-B184)/'main page'!$K$27,(I185-E184*X185-B184)/'main page'!$K$27)</f>
        <v>53.45</v>
      </c>
      <c r="U184" s="58">
        <f>IF(controls!$B$6=1,$AG$4*(1+('main page'!$K$35/100))^V184-$AG$4*(1+('main page'!$K$35/100))^V183,$AG$4*(1+('main page'!$G$8/100))*(1+('main page'!$K$35/100))^V184-$AG$4*(1+('main page'!$G$8/100))*(1+('main page'!$K$35/100))^V183)</f>
        <v>0</v>
      </c>
      <c r="V184" s="60">
        <v>176</v>
      </c>
      <c r="W184" s="36">
        <f>'normal case'!AC183</f>
        <v>0</v>
      </c>
      <c r="X184" s="36">
        <f>'normal case'!AD183</f>
        <v>0</v>
      </c>
      <c r="Y184" s="44">
        <f ca="1">IF(controls!$B$33=1,E184-($J$4-'main page'!$K$27*2)*(1+('main page'!$K$35/100))^A183,E184-$AG$5)</f>
        <v>-99.9</v>
      </c>
      <c r="Z184" s="44">
        <f ca="1">ABS(M184-(controls!$B$9/100)*100)</f>
        <v>426.75000000000006</v>
      </c>
      <c r="AI184" s="36"/>
      <c r="AJ184" s="36"/>
    </row>
    <row r="185" spans="1:36">
      <c r="A185" s="43">
        <v>182</v>
      </c>
      <c r="B185" s="62">
        <f ca="1">IF(controls!$B$6=2,AVERAGE(E181:E184)+B184*W185+hystere!$AG$9,AVERAGE(E181:E184)+B184*W185)</f>
        <v>1.1000000000000001</v>
      </c>
      <c r="C185" s="67">
        <f t="shared" ca="1" si="13"/>
        <v>0</v>
      </c>
      <c r="D185" s="88">
        <f t="shared" ca="1" si="14"/>
        <v>-1</v>
      </c>
      <c r="E185" s="64">
        <f t="shared" ca="1" si="15"/>
        <v>0.1</v>
      </c>
      <c r="F185" s="64">
        <f ca="1">IF('main page'!$K$34=1,hystere!H185,hystere!G185)</f>
        <v>-741.50000000000011</v>
      </c>
      <c r="G185" s="78">
        <f ca="1">I185-'main page'!$K$27*hystere!N184</f>
        <v>-741.50000000000011</v>
      </c>
      <c r="H185" s="62">
        <f ca="1">J185-'main page'!$K$27*N184</f>
        <v>-741.50000000000011</v>
      </c>
      <c r="I185" s="62">
        <f t="shared" ca="1" si="16"/>
        <v>108</v>
      </c>
      <c r="J185" s="62">
        <f t="shared" ca="1" si="17"/>
        <v>108</v>
      </c>
      <c r="M185" s="62">
        <f ca="1">IF(ABS('main page'!$K$29*M184+(1-'main page'!$K$29)*(controls!$B$9/100)*100+'main page'!$K$25*(E185-B185)-M184)&lt;0.0000001,M184,'main page'!$K$29*M184+(1-'main page'!$K$29)*(controls!$B$9/100)*100+'main page'!$K$25*(E185-B185))</f>
        <v>-425.75000000000006</v>
      </c>
      <c r="N185" s="62">
        <f ca="1">IF(controls!$B$10=1,N184,O185-'main page'!$K$29*M185-(1-'main page'!$K$29)*controls!$B$9)</f>
        <v>425.75000000000006</v>
      </c>
      <c r="O185" s="61">
        <f t="shared" ca="1" si="12"/>
        <v>0</v>
      </c>
      <c r="P185" s="63">
        <f ca="1">IF(controls!$B$10=1,hystere!N185+hystere!M185,hystere!Q185)</f>
        <v>-479.23750000000007</v>
      </c>
      <c r="Q185" s="61">
        <f ca="1">IF('main page'!$Y$53=1,'choose m.p.'!$I$22*100,R185)</f>
        <v>-479.23750000000007</v>
      </c>
      <c r="R185" s="83">
        <f ca="1">'main page'!$K$29*M185+(1-'main page'!$K$29)*controls!$B$9+S185+(('main page'!$K$25*'main page'!$U$13*'main page'!$K$29)/('main page'!$K$27*(1+('main page'!$K$25^2)*'main page'!$U$13)))*(M185-(controls!$B$9/100)*100)</f>
        <v>-479.23750000000007</v>
      </c>
      <c r="S185" s="81">
        <f ca="1">IF(controls!$B$33=1,(J186-E185*X186-B185)/'main page'!$K$27,(I186-E185*X186-B185)/'main page'!$K$27)</f>
        <v>53.45</v>
      </c>
      <c r="U185" s="58">
        <f>IF(controls!$B$6=1,$AG$4*(1+('main page'!$K$35/100))^V185-$AG$4*(1+('main page'!$K$35/100))^V184,$AG$4*(1+('main page'!$G$8/100))*(1+('main page'!$K$35/100))^V185-$AG$4*(1+('main page'!$G$8/100))*(1+('main page'!$K$35/100))^V184)</f>
        <v>0</v>
      </c>
      <c r="V185" s="60">
        <v>177</v>
      </c>
      <c r="W185" s="36">
        <f>'normal case'!AC184</f>
        <v>0</v>
      </c>
      <c r="X185" s="36">
        <f>'normal case'!AD184</f>
        <v>0</v>
      </c>
      <c r="Y185" s="44">
        <f ca="1">IF(controls!$B$33=1,E185-($J$4-'main page'!$K$27*2)*(1+('main page'!$K$35/100))^A184,E185-$AG$5)</f>
        <v>-99.9</v>
      </c>
      <c r="Z185" s="44">
        <f ca="1">ABS(M185-(controls!$B$9/100)*100)</f>
        <v>427.75000000000006</v>
      </c>
      <c r="AI185" s="36"/>
      <c r="AJ185" s="36"/>
    </row>
    <row r="186" spans="1:36">
      <c r="A186" s="43">
        <v>183</v>
      </c>
      <c r="B186" s="62">
        <f ca="1">IF(controls!$B$6=2,AVERAGE(E182:E185)+B185*W186+hystere!$AG$9,AVERAGE(E182:E185)+B185*W186)</f>
        <v>1.1000000000000001</v>
      </c>
      <c r="C186" s="67">
        <f t="shared" ca="1" si="13"/>
        <v>0</v>
      </c>
      <c r="D186" s="88">
        <f t="shared" ca="1" si="14"/>
        <v>-1</v>
      </c>
      <c r="E186" s="64">
        <f t="shared" ca="1" si="15"/>
        <v>0.1</v>
      </c>
      <c r="F186" s="64">
        <f ca="1">IF('main page'!$K$34=1,hystere!H186,hystere!G186)</f>
        <v>-743.50000000000011</v>
      </c>
      <c r="G186" s="78">
        <f ca="1">I186-'main page'!$K$27*hystere!N185</f>
        <v>-743.50000000000011</v>
      </c>
      <c r="H186" s="62">
        <f ca="1">J186-'main page'!$K$27*N185</f>
        <v>-743.50000000000011</v>
      </c>
      <c r="I186" s="62">
        <f t="shared" ca="1" si="16"/>
        <v>108</v>
      </c>
      <c r="J186" s="62">
        <f t="shared" ca="1" si="17"/>
        <v>108</v>
      </c>
      <c r="M186" s="62">
        <f ca="1">IF(ABS('main page'!$K$29*M185+(1-'main page'!$K$29)*(controls!$B$9/100)*100+'main page'!$K$25*(E186-B186)-M185)&lt;0.0000001,M185,'main page'!$K$29*M185+(1-'main page'!$K$29)*(controls!$B$9/100)*100+'main page'!$K$25*(E186-B186))</f>
        <v>-426.75000000000006</v>
      </c>
      <c r="N186" s="62">
        <f ca="1">IF(controls!$B$10=1,N185,O186-'main page'!$K$29*M186-(1-'main page'!$K$29)*controls!$B$9)</f>
        <v>426.75000000000006</v>
      </c>
      <c r="O186" s="61">
        <f t="shared" ca="1" si="12"/>
        <v>0</v>
      </c>
      <c r="P186" s="63">
        <f ca="1">IF(controls!$B$10=1,hystere!N186+hystere!M186,hystere!Q186)</f>
        <v>-480.48750000000007</v>
      </c>
      <c r="Q186" s="61">
        <f ca="1">IF('main page'!$Y$53=1,'choose m.p.'!$I$22*100,R186)</f>
        <v>-480.48750000000007</v>
      </c>
      <c r="R186" s="83">
        <f ca="1">'main page'!$K$29*M186+(1-'main page'!$K$29)*controls!$B$9+S186+(('main page'!$K$25*'main page'!$U$13*'main page'!$K$29)/('main page'!$K$27*(1+('main page'!$K$25^2)*'main page'!$U$13)))*(M186-(controls!$B$9/100)*100)</f>
        <v>-480.48750000000007</v>
      </c>
      <c r="S186" s="81">
        <f ca="1">IF(controls!$B$33=1,(J187-E186*X187-B186)/'main page'!$K$27,(I187-E186*X187-B186)/'main page'!$K$27)</f>
        <v>53.45</v>
      </c>
      <c r="U186" s="58">
        <f>IF(controls!$B$6=1,$AG$4*(1+('main page'!$K$35/100))^V186-$AG$4*(1+('main page'!$K$35/100))^V185,$AG$4*(1+('main page'!$G$8/100))*(1+('main page'!$K$35/100))^V186-$AG$4*(1+('main page'!$G$8/100))*(1+('main page'!$K$35/100))^V185)</f>
        <v>0</v>
      </c>
      <c r="V186" s="60">
        <v>178</v>
      </c>
      <c r="W186" s="36">
        <f ca="1">'normal case'!AC185</f>
        <v>0</v>
      </c>
      <c r="X186" s="36">
        <f ca="1">'normal case'!AD185</f>
        <v>0</v>
      </c>
      <c r="Y186" s="44">
        <f ca="1">IF(controls!$B$33=1,E186-($J$4-'main page'!$K$27*2)*(1+('main page'!$K$35/100))^A185,E186-$AG$5)</f>
        <v>-99.9</v>
      </c>
      <c r="Z186" s="44">
        <f ca="1">ABS(M186-(controls!$B$9/100)*100)</f>
        <v>428.75000000000006</v>
      </c>
      <c r="AI186" s="36"/>
      <c r="AJ186" s="36"/>
    </row>
    <row r="187" spans="1:36">
      <c r="A187" s="43">
        <v>184</v>
      </c>
      <c r="B187" s="62">
        <f ca="1">IF(controls!$B$6=2,AVERAGE(E183:E186)+B186*W187+hystere!$AG$9,AVERAGE(E183:E186)+B186*W187)</f>
        <v>1.1000000000000001</v>
      </c>
      <c r="C187" s="67">
        <f t="shared" ca="1" si="13"/>
        <v>0</v>
      </c>
      <c r="D187" s="88">
        <f t="shared" ca="1" si="14"/>
        <v>-1</v>
      </c>
      <c r="E187" s="64">
        <f t="shared" ca="1" si="15"/>
        <v>0.1</v>
      </c>
      <c r="F187" s="64">
        <f ca="1">IF('main page'!$K$34=1,hystere!H187,hystere!G187)</f>
        <v>-745.50000000000011</v>
      </c>
      <c r="G187" s="78">
        <f ca="1">I187-'main page'!$K$27*hystere!N186</f>
        <v>-745.50000000000011</v>
      </c>
      <c r="H187" s="62">
        <f ca="1">J187-'main page'!$K$27*N186</f>
        <v>-745.50000000000011</v>
      </c>
      <c r="I187" s="62">
        <f t="shared" ca="1" si="16"/>
        <v>108</v>
      </c>
      <c r="J187" s="62">
        <f t="shared" ca="1" si="17"/>
        <v>108</v>
      </c>
      <c r="M187" s="62">
        <f ca="1">IF(ABS('main page'!$K$29*M186+(1-'main page'!$K$29)*(controls!$B$9/100)*100+'main page'!$K$25*(E187-B187)-M186)&lt;0.0000001,M186,'main page'!$K$29*M186+(1-'main page'!$K$29)*(controls!$B$9/100)*100+'main page'!$K$25*(E187-B187))</f>
        <v>-427.75000000000006</v>
      </c>
      <c r="N187" s="62">
        <f ca="1">IF(controls!$B$10=1,N186,O187-'main page'!$K$29*M187-(1-'main page'!$K$29)*controls!$B$9)</f>
        <v>427.75000000000006</v>
      </c>
      <c r="O187" s="61">
        <f t="shared" ca="1" si="12"/>
        <v>0</v>
      </c>
      <c r="P187" s="63">
        <f ca="1">IF(controls!$B$10=1,hystere!N187+hystere!M187,hystere!Q187)</f>
        <v>-481.73750000000007</v>
      </c>
      <c r="Q187" s="61">
        <f ca="1">IF('main page'!$Y$53=1,'choose m.p.'!$I$22*100,R187)</f>
        <v>-481.73750000000007</v>
      </c>
      <c r="R187" s="83">
        <f ca="1">'main page'!$K$29*M187+(1-'main page'!$K$29)*controls!$B$9+S187+(('main page'!$K$25*'main page'!$U$13*'main page'!$K$29)/('main page'!$K$27*(1+('main page'!$K$25^2)*'main page'!$U$13)))*(M187-(controls!$B$9/100)*100)</f>
        <v>-481.73750000000007</v>
      </c>
      <c r="S187" s="81">
        <f ca="1">IF(controls!$B$33=1,(J188-E187*X188-B187)/'main page'!$K$27,(I188-E187*X188-B187)/'main page'!$K$27)</f>
        <v>53.45</v>
      </c>
      <c r="U187" s="58">
        <f>IF(controls!$B$6=1,$AG$4*(1+('main page'!$K$35/100))^V187-$AG$4*(1+('main page'!$K$35/100))^V186,$AG$4*(1+('main page'!$G$8/100))*(1+('main page'!$K$35/100))^V187-$AG$4*(1+('main page'!$G$8/100))*(1+('main page'!$K$35/100))^V186)</f>
        <v>0</v>
      </c>
      <c r="V187" s="60">
        <v>179</v>
      </c>
      <c r="W187" s="36">
        <f>'normal case'!AC186</f>
        <v>0</v>
      </c>
      <c r="X187" s="36">
        <f>'normal case'!AD186</f>
        <v>0</v>
      </c>
      <c r="Y187" s="44">
        <f ca="1">IF(controls!$B$33=1,E187-($J$4-'main page'!$K$27*2)*(1+('main page'!$K$35/100))^A186,E187-$AG$5)</f>
        <v>-99.9</v>
      </c>
      <c r="Z187" s="44">
        <f ca="1">ABS(M187-(controls!$B$9/100)*100)</f>
        <v>429.75000000000006</v>
      </c>
      <c r="AI187" s="36"/>
      <c r="AJ187" s="36"/>
    </row>
    <row r="188" spans="1:36">
      <c r="A188" s="43">
        <v>185</v>
      </c>
      <c r="B188" s="62">
        <f ca="1">IF(controls!$B$6=2,AVERAGE(E184:E187)+B187*W188+hystere!$AG$9,AVERAGE(E184:E187)+B187*W188)</f>
        <v>1.1000000000000001</v>
      </c>
      <c r="C188" s="67">
        <f t="shared" ca="1" si="13"/>
        <v>0</v>
      </c>
      <c r="D188" s="88">
        <f t="shared" ca="1" si="14"/>
        <v>-1</v>
      </c>
      <c r="E188" s="64">
        <f t="shared" ca="1" si="15"/>
        <v>0.1</v>
      </c>
      <c r="F188" s="64">
        <f ca="1">IF('main page'!$K$34=1,hystere!H188,hystere!G188)</f>
        <v>-747.50000000000011</v>
      </c>
      <c r="G188" s="78">
        <f ca="1">I188-'main page'!$K$27*hystere!N187</f>
        <v>-747.50000000000011</v>
      </c>
      <c r="H188" s="62">
        <f ca="1">J188-'main page'!$K$27*N187</f>
        <v>-747.50000000000011</v>
      </c>
      <c r="I188" s="62">
        <f t="shared" ca="1" si="16"/>
        <v>108</v>
      </c>
      <c r="J188" s="62">
        <f t="shared" ca="1" si="17"/>
        <v>108</v>
      </c>
      <c r="M188" s="62">
        <f ca="1">IF(ABS('main page'!$K$29*M187+(1-'main page'!$K$29)*(controls!$B$9/100)*100+'main page'!$K$25*(E188-B188)-M187)&lt;0.0000001,M187,'main page'!$K$29*M187+(1-'main page'!$K$29)*(controls!$B$9/100)*100+'main page'!$K$25*(E188-B188))</f>
        <v>-428.75000000000006</v>
      </c>
      <c r="N188" s="62">
        <f ca="1">IF(controls!$B$10=1,N187,O188-'main page'!$K$29*M188-(1-'main page'!$K$29)*controls!$B$9)</f>
        <v>428.75000000000006</v>
      </c>
      <c r="O188" s="61">
        <f t="shared" ca="1" si="12"/>
        <v>0</v>
      </c>
      <c r="P188" s="63">
        <f ca="1">IF(controls!$B$10=1,hystere!N188+hystere!M188,hystere!Q188)</f>
        <v>-482.98750000000007</v>
      </c>
      <c r="Q188" s="61">
        <f ca="1">IF('main page'!$Y$53=1,'choose m.p.'!$I$22*100,R188)</f>
        <v>-482.98750000000007</v>
      </c>
      <c r="R188" s="83">
        <f ca="1">'main page'!$K$29*M188+(1-'main page'!$K$29)*controls!$B$9+S188+(('main page'!$K$25*'main page'!$U$13*'main page'!$K$29)/('main page'!$K$27*(1+('main page'!$K$25^2)*'main page'!$U$13)))*(M188-(controls!$B$9/100)*100)</f>
        <v>-482.98750000000007</v>
      </c>
      <c r="S188" s="81">
        <f ca="1">IF(controls!$B$33=1,(J189-E188*X189-B188)/'main page'!$K$27,(I189-E188*X189-B188)/'main page'!$K$27)</f>
        <v>53.45</v>
      </c>
      <c r="U188" s="58">
        <f>IF(controls!$B$6=1,$AG$4*(1+('main page'!$K$35/100))^V188-$AG$4*(1+('main page'!$K$35/100))^V187,$AG$4*(1+('main page'!$G$8/100))*(1+('main page'!$K$35/100))^V188-$AG$4*(1+('main page'!$G$8/100))*(1+('main page'!$K$35/100))^V187)</f>
        <v>0</v>
      </c>
      <c r="V188" s="60">
        <v>180</v>
      </c>
      <c r="W188" s="36">
        <f>'normal case'!AC187</f>
        <v>0</v>
      </c>
      <c r="X188" s="36">
        <f>'normal case'!AD187</f>
        <v>0</v>
      </c>
      <c r="Y188" s="44">
        <f ca="1">IF(controls!$B$33=1,E188-($J$4-'main page'!$K$27*2)*(1+('main page'!$K$35/100))^A187,E188-$AG$5)</f>
        <v>-99.9</v>
      </c>
      <c r="Z188" s="44">
        <f ca="1">ABS(M188-(controls!$B$9/100)*100)</f>
        <v>430.75000000000006</v>
      </c>
      <c r="AI188" s="36"/>
      <c r="AJ188" s="36"/>
    </row>
    <row r="189" spans="1:36">
      <c r="A189" s="43">
        <v>186</v>
      </c>
      <c r="B189" s="62">
        <f ca="1">IF(controls!$B$6=2,AVERAGE(E185:E188)+B188*W189+hystere!$AG$9,AVERAGE(E185:E188)+B188*W189)</f>
        <v>1.1000000000000001</v>
      </c>
      <c r="C189" s="67">
        <f t="shared" ca="1" si="13"/>
        <v>0</v>
      </c>
      <c r="D189" s="88">
        <f t="shared" ca="1" si="14"/>
        <v>-1</v>
      </c>
      <c r="E189" s="64">
        <f t="shared" ca="1" si="15"/>
        <v>0.1</v>
      </c>
      <c r="F189" s="64">
        <f ca="1">IF('main page'!$K$34=1,hystere!H189,hystere!G189)</f>
        <v>-749.50000000000011</v>
      </c>
      <c r="G189" s="78">
        <f ca="1">I189-'main page'!$K$27*hystere!N188</f>
        <v>-749.50000000000011</v>
      </c>
      <c r="H189" s="62">
        <f ca="1">J189-'main page'!$K$27*N188</f>
        <v>-749.50000000000011</v>
      </c>
      <c r="I189" s="62">
        <f t="shared" ca="1" si="16"/>
        <v>108</v>
      </c>
      <c r="J189" s="62">
        <f t="shared" ca="1" si="17"/>
        <v>108</v>
      </c>
      <c r="M189" s="62">
        <f ca="1">IF(ABS('main page'!$K$29*M188+(1-'main page'!$K$29)*(controls!$B$9/100)*100+'main page'!$K$25*(E189-B189)-M188)&lt;0.0000001,M188,'main page'!$K$29*M188+(1-'main page'!$K$29)*(controls!$B$9/100)*100+'main page'!$K$25*(E189-B189))</f>
        <v>-429.75000000000006</v>
      </c>
      <c r="N189" s="62">
        <f ca="1">IF(controls!$B$10=1,N188,O189-'main page'!$K$29*M189-(1-'main page'!$K$29)*controls!$B$9)</f>
        <v>429.75000000000006</v>
      </c>
      <c r="O189" s="61">
        <f t="shared" ca="1" si="12"/>
        <v>0</v>
      </c>
      <c r="P189" s="63">
        <f ca="1">IF(controls!$B$10=1,hystere!N189+hystere!M189,hystere!Q189)</f>
        <v>-484.23750000000007</v>
      </c>
      <c r="Q189" s="61">
        <f ca="1">IF('main page'!$Y$53=1,'choose m.p.'!$I$22*100,R189)</f>
        <v>-484.23750000000007</v>
      </c>
      <c r="R189" s="83">
        <f ca="1">'main page'!$K$29*M189+(1-'main page'!$K$29)*controls!$B$9+S189+(('main page'!$K$25*'main page'!$U$13*'main page'!$K$29)/('main page'!$K$27*(1+('main page'!$K$25^2)*'main page'!$U$13)))*(M189-(controls!$B$9/100)*100)</f>
        <v>-484.23750000000007</v>
      </c>
      <c r="S189" s="81">
        <f ca="1">IF(controls!$B$33=1,(J190-E189*X190-B189)/'main page'!$K$27,(I190-E189*X190-B189)/'main page'!$K$27)</f>
        <v>53.45</v>
      </c>
      <c r="U189" s="58">
        <f>IF(controls!$B$6=1,$AG$4*(1+('main page'!$K$35/100))^V189-$AG$4*(1+('main page'!$K$35/100))^V188,$AG$4*(1+('main page'!$G$8/100))*(1+('main page'!$K$35/100))^V189-$AG$4*(1+('main page'!$G$8/100))*(1+('main page'!$K$35/100))^V188)</f>
        <v>0</v>
      </c>
      <c r="V189" s="60">
        <v>181</v>
      </c>
      <c r="W189" s="36">
        <f ca="1">'normal case'!AC188</f>
        <v>0</v>
      </c>
      <c r="X189" s="36">
        <f ca="1">'normal case'!AD188</f>
        <v>0</v>
      </c>
      <c r="Y189" s="44">
        <f ca="1">IF(controls!$B$33=1,E189-($J$4-'main page'!$K$27*2)*(1+('main page'!$K$35/100))^A188,E189-$AG$5)</f>
        <v>-99.9</v>
      </c>
      <c r="Z189" s="44">
        <f ca="1">ABS(M189-(controls!$B$9/100)*100)</f>
        <v>431.75000000000006</v>
      </c>
      <c r="AI189" s="36"/>
      <c r="AJ189" s="36"/>
    </row>
    <row r="190" spans="1:36">
      <c r="A190" s="43">
        <v>187</v>
      </c>
      <c r="B190" s="62">
        <f ca="1">IF(controls!$B$6=2,AVERAGE(E186:E189)+B189*W190+hystere!$AG$9,AVERAGE(E186:E189)+B189*W190)</f>
        <v>1.1000000000000001</v>
      </c>
      <c r="C190" s="67">
        <f t="shared" ca="1" si="13"/>
        <v>0</v>
      </c>
      <c r="D190" s="88">
        <f t="shared" ca="1" si="14"/>
        <v>-1</v>
      </c>
      <c r="E190" s="64">
        <f t="shared" ca="1" si="15"/>
        <v>0.1</v>
      </c>
      <c r="F190" s="64">
        <f ca="1">IF('main page'!$K$34=1,hystere!H190,hystere!G190)</f>
        <v>-751.50000000000011</v>
      </c>
      <c r="G190" s="78">
        <f ca="1">I190-'main page'!$K$27*hystere!N189</f>
        <v>-751.50000000000011</v>
      </c>
      <c r="H190" s="62">
        <f ca="1">J190-'main page'!$K$27*N189</f>
        <v>-751.50000000000011</v>
      </c>
      <c r="I190" s="62">
        <f t="shared" ca="1" si="16"/>
        <v>108</v>
      </c>
      <c r="J190" s="62">
        <f t="shared" ca="1" si="17"/>
        <v>108</v>
      </c>
      <c r="M190" s="62">
        <f ca="1">IF(ABS('main page'!$K$29*M189+(1-'main page'!$K$29)*(controls!$B$9/100)*100+'main page'!$K$25*(E190-B190)-M189)&lt;0.0000001,M189,'main page'!$K$29*M189+(1-'main page'!$K$29)*(controls!$B$9/100)*100+'main page'!$K$25*(E190-B190))</f>
        <v>-430.75000000000006</v>
      </c>
      <c r="N190" s="62">
        <f ca="1">IF(controls!$B$10=1,N189,O190-'main page'!$K$29*M190-(1-'main page'!$K$29)*controls!$B$9)</f>
        <v>430.75000000000006</v>
      </c>
      <c r="O190" s="61">
        <f t="shared" ca="1" si="12"/>
        <v>0</v>
      </c>
      <c r="P190" s="63">
        <f ca="1">IF(controls!$B$10=1,hystere!N190+hystere!M190,hystere!Q190)</f>
        <v>-485.48750000000007</v>
      </c>
      <c r="Q190" s="61">
        <f ca="1">IF('main page'!$Y$53=1,'choose m.p.'!$I$22*100,R190)</f>
        <v>-485.48750000000007</v>
      </c>
      <c r="R190" s="83">
        <f ca="1">'main page'!$K$29*M190+(1-'main page'!$K$29)*controls!$B$9+S190+(('main page'!$K$25*'main page'!$U$13*'main page'!$K$29)/('main page'!$K$27*(1+('main page'!$K$25^2)*'main page'!$U$13)))*(M190-(controls!$B$9/100)*100)</f>
        <v>-485.48750000000007</v>
      </c>
      <c r="S190" s="81">
        <f ca="1">IF(controls!$B$33=1,(J191-E190*X191-B190)/'main page'!$K$27,(I191-E190*X191-B190)/'main page'!$K$27)</f>
        <v>53.45</v>
      </c>
      <c r="U190" s="58">
        <f>IF(controls!$B$6=1,$AG$4*(1+('main page'!$K$35/100))^V190-$AG$4*(1+('main page'!$K$35/100))^V189,$AG$4*(1+('main page'!$G$8/100))*(1+('main page'!$K$35/100))^V190-$AG$4*(1+('main page'!$G$8/100))*(1+('main page'!$K$35/100))^V189)</f>
        <v>0</v>
      </c>
      <c r="V190" s="60">
        <v>182</v>
      </c>
      <c r="W190" s="36">
        <f>'normal case'!AC189</f>
        <v>0</v>
      </c>
      <c r="X190" s="36">
        <f>'normal case'!AD189</f>
        <v>0</v>
      </c>
      <c r="Y190" s="44">
        <f ca="1">IF(controls!$B$33=1,E190-($J$4-'main page'!$K$27*2)*(1+('main page'!$K$35/100))^A189,E190-$AG$5)</f>
        <v>-99.9</v>
      </c>
      <c r="Z190" s="44">
        <f ca="1">ABS(M190-(controls!$B$9/100)*100)</f>
        <v>432.75000000000006</v>
      </c>
      <c r="AI190" s="36"/>
      <c r="AJ190" s="36"/>
    </row>
    <row r="191" spans="1:36">
      <c r="A191" s="43">
        <v>188</v>
      </c>
      <c r="B191" s="62">
        <f ca="1">IF(controls!$B$6=2,AVERAGE(E187:E190)+B190*W191+hystere!$AG$9,AVERAGE(E187:E190)+B190*W191)</f>
        <v>1.1000000000000001</v>
      </c>
      <c r="C191" s="67">
        <f t="shared" ca="1" si="13"/>
        <v>0</v>
      </c>
      <c r="D191" s="88">
        <f t="shared" ca="1" si="14"/>
        <v>-1</v>
      </c>
      <c r="E191" s="64">
        <f t="shared" ca="1" si="15"/>
        <v>0.1</v>
      </c>
      <c r="F191" s="64">
        <f ca="1">IF('main page'!$K$34=1,hystere!H191,hystere!G191)</f>
        <v>-753.50000000000011</v>
      </c>
      <c r="G191" s="78">
        <f ca="1">I191-'main page'!$K$27*hystere!N190</f>
        <v>-753.50000000000011</v>
      </c>
      <c r="H191" s="62">
        <f ca="1">J191-'main page'!$K$27*N190</f>
        <v>-753.50000000000011</v>
      </c>
      <c r="I191" s="62">
        <f t="shared" ca="1" si="16"/>
        <v>108</v>
      </c>
      <c r="J191" s="62">
        <f t="shared" ca="1" si="17"/>
        <v>108</v>
      </c>
      <c r="M191" s="62">
        <f ca="1">IF(ABS('main page'!$K$29*M190+(1-'main page'!$K$29)*(controls!$B$9/100)*100+'main page'!$K$25*(E191-B191)-M190)&lt;0.0000001,M190,'main page'!$K$29*M190+(1-'main page'!$K$29)*(controls!$B$9/100)*100+'main page'!$K$25*(E191-B191))</f>
        <v>-431.75000000000006</v>
      </c>
      <c r="N191" s="62">
        <f ca="1">IF(controls!$B$10=1,N190,O191-'main page'!$K$29*M191-(1-'main page'!$K$29)*controls!$B$9)</f>
        <v>431.75000000000006</v>
      </c>
      <c r="O191" s="61">
        <f t="shared" ca="1" si="12"/>
        <v>0</v>
      </c>
      <c r="P191" s="63">
        <f ca="1">IF(controls!$B$10=1,hystere!N191+hystere!M191,hystere!Q191)</f>
        <v>-486.73750000000007</v>
      </c>
      <c r="Q191" s="61">
        <f ca="1">IF('main page'!$Y$53=1,'choose m.p.'!$I$22*100,R191)</f>
        <v>-486.73750000000007</v>
      </c>
      <c r="R191" s="83">
        <f ca="1">'main page'!$K$29*M191+(1-'main page'!$K$29)*controls!$B$9+S191+(('main page'!$K$25*'main page'!$U$13*'main page'!$K$29)/('main page'!$K$27*(1+('main page'!$K$25^2)*'main page'!$U$13)))*(M191-(controls!$B$9/100)*100)</f>
        <v>-486.73750000000007</v>
      </c>
      <c r="S191" s="81">
        <f ca="1">IF(controls!$B$33=1,(J192-E191*X192-B191)/'main page'!$K$27,(I192-E191*X192-B191)/'main page'!$K$27)</f>
        <v>53.45</v>
      </c>
      <c r="U191" s="58">
        <f>IF(controls!$B$6=1,$AG$4*(1+('main page'!$K$35/100))^V191-$AG$4*(1+('main page'!$K$35/100))^V190,$AG$4*(1+('main page'!$G$8/100))*(1+('main page'!$K$35/100))^V191-$AG$4*(1+('main page'!$G$8/100))*(1+('main page'!$K$35/100))^V190)</f>
        <v>0</v>
      </c>
      <c r="V191" s="60">
        <v>183</v>
      </c>
      <c r="W191" s="36">
        <f>'normal case'!AC190</f>
        <v>0</v>
      </c>
      <c r="X191" s="36">
        <f>'normal case'!AD190</f>
        <v>0</v>
      </c>
      <c r="Y191" s="44">
        <f ca="1">IF(controls!$B$33=1,E191-($J$4-'main page'!$K$27*2)*(1+('main page'!$K$35/100))^A190,E191-$AG$5)</f>
        <v>-99.9</v>
      </c>
      <c r="Z191" s="44">
        <f ca="1">ABS(M191-(controls!$B$9/100)*100)</f>
        <v>433.75000000000006</v>
      </c>
      <c r="AI191" s="36"/>
      <c r="AJ191" s="36"/>
    </row>
    <row r="192" spans="1:36">
      <c r="A192" s="43">
        <v>189</v>
      </c>
      <c r="B192" s="62">
        <f ca="1">IF(controls!$B$6=2,AVERAGE(E188:E191)+B191*W192+hystere!$AG$9,AVERAGE(E188:E191)+B191*W192)</f>
        <v>1.1000000000000001</v>
      </c>
      <c r="C192" s="67">
        <f t="shared" ca="1" si="13"/>
        <v>0</v>
      </c>
      <c r="D192" s="88">
        <f t="shared" ca="1" si="14"/>
        <v>-1</v>
      </c>
      <c r="E192" s="64">
        <f t="shared" ca="1" si="15"/>
        <v>0.1</v>
      </c>
      <c r="F192" s="64">
        <f ca="1">IF('main page'!$K$34=1,hystere!H192,hystere!G192)</f>
        <v>-755.50000000000011</v>
      </c>
      <c r="G192" s="78">
        <f ca="1">I192-'main page'!$K$27*hystere!N191</f>
        <v>-755.50000000000011</v>
      </c>
      <c r="H192" s="62">
        <f ca="1">J192-'main page'!$K$27*N191</f>
        <v>-755.50000000000011</v>
      </c>
      <c r="I192" s="62">
        <f t="shared" ca="1" si="16"/>
        <v>108</v>
      </c>
      <c r="J192" s="62">
        <f t="shared" ca="1" si="17"/>
        <v>108</v>
      </c>
      <c r="M192" s="62">
        <f ca="1">IF(ABS('main page'!$K$29*M191+(1-'main page'!$K$29)*(controls!$B$9/100)*100+'main page'!$K$25*(E192-B192)-M191)&lt;0.0000001,M191,'main page'!$K$29*M191+(1-'main page'!$K$29)*(controls!$B$9/100)*100+'main page'!$K$25*(E192-B192))</f>
        <v>-432.75000000000006</v>
      </c>
      <c r="N192" s="62">
        <f ca="1">IF(controls!$B$10=1,N191,O192-'main page'!$K$29*M192-(1-'main page'!$K$29)*controls!$B$9)</f>
        <v>432.75000000000006</v>
      </c>
      <c r="O192" s="61">
        <f t="shared" ca="1" si="12"/>
        <v>0</v>
      </c>
      <c r="P192" s="63">
        <f ca="1">IF(controls!$B$10=1,hystere!N192+hystere!M192,hystere!Q192)</f>
        <v>-487.98750000000007</v>
      </c>
      <c r="Q192" s="61">
        <f ca="1">IF('main page'!$Y$53=1,'choose m.p.'!$I$22*100,R192)</f>
        <v>-487.98750000000007</v>
      </c>
      <c r="R192" s="83">
        <f ca="1">'main page'!$K$29*M192+(1-'main page'!$K$29)*controls!$B$9+S192+(('main page'!$K$25*'main page'!$U$13*'main page'!$K$29)/('main page'!$K$27*(1+('main page'!$K$25^2)*'main page'!$U$13)))*(M192-(controls!$B$9/100)*100)</f>
        <v>-487.98750000000007</v>
      </c>
      <c r="S192" s="81">
        <f ca="1">IF(controls!$B$33=1,(J193-E192*X193-B192)/'main page'!$K$27,(I193-E192*X193-B192)/'main page'!$K$27)</f>
        <v>53.45</v>
      </c>
      <c r="U192" s="58">
        <f>IF(controls!$B$6=1,$AG$4*(1+('main page'!$K$35/100))^V192-$AG$4*(1+('main page'!$K$35/100))^V191,$AG$4*(1+('main page'!$G$8/100))*(1+('main page'!$K$35/100))^V192-$AG$4*(1+('main page'!$G$8/100))*(1+('main page'!$K$35/100))^V191)</f>
        <v>0</v>
      </c>
      <c r="V192" s="60">
        <v>184</v>
      </c>
      <c r="W192" s="36">
        <f ca="1">'normal case'!AC191</f>
        <v>0</v>
      </c>
      <c r="X192" s="36">
        <f ca="1">'normal case'!AD191</f>
        <v>0</v>
      </c>
      <c r="Y192" s="44">
        <f ca="1">IF(controls!$B$33=1,E192-($J$4-'main page'!$K$27*2)*(1+('main page'!$K$35/100))^A191,E192-$AG$5)</f>
        <v>-99.9</v>
      </c>
      <c r="Z192" s="44">
        <f ca="1">ABS(M192-(controls!$B$9/100)*100)</f>
        <v>434.75000000000006</v>
      </c>
      <c r="AI192" s="36"/>
      <c r="AJ192" s="36"/>
    </row>
    <row r="193" spans="1:36">
      <c r="A193" s="43">
        <v>190</v>
      </c>
      <c r="B193" s="62">
        <f ca="1">IF(controls!$B$6=2,AVERAGE(E189:E192)+B192*W193+hystere!$AG$9,AVERAGE(E189:E192)+B192*W193)</f>
        <v>1.1000000000000001</v>
      </c>
      <c r="C193" s="67">
        <f t="shared" ca="1" si="13"/>
        <v>0</v>
      </c>
      <c r="D193" s="88">
        <f t="shared" ca="1" si="14"/>
        <v>-1</v>
      </c>
      <c r="E193" s="64">
        <f t="shared" ca="1" si="15"/>
        <v>0.1</v>
      </c>
      <c r="F193" s="64">
        <f ca="1">IF('main page'!$K$34=1,hystere!H193,hystere!G193)</f>
        <v>-757.50000000000011</v>
      </c>
      <c r="G193" s="78">
        <f ca="1">I193-'main page'!$K$27*hystere!N192</f>
        <v>-757.50000000000011</v>
      </c>
      <c r="H193" s="62">
        <f ca="1">J193-'main page'!$K$27*N192</f>
        <v>-757.50000000000011</v>
      </c>
      <c r="I193" s="62">
        <f t="shared" ca="1" si="16"/>
        <v>108</v>
      </c>
      <c r="J193" s="62">
        <f t="shared" ca="1" si="17"/>
        <v>108</v>
      </c>
      <c r="M193" s="62">
        <f ca="1">IF(ABS('main page'!$K$29*M192+(1-'main page'!$K$29)*(controls!$B$9/100)*100+'main page'!$K$25*(E193-B193)-M192)&lt;0.0000001,M192,'main page'!$K$29*M192+(1-'main page'!$K$29)*(controls!$B$9/100)*100+'main page'!$K$25*(E193-B193))</f>
        <v>-433.75000000000006</v>
      </c>
      <c r="N193" s="62">
        <f ca="1">IF(controls!$B$10=1,N192,O193-'main page'!$K$29*M193-(1-'main page'!$K$29)*controls!$B$9)</f>
        <v>433.75000000000006</v>
      </c>
      <c r="O193" s="61">
        <f t="shared" ca="1" si="12"/>
        <v>0</v>
      </c>
      <c r="P193" s="63">
        <f ca="1">IF(controls!$B$10=1,hystere!N193+hystere!M193,hystere!Q193)</f>
        <v>-489.23750000000007</v>
      </c>
      <c r="Q193" s="61">
        <f ca="1">IF('main page'!$Y$53=1,'choose m.p.'!$I$22*100,R193)</f>
        <v>-489.23750000000007</v>
      </c>
      <c r="R193" s="83">
        <f ca="1">'main page'!$K$29*M193+(1-'main page'!$K$29)*controls!$B$9+S193+(('main page'!$K$25*'main page'!$U$13*'main page'!$K$29)/('main page'!$K$27*(1+('main page'!$K$25^2)*'main page'!$U$13)))*(M193-(controls!$B$9/100)*100)</f>
        <v>-489.23750000000007</v>
      </c>
      <c r="S193" s="81">
        <f ca="1">IF(controls!$B$33=1,(J194-E193*X194-B193)/'main page'!$K$27,(I194-E193*X194-B193)/'main page'!$K$27)</f>
        <v>53.45</v>
      </c>
      <c r="U193" s="58">
        <f>IF(controls!$B$6=1,$AG$4*(1+('main page'!$K$35/100))^V193-$AG$4*(1+('main page'!$K$35/100))^V192,$AG$4*(1+('main page'!$G$8/100))*(1+('main page'!$K$35/100))^V193-$AG$4*(1+('main page'!$G$8/100))*(1+('main page'!$K$35/100))^V192)</f>
        <v>0</v>
      </c>
      <c r="V193" s="60">
        <v>185</v>
      </c>
      <c r="W193" s="36">
        <f>'normal case'!AC192</f>
        <v>0</v>
      </c>
      <c r="X193" s="36">
        <f>'normal case'!AD192</f>
        <v>0</v>
      </c>
      <c r="Y193" s="44">
        <f ca="1">IF(controls!$B$33=1,E193-($J$4-'main page'!$K$27*2)*(1+('main page'!$K$35/100))^A192,E193-$AG$5)</f>
        <v>-99.9</v>
      </c>
      <c r="Z193" s="44">
        <f ca="1">ABS(M193-(controls!$B$9/100)*100)</f>
        <v>435.75000000000006</v>
      </c>
      <c r="AI193" s="36"/>
      <c r="AJ193" s="36"/>
    </row>
    <row r="194" spans="1:36">
      <c r="A194" s="43">
        <v>191</v>
      </c>
      <c r="B194" s="62">
        <f ca="1">IF(controls!$B$6=2,AVERAGE(E190:E193)+B193*W194+hystere!$AG$9,AVERAGE(E190:E193)+B193*W194)</f>
        <v>1.1000000000000001</v>
      </c>
      <c r="C194" s="67">
        <f t="shared" ca="1" si="13"/>
        <v>0</v>
      </c>
      <c r="D194" s="88">
        <f t="shared" ca="1" si="14"/>
        <v>-1</v>
      </c>
      <c r="E194" s="64">
        <f t="shared" ca="1" si="15"/>
        <v>0.1</v>
      </c>
      <c r="F194" s="64">
        <f ca="1">IF('main page'!$K$34=1,hystere!H194,hystere!G194)</f>
        <v>-759.50000000000011</v>
      </c>
      <c r="G194" s="78">
        <f ca="1">I194-'main page'!$K$27*hystere!N193</f>
        <v>-759.50000000000011</v>
      </c>
      <c r="H194" s="62">
        <f ca="1">J194-'main page'!$K$27*N193</f>
        <v>-759.50000000000011</v>
      </c>
      <c r="I194" s="62">
        <f t="shared" ca="1" si="16"/>
        <v>108</v>
      </c>
      <c r="J194" s="62">
        <f t="shared" ca="1" si="17"/>
        <v>108</v>
      </c>
      <c r="M194" s="62">
        <f ca="1">IF(ABS('main page'!$K$29*M193+(1-'main page'!$K$29)*(controls!$B$9/100)*100+'main page'!$K$25*(E194-B194)-M193)&lt;0.0000001,M193,'main page'!$K$29*M193+(1-'main page'!$K$29)*(controls!$B$9/100)*100+'main page'!$K$25*(E194-B194))</f>
        <v>-434.75000000000006</v>
      </c>
      <c r="N194" s="62">
        <f ca="1">IF(controls!$B$10=1,N193,O194-'main page'!$K$29*M194-(1-'main page'!$K$29)*controls!$B$9)</f>
        <v>434.75000000000006</v>
      </c>
      <c r="O194" s="61">
        <f t="shared" ca="1" si="12"/>
        <v>0</v>
      </c>
      <c r="P194" s="63">
        <f ca="1">IF(controls!$B$10=1,hystere!N194+hystere!M194,hystere!Q194)</f>
        <v>-490.48750000000007</v>
      </c>
      <c r="Q194" s="61">
        <f ca="1">IF('main page'!$Y$53=1,'choose m.p.'!$I$22*100,R194)</f>
        <v>-490.48750000000007</v>
      </c>
      <c r="R194" s="83">
        <f ca="1">'main page'!$K$29*M194+(1-'main page'!$K$29)*controls!$B$9+S194+(('main page'!$K$25*'main page'!$U$13*'main page'!$K$29)/('main page'!$K$27*(1+('main page'!$K$25^2)*'main page'!$U$13)))*(M194-(controls!$B$9/100)*100)</f>
        <v>-490.48750000000007</v>
      </c>
      <c r="S194" s="81">
        <f ca="1">IF(controls!$B$33=1,(J195-E194*X195-B194)/'main page'!$K$27,(I195-E194*X195-B194)/'main page'!$K$27)</f>
        <v>53.45</v>
      </c>
      <c r="U194" s="58">
        <f>IF(controls!$B$6=1,$AG$4*(1+('main page'!$K$35/100))^V194-$AG$4*(1+('main page'!$K$35/100))^V193,$AG$4*(1+('main page'!$G$8/100))*(1+('main page'!$K$35/100))^V194-$AG$4*(1+('main page'!$G$8/100))*(1+('main page'!$K$35/100))^V193)</f>
        <v>0</v>
      </c>
      <c r="V194" s="60">
        <v>186</v>
      </c>
      <c r="W194" s="36">
        <f>'normal case'!AC193</f>
        <v>0</v>
      </c>
      <c r="X194" s="36">
        <f>'normal case'!AD193</f>
        <v>0</v>
      </c>
      <c r="Y194" s="44">
        <f ca="1">IF(controls!$B$33=1,E194-($J$4-'main page'!$K$27*2)*(1+('main page'!$K$35/100))^A193,E194-$AG$5)</f>
        <v>-99.9</v>
      </c>
      <c r="Z194" s="44">
        <f ca="1">ABS(M194-(controls!$B$9/100)*100)</f>
        <v>436.75000000000006</v>
      </c>
      <c r="AI194" s="36"/>
      <c r="AJ194" s="36"/>
    </row>
    <row r="195" spans="1:36">
      <c r="A195" s="43">
        <v>192</v>
      </c>
      <c r="B195" s="62">
        <f ca="1">IF(controls!$B$6=2,AVERAGE(E191:E194)+B194*W195+hystere!$AG$9,AVERAGE(E191:E194)+B194*W195)</f>
        <v>1.1000000000000001</v>
      </c>
      <c r="C195" s="67">
        <f t="shared" ca="1" si="13"/>
        <v>0</v>
      </c>
      <c r="D195" s="88">
        <f t="shared" ca="1" si="14"/>
        <v>-1</v>
      </c>
      <c r="E195" s="64">
        <f t="shared" ca="1" si="15"/>
        <v>0.1</v>
      </c>
      <c r="F195" s="64">
        <f ca="1">IF('main page'!$K$34=1,hystere!H195,hystere!G195)</f>
        <v>-761.50000000000011</v>
      </c>
      <c r="G195" s="78">
        <f ca="1">I195-'main page'!$K$27*hystere!N194</f>
        <v>-761.50000000000011</v>
      </c>
      <c r="H195" s="62">
        <f ca="1">J195-'main page'!$K$27*N194</f>
        <v>-761.50000000000011</v>
      </c>
      <c r="I195" s="62">
        <f t="shared" ca="1" si="16"/>
        <v>108</v>
      </c>
      <c r="J195" s="62">
        <f t="shared" ca="1" si="17"/>
        <v>108</v>
      </c>
      <c r="M195" s="62">
        <f ca="1">IF(ABS('main page'!$K$29*M194+(1-'main page'!$K$29)*(controls!$B$9/100)*100+'main page'!$K$25*(E195-B195)-M194)&lt;0.0000001,M194,'main page'!$K$29*M194+(1-'main page'!$K$29)*(controls!$B$9/100)*100+'main page'!$K$25*(E195-B195))</f>
        <v>-435.75000000000006</v>
      </c>
      <c r="N195" s="62">
        <f ca="1">IF(controls!$B$10=1,N194,O195-'main page'!$K$29*M195-(1-'main page'!$K$29)*controls!$B$9)</f>
        <v>435.75000000000006</v>
      </c>
      <c r="O195" s="61">
        <f t="shared" ca="1" si="12"/>
        <v>0</v>
      </c>
      <c r="P195" s="63">
        <f ca="1">IF(controls!$B$10=1,hystere!N195+hystere!M195,hystere!Q195)</f>
        <v>-491.73750000000007</v>
      </c>
      <c r="Q195" s="61">
        <f ca="1">IF('main page'!$Y$53=1,'choose m.p.'!$I$22*100,R195)</f>
        <v>-491.73750000000007</v>
      </c>
      <c r="R195" s="83">
        <f ca="1">'main page'!$K$29*M195+(1-'main page'!$K$29)*controls!$B$9+S195+(('main page'!$K$25*'main page'!$U$13*'main page'!$K$29)/('main page'!$K$27*(1+('main page'!$K$25^2)*'main page'!$U$13)))*(M195-(controls!$B$9/100)*100)</f>
        <v>-491.73750000000007</v>
      </c>
      <c r="S195" s="81">
        <f ca="1">IF(controls!$B$33=1,(J196-E195*X196-B195)/'main page'!$K$27,(I196-E195*X196-B195)/'main page'!$K$27)</f>
        <v>53.45</v>
      </c>
      <c r="U195" s="58">
        <f>IF(controls!$B$6=1,$AG$4*(1+('main page'!$K$35/100))^V195-$AG$4*(1+('main page'!$K$35/100))^V194,$AG$4*(1+('main page'!$G$8/100))*(1+('main page'!$K$35/100))^V195-$AG$4*(1+('main page'!$G$8/100))*(1+('main page'!$K$35/100))^V194)</f>
        <v>0</v>
      </c>
      <c r="V195" s="60">
        <v>187</v>
      </c>
      <c r="W195" s="36">
        <f ca="1">'normal case'!AC194</f>
        <v>0</v>
      </c>
      <c r="X195" s="36">
        <f ca="1">'normal case'!AD194</f>
        <v>0</v>
      </c>
      <c r="Y195" s="44">
        <f ca="1">IF(controls!$B$33=1,E195-($J$4-'main page'!$K$27*2)*(1+('main page'!$K$35/100))^A194,E195-$AG$5)</f>
        <v>-99.9</v>
      </c>
      <c r="Z195" s="44">
        <f ca="1">ABS(M195-(controls!$B$9/100)*100)</f>
        <v>437.75000000000006</v>
      </c>
      <c r="AI195" s="36"/>
      <c r="AJ195" s="36"/>
    </row>
    <row r="196" spans="1:36">
      <c r="A196" s="43">
        <v>193</v>
      </c>
      <c r="B196" s="62">
        <f ca="1">IF(controls!$B$6=2,AVERAGE(E192:E195)+B195*W196+hystere!$AG$9,AVERAGE(E192:E195)+B195*W196)</f>
        <v>1.1000000000000001</v>
      </c>
      <c r="C196" s="67">
        <f t="shared" ca="1" si="13"/>
        <v>0</v>
      </c>
      <c r="D196" s="88">
        <f t="shared" ca="1" si="14"/>
        <v>-1</v>
      </c>
      <c r="E196" s="64">
        <f t="shared" ca="1" si="15"/>
        <v>0.1</v>
      </c>
      <c r="F196" s="64">
        <f ca="1">IF('main page'!$K$34=1,hystere!H196,hystere!G196)</f>
        <v>-763.50000000000011</v>
      </c>
      <c r="G196" s="78">
        <f ca="1">I196-'main page'!$K$27*hystere!N195</f>
        <v>-763.50000000000011</v>
      </c>
      <c r="H196" s="62">
        <f ca="1">J196-'main page'!$K$27*N195</f>
        <v>-763.50000000000011</v>
      </c>
      <c r="I196" s="62">
        <f t="shared" ca="1" si="16"/>
        <v>108</v>
      </c>
      <c r="J196" s="62">
        <f t="shared" ca="1" si="17"/>
        <v>108</v>
      </c>
      <c r="M196" s="62">
        <f ca="1">IF(ABS('main page'!$K$29*M195+(1-'main page'!$K$29)*(controls!$B$9/100)*100+'main page'!$K$25*(E196-B196)-M195)&lt;0.0000001,M195,'main page'!$K$29*M195+(1-'main page'!$K$29)*(controls!$B$9/100)*100+'main page'!$K$25*(E196-B196))</f>
        <v>-436.75000000000006</v>
      </c>
      <c r="N196" s="62">
        <f ca="1">IF(controls!$B$10=1,N195,O196-'main page'!$K$29*M196-(1-'main page'!$K$29)*controls!$B$9)</f>
        <v>436.75000000000006</v>
      </c>
      <c r="O196" s="61">
        <f t="shared" ref="O196:O259" ca="1" si="18">IF(P196&lt;0,0,P196)</f>
        <v>0</v>
      </c>
      <c r="P196" s="63">
        <f ca="1">IF(controls!$B$10=1,hystere!N196+hystere!M196,hystere!Q196)</f>
        <v>-492.98750000000007</v>
      </c>
      <c r="Q196" s="61">
        <f ca="1">IF('main page'!$Y$53=1,'choose m.p.'!$I$22*100,R196)</f>
        <v>-492.98750000000007</v>
      </c>
      <c r="R196" s="83">
        <f ca="1">'main page'!$K$29*M196+(1-'main page'!$K$29)*controls!$B$9+S196+(('main page'!$K$25*'main page'!$U$13*'main page'!$K$29)/('main page'!$K$27*(1+('main page'!$K$25^2)*'main page'!$U$13)))*(M196-(controls!$B$9/100)*100)</f>
        <v>-492.98750000000007</v>
      </c>
      <c r="S196" s="81">
        <f ca="1">IF(controls!$B$33=1,(J197-E196*X197-B196)/'main page'!$K$27,(I197-E196*X197-B196)/'main page'!$K$27)</f>
        <v>53.45</v>
      </c>
      <c r="U196" s="58">
        <f>IF(controls!$B$6=1,$AG$4*(1+('main page'!$K$35/100))^V196-$AG$4*(1+('main page'!$K$35/100))^V195,$AG$4*(1+('main page'!$G$8/100))*(1+('main page'!$K$35/100))^V196-$AG$4*(1+('main page'!$G$8/100))*(1+('main page'!$K$35/100))^V195)</f>
        <v>0</v>
      </c>
      <c r="V196" s="60">
        <v>188</v>
      </c>
      <c r="W196" s="36">
        <f>'normal case'!AC195</f>
        <v>0</v>
      </c>
      <c r="X196" s="36">
        <f>'normal case'!AD195</f>
        <v>0</v>
      </c>
      <c r="Y196" s="44">
        <f ca="1">IF(controls!$B$33=1,E196-($J$4-'main page'!$K$27*2)*(1+('main page'!$K$35/100))^A195,E196-$AG$5)</f>
        <v>-99.9</v>
      </c>
      <c r="Z196" s="44">
        <f ca="1">ABS(M196-(controls!$B$9/100)*100)</f>
        <v>438.75000000000006</v>
      </c>
      <c r="AI196" s="36"/>
      <c r="AJ196" s="36"/>
    </row>
    <row r="197" spans="1:36">
      <c r="A197" s="43">
        <v>194</v>
      </c>
      <c r="B197" s="62">
        <f ca="1">IF(controls!$B$6=2,AVERAGE(E193:E196)+B196*W197+hystere!$AG$9,AVERAGE(E193:E196)+B196*W197)</f>
        <v>1.1000000000000001</v>
      </c>
      <c r="C197" s="67">
        <f t="shared" ref="C197:C260" ca="1" si="19">E197/E196-1</f>
        <v>0</v>
      </c>
      <c r="D197" s="88">
        <f t="shared" ref="D197:D260" ca="1" si="20">E197-B197</f>
        <v>-1</v>
      </c>
      <c r="E197" s="64">
        <f t="shared" ref="E197:E260" ca="1" si="21">IF(F197&gt;0,F197,0.1)</f>
        <v>0.1</v>
      </c>
      <c r="F197" s="64">
        <f ca="1">IF('main page'!$K$34=1,hystere!H197,hystere!G197)</f>
        <v>-765.50000000000011</v>
      </c>
      <c r="G197" s="78">
        <f ca="1">I197-'main page'!$K$27*hystere!N196</f>
        <v>-765.50000000000011</v>
      </c>
      <c r="H197" s="62">
        <f ca="1">J197-'main page'!$K$27*N196</f>
        <v>-765.50000000000011</v>
      </c>
      <c r="I197" s="62">
        <f t="shared" ca="1" si="16"/>
        <v>108</v>
      </c>
      <c r="J197" s="62">
        <f t="shared" ca="1" si="17"/>
        <v>108</v>
      </c>
      <c r="M197" s="62">
        <f ca="1">IF(ABS('main page'!$K$29*M196+(1-'main page'!$K$29)*(controls!$B$9/100)*100+'main page'!$K$25*(E197-B197)-M196)&lt;0.0000001,M196,'main page'!$K$29*M196+(1-'main page'!$K$29)*(controls!$B$9/100)*100+'main page'!$K$25*(E197-B197))</f>
        <v>-437.75000000000006</v>
      </c>
      <c r="N197" s="62">
        <f ca="1">IF(controls!$B$10=1,N196,O197-'main page'!$K$29*M197-(1-'main page'!$K$29)*controls!$B$9)</f>
        <v>437.75000000000006</v>
      </c>
      <c r="O197" s="61">
        <f t="shared" ca="1" si="18"/>
        <v>0</v>
      </c>
      <c r="P197" s="63">
        <f ca="1">IF(controls!$B$10=1,hystere!N197+hystere!M197,hystere!Q197)</f>
        <v>-494.23750000000007</v>
      </c>
      <c r="Q197" s="61">
        <f ca="1">IF('main page'!$Y$53=1,'choose m.p.'!$I$22*100,R197)</f>
        <v>-494.23750000000007</v>
      </c>
      <c r="R197" s="83">
        <f ca="1">'main page'!$K$29*M197+(1-'main page'!$K$29)*controls!$B$9+S197+(('main page'!$K$25*'main page'!$U$13*'main page'!$K$29)/('main page'!$K$27*(1+('main page'!$K$25^2)*'main page'!$U$13)))*(M197-(controls!$B$9/100)*100)</f>
        <v>-494.23750000000007</v>
      </c>
      <c r="S197" s="81">
        <f ca="1">IF(controls!$B$33=1,(J198-E197*X198-B197)/'main page'!$K$27,(I198-E197*X198-B197)/'main page'!$K$27)</f>
        <v>53.45</v>
      </c>
      <c r="U197" s="58">
        <f>IF(controls!$B$6=1,$AG$4*(1+('main page'!$K$35/100))^V197-$AG$4*(1+('main page'!$K$35/100))^V196,$AG$4*(1+('main page'!$G$8/100))*(1+('main page'!$K$35/100))^V197-$AG$4*(1+('main page'!$G$8/100))*(1+('main page'!$K$35/100))^V196)</f>
        <v>0</v>
      </c>
      <c r="V197" s="60">
        <v>189</v>
      </c>
      <c r="W197" s="36">
        <f>'normal case'!AC196</f>
        <v>0</v>
      </c>
      <c r="X197" s="36">
        <f>'normal case'!AD196</f>
        <v>0</v>
      </c>
      <c r="Y197" s="44">
        <f ca="1">IF(controls!$B$33=1,E197-($J$4-'main page'!$K$27*2)*(1+('main page'!$K$35/100))^A196,E197-$AG$5)</f>
        <v>-99.9</v>
      </c>
      <c r="Z197" s="44">
        <f ca="1">ABS(M197-(controls!$B$9/100)*100)</f>
        <v>439.75000000000006</v>
      </c>
      <c r="AI197" s="36"/>
      <c r="AJ197" s="36"/>
    </row>
    <row r="198" spans="1:36">
      <c r="A198" s="43">
        <v>195</v>
      </c>
      <c r="B198" s="62">
        <f ca="1">IF(controls!$B$6=2,AVERAGE(E194:E197)+B197*W198+hystere!$AG$9,AVERAGE(E194:E197)+B197*W198)</f>
        <v>1.1000000000000001</v>
      </c>
      <c r="C198" s="67">
        <f t="shared" ca="1" si="19"/>
        <v>0</v>
      </c>
      <c r="D198" s="88">
        <f t="shared" ca="1" si="20"/>
        <v>-1</v>
      </c>
      <c r="E198" s="64">
        <f t="shared" ca="1" si="21"/>
        <v>0.1</v>
      </c>
      <c r="F198" s="64">
        <f ca="1">IF('main page'!$K$34=1,hystere!H198,hystere!G198)</f>
        <v>-767.50000000000011</v>
      </c>
      <c r="G198" s="78">
        <f ca="1">I198-'main page'!$K$27*hystere!N197</f>
        <v>-767.50000000000011</v>
      </c>
      <c r="H198" s="62">
        <f ca="1">J198-'main page'!$K$27*N197</f>
        <v>-767.50000000000011</v>
      </c>
      <c r="I198" s="62">
        <f t="shared" ca="1" si="16"/>
        <v>108</v>
      </c>
      <c r="J198" s="62">
        <f t="shared" ca="1" si="17"/>
        <v>108</v>
      </c>
      <c r="M198" s="62">
        <f ca="1">IF(ABS('main page'!$K$29*M197+(1-'main page'!$K$29)*(controls!$B$9/100)*100+'main page'!$K$25*(E198-B198)-M197)&lt;0.0000001,M197,'main page'!$K$29*M197+(1-'main page'!$K$29)*(controls!$B$9/100)*100+'main page'!$K$25*(E198-B198))</f>
        <v>-438.75000000000006</v>
      </c>
      <c r="N198" s="62">
        <f ca="1">IF(controls!$B$10=1,N197,O198-'main page'!$K$29*M198-(1-'main page'!$K$29)*controls!$B$9)</f>
        <v>438.75000000000006</v>
      </c>
      <c r="O198" s="61">
        <f t="shared" ca="1" si="18"/>
        <v>0</v>
      </c>
      <c r="P198" s="63">
        <f ca="1">IF(controls!$B$10=1,hystere!N198+hystere!M198,hystere!Q198)</f>
        <v>-495.48750000000007</v>
      </c>
      <c r="Q198" s="61">
        <f ca="1">IF('main page'!$Y$53=1,'choose m.p.'!$I$22*100,R198)</f>
        <v>-495.48750000000007</v>
      </c>
      <c r="R198" s="83">
        <f ca="1">'main page'!$K$29*M198+(1-'main page'!$K$29)*controls!$B$9+S198+(('main page'!$K$25*'main page'!$U$13*'main page'!$K$29)/('main page'!$K$27*(1+('main page'!$K$25^2)*'main page'!$U$13)))*(M198-(controls!$B$9/100)*100)</f>
        <v>-495.48750000000007</v>
      </c>
      <c r="S198" s="81">
        <f ca="1">IF(controls!$B$33=1,(J199-E198*X199-B198)/'main page'!$K$27,(I199-E198*X199-B198)/'main page'!$K$27)</f>
        <v>53.45</v>
      </c>
      <c r="U198" s="58">
        <f>IF(controls!$B$6=1,$AG$4*(1+('main page'!$K$35/100))^V198-$AG$4*(1+('main page'!$K$35/100))^V197,$AG$4*(1+('main page'!$G$8/100))*(1+('main page'!$K$35/100))^V198-$AG$4*(1+('main page'!$G$8/100))*(1+('main page'!$K$35/100))^V197)</f>
        <v>0</v>
      </c>
      <c r="V198" s="60">
        <v>190</v>
      </c>
      <c r="W198" s="36">
        <f ca="1">'normal case'!AC197</f>
        <v>0</v>
      </c>
      <c r="X198" s="36">
        <f ca="1">'normal case'!AD197</f>
        <v>0</v>
      </c>
      <c r="Y198" s="44">
        <f ca="1">IF(controls!$B$33=1,E198-($J$4-'main page'!$K$27*2)*(1+('main page'!$K$35/100))^A197,E198-$AG$5)</f>
        <v>-99.9</v>
      </c>
      <c r="Z198" s="44">
        <f ca="1">ABS(M198-(controls!$B$9/100)*100)</f>
        <v>440.75000000000006</v>
      </c>
      <c r="AI198" s="36"/>
      <c r="AJ198" s="36"/>
    </row>
    <row r="199" spans="1:36">
      <c r="A199" s="43">
        <v>196</v>
      </c>
      <c r="B199" s="62">
        <f ca="1">IF(controls!$B$6=2,AVERAGE(E195:E198)+B198*W199+hystere!$AG$9,AVERAGE(E195:E198)+B198*W199)</f>
        <v>1.1000000000000001</v>
      </c>
      <c r="C199" s="67">
        <f t="shared" ca="1" si="19"/>
        <v>0</v>
      </c>
      <c r="D199" s="88">
        <f t="shared" ca="1" si="20"/>
        <v>-1</v>
      </c>
      <c r="E199" s="64">
        <f t="shared" ca="1" si="21"/>
        <v>0.1</v>
      </c>
      <c r="F199" s="64">
        <f ca="1">IF('main page'!$K$34=1,hystere!H199,hystere!G199)</f>
        <v>-769.50000000000011</v>
      </c>
      <c r="G199" s="78">
        <f ca="1">I199-'main page'!$K$27*hystere!N198</f>
        <v>-769.50000000000011</v>
      </c>
      <c r="H199" s="62">
        <f ca="1">J199-'main page'!$K$27*N198</f>
        <v>-769.50000000000011</v>
      </c>
      <c r="I199" s="62">
        <f t="shared" ca="1" si="16"/>
        <v>108</v>
      </c>
      <c r="J199" s="62">
        <f t="shared" ca="1" si="17"/>
        <v>108</v>
      </c>
      <c r="M199" s="62">
        <f ca="1">IF(ABS('main page'!$K$29*M198+(1-'main page'!$K$29)*(controls!$B$9/100)*100+'main page'!$K$25*(E199-B199)-M198)&lt;0.0000001,M198,'main page'!$K$29*M198+(1-'main page'!$K$29)*(controls!$B$9/100)*100+'main page'!$K$25*(E199-B199))</f>
        <v>-439.75000000000006</v>
      </c>
      <c r="N199" s="62">
        <f ca="1">IF(controls!$B$10=1,N198,O199-'main page'!$K$29*M199-(1-'main page'!$K$29)*controls!$B$9)</f>
        <v>439.75000000000006</v>
      </c>
      <c r="O199" s="61">
        <f t="shared" ca="1" si="18"/>
        <v>0</v>
      </c>
      <c r="P199" s="63">
        <f ca="1">IF(controls!$B$10=1,hystere!N199+hystere!M199,hystere!Q199)</f>
        <v>-496.73750000000007</v>
      </c>
      <c r="Q199" s="61">
        <f ca="1">IF('main page'!$Y$53=1,'choose m.p.'!$I$22*100,R199)</f>
        <v>-496.73750000000007</v>
      </c>
      <c r="R199" s="83">
        <f ca="1">'main page'!$K$29*M199+(1-'main page'!$K$29)*controls!$B$9+S199+(('main page'!$K$25*'main page'!$U$13*'main page'!$K$29)/('main page'!$K$27*(1+('main page'!$K$25^2)*'main page'!$U$13)))*(M199-(controls!$B$9/100)*100)</f>
        <v>-496.73750000000007</v>
      </c>
      <c r="S199" s="81">
        <f ca="1">IF(controls!$B$33=1,(J200-E199*X200-B199)/'main page'!$K$27,(I200-E199*X200-B199)/'main page'!$K$27)</f>
        <v>53.45</v>
      </c>
      <c r="U199" s="58">
        <f>IF(controls!$B$6=1,$AG$4*(1+('main page'!$K$35/100))^V199-$AG$4*(1+('main page'!$K$35/100))^V198,$AG$4*(1+('main page'!$G$8/100))*(1+('main page'!$K$35/100))^V199-$AG$4*(1+('main page'!$G$8/100))*(1+('main page'!$K$35/100))^V198)</f>
        <v>0</v>
      </c>
      <c r="V199" s="60">
        <v>191</v>
      </c>
      <c r="W199" s="36">
        <f>'normal case'!AC198</f>
        <v>0</v>
      </c>
      <c r="X199" s="36">
        <f>'normal case'!AD198</f>
        <v>0</v>
      </c>
      <c r="Y199" s="44">
        <f ca="1">IF(controls!$B$33=1,E199-($J$4-'main page'!$K$27*2)*(1+('main page'!$K$35/100))^A198,E199-$AG$5)</f>
        <v>-99.9</v>
      </c>
      <c r="Z199" s="44">
        <f ca="1">ABS(M199-(controls!$B$9/100)*100)</f>
        <v>441.75000000000006</v>
      </c>
      <c r="AI199" s="36"/>
      <c r="AJ199" s="36"/>
    </row>
    <row r="200" spans="1:36">
      <c r="A200" s="43">
        <v>197</v>
      </c>
      <c r="B200" s="62">
        <f ca="1">IF(controls!$B$6=2,AVERAGE(E196:E199)+B199*W200+hystere!$AG$9,AVERAGE(E196:E199)+B199*W200)</f>
        <v>1.1000000000000001</v>
      </c>
      <c r="C200" s="67">
        <f t="shared" ca="1" si="19"/>
        <v>0</v>
      </c>
      <c r="D200" s="88">
        <f t="shared" ca="1" si="20"/>
        <v>-1</v>
      </c>
      <c r="E200" s="64">
        <f t="shared" ca="1" si="21"/>
        <v>0.1</v>
      </c>
      <c r="F200" s="64">
        <f ca="1">IF('main page'!$K$34=1,hystere!H200,hystere!G200)</f>
        <v>-771.50000000000011</v>
      </c>
      <c r="G200" s="78">
        <f ca="1">I200-'main page'!$K$27*hystere!N199</f>
        <v>-771.50000000000011</v>
      </c>
      <c r="H200" s="62">
        <f ca="1">J200-'main page'!$K$27*N199</f>
        <v>-771.50000000000011</v>
      </c>
      <c r="I200" s="62">
        <f t="shared" ca="1" si="16"/>
        <v>108</v>
      </c>
      <c r="J200" s="62">
        <f t="shared" ca="1" si="17"/>
        <v>108</v>
      </c>
      <c r="M200" s="62">
        <f ca="1">IF(ABS('main page'!$K$29*M199+(1-'main page'!$K$29)*(controls!$B$9/100)*100+'main page'!$K$25*(E200-B200)-M199)&lt;0.0000001,M199,'main page'!$K$29*M199+(1-'main page'!$K$29)*(controls!$B$9/100)*100+'main page'!$K$25*(E200-B200))</f>
        <v>-440.75000000000006</v>
      </c>
      <c r="N200" s="62">
        <f ca="1">IF(controls!$B$10=1,N199,O200-'main page'!$K$29*M200-(1-'main page'!$K$29)*controls!$B$9)</f>
        <v>440.75000000000006</v>
      </c>
      <c r="O200" s="61">
        <f t="shared" ca="1" si="18"/>
        <v>0</v>
      </c>
      <c r="P200" s="63">
        <f ca="1">IF(controls!$B$10=1,hystere!N200+hystere!M200,hystere!Q200)</f>
        <v>-497.98750000000007</v>
      </c>
      <c r="Q200" s="61">
        <f ca="1">IF('main page'!$Y$53=1,'choose m.p.'!$I$22*100,R200)</f>
        <v>-497.98750000000007</v>
      </c>
      <c r="R200" s="83">
        <f ca="1">'main page'!$K$29*M200+(1-'main page'!$K$29)*controls!$B$9+S200+(('main page'!$K$25*'main page'!$U$13*'main page'!$K$29)/('main page'!$K$27*(1+('main page'!$K$25^2)*'main page'!$U$13)))*(M200-(controls!$B$9/100)*100)</f>
        <v>-497.98750000000007</v>
      </c>
      <c r="S200" s="81">
        <f ca="1">IF(controls!$B$33=1,(J201-E200*X201-B200)/'main page'!$K$27,(I201-E200*X201-B200)/'main page'!$K$27)</f>
        <v>53.45</v>
      </c>
      <c r="U200" s="58">
        <f>IF(controls!$B$6=1,$AG$4*(1+('main page'!$K$35/100))^V200-$AG$4*(1+('main page'!$K$35/100))^V199,$AG$4*(1+('main page'!$G$8/100))*(1+('main page'!$K$35/100))^V200-$AG$4*(1+('main page'!$G$8/100))*(1+('main page'!$K$35/100))^V199)</f>
        <v>0</v>
      </c>
      <c r="V200" s="60">
        <v>192</v>
      </c>
      <c r="W200" s="36">
        <f>'normal case'!AC199</f>
        <v>0</v>
      </c>
      <c r="X200" s="36">
        <f>'normal case'!AD199</f>
        <v>0</v>
      </c>
      <c r="Y200" s="44">
        <f ca="1">IF(controls!$B$33=1,E200-($J$4-'main page'!$K$27*2)*(1+('main page'!$K$35/100))^A199,E200-$AG$5)</f>
        <v>-99.9</v>
      </c>
      <c r="Z200" s="44">
        <f ca="1">ABS(M200-(controls!$B$9/100)*100)</f>
        <v>442.75000000000006</v>
      </c>
      <c r="AI200" s="36"/>
      <c r="AJ200" s="36"/>
    </row>
    <row r="201" spans="1:36">
      <c r="A201" s="43">
        <v>198</v>
      </c>
      <c r="B201" s="62">
        <f ca="1">IF(controls!$B$6=2,AVERAGE(E197:E200)+B200*W201+hystere!$AG$9,AVERAGE(E197:E200)+B200*W201)</f>
        <v>1.1000000000000001</v>
      </c>
      <c r="C201" s="67">
        <f t="shared" ca="1" si="19"/>
        <v>0</v>
      </c>
      <c r="D201" s="88">
        <f t="shared" ca="1" si="20"/>
        <v>-1</v>
      </c>
      <c r="E201" s="64">
        <f t="shared" ca="1" si="21"/>
        <v>0.1</v>
      </c>
      <c r="F201" s="64">
        <f ca="1">IF('main page'!$K$34=1,hystere!H201,hystere!G201)</f>
        <v>-773.50000000000011</v>
      </c>
      <c r="G201" s="78">
        <f ca="1">I201-'main page'!$K$27*hystere!N200</f>
        <v>-773.50000000000011</v>
      </c>
      <c r="H201" s="62">
        <f ca="1">J201-'main page'!$K$27*N200</f>
        <v>-773.50000000000011</v>
      </c>
      <c r="I201" s="62">
        <f t="shared" ca="1" si="16"/>
        <v>108</v>
      </c>
      <c r="J201" s="62">
        <f t="shared" ca="1" si="17"/>
        <v>108</v>
      </c>
      <c r="M201" s="62">
        <f ca="1">IF(ABS('main page'!$K$29*M200+(1-'main page'!$K$29)*(controls!$B$9/100)*100+'main page'!$K$25*(E201-B201)-M200)&lt;0.0000001,M200,'main page'!$K$29*M200+(1-'main page'!$K$29)*(controls!$B$9/100)*100+'main page'!$K$25*(E201-B201))</f>
        <v>-441.75000000000006</v>
      </c>
      <c r="N201" s="62">
        <f ca="1">IF(controls!$B$10=1,N200,O201-'main page'!$K$29*M201-(1-'main page'!$K$29)*controls!$B$9)</f>
        <v>441.75000000000006</v>
      </c>
      <c r="O201" s="61">
        <f t="shared" ca="1" si="18"/>
        <v>0</v>
      </c>
      <c r="P201" s="63">
        <f ca="1">IF(controls!$B$10=1,hystere!N201+hystere!M201,hystere!Q201)</f>
        <v>-499.23750000000007</v>
      </c>
      <c r="Q201" s="61">
        <f ca="1">IF('main page'!$Y$53=1,'choose m.p.'!$I$22*100,R201)</f>
        <v>-499.23750000000007</v>
      </c>
      <c r="R201" s="83">
        <f ca="1">'main page'!$K$29*M201+(1-'main page'!$K$29)*controls!$B$9+S201+(('main page'!$K$25*'main page'!$U$13*'main page'!$K$29)/('main page'!$K$27*(1+('main page'!$K$25^2)*'main page'!$U$13)))*(M201-(controls!$B$9/100)*100)</f>
        <v>-499.23750000000007</v>
      </c>
      <c r="S201" s="81">
        <f ca="1">IF(controls!$B$33=1,(J202-E201*X202-B201)/'main page'!$K$27,(I202-E201*X202-B201)/'main page'!$K$27)</f>
        <v>53.45</v>
      </c>
      <c r="U201" s="58">
        <f>IF(controls!$B$6=1,$AG$4*(1+('main page'!$K$35/100))^V201-$AG$4*(1+('main page'!$K$35/100))^V200,$AG$4*(1+('main page'!$G$8/100))*(1+('main page'!$K$35/100))^V201-$AG$4*(1+('main page'!$G$8/100))*(1+('main page'!$K$35/100))^V200)</f>
        <v>0</v>
      </c>
      <c r="V201" s="60">
        <v>193</v>
      </c>
      <c r="W201" s="36">
        <f ca="1">'normal case'!AC200</f>
        <v>0</v>
      </c>
      <c r="X201" s="36">
        <f ca="1">'normal case'!AD200</f>
        <v>0</v>
      </c>
      <c r="Y201" s="44">
        <f ca="1">IF(controls!$B$33=1,E201-($J$4-'main page'!$K$27*2)*(1+('main page'!$K$35/100))^A200,E201-$AG$5)</f>
        <v>-99.9</v>
      </c>
      <c r="Z201" s="44">
        <f ca="1">ABS(M201-(controls!$B$9/100)*100)</f>
        <v>443.75000000000006</v>
      </c>
      <c r="AI201" s="36"/>
      <c r="AJ201" s="36"/>
    </row>
    <row r="202" spans="1:36">
      <c r="A202" s="43">
        <v>199</v>
      </c>
      <c r="B202" s="62">
        <f ca="1">IF(controls!$B$6=2,AVERAGE(E198:E201)+B201*W202+hystere!$AG$9,AVERAGE(E198:E201)+B201*W202)</f>
        <v>1.1000000000000001</v>
      </c>
      <c r="C202" s="67">
        <f t="shared" ca="1" si="19"/>
        <v>0</v>
      </c>
      <c r="D202" s="88">
        <f t="shared" ca="1" si="20"/>
        <v>-1</v>
      </c>
      <c r="E202" s="64">
        <f t="shared" ca="1" si="21"/>
        <v>0.1</v>
      </c>
      <c r="F202" s="64">
        <f ca="1">IF('main page'!$K$34=1,hystere!H202,hystere!G202)</f>
        <v>-775.50000000000011</v>
      </c>
      <c r="G202" s="78">
        <f ca="1">I202-'main page'!$K$27*hystere!N201</f>
        <v>-775.50000000000011</v>
      </c>
      <c r="H202" s="62">
        <f ca="1">J202-'main page'!$K$27*N201</f>
        <v>-775.50000000000011</v>
      </c>
      <c r="I202" s="62">
        <f t="shared" ca="1" si="16"/>
        <v>108</v>
      </c>
      <c r="J202" s="62">
        <f t="shared" ca="1" si="17"/>
        <v>108</v>
      </c>
      <c r="M202" s="62">
        <f ca="1">IF(ABS('main page'!$K$29*M201+(1-'main page'!$K$29)*(controls!$B$9/100)*100+'main page'!$K$25*(E202-B202)-M201)&lt;0.0000001,M201,'main page'!$K$29*M201+(1-'main page'!$K$29)*(controls!$B$9/100)*100+'main page'!$K$25*(E202-B202))</f>
        <v>-442.75000000000006</v>
      </c>
      <c r="N202" s="62">
        <f ca="1">IF(controls!$B$10=1,N201,O202-'main page'!$K$29*M202-(1-'main page'!$K$29)*controls!$B$9)</f>
        <v>442.75000000000006</v>
      </c>
      <c r="O202" s="61">
        <f t="shared" ca="1" si="18"/>
        <v>0</v>
      </c>
      <c r="P202" s="63">
        <f ca="1">IF(controls!$B$10=1,hystere!N202+hystere!M202,hystere!Q202)</f>
        <v>-500.48750000000007</v>
      </c>
      <c r="Q202" s="61">
        <f ca="1">IF('main page'!$Y$53=1,'choose m.p.'!$I$22*100,R202)</f>
        <v>-500.48750000000007</v>
      </c>
      <c r="R202" s="83">
        <f ca="1">'main page'!$K$29*M202+(1-'main page'!$K$29)*controls!$B$9+S202+(('main page'!$K$25*'main page'!$U$13*'main page'!$K$29)/('main page'!$K$27*(1+('main page'!$K$25^2)*'main page'!$U$13)))*(M202-(controls!$B$9/100)*100)</f>
        <v>-500.48750000000007</v>
      </c>
      <c r="S202" s="81">
        <f ca="1">IF(controls!$B$33=1,(J203-E202*X203-B202)/'main page'!$K$27,(I203-E202*X203-B202)/'main page'!$K$27)</f>
        <v>53.45</v>
      </c>
      <c r="U202" s="58">
        <f>IF(controls!$B$6=1,$AG$4*(1+('main page'!$K$35/100))^V202-$AG$4*(1+('main page'!$K$35/100))^V201,$AG$4*(1+('main page'!$G$8/100))*(1+('main page'!$K$35/100))^V202-$AG$4*(1+('main page'!$G$8/100))*(1+('main page'!$K$35/100))^V201)</f>
        <v>0</v>
      </c>
      <c r="V202" s="60">
        <v>194</v>
      </c>
      <c r="W202" s="36">
        <f>'normal case'!AC201</f>
        <v>0</v>
      </c>
      <c r="X202" s="36">
        <f>'normal case'!AD201</f>
        <v>0</v>
      </c>
      <c r="Y202" s="44">
        <f ca="1">IF(controls!$B$33=1,E202-($J$4-'main page'!$K$27*2)*(1+('main page'!$K$35/100))^A201,E202-$AG$5)</f>
        <v>-99.9</v>
      </c>
      <c r="Z202" s="44">
        <f ca="1">ABS(M202-(controls!$B$9/100)*100)</f>
        <v>444.75000000000006</v>
      </c>
      <c r="AI202" s="36"/>
      <c r="AJ202" s="36"/>
    </row>
    <row r="203" spans="1:36">
      <c r="A203" s="43">
        <v>200</v>
      </c>
      <c r="B203" s="62">
        <f ca="1">IF(controls!$B$6=2,AVERAGE(E199:E202)+B202*W203+hystere!$AG$9,AVERAGE(E199:E202)+B202*W203)</f>
        <v>1.1000000000000001</v>
      </c>
      <c r="C203" s="67">
        <f t="shared" ca="1" si="19"/>
        <v>0</v>
      </c>
      <c r="D203" s="88">
        <f t="shared" ca="1" si="20"/>
        <v>-1</v>
      </c>
      <c r="E203" s="64">
        <f t="shared" ca="1" si="21"/>
        <v>0.1</v>
      </c>
      <c r="F203" s="64">
        <f ca="1">IF('main page'!$K$34=1,hystere!H203,hystere!G203)</f>
        <v>-777.50000000000011</v>
      </c>
      <c r="G203" s="78">
        <f ca="1">I203-'main page'!$K$27*hystere!N202</f>
        <v>-777.50000000000011</v>
      </c>
      <c r="H203" s="62">
        <f ca="1">J203-'main page'!$K$27*N202</f>
        <v>-777.50000000000011</v>
      </c>
      <c r="I203" s="62">
        <f t="shared" ca="1" si="16"/>
        <v>108</v>
      </c>
      <c r="J203" s="62">
        <f t="shared" ca="1" si="17"/>
        <v>108</v>
      </c>
      <c r="M203" s="62">
        <f ca="1">IF(ABS('main page'!$K$29*M202+(1-'main page'!$K$29)*(controls!$B$9/100)*100+'main page'!$K$25*(E203-B203)-M202)&lt;0.0000001,M202,'main page'!$K$29*M202+(1-'main page'!$K$29)*(controls!$B$9/100)*100+'main page'!$K$25*(E203-B203))</f>
        <v>-443.75000000000006</v>
      </c>
      <c r="N203" s="62">
        <f ca="1">IF(controls!$B$10=1,N202,O203-'main page'!$K$29*M203-(1-'main page'!$K$29)*controls!$B$9)</f>
        <v>443.75000000000006</v>
      </c>
      <c r="O203" s="61">
        <f t="shared" ca="1" si="18"/>
        <v>0</v>
      </c>
      <c r="P203" s="63">
        <f ca="1">IF(controls!$B$10=1,hystere!N203+hystere!M203,hystere!Q203)</f>
        <v>-501.73750000000007</v>
      </c>
      <c r="Q203" s="61">
        <f ca="1">IF('main page'!$Y$53=1,'choose m.p.'!$I$22*100,R203)</f>
        <v>-501.73750000000007</v>
      </c>
      <c r="R203" s="83">
        <f ca="1">'main page'!$K$29*M203+(1-'main page'!$K$29)*controls!$B$9+S203+(('main page'!$K$25*'main page'!$U$13*'main page'!$K$29)/('main page'!$K$27*(1+('main page'!$K$25^2)*'main page'!$U$13)))*(M203-(controls!$B$9/100)*100)</f>
        <v>-501.73750000000007</v>
      </c>
      <c r="S203" s="81">
        <f ca="1">IF(controls!$B$33=1,(J204-E203*X204-B203)/'main page'!$K$27,(I204-E203*X204-B203)/'main page'!$K$27)</f>
        <v>53.45</v>
      </c>
      <c r="U203" s="58">
        <f>IF(controls!$B$6=1,$AG$4*(1+('main page'!$K$35/100))^V203-$AG$4*(1+('main page'!$K$35/100))^V202,$AG$4*(1+('main page'!$G$8/100))*(1+('main page'!$K$35/100))^V203-$AG$4*(1+('main page'!$G$8/100))*(1+('main page'!$K$35/100))^V202)</f>
        <v>0</v>
      </c>
      <c r="V203" s="60">
        <v>195</v>
      </c>
      <c r="W203" s="36">
        <f>'normal case'!AC202</f>
        <v>0</v>
      </c>
      <c r="X203" s="36">
        <f>'normal case'!AD202</f>
        <v>0</v>
      </c>
      <c r="Y203" s="44">
        <f ca="1">IF(controls!$B$33=1,E203-($J$4-'main page'!$K$27*2)*(1+('main page'!$K$35/100))^A202,E203-$AG$5)</f>
        <v>-99.9</v>
      </c>
      <c r="Z203" s="44">
        <f ca="1">ABS(M203-(controls!$B$9/100)*100)</f>
        <v>445.75000000000006</v>
      </c>
      <c r="AI203" s="36"/>
      <c r="AJ203" s="36"/>
    </row>
    <row r="204" spans="1:36">
      <c r="A204" s="43">
        <v>201</v>
      </c>
      <c r="B204" s="62">
        <f ca="1">IF(controls!$B$6=2,AVERAGE(E200:E203)+B203*W204+hystere!$AG$9,AVERAGE(E200:E203)+B203*W204)</f>
        <v>1.1000000000000001</v>
      </c>
      <c r="C204" s="67">
        <f t="shared" ca="1" si="19"/>
        <v>0</v>
      </c>
      <c r="D204" s="88">
        <f t="shared" ca="1" si="20"/>
        <v>-1</v>
      </c>
      <c r="E204" s="64">
        <f t="shared" ca="1" si="21"/>
        <v>0.1</v>
      </c>
      <c r="F204" s="64">
        <f ca="1">IF('main page'!$K$34=1,hystere!H204,hystere!G204)</f>
        <v>-779.50000000000011</v>
      </c>
      <c r="G204" s="78">
        <f ca="1">I204-'main page'!$K$27*hystere!N203</f>
        <v>-779.50000000000011</v>
      </c>
      <c r="H204" s="62">
        <f ca="1">J204-'main page'!$K$27*N203</f>
        <v>-779.50000000000011</v>
      </c>
      <c r="I204" s="62">
        <f t="shared" ca="1" si="16"/>
        <v>108</v>
      </c>
      <c r="J204" s="62">
        <f t="shared" ca="1" si="17"/>
        <v>108</v>
      </c>
      <c r="M204" s="62">
        <f ca="1">IF(ABS('main page'!$K$29*M203+(1-'main page'!$K$29)*(controls!$B$9/100)*100+'main page'!$K$25*(E204-B204)-M203)&lt;0.0000001,M203,'main page'!$K$29*M203+(1-'main page'!$K$29)*(controls!$B$9/100)*100+'main page'!$K$25*(E204-B204))</f>
        <v>-444.75000000000006</v>
      </c>
      <c r="N204" s="62">
        <f ca="1">IF(controls!$B$10=1,N203,O204-'main page'!$K$29*M204-(1-'main page'!$K$29)*controls!$B$9)</f>
        <v>444.75000000000006</v>
      </c>
      <c r="O204" s="61">
        <f t="shared" ca="1" si="18"/>
        <v>0</v>
      </c>
      <c r="P204" s="63">
        <f ca="1">IF(controls!$B$10=1,hystere!N204+hystere!M204,hystere!Q204)</f>
        <v>-502.98750000000007</v>
      </c>
      <c r="Q204" s="61">
        <f ca="1">IF('main page'!$Y$53=1,'choose m.p.'!$I$22*100,R204)</f>
        <v>-502.98750000000007</v>
      </c>
      <c r="R204" s="83">
        <f ca="1">'main page'!$K$29*M204+(1-'main page'!$K$29)*controls!$B$9+S204+(('main page'!$K$25*'main page'!$U$13*'main page'!$K$29)/('main page'!$K$27*(1+('main page'!$K$25^2)*'main page'!$U$13)))*(M204-(controls!$B$9/100)*100)</f>
        <v>-502.98750000000007</v>
      </c>
      <c r="S204" s="81">
        <f ca="1">IF(controls!$B$33=1,(J205-E204*X205-B204)/'main page'!$K$27,(I205-E204*X205-B204)/'main page'!$K$27)</f>
        <v>53.45</v>
      </c>
      <c r="U204" s="58">
        <f>IF(controls!$B$6=1,$AG$4*(1+('main page'!$K$35/100))^V204-$AG$4*(1+('main page'!$K$35/100))^V203,$AG$4*(1+('main page'!$G$8/100))*(1+('main page'!$K$35/100))^V204-$AG$4*(1+('main page'!$G$8/100))*(1+('main page'!$K$35/100))^V203)</f>
        <v>0</v>
      </c>
      <c r="V204" s="60">
        <v>196</v>
      </c>
      <c r="W204" s="36">
        <f ca="1">'normal case'!AC203</f>
        <v>0</v>
      </c>
      <c r="X204" s="36">
        <f ca="1">'normal case'!AD203</f>
        <v>0</v>
      </c>
      <c r="Y204" s="44">
        <f ca="1">IF(controls!$B$33=1,E204-($J$4-'main page'!$K$27*2)*(1+('main page'!$K$35/100))^A203,E204-$AG$5)</f>
        <v>-99.9</v>
      </c>
      <c r="Z204" s="44">
        <f ca="1">ABS(M204-(controls!$B$9/100)*100)</f>
        <v>446.75000000000006</v>
      </c>
      <c r="AI204" s="36"/>
      <c r="AJ204" s="36"/>
    </row>
    <row r="205" spans="1:36">
      <c r="A205" s="43">
        <v>202</v>
      </c>
      <c r="B205" s="62">
        <f ca="1">IF(controls!$B$6=2,AVERAGE(E201:E204)+B204*W205+hystere!$AG$9,AVERAGE(E201:E204)+B204*W205)</f>
        <v>1.1000000000000001</v>
      </c>
      <c r="C205" s="67">
        <f t="shared" ca="1" si="19"/>
        <v>0</v>
      </c>
      <c r="D205" s="88">
        <f t="shared" ca="1" si="20"/>
        <v>-1</v>
      </c>
      <c r="E205" s="64">
        <f t="shared" ca="1" si="21"/>
        <v>0.1</v>
      </c>
      <c r="F205" s="64">
        <f ca="1">IF('main page'!$K$34=1,hystere!H205,hystere!G205)</f>
        <v>-781.50000000000011</v>
      </c>
      <c r="G205" s="78">
        <f ca="1">I205-'main page'!$K$27*hystere!N204</f>
        <v>-781.50000000000011</v>
      </c>
      <c r="H205" s="62">
        <f ca="1">J205-'main page'!$K$27*N204</f>
        <v>-781.50000000000011</v>
      </c>
      <c r="I205" s="62">
        <f t="shared" ca="1" si="16"/>
        <v>108</v>
      </c>
      <c r="J205" s="62">
        <f t="shared" ca="1" si="17"/>
        <v>108</v>
      </c>
      <c r="M205" s="62">
        <f ca="1">IF(ABS('main page'!$K$29*M204+(1-'main page'!$K$29)*(controls!$B$9/100)*100+'main page'!$K$25*(E205-B205)-M204)&lt;0.0000001,M204,'main page'!$K$29*M204+(1-'main page'!$K$29)*(controls!$B$9/100)*100+'main page'!$K$25*(E205-B205))</f>
        <v>-445.75000000000006</v>
      </c>
      <c r="N205" s="62">
        <f ca="1">IF(controls!$B$10=1,N204,O205-'main page'!$K$29*M205-(1-'main page'!$K$29)*controls!$B$9)</f>
        <v>445.75000000000006</v>
      </c>
      <c r="O205" s="61">
        <f t="shared" ca="1" si="18"/>
        <v>0</v>
      </c>
      <c r="P205" s="63">
        <f ca="1">IF(controls!$B$10=1,hystere!N205+hystere!M205,hystere!Q205)</f>
        <v>-504.23750000000007</v>
      </c>
      <c r="Q205" s="61">
        <f ca="1">IF('main page'!$Y$53=1,'choose m.p.'!$I$22*100,R205)</f>
        <v>-504.23750000000007</v>
      </c>
      <c r="R205" s="83">
        <f ca="1">'main page'!$K$29*M205+(1-'main page'!$K$29)*controls!$B$9+S205+(('main page'!$K$25*'main page'!$U$13*'main page'!$K$29)/('main page'!$K$27*(1+('main page'!$K$25^2)*'main page'!$U$13)))*(M205-(controls!$B$9/100)*100)</f>
        <v>-504.23750000000007</v>
      </c>
      <c r="S205" s="81">
        <f ca="1">IF(controls!$B$33=1,(J206-E205*X206-B205)/'main page'!$K$27,(I206-E205*X206-B205)/'main page'!$K$27)</f>
        <v>53.45</v>
      </c>
      <c r="U205" s="58">
        <f>IF(controls!$B$6=1,$AG$4*(1+('main page'!$K$35/100))^V205-$AG$4*(1+('main page'!$K$35/100))^V204,$AG$4*(1+('main page'!$G$8/100))*(1+('main page'!$K$35/100))^V205-$AG$4*(1+('main page'!$G$8/100))*(1+('main page'!$K$35/100))^V204)</f>
        <v>0</v>
      </c>
      <c r="V205" s="60">
        <v>197</v>
      </c>
      <c r="W205" s="36">
        <f>'normal case'!AC204</f>
        <v>0</v>
      </c>
      <c r="X205" s="36">
        <f>'normal case'!AD204</f>
        <v>0</v>
      </c>
      <c r="Y205" s="44">
        <f ca="1">IF(controls!$B$33=1,E205-($J$4-'main page'!$K$27*2)*(1+('main page'!$K$35/100))^A204,E205-$AG$5)</f>
        <v>-99.9</v>
      </c>
      <c r="Z205" s="44">
        <f ca="1">ABS(M205-(controls!$B$9/100)*100)</f>
        <v>447.75000000000006</v>
      </c>
      <c r="AI205" s="36"/>
      <c r="AJ205" s="36"/>
    </row>
    <row r="206" spans="1:36">
      <c r="A206" s="43">
        <v>203</v>
      </c>
      <c r="B206" s="62">
        <f ca="1">IF(controls!$B$6=2,AVERAGE(E202:E205)+B205*W206+hystere!$AG$9,AVERAGE(E202:E205)+B205*W206)</f>
        <v>1.1000000000000001</v>
      </c>
      <c r="C206" s="67">
        <f t="shared" ca="1" si="19"/>
        <v>0</v>
      </c>
      <c r="D206" s="88">
        <f t="shared" ca="1" si="20"/>
        <v>-1</v>
      </c>
      <c r="E206" s="64">
        <f t="shared" ca="1" si="21"/>
        <v>0.1</v>
      </c>
      <c r="F206" s="64">
        <f ca="1">IF('main page'!$K$34=1,hystere!H206,hystere!G206)</f>
        <v>-783.50000000000011</v>
      </c>
      <c r="G206" s="78">
        <f ca="1">I206-'main page'!$K$27*hystere!N205</f>
        <v>-783.50000000000011</v>
      </c>
      <c r="H206" s="62">
        <f ca="1">J206-'main page'!$K$27*N205</f>
        <v>-783.50000000000011</v>
      </c>
      <c r="I206" s="62">
        <f t="shared" ca="1" si="16"/>
        <v>108</v>
      </c>
      <c r="J206" s="62">
        <f t="shared" ca="1" si="17"/>
        <v>108</v>
      </c>
      <c r="M206" s="62">
        <f ca="1">IF(ABS('main page'!$K$29*M205+(1-'main page'!$K$29)*(controls!$B$9/100)*100+'main page'!$K$25*(E206-B206)-M205)&lt;0.0000001,M205,'main page'!$K$29*M205+(1-'main page'!$K$29)*(controls!$B$9/100)*100+'main page'!$K$25*(E206-B206))</f>
        <v>-446.75000000000006</v>
      </c>
      <c r="N206" s="62">
        <f ca="1">IF(controls!$B$10=1,N205,O206-'main page'!$K$29*M206-(1-'main page'!$K$29)*controls!$B$9)</f>
        <v>446.75000000000006</v>
      </c>
      <c r="O206" s="61">
        <f t="shared" ca="1" si="18"/>
        <v>0</v>
      </c>
      <c r="P206" s="63">
        <f ca="1">IF(controls!$B$10=1,hystere!N206+hystere!M206,hystere!Q206)</f>
        <v>-505.48750000000007</v>
      </c>
      <c r="Q206" s="61">
        <f ca="1">IF('main page'!$Y$53=1,'choose m.p.'!$I$22*100,R206)</f>
        <v>-505.48750000000007</v>
      </c>
      <c r="R206" s="83">
        <f ca="1">'main page'!$K$29*M206+(1-'main page'!$K$29)*controls!$B$9+S206+(('main page'!$K$25*'main page'!$U$13*'main page'!$K$29)/('main page'!$K$27*(1+('main page'!$K$25^2)*'main page'!$U$13)))*(M206-(controls!$B$9/100)*100)</f>
        <v>-505.48750000000007</v>
      </c>
      <c r="S206" s="81">
        <f ca="1">IF(controls!$B$33=1,(J207-E206*X207-B206)/'main page'!$K$27,(I207-E206*X207-B206)/'main page'!$K$27)</f>
        <v>53.45</v>
      </c>
      <c r="U206" s="58">
        <f>IF(controls!$B$6=1,$AG$4*(1+('main page'!$K$35/100))^V206-$AG$4*(1+('main page'!$K$35/100))^V205,$AG$4*(1+('main page'!$G$8/100))*(1+('main page'!$K$35/100))^V206-$AG$4*(1+('main page'!$G$8/100))*(1+('main page'!$K$35/100))^V205)</f>
        <v>0</v>
      </c>
      <c r="V206" s="60">
        <v>198</v>
      </c>
      <c r="W206" s="36">
        <f>'normal case'!AC205</f>
        <v>0</v>
      </c>
      <c r="X206" s="36">
        <f>'normal case'!AD205</f>
        <v>0</v>
      </c>
      <c r="Y206" s="44">
        <f ca="1">IF(controls!$B$33=1,E206-($J$4-'main page'!$K$27*2)*(1+('main page'!$K$35/100))^A205,E206-$AG$5)</f>
        <v>-99.9</v>
      </c>
      <c r="Z206" s="44">
        <f ca="1">ABS(M206-(controls!$B$9/100)*100)</f>
        <v>448.75000000000006</v>
      </c>
      <c r="AI206" s="36"/>
      <c r="AJ206" s="36"/>
    </row>
    <row r="207" spans="1:36">
      <c r="A207" s="43">
        <v>204</v>
      </c>
      <c r="B207" s="62">
        <f ca="1">IF(controls!$B$6=2,AVERAGE(E203:E206)+B206*W207+hystere!$AG$9,AVERAGE(E203:E206)+B206*W207)</f>
        <v>1.1000000000000001</v>
      </c>
      <c r="C207" s="67">
        <f t="shared" ca="1" si="19"/>
        <v>0</v>
      </c>
      <c r="D207" s="88">
        <f t="shared" ca="1" si="20"/>
        <v>-1</v>
      </c>
      <c r="E207" s="64">
        <f t="shared" ca="1" si="21"/>
        <v>0.1</v>
      </c>
      <c r="F207" s="64">
        <f ca="1">IF('main page'!$K$34=1,hystere!H207,hystere!G207)</f>
        <v>-785.50000000000011</v>
      </c>
      <c r="G207" s="78">
        <f ca="1">I207-'main page'!$K$27*hystere!N206</f>
        <v>-785.50000000000011</v>
      </c>
      <c r="H207" s="62">
        <f ca="1">J207-'main page'!$K$27*N206</f>
        <v>-785.50000000000011</v>
      </c>
      <c r="I207" s="62">
        <f t="shared" ca="1" si="16"/>
        <v>108</v>
      </c>
      <c r="J207" s="62">
        <f t="shared" ca="1" si="17"/>
        <v>108</v>
      </c>
      <c r="M207" s="62">
        <f ca="1">IF(ABS('main page'!$K$29*M206+(1-'main page'!$K$29)*(controls!$B$9/100)*100+'main page'!$K$25*(E207-B207)-M206)&lt;0.0000001,M206,'main page'!$K$29*M206+(1-'main page'!$K$29)*(controls!$B$9/100)*100+'main page'!$K$25*(E207-B207))</f>
        <v>-447.75000000000006</v>
      </c>
      <c r="N207" s="62">
        <f ca="1">IF(controls!$B$10=1,N206,O207-'main page'!$K$29*M207-(1-'main page'!$K$29)*controls!$B$9)</f>
        <v>447.75000000000006</v>
      </c>
      <c r="O207" s="61">
        <f t="shared" ca="1" si="18"/>
        <v>0</v>
      </c>
      <c r="P207" s="63">
        <f ca="1">IF(controls!$B$10=1,hystere!N207+hystere!M207,hystere!Q207)</f>
        <v>-506.73750000000007</v>
      </c>
      <c r="Q207" s="61">
        <f ca="1">IF('main page'!$Y$53=1,'choose m.p.'!$I$22*100,R207)</f>
        <v>-506.73750000000007</v>
      </c>
      <c r="R207" s="83">
        <f ca="1">'main page'!$K$29*M207+(1-'main page'!$K$29)*controls!$B$9+S207+(('main page'!$K$25*'main page'!$U$13*'main page'!$K$29)/('main page'!$K$27*(1+('main page'!$K$25^2)*'main page'!$U$13)))*(M207-(controls!$B$9/100)*100)</f>
        <v>-506.73750000000007</v>
      </c>
      <c r="S207" s="81">
        <f ca="1">IF(controls!$B$33=1,(J208-E207*X208-B207)/'main page'!$K$27,(I208-E207*X208-B207)/'main page'!$K$27)</f>
        <v>53.45</v>
      </c>
      <c r="U207" s="58">
        <f>IF(controls!$B$6=1,$AG$4*(1+('main page'!$K$35/100))^V207-$AG$4*(1+('main page'!$K$35/100))^V206,$AG$4*(1+('main page'!$G$8/100))*(1+('main page'!$K$35/100))^V207-$AG$4*(1+('main page'!$G$8/100))*(1+('main page'!$K$35/100))^V206)</f>
        <v>0</v>
      </c>
      <c r="V207" s="60">
        <v>199</v>
      </c>
      <c r="W207" s="36">
        <f ca="1">'normal case'!AC206</f>
        <v>0</v>
      </c>
      <c r="X207" s="36">
        <f ca="1">'normal case'!AD206</f>
        <v>0</v>
      </c>
      <c r="Y207" s="44">
        <f ca="1">IF(controls!$B$33=1,E207-($J$4-'main page'!$K$27*2)*(1+('main page'!$K$35/100))^A206,E207-$AG$5)</f>
        <v>-99.9</v>
      </c>
      <c r="Z207" s="44">
        <f ca="1">ABS(M207-(controls!$B$9/100)*100)</f>
        <v>449.75000000000006</v>
      </c>
      <c r="AI207" s="36"/>
      <c r="AJ207" s="36"/>
    </row>
    <row r="208" spans="1:36">
      <c r="A208" s="43">
        <v>205</v>
      </c>
      <c r="B208" s="62">
        <f ca="1">IF(controls!$B$6=2,AVERAGE(E204:E207)+B207*W208+hystere!$AG$9,AVERAGE(E204:E207)+B207*W208)</f>
        <v>1.1000000000000001</v>
      </c>
      <c r="C208" s="67">
        <f t="shared" ca="1" si="19"/>
        <v>0</v>
      </c>
      <c r="D208" s="88">
        <f t="shared" ca="1" si="20"/>
        <v>-1</v>
      </c>
      <c r="E208" s="64">
        <f t="shared" ca="1" si="21"/>
        <v>0.1</v>
      </c>
      <c r="F208" s="64">
        <f ca="1">IF('main page'!$K$34=1,hystere!H208,hystere!G208)</f>
        <v>-787.50000000000011</v>
      </c>
      <c r="G208" s="78">
        <f ca="1">I208-'main page'!$K$27*hystere!N207</f>
        <v>-787.50000000000011</v>
      </c>
      <c r="H208" s="62">
        <f ca="1">J208-'main page'!$K$27*N207</f>
        <v>-787.50000000000011</v>
      </c>
      <c r="I208" s="62">
        <f t="shared" ca="1" si="16"/>
        <v>108</v>
      </c>
      <c r="J208" s="62">
        <f t="shared" ca="1" si="17"/>
        <v>108</v>
      </c>
      <c r="M208" s="62">
        <f ca="1">IF(ABS('main page'!$K$29*M207+(1-'main page'!$K$29)*(controls!$B$9/100)*100+'main page'!$K$25*(E208-B208)-M207)&lt;0.0000001,M207,'main page'!$K$29*M207+(1-'main page'!$K$29)*(controls!$B$9/100)*100+'main page'!$K$25*(E208-B208))</f>
        <v>-448.75000000000006</v>
      </c>
      <c r="N208" s="62">
        <f ca="1">IF(controls!$B$10=1,N207,O208-'main page'!$K$29*M208-(1-'main page'!$K$29)*controls!$B$9)</f>
        <v>448.75000000000006</v>
      </c>
      <c r="O208" s="61">
        <f t="shared" ca="1" si="18"/>
        <v>0</v>
      </c>
      <c r="P208" s="63">
        <f ca="1">IF(controls!$B$10=1,hystere!N208+hystere!M208,hystere!Q208)</f>
        <v>-507.98750000000007</v>
      </c>
      <c r="Q208" s="61">
        <f ca="1">IF('main page'!$Y$53=1,'choose m.p.'!$I$22*100,R208)</f>
        <v>-507.98750000000007</v>
      </c>
      <c r="R208" s="83">
        <f ca="1">'main page'!$K$29*M208+(1-'main page'!$K$29)*controls!$B$9+S208+(('main page'!$K$25*'main page'!$U$13*'main page'!$K$29)/('main page'!$K$27*(1+('main page'!$K$25^2)*'main page'!$U$13)))*(M208-(controls!$B$9/100)*100)</f>
        <v>-507.98750000000007</v>
      </c>
      <c r="S208" s="81">
        <f ca="1">IF(controls!$B$33=1,(J209-E208*X209-B208)/'main page'!$K$27,(I209-E208*X209-B208)/'main page'!$K$27)</f>
        <v>53.45</v>
      </c>
      <c r="U208" s="58">
        <f>IF(controls!$B$6=1,$AG$4*(1+('main page'!$K$35/100))^V208-$AG$4*(1+('main page'!$K$35/100))^V207,$AG$4*(1+('main page'!$G$8/100))*(1+('main page'!$K$35/100))^V208-$AG$4*(1+('main page'!$G$8/100))*(1+('main page'!$K$35/100))^V207)</f>
        <v>0</v>
      </c>
      <c r="V208" s="60">
        <v>200</v>
      </c>
      <c r="W208" s="36">
        <f>'normal case'!AC207</f>
        <v>0</v>
      </c>
      <c r="X208" s="36">
        <f>'normal case'!AD207</f>
        <v>0</v>
      </c>
      <c r="Y208" s="44">
        <f ca="1">IF(controls!$B$33=1,E208-($J$4-'main page'!$K$27*2)*(1+('main page'!$K$35/100))^A207,E208-$AG$5)</f>
        <v>-99.9</v>
      </c>
      <c r="Z208" s="44">
        <f ca="1">ABS(M208-(controls!$B$9/100)*100)</f>
        <v>450.75000000000006</v>
      </c>
      <c r="AI208" s="36"/>
      <c r="AJ208" s="36"/>
    </row>
    <row r="209" spans="1:36">
      <c r="A209" s="43">
        <v>206</v>
      </c>
      <c r="B209" s="62">
        <f ca="1">IF(controls!$B$6=2,AVERAGE(E205:E208)+B208*W209+hystere!$AG$9,AVERAGE(E205:E208)+B208*W209)</f>
        <v>1.1000000000000001</v>
      </c>
      <c r="C209" s="67">
        <f t="shared" ca="1" si="19"/>
        <v>0</v>
      </c>
      <c r="D209" s="88">
        <f t="shared" ca="1" si="20"/>
        <v>-1</v>
      </c>
      <c r="E209" s="64">
        <f t="shared" ca="1" si="21"/>
        <v>0.1</v>
      </c>
      <c r="F209" s="64">
        <f ca="1">IF('main page'!$K$34=1,hystere!H209,hystere!G209)</f>
        <v>-789.50000000000011</v>
      </c>
      <c r="G209" s="78">
        <f ca="1">I209-'main page'!$K$27*hystere!N208</f>
        <v>-789.50000000000011</v>
      </c>
      <c r="H209" s="62">
        <f ca="1">J209-'main page'!$K$27*N208</f>
        <v>-789.50000000000011</v>
      </c>
      <c r="I209" s="62">
        <f t="shared" ca="1" si="16"/>
        <v>108</v>
      </c>
      <c r="J209" s="62">
        <f t="shared" ca="1" si="17"/>
        <v>108</v>
      </c>
      <c r="M209" s="62">
        <f ca="1">IF(ABS('main page'!$K$29*M208+(1-'main page'!$K$29)*(controls!$B$9/100)*100+'main page'!$K$25*(E209-B209)-M208)&lt;0.0000001,M208,'main page'!$K$29*M208+(1-'main page'!$K$29)*(controls!$B$9/100)*100+'main page'!$K$25*(E209-B209))</f>
        <v>-449.75000000000006</v>
      </c>
      <c r="N209" s="62">
        <f ca="1">IF(controls!$B$10=1,N208,O209-'main page'!$K$29*M209-(1-'main page'!$K$29)*controls!$B$9)</f>
        <v>449.75000000000006</v>
      </c>
      <c r="O209" s="61">
        <f t="shared" ca="1" si="18"/>
        <v>0</v>
      </c>
      <c r="P209" s="63">
        <f ca="1">IF(controls!$B$10=1,hystere!N209+hystere!M209,hystere!Q209)</f>
        <v>-509.23750000000007</v>
      </c>
      <c r="Q209" s="61">
        <f ca="1">IF('main page'!$Y$53=1,'choose m.p.'!$I$22*100,R209)</f>
        <v>-509.23750000000007</v>
      </c>
      <c r="R209" s="83">
        <f ca="1">'main page'!$K$29*M209+(1-'main page'!$K$29)*controls!$B$9+S209+(('main page'!$K$25*'main page'!$U$13*'main page'!$K$29)/('main page'!$K$27*(1+('main page'!$K$25^2)*'main page'!$U$13)))*(M209-(controls!$B$9/100)*100)</f>
        <v>-509.23750000000007</v>
      </c>
      <c r="S209" s="81">
        <f ca="1">IF(controls!$B$33=1,(J210-E209*X210-B209)/'main page'!$K$27,(I210-E209*X210-B209)/'main page'!$K$27)</f>
        <v>53.45</v>
      </c>
      <c r="U209" s="58">
        <f>IF(controls!$B$6=1,$AG$4*(1+('main page'!$K$35/100))^V209-$AG$4*(1+('main page'!$K$35/100))^V208,$AG$4*(1+('main page'!$G$8/100))*(1+('main page'!$K$35/100))^V209-$AG$4*(1+('main page'!$G$8/100))*(1+('main page'!$K$35/100))^V208)</f>
        <v>0</v>
      </c>
      <c r="V209" s="60">
        <v>201</v>
      </c>
      <c r="W209" s="36">
        <f>'normal case'!AC208</f>
        <v>0</v>
      </c>
      <c r="X209" s="36">
        <f>'normal case'!AD208</f>
        <v>0</v>
      </c>
      <c r="Y209" s="44">
        <f ca="1">IF(controls!$B$33=1,E209-($J$4-'main page'!$K$27*2)*(1+('main page'!$K$35/100))^A208,E209-$AG$5)</f>
        <v>-99.9</v>
      </c>
      <c r="Z209" s="44">
        <f ca="1">ABS(M209-(controls!$B$9/100)*100)</f>
        <v>451.75000000000006</v>
      </c>
      <c r="AI209" s="36"/>
      <c r="AJ209" s="36"/>
    </row>
    <row r="210" spans="1:36">
      <c r="A210" s="43">
        <v>207</v>
      </c>
      <c r="B210" s="62">
        <f ca="1">IF(controls!$B$6=2,AVERAGE(E206:E209)+B209*W210+hystere!$AG$9,AVERAGE(E206:E209)+B209*W210)</f>
        <v>1.1000000000000001</v>
      </c>
      <c r="C210" s="67">
        <f t="shared" ca="1" si="19"/>
        <v>0</v>
      </c>
      <c r="D210" s="88">
        <f t="shared" ca="1" si="20"/>
        <v>-1</v>
      </c>
      <c r="E210" s="64">
        <f t="shared" ca="1" si="21"/>
        <v>0.1</v>
      </c>
      <c r="F210" s="64">
        <f ca="1">IF('main page'!$K$34=1,hystere!H210,hystere!G210)</f>
        <v>-791.50000000000011</v>
      </c>
      <c r="G210" s="78">
        <f ca="1">I210-'main page'!$K$27*hystere!N209</f>
        <v>-791.50000000000011</v>
      </c>
      <c r="H210" s="62">
        <f ca="1">J210-'main page'!$K$27*N209</f>
        <v>-791.50000000000011</v>
      </c>
      <c r="I210" s="62">
        <f t="shared" ca="1" si="16"/>
        <v>108</v>
      </c>
      <c r="J210" s="62">
        <f t="shared" ca="1" si="17"/>
        <v>108</v>
      </c>
      <c r="M210" s="62">
        <f ca="1">IF(ABS('main page'!$K$29*M209+(1-'main page'!$K$29)*(controls!$B$9/100)*100+'main page'!$K$25*(E210-B210)-M209)&lt;0.0000001,M209,'main page'!$K$29*M209+(1-'main page'!$K$29)*(controls!$B$9/100)*100+'main page'!$K$25*(E210-B210))</f>
        <v>-450.75000000000006</v>
      </c>
      <c r="N210" s="62">
        <f ca="1">IF(controls!$B$10=1,N209,O210-'main page'!$K$29*M210-(1-'main page'!$K$29)*controls!$B$9)</f>
        <v>450.75000000000006</v>
      </c>
      <c r="O210" s="61">
        <f t="shared" ca="1" si="18"/>
        <v>0</v>
      </c>
      <c r="P210" s="63">
        <f ca="1">IF(controls!$B$10=1,hystere!N210+hystere!M210,hystere!Q210)</f>
        <v>-510.48750000000007</v>
      </c>
      <c r="Q210" s="61">
        <f ca="1">IF('main page'!$Y$53=1,'choose m.p.'!$I$22*100,R210)</f>
        <v>-510.48750000000007</v>
      </c>
      <c r="R210" s="83">
        <f ca="1">'main page'!$K$29*M210+(1-'main page'!$K$29)*controls!$B$9+S210+(('main page'!$K$25*'main page'!$U$13*'main page'!$K$29)/('main page'!$K$27*(1+('main page'!$K$25^2)*'main page'!$U$13)))*(M210-(controls!$B$9/100)*100)</f>
        <v>-510.48750000000007</v>
      </c>
      <c r="S210" s="81">
        <f ca="1">IF(controls!$B$33=1,(J211-E210*X211-B210)/'main page'!$K$27,(I211-E210*X211-B210)/'main page'!$K$27)</f>
        <v>53.45</v>
      </c>
      <c r="U210" s="58">
        <f>IF(controls!$B$6=1,$AG$4*(1+('main page'!$K$35/100))^V210-$AG$4*(1+('main page'!$K$35/100))^V209,$AG$4*(1+('main page'!$G$8/100))*(1+('main page'!$K$35/100))^V210-$AG$4*(1+('main page'!$G$8/100))*(1+('main page'!$K$35/100))^V209)</f>
        <v>0</v>
      </c>
      <c r="V210" s="60">
        <v>202</v>
      </c>
      <c r="W210" s="36">
        <f ca="1">'normal case'!AC209</f>
        <v>0</v>
      </c>
      <c r="X210" s="36">
        <f ca="1">'normal case'!AD209</f>
        <v>0</v>
      </c>
      <c r="Y210" s="44">
        <f ca="1">IF(controls!$B$33=1,E210-($J$4-'main page'!$K$27*2)*(1+('main page'!$K$35/100))^A209,E210-$AG$5)</f>
        <v>-99.9</v>
      </c>
      <c r="Z210" s="44">
        <f ca="1">ABS(M210-(controls!$B$9/100)*100)</f>
        <v>452.75000000000006</v>
      </c>
      <c r="AI210" s="36"/>
      <c r="AJ210" s="36"/>
    </row>
    <row r="211" spans="1:36">
      <c r="A211" s="43">
        <v>208</v>
      </c>
      <c r="B211" s="62">
        <f ca="1">IF(controls!$B$6=2,AVERAGE(E207:E210)+B210*W211+hystere!$AG$9,AVERAGE(E207:E210)+B210*W211)</f>
        <v>1.1000000000000001</v>
      </c>
      <c r="C211" s="67">
        <f t="shared" ca="1" si="19"/>
        <v>0</v>
      </c>
      <c r="D211" s="88">
        <f t="shared" ca="1" si="20"/>
        <v>-1</v>
      </c>
      <c r="E211" s="64">
        <f t="shared" ca="1" si="21"/>
        <v>0.1</v>
      </c>
      <c r="F211" s="64">
        <f ca="1">IF('main page'!$K$34=1,hystere!H211,hystere!G211)</f>
        <v>-793.50000000000011</v>
      </c>
      <c r="G211" s="78">
        <f ca="1">I211-'main page'!$K$27*hystere!N210</f>
        <v>-793.50000000000011</v>
      </c>
      <c r="H211" s="62">
        <f ca="1">J211-'main page'!$K$27*N210</f>
        <v>-793.50000000000011</v>
      </c>
      <c r="I211" s="62">
        <f t="shared" ca="1" si="16"/>
        <v>108</v>
      </c>
      <c r="J211" s="62">
        <f t="shared" ca="1" si="17"/>
        <v>108</v>
      </c>
      <c r="M211" s="62">
        <f ca="1">IF(ABS('main page'!$K$29*M210+(1-'main page'!$K$29)*(controls!$B$9/100)*100+'main page'!$K$25*(E211-B211)-M210)&lt;0.0000001,M210,'main page'!$K$29*M210+(1-'main page'!$K$29)*(controls!$B$9/100)*100+'main page'!$K$25*(E211-B211))</f>
        <v>-451.75000000000006</v>
      </c>
      <c r="N211" s="62">
        <f ca="1">IF(controls!$B$10=1,N210,O211-'main page'!$K$29*M211-(1-'main page'!$K$29)*controls!$B$9)</f>
        <v>451.75000000000006</v>
      </c>
      <c r="O211" s="61">
        <f t="shared" ca="1" si="18"/>
        <v>0</v>
      </c>
      <c r="P211" s="63">
        <f ca="1">IF(controls!$B$10=1,hystere!N211+hystere!M211,hystere!Q211)</f>
        <v>-511.73750000000007</v>
      </c>
      <c r="Q211" s="61">
        <f ca="1">IF('main page'!$Y$53=1,'choose m.p.'!$I$22*100,R211)</f>
        <v>-511.73750000000007</v>
      </c>
      <c r="R211" s="83">
        <f ca="1">'main page'!$K$29*M211+(1-'main page'!$K$29)*controls!$B$9+S211+(('main page'!$K$25*'main page'!$U$13*'main page'!$K$29)/('main page'!$K$27*(1+('main page'!$K$25^2)*'main page'!$U$13)))*(M211-(controls!$B$9/100)*100)</f>
        <v>-511.73750000000007</v>
      </c>
      <c r="S211" s="81">
        <f ca="1">IF(controls!$B$33=1,(J212-E211*X212-B211)/'main page'!$K$27,(I212-E211*X212-B211)/'main page'!$K$27)</f>
        <v>53.45</v>
      </c>
      <c r="U211" s="58">
        <f>IF(controls!$B$6=1,$AG$4*(1+('main page'!$K$35/100))^V211-$AG$4*(1+('main page'!$K$35/100))^V210,$AG$4*(1+('main page'!$G$8/100))*(1+('main page'!$K$35/100))^V211-$AG$4*(1+('main page'!$G$8/100))*(1+('main page'!$K$35/100))^V210)</f>
        <v>0</v>
      </c>
      <c r="V211" s="60">
        <v>203</v>
      </c>
      <c r="W211" s="36">
        <f>'normal case'!AC210</f>
        <v>0</v>
      </c>
      <c r="X211" s="36">
        <f>'normal case'!AD210</f>
        <v>0</v>
      </c>
      <c r="Y211" s="44">
        <f ca="1">IF(controls!$B$33=1,E211-($J$4-'main page'!$K$27*2)*(1+('main page'!$K$35/100))^A210,E211-$AG$5)</f>
        <v>-99.9</v>
      </c>
      <c r="Z211" s="44">
        <f ca="1">ABS(M211-(controls!$B$9/100)*100)</f>
        <v>453.75000000000006</v>
      </c>
      <c r="AI211" s="36"/>
      <c r="AJ211" s="36"/>
    </row>
    <row r="212" spans="1:36">
      <c r="A212" s="43">
        <v>209</v>
      </c>
      <c r="B212" s="62">
        <f ca="1">IF(controls!$B$6=2,AVERAGE(E208:E211)+B211*W212+hystere!$AG$9,AVERAGE(E208:E211)+B211*W212)</f>
        <v>1.1000000000000001</v>
      </c>
      <c r="C212" s="67">
        <f t="shared" ca="1" si="19"/>
        <v>0</v>
      </c>
      <c r="D212" s="88">
        <f t="shared" ca="1" si="20"/>
        <v>-1</v>
      </c>
      <c r="E212" s="64">
        <f t="shared" ca="1" si="21"/>
        <v>0.1</v>
      </c>
      <c r="F212" s="64">
        <f ca="1">IF('main page'!$K$34=1,hystere!H212,hystere!G212)</f>
        <v>-795.50000000000011</v>
      </c>
      <c r="G212" s="78">
        <f ca="1">I212-'main page'!$K$27*hystere!N211</f>
        <v>-795.50000000000011</v>
      </c>
      <c r="H212" s="62">
        <f ca="1">J212-'main page'!$K$27*N211</f>
        <v>-795.50000000000011</v>
      </c>
      <c r="I212" s="62">
        <f t="shared" ca="1" si="16"/>
        <v>108</v>
      </c>
      <c r="J212" s="62">
        <f t="shared" ca="1" si="17"/>
        <v>108</v>
      </c>
      <c r="M212" s="62">
        <f ca="1">IF(ABS('main page'!$K$29*M211+(1-'main page'!$K$29)*(controls!$B$9/100)*100+'main page'!$K$25*(E212-B212)-M211)&lt;0.0000001,M211,'main page'!$K$29*M211+(1-'main page'!$K$29)*(controls!$B$9/100)*100+'main page'!$K$25*(E212-B212))</f>
        <v>-452.75000000000006</v>
      </c>
      <c r="N212" s="62">
        <f ca="1">IF(controls!$B$10=1,N211,O212-'main page'!$K$29*M212-(1-'main page'!$K$29)*controls!$B$9)</f>
        <v>452.75000000000006</v>
      </c>
      <c r="O212" s="61">
        <f t="shared" ca="1" si="18"/>
        <v>0</v>
      </c>
      <c r="P212" s="63">
        <f ca="1">IF(controls!$B$10=1,hystere!N212+hystere!M212,hystere!Q212)</f>
        <v>-512.98750000000007</v>
      </c>
      <c r="Q212" s="61">
        <f ca="1">IF('main page'!$Y$53=1,'choose m.p.'!$I$22*100,R212)</f>
        <v>-512.98750000000007</v>
      </c>
      <c r="R212" s="83">
        <f ca="1">'main page'!$K$29*M212+(1-'main page'!$K$29)*controls!$B$9+S212+(('main page'!$K$25*'main page'!$U$13*'main page'!$K$29)/('main page'!$K$27*(1+('main page'!$K$25^2)*'main page'!$U$13)))*(M212-(controls!$B$9/100)*100)</f>
        <v>-512.98750000000007</v>
      </c>
      <c r="S212" s="81">
        <f ca="1">IF(controls!$B$33=1,(J213-E212*X213-B212)/'main page'!$K$27,(I213-E212*X213-B212)/'main page'!$K$27)</f>
        <v>53.45</v>
      </c>
      <c r="U212" s="58">
        <f>IF(controls!$B$6=1,$AG$4*(1+('main page'!$K$35/100))^V212-$AG$4*(1+('main page'!$K$35/100))^V211,$AG$4*(1+('main page'!$G$8/100))*(1+('main page'!$K$35/100))^V212-$AG$4*(1+('main page'!$G$8/100))*(1+('main page'!$K$35/100))^V211)</f>
        <v>0</v>
      </c>
      <c r="V212" s="60">
        <v>204</v>
      </c>
      <c r="W212" s="36">
        <f>'normal case'!AC211</f>
        <v>0</v>
      </c>
      <c r="X212" s="36">
        <f>'normal case'!AD211</f>
        <v>0</v>
      </c>
      <c r="Y212" s="44">
        <f ca="1">IF(controls!$B$33=1,E212-($J$4-'main page'!$K$27*2)*(1+('main page'!$K$35/100))^A211,E212-$AG$5)</f>
        <v>-99.9</v>
      </c>
      <c r="Z212" s="44">
        <f ca="1">ABS(M212-(controls!$B$9/100)*100)</f>
        <v>454.75000000000006</v>
      </c>
      <c r="AI212" s="36"/>
      <c r="AJ212" s="36"/>
    </row>
    <row r="213" spans="1:36">
      <c r="A213" s="43">
        <v>210</v>
      </c>
      <c r="B213" s="62">
        <f ca="1">IF(controls!$B$6=2,AVERAGE(E209:E212)+B212*W213+hystere!$AG$9,AVERAGE(E209:E212)+B212*W213)</f>
        <v>1.1000000000000001</v>
      </c>
      <c r="C213" s="67">
        <f t="shared" ca="1" si="19"/>
        <v>0</v>
      </c>
      <c r="D213" s="88">
        <f t="shared" ca="1" si="20"/>
        <v>-1</v>
      </c>
      <c r="E213" s="64">
        <f t="shared" ca="1" si="21"/>
        <v>0.1</v>
      </c>
      <c r="F213" s="64">
        <f ca="1">IF('main page'!$K$34=1,hystere!H213,hystere!G213)</f>
        <v>-797.50000000000011</v>
      </c>
      <c r="G213" s="78">
        <f ca="1">I213-'main page'!$K$27*hystere!N212</f>
        <v>-797.50000000000011</v>
      </c>
      <c r="H213" s="62">
        <f ca="1">J213-'main page'!$K$27*N212</f>
        <v>-797.50000000000011</v>
      </c>
      <c r="I213" s="62">
        <f t="shared" ca="1" si="16"/>
        <v>108</v>
      </c>
      <c r="J213" s="62">
        <f t="shared" ca="1" si="17"/>
        <v>108</v>
      </c>
      <c r="M213" s="62">
        <f ca="1">IF(ABS('main page'!$K$29*M212+(1-'main page'!$K$29)*(controls!$B$9/100)*100+'main page'!$K$25*(E213-B213)-M212)&lt;0.0000001,M212,'main page'!$K$29*M212+(1-'main page'!$K$29)*(controls!$B$9/100)*100+'main page'!$K$25*(E213-B213))</f>
        <v>-453.75000000000006</v>
      </c>
      <c r="N213" s="62">
        <f ca="1">IF(controls!$B$10=1,N212,O213-'main page'!$K$29*M213-(1-'main page'!$K$29)*controls!$B$9)</f>
        <v>453.75000000000006</v>
      </c>
      <c r="O213" s="61">
        <f t="shared" ca="1" si="18"/>
        <v>0</v>
      </c>
      <c r="P213" s="63">
        <f ca="1">IF(controls!$B$10=1,hystere!N213+hystere!M213,hystere!Q213)</f>
        <v>-514.23750000000007</v>
      </c>
      <c r="Q213" s="61">
        <f ca="1">IF('main page'!$Y$53=1,'choose m.p.'!$I$22*100,R213)</f>
        <v>-514.23750000000007</v>
      </c>
      <c r="R213" s="83">
        <f ca="1">'main page'!$K$29*M213+(1-'main page'!$K$29)*controls!$B$9+S213+(('main page'!$K$25*'main page'!$U$13*'main page'!$K$29)/('main page'!$K$27*(1+('main page'!$K$25^2)*'main page'!$U$13)))*(M213-(controls!$B$9/100)*100)</f>
        <v>-514.23750000000007</v>
      </c>
      <c r="S213" s="81">
        <f ca="1">IF(controls!$B$33=1,(J214-E213*X214-B213)/'main page'!$K$27,(I214-E213*X214-B213)/'main page'!$K$27)</f>
        <v>53.45</v>
      </c>
      <c r="U213" s="58">
        <f>IF(controls!$B$6=1,$AG$4*(1+('main page'!$K$35/100))^V213-$AG$4*(1+('main page'!$K$35/100))^V212,$AG$4*(1+('main page'!$G$8/100))*(1+('main page'!$K$35/100))^V213-$AG$4*(1+('main page'!$G$8/100))*(1+('main page'!$K$35/100))^V212)</f>
        <v>0</v>
      </c>
      <c r="V213" s="60">
        <v>205</v>
      </c>
      <c r="W213" s="36">
        <f ca="1">'normal case'!AC212</f>
        <v>0</v>
      </c>
      <c r="X213" s="36">
        <f ca="1">'normal case'!AD212</f>
        <v>0</v>
      </c>
      <c r="Y213" s="44">
        <f ca="1">IF(controls!$B$33=1,E213-($J$4-'main page'!$K$27*2)*(1+('main page'!$K$35/100))^A212,E213-$AG$5)</f>
        <v>-99.9</v>
      </c>
      <c r="Z213" s="44">
        <f ca="1">ABS(M213-(controls!$B$9/100)*100)</f>
        <v>455.75000000000006</v>
      </c>
      <c r="AI213" s="36"/>
      <c r="AJ213" s="36"/>
    </row>
    <row r="214" spans="1:36">
      <c r="A214" s="43">
        <v>211</v>
      </c>
      <c r="B214" s="62">
        <f ca="1">IF(controls!$B$6=2,AVERAGE(E210:E213)+B213*W214+hystere!$AG$9,AVERAGE(E210:E213)+B213*W214)</f>
        <v>1.1000000000000001</v>
      </c>
      <c r="C214" s="67">
        <f t="shared" ca="1" si="19"/>
        <v>0</v>
      </c>
      <c r="D214" s="88">
        <f t="shared" ca="1" si="20"/>
        <v>-1</v>
      </c>
      <c r="E214" s="64">
        <f t="shared" ca="1" si="21"/>
        <v>0.1</v>
      </c>
      <c r="F214" s="64">
        <f ca="1">IF('main page'!$K$34=1,hystere!H214,hystere!G214)</f>
        <v>-799.50000000000011</v>
      </c>
      <c r="G214" s="78">
        <f ca="1">I214-'main page'!$K$27*hystere!N213</f>
        <v>-799.50000000000011</v>
      </c>
      <c r="H214" s="62">
        <f ca="1">J214-'main page'!$K$27*N213</f>
        <v>-799.50000000000011</v>
      </c>
      <c r="I214" s="62">
        <f t="shared" ca="1" si="16"/>
        <v>108</v>
      </c>
      <c r="J214" s="62">
        <f t="shared" ca="1" si="17"/>
        <v>108</v>
      </c>
      <c r="M214" s="62">
        <f ca="1">IF(ABS('main page'!$K$29*M213+(1-'main page'!$K$29)*(controls!$B$9/100)*100+'main page'!$K$25*(E214-B214)-M213)&lt;0.0000001,M213,'main page'!$K$29*M213+(1-'main page'!$K$29)*(controls!$B$9/100)*100+'main page'!$K$25*(E214-B214))</f>
        <v>-454.75000000000006</v>
      </c>
      <c r="N214" s="62">
        <f ca="1">IF(controls!$B$10=1,N213,O214-'main page'!$K$29*M214-(1-'main page'!$K$29)*controls!$B$9)</f>
        <v>454.75000000000006</v>
      </c>
      <c r="O214" s="61">
        <f t="shared" ca="1" si="18"/>
        <v>0</v>
      </c>
      <c r="P214" s="63">
        <f ca="1">IF(controls!$B$10=1,hystere!N214+hystere!M214,hystere!Q214)</f>
        <v>-515.48750000000007</v>
      </c>
      <c r="Q214" s="61">
        <f ca="1">IF('main page'!$Y$53=1,'choose m.p.'!$I$22*100,R214)</f>
        <v>-515.48750000000007</v>
      </c>
      <c r="R214" s="83">
        <f ca="1">'main page'!$K$29*M214+(1-'main page'!$K$29)*controls!$B$9+S214+(('main page'!$K$25*'main page'!$U$13*'main page'!$K$29)/('main page'!$K$27*(1+('main page'!$K$25^2)*'main page'!$U$13)))*(M214-(controls!$B$9/100)*100)</f>
        <v>-515.48750000000007</v>
      </c>
      <c r="S214" s="81">
        <f ca="1">IF(controls!$B$33=1,(J215-E214*X215-B214)/'main page'!$K$27,(I215-E214*X215-B214)/'main page'!$K$27)</f>
        <v>53.45</v>
      </c>
      <c r="U214" s="58">
        <f>IF(controls!$B$6=1,$AG$4*(1+('main page'!$K$35/100))^V214-$AG$4*(1+('main page'!$K$35/100))^V213,$AG$4*(1+('main page'!$G$8/100))*(1+('main page'!$K$35/100))^V214-$AG$4*(1+('main page'!$G$8/100))*(1+('main page'!$K$35/100))^V213)</f>
        <v>0</v>
      </c>
      <c r="V214" s="60">
        <v>206</v>
      </c>
      <c r="W214" s="36">
        <f>'normal case'!AC213</f>
        <v>0</v>
      </c>
      <c r="X214" s="36">
        <f>'normal case'!AD213</f>
        <v>0</v>
      </c>
      <c r="Y214" s="44">
        <f ca="1">IF(controls!$B$33=1,E214-($J$4-'main page'!$K$27*2)*(1+('main page'!$K$35/100))^A213,E214-$AG$5)</f>
        <v>-99.9</v>
      </c>
      <c r="Z214" s="44">
        <f ca="1">ABS(M214-(controls!$B$9/100)*100)</f>
        <v>456.75000000000006</v>
      </c>
      <c r="AI214" s="36"/>
      <c r="AJ214" s="36"/>
    </row>
    <row r="215" spans="1:36">
      <c r="A215" s="43">
        <v>212</v>
      </c>
      <c r="B215" s="62">
        <f ca="1">IF(controls!$B$6=2,AVERAGE(E211:E214)+B214*W215+hystere!$AG$9,AVERAGE(E211:E214)+B214*W215)</f>
        <v>1.1000000000000001</v>
      </c>
      <c r="C215" s="67">
        <f t="shared" ca="1" si="19"/>
        <v>0</v>
      </c>
      <c r="D215" s="88">
        <f t="shared" ca="1" si="20"/>
        <v>-1</v>
      </c>
      <c r="E215" s="64">
        <f t="shared" ca="1" si="21"/>
        <v>0.1</v>
      </c>
      <c r="F215" s="64">
        <f ca="1">IF('main page'!$K$34=1,hystere!H215,hystere!G215)</f>
        <v>-801.50000000000011</v>
      </c>
      <c r="G215" s="78">
        <f ca="1">I215-'main page'!$K$27*hystere!N214</f>
        <v>-801.50000000000011</v>
      </c>
      <c r="H215" s="62">
        <f ca="1">J215-'main page'!$K$27*N214</f>
        <v>-801.50000000000011</v>
      </c>
      <c r="I215" s="62">
        <f t="shared" ca="1" si="16"/>
        <v>108</v>
      </c>
      <c r="J215" s="62">
        <f t="shared" ca="1" si="17"/>
        <v>108</v>
      </c>
      <c r="M215" s="62">
        <f ca="1">IF(ABS('main page'!$K$29*M214+(1-'main page'!$K$29)*(controls!$B$9/100)*100+'main page'!$K$25*(E215-B215)-M214)&lt;0.0000001,M214,'main page'!$K$29*M214+(1-'main page'!$K$29)*(controls!$B$9/100)*100+'main page'!$K$25*(E215-B215))</f>
        <v>-455.75000000000006</v>
      </c>
      <c r="N215" s="62">
        <f ca="1">IF(controls!$B$10=1,N214,O215-'main page'!$K$29*M215-(1-'main page'!$K$29)*controls!$B$9)</f>
        <v>455.75000000000006</v>
      </c>
      <c r="O215" s="61">
        <f t="shared" ca="1" si="18"/>
        <v>0</v>
      </c>
      <c r="P215" s="63">
        <f ca="1">IF(controls!$B$10=1,hystere!N215+hystere!M215,hystere!Q215)</f>
        <v>-516.73750000000007</v>
      </c>
      <c r="Q215" s="61">
        <f ca="1">IF('main page'!$Y$53=1,'choose m.p.'!$I$22*100,R215)</f>
        <v>-516.73750000000007</v>
      </c>
      <c r="R215" s="83">
        <f ca="1">'main page'!$K$29*M215+(1-'main page'!$K$29)*controls!$B$9+S215+(('main page'!$K$25*'main page'!$U$13*'main page'!$K$29)/('main page'!$K$27*(1+('main page'!$K$25^2)*'main page'!$U$13)))*(M215-(controls!$B$9/100)*100)</f>
        <v>-516.73750000000007</v>
      </c>
      <c r="S215" s="81">
        <f ca="1">IF(controls!$B$33=1,(J216-E215*X216-B215)/'main page'!$K$27,(I216-E215*X216-B215)/'main page'!$K$27)</f>
        <v>53.45</v>
      </c>
      <c r="U215" s="58">
        <f>IF(controls!$B$6=1,$AG$4*(1+('main page'!$K$35/100))^V215-$AG$4*(1+('main page'!$K$35/100))^V214,$AG$4*(1+('main page'!$G$8/100))*(1+('main page'!$K$35/100))^V215-$AG$4*(1+('main page'!$G$8/100))*(1+('main page'!$K$35/100))^V214)</f>
        <v>0</v>
      </c>
      <c r="V215" s="60">
        <v>207</v>
      </c>
      <c r="W215" s="36">
        <f>'normal case'!AC214</f>
        <v>0</v>
      </c>
      <c r="X215" s="36">
        <f>'normal case'!AD214</f>
        <v>0</v>
      </c>
      <c r="Y215" s="44">
        <f ca="1">IF(controls!$B$33=1,E215-($J$4-'main page'!$K$27*2)*(1+('main page'!$K$35/100))^A214,E215-$AG$5)</f>
        <v>-99.9</v>
      </c>
      <c r="Z215" s="44">
        <f ca="1">ABS(M215-(controls!$B$9/100)*100)</f>
        <v>457.75000000000006</v>
      </c>
      <c r="AI215" s="36"/>
      <c r="AJ215" s="36"/>
    </row>
    <row r="216" spans="1:36">
      <c r="A216" s="43">
        <v>213</v>
      </c>
      <c r="B216" s="62">
        <f ca="1">IF(controls!$B$6=2,AVERAGE(E212:E215)+B215*W216+hystere!$AG$9,AVERAGE(E212:E215)+B215*W216)</f>
        <v>1.1000000000000001</v>
      </c>
      <c r="C216" s="67">
        <f t="shared" ca="1" si="19"/>
        <v>0</v>
      </c>
      <c r="D216" s="88">
        <f t="shared" ca="1" si="20"/>
        <v>-1</v>
      </c>
      <c r="E216" s="64">
        <f t="shared" ca="1" si="21"/>
        <v>0.1</v>
      </c>
      <c r="F216" s="64">
        <f ca="1">IF('main page'!$K$34=1,hystere!H216,hystere!G216)</f>
        <v>-803.50000000000011</v>
      </c>
      <c r="G216" s="78">
        <f ca="1">I216-'main page'!$K$27*hystere!N215</f>
        <v>-803.50000000000011</v>
      </c>
      <c r="H216" s="62">
        <f ca="1">J216-'main page'!$K$27*N215</f>
        <v>-803.50000000000011</v>
      </c>
      <c r="I216" s="62">
        <f t="shared" ca="1" si="16"/>
        <v>108</v>
      </c>
      <c r="J216" s="62">
        <f t="shared" ca="1" si="17"/>
        <v>108</v>
      </c>
      <c r="M216" s="62">
        <f ca="1">IF(ABS('main page'!$K$29*M215+(1-'main page'!$K$29)*(controls!$B$9/100)*100+'main page'!$K$25*(E216-B216)-M215)&lt;0.0000001,M215,'main page'!$K$29*M215+(1-'main page'!$K$29)*(controls!$B$9/100)*100+'main page'!$K$25*(E216-B216))</f>
        <v>-456.75000000000006</v>
      </c>
      <c r="N216" s="62">
        <f ca="1">IF(controls!$B$10=1,N215,O216-'main page'!$K$29*M216-(1-'main page'!$K$29)*controls!$B$9)</f>
        <v>456.75000000000006</v>
      </c>
      <c r="O216" s="61">
        <f t="shared" ca="1" si="18"/>
        <v>0</v>
      </c>
      <c r="P216" s="63">
        <f ca="1">IF(controls!$B$10=1,hystere!N216+hystere!M216,hystere!Q216)</f>
        <v>-517.98750000000007</v>
      </c>
      <c r="Q216" s="61">
        <f ca="1">IF('main page'!$Y$53=1,'choose m.p.'!$I$22*100,R216)</f>
        <v>-517.98750000000007</v>
      </c>
      <c r="R216" s="83">
        <f ca="1">'main page'!$K$29*M216+(1-'main page'!$K$29)*controls!$B$9+S216+(('main page'!$K$25*'main page'!$U$13*'main page'!$K$29)/('main page'!$K$27*(1+('main page'!$K$25^2)*'main page'!$U$13)))*(M216-(controls!$B$9/100)*100)</f>
        <v>-517.98750000000007</v>
      </c>
      <c r="S216" s="81">
        <f ca="1">IF(controls!$B$33=1,(J217-E216*X217-B216)/'main page'!$K$27,(I217-E216*X217-B216)/'main page'!$K$27)</f>
        <v>53.45</v>
      </c>
      <c r="U216" s="58">
        <f>IF(controls!$B$6=1,$AG$4*(1+('main page'!$K$35/100))^V216-$AG$4*(1+('main page'!$K$35/100))^V215,$AG$4*(1+('main page'!$G$8/100))*(1+('main page'!$K$35/100))^V216-$AG$4*(1+('main page'!$G$8/100))*(1+('main page'!$K$35/100))^V215)</f>
        <v>0</v>
      </c>
      <c r="V216" s="60">
        <v>208</v>
      </c>
      <c r="W216" s="36">
        <f ca="1">'normal case'!AC215</f>
        <v>0</v>
      </c>
      <c r="X216" s="36">
        <f ca="1">'normal case'!AD215</f>
        <v>0</v>
      </c>
      <c r="Y216" s="44">
        <f ca="1">IF(controls!$B$33=1,E216-($J$4-'main page'!$K$27*2)*(1+('main page'!$K$35/100))^A215,E216-$AG$5)</f>
        <v>-99.9</v>
      </c>
      <c r="Z216" s="44">
        <f ca="1">ABS(M216-(controls!$B$9/100)*100)</f>
        <v>458.75000000000006</v>
      </c>
      <c r="AI216" s="36"/>
      <c r="AJ216" s="36"/>
    </row>
    <row r="217" spans="1:36">
      <c r="A217" s="43">
        <v>214</v>
      </c>
      <c r="B217" s="62">
        <f ca="1">IF(controls!$B$6=2,AVERAGE(E213:E216)+B216*W217+hystere!$AG$9,AVERAGE(E213:E216)+B216*W217)</f>
        <v>1.1000000000000001</v>
      </c>
      <c r="C217" s="67">
        <f t="shared" ca="1" si="19"/>
        <v>0</v>
      </c>
      <c r="D217" s="88">
        <f t="shared" ca="1" si="20"/>
        <v>-1</v>
      </c>
      <c r="E217" s="64">
        <f t="shared" ca="1" si="21"/>
        <v>0.1</v>
      </c>
      <c r="F217" s="64">
        <f ca="1">IF('main page'!$K$34=1,hystere!H217,hystere!G217)</f>
        <v>-805.50000000000011</v>
      </c>
      <c r="G217" s="78">
        <f ca="1">I217-'main page'!$K$27*hystere!N216</f>
        <v>-805.50000000000011</v>
      </c>
      <c r="H217" s="62">
        <f ca="1">J217-'main page'!$K$27*N216</f>
        <v>-805.50000000000011</v>
      </c>
      <c r="I217" s="62">
        <f t="shared" ref="I217:I280" ca="1" si="22">I216+E216*X217</f>
        <v>108</v>
      </c>
      <c r="J217" s="62">
        <f t="shared" ref="J217:J280" ca="1" si="23">J216+E216*X217+U217</f>
        <v>108</v>
      </c>
      <c r="M217" s="62">
        <f ca="1">IF(ABS('main page'!$K$29*M216+(1-'main page'!$K$29)*(controls!$B$9/100)*100+'main page'!$K$25*(E217-B217)-M216)&lt;0.0000001,M216,'main page'!$K$29*M216+(1-'main page'!$K$29)*(controls!$B$9/100)*100+'main page'!$K$25*(E217-B217))</f>
        <v>-457.75000000000006</v>
      </c>
      <c r="N217" s="62">
        <f ca="1">IF(controls!$B$10=1,N216,O217-'main page'!$K$29*M217-(1-'main page'!$K$29)*controls!$B$9)</f>
        <v>457.75000000000006</v>
      </c>
      <c r="O217" s="61">
        <f t="shared" ca="1" si="18"/>
        <v>0</v>
      </c>
      <c r="P217" s="63">
        <f ca="1">IF(controls!$B$10=1,hystere!N217+hystere!M217,hystere!Q217)</f>
        <v>-519.23750000000007</v>
      </c>
      <c r="Q217" s="61">
        <f ca="1">IF('main page'!$Y$53=1,'choose m.p.'!$I$22*100,R217)</f>
        <v>-519.23750000000007</v>
      </c>
      <c r="R217" s="83">
        <f ca="1">'main page'!$K$29*M217+(1-'main page'!$K$29)*controls!$B$9+S217+(('main page'!$K$25*'main page'!$U$13*'main page'!$K$29)/('main page'!$K$27*(1+('main page'!$K$25^2)*'main page'!$U$13)))*(M217-(controls!$B$9/100)*100)</f>
        <v>-519.23750000000007</v>
      </c>
      <c r="S217" s="81">
        <f ca="1">IF(controls!$B$33=1,(J218-E217*X218-B217)/'main page'!$K$27,(I218-E217*X218-B217)/'main page'!$K$27)</f>
        <v>53.45</v>
      </c>
      <c r="U217" s="58">
        <f>IF(controls!$B$6=1,$AG$4*(1+('main page'!$K$35/100))^V217-$AG$4*(1+('main page'!$K$35/100))^V216,$AG$4*(1+('main page'!$G$8/100))*(1+('main page'!$K$35/100))^V217-$AG$4*(1+('main page'!$G$8/100))*(1+('main page'!$K$35/100))^V216)</f>
        <v>0</v>
      </c>
      <c r="V217" s="60">
        <v>209</v>
      </c>
      <c r="W217" s="36">
        <f>'normal case'!AC216</f>
        <v>0</v>
      </c>
      <c r="X217" s="36">
        <f>'normal case'!AD216</f>
        <v>0</v>
      </c>
      <c r="Y217" s="44">
        <f ca="1">IF(controls!$B$33=1,E217-($J$4-'main page'!$K$27*2)*(1+('main page'!$K$35/100))^A216,E217-$AG$5)</f>
        <v>-99.9</v>
      </c>
      <c r="Z217" s="44">
        <f ca="1">ABS(M217-(controls!$B$9/100)*100)</f>
        <v>459.75000000000006</v>
      </c>
      <c r="AI217" s="36"/>
      <c r="AJ217" s="36"/>
    </row>
    <row r="218" spans="1:36">
      <c r="A218" s="43">
        <v>215</v>
      </c>
      <c r="B218" s="62">
        <f ca="1">IF(controls!$B$6=2,AVERAGE(E214:E217)+B217*W218+hystere!$AG$9,AVERAGE(E214:E217)+B217*W218)</f>
        <v>1.1000000000000001</v>
      </c>
      <c r="C218" s="67">
        <f t="shared" ca="1" si="19"/>
        <v>0</v>
      </c>
      <c r="D218" s="88">
        <f t="shared" ca="1" si="20"/>
        <v>-1</v>
      </c>
      <c r="E218" s="64">
        <f t="shared" ca="1" si="21"/>
        <v>0.1</v>
      </c>
      <c r="F218" s="64">
        <f ca="1">IF('main page'!$K$34=1,hystere!H218,hystere!G218)</f>
        <v>-807.50000000000011</v>
      </c>
      <c r="G218" s="78">
        <f ca="1">I218-'main page'!$K$27*hystere!N217</f>
        <v>-807.50000000000011</v>
      </c>
      <c r="H218" s="62">
        <f ca="1">J218-'main page'!$K$27*N217</f>
        <v>-807.50000000000011</v>
      </c>
      <c r="I218" s="62">
        <f t="shared" ca="1" si="22"/>
        <v>108</v>
      </c>
      <c r="J218" s="62">
        <f t="shared" ca="1" si="23"/>
        <v>108</v>
      </c>
      <c r="M218" s="62">
        <f ca="1">IF(ABS('main page'!$K$29*M217+(1-'main page'!$K$29)*(controls!$B$9/100)*100+'main page'!$K$25*(E218-B218)-M217)&lt;0.0000001,M217,'main page'!$K$29*M217+(1-'main page'!$K$29)*(controls!$B$9/100)*100+'main page'!$K$25*(E218-B218))</f>
        <v>-458.75000000000006</v>
      </c>
      <c r="N218" s="62">
        <f ca="1">IF(controls!$B$10=1,N217,O218-'main page'!$K$29*M218-(1-'main page'!$K$29)*controls!$B$9)</f>
        <v>458.75000000000006</v>
      </c>
      <c r="O218" s="61">
        <f t="shared" ca="1" si="18"/>
        <v>0</v>
      </c>
      <c r="P218" s="63">
        <f ca="1">IF(controls!$B$10=1,hystere!N218+hystere!M218,hystere!Q218)</f>
        <v>-520.48750000000007</v>
      </c>
      <c r="Q218" s="61">
        <f ca="1">IF('main page'!$Y$53=1,'choose m.p.'!$I$22*100,R218)</f>
        <v>-520.48750000000007</v>
      </c>
      <c r="R218" s="83">
        <f ca="1">'main page'!$K$29*M218+(1-'main page'!$K$29)*controls!$B$9+S218+(('main page'!$K$25*'main page'!$U$13*'main page'!$K$29)/('main page'!$K$27*(1+('main page'!$K$25^2)*'main page'!$U$13)))*(M218-(controls!$B$9/100)*100)</f>
        <v>-520.48750000000007</v>
      </c>
      <c r="S218" s="81">
        <f ca="1">IF(controls!$B$33=1,(J219-E218*X219-B218)/'main page'!$K$27,(I219-E218*X219-B218)/'main page'!$K$27)</f>
        <v>53.45</v>
      </c>
      <c r="U218" s="58">
        <f>IF(controls!$B$6=1,$AG$4*(1+('main page'!$K$35/100))^V218-$AG$4*(1+('main page'!$K$35/100))^V217,$AG$4*(1+('main page'!$G$8/100))*(1+('main page'!$K$35/100))^V218-$AG$4*(1+('main page'!$G$8/100))*(1+('main page'!$K$35/100))^V217)</f>
        <v>0</v>
      </c>
      <c r="V218" s="60">
        <v>210</v>
      </c>
      <c r="W218" s="36">
        <f>'normal case'!AC217</f>
        <v>0</v>
      </c>
      <c r="X218" s="36">
        <f>'normal case'!AD217</f>
        <v>0</v>
      </c>
      <c r="Y218" s="44">
        <f ca="1">IF(controls!$B$33=1,E218-($J$4-'main page'!$K$27*2)*(1+('main page'!$K$35/100))^A217,E218-$AG$5)</f>
        <v>-99.9</v>
      </c>
      <c r="Z218" s="44">
        <f ca="1">ABS(M218-(controls!$B$9/100)*100)</f>
        <v>460.75000000000006</v>
      </c>
      <c r="AI218" s="36"/>
      <c r="AJ218" s="36"/>
    </row>
    <row r="219" spans="1:36">
      <c r="A219" s="43">
        <v>216</v>
      </c>
      <c r="B219" s="62">
        <f ca="1">IF(controls!$B$6=2,AVERAGE(E215:E218)+B218*W219+hystere!$AG$9,AVERAGE(E215:E218)+B218*W219)</f>
        <v>1.1000000000000001</v>
      </c>
      <c r="C219" s="67">
        <f t="shared" ca="1" si="19"/>
        <v>0</v>
      </c>
      <c r="D219" s="88">
        <f t="shared" ca="1" si="20"/>
        <v>-1</v>
      </c>
      <c r="E219" s="64">
        <f t="shared" ca="1" si="21"/>
        <v>0.1</v>
      </c>
      <c r="F219" s="64">
        <f ca="1">IF('main page'!$K$34=1,hystere!H219,hystere!G219)</f>
        <v>-809.50000000000011</v>
      </c>
      <c r="G219" s="78">
        <f ca="1">I219-'main page'!$K$27*hystere!N218</f>
        <v>-809.50000000000011</v>
      </c>
      <c r="H219" s="62">
        <f ca="1">J219-'main page'!$K$27*N218</f>
        <v>-809.50000000000011</v>
      </c>
      <c r="I219" s="62">
        <f t="shared" ca="1" si="22"/>
        <v>108</v>
      </c>
      <c r="J219" s="62">
        <f t="shared" ca="1" si="23"/>
        <v>108</v>
      </c>
      <c r="M219" s="62">
        <f ca="1">IF(ABS('main page'!$K$29*M218+(1-'main page'!$K$29)*(controls!$B$9/100)*100+'main page'!$K$25*(E219-B219)-M218)&lt;0.0000001,M218,'main page'!$K$29*M218+(1-'main page'!$K$29)*(controls!$B$9/100)*100+'main page'!$K$25*(E219-B219))</f>
        <v>-459.75000000000006</v>
      </c>
      <c r="N219" s="62">
        <f ca="1">IF(controls!$B$10=1,N218,O219-'main page'!$K$29*M219-(1-'main page'!$K$29)*controls!$B$9)</f>
        <v>459.75000000000006</v>
      </c>
      <c r="O219" s="61">
        <f t="shared" ca="1" si="18"/>
        <v>0</v>
      </c>
      <c r="P219" s="63">
        <f ca="1">IF(controls!$B$10=1,hystere!N219+hystere!M219,hystere!Q219)</f>
        <v>-521.73750000000007</v>
      </c>
      <c r="Q219" s="61">
        <f ca="1">IF('main page'!$Y$53=1,'choose m.p.'!$I$22*100,R219)</f>
        <v>-521.73750000000007</v>
      </c>
      <c r="R219" s="83">
        <f ca="1">'main page'!$K$29*M219+(1-'main page'!$K$29)*controls!$B$9+S219+(('main page'!$K$25*'main page'!$U$13*'main page'!$K$29)/('main page'!$K$27*(1+('main page'!$K$25^2)*'main page'!$U$13)))*(M219-(controls!$B$9/100)*100)</f>
        <v>-521.73750000000007</v>
      </c>
      <c r="S219" s="81">
        <f ca="1">IF(controls!$B$33=1,(J220-E219*X220-B219)/'main page'!$K$27,(I220-E219*X220-B219)/'main page'!$K$27)</f>
        <v>53.45</v>
      </c>
      <c r="U219" s="58">
        <f>IF(controls!$B$6=1,$AG$4*(1+('main page'!$K$35/100))^V219-$AG$4*(1+('main page'!$K$35/100))^V218,$AG$4*(1+('main page'!$G$8/100))*(1+('main page'!$K$35/100))^V219-$AG$4*(1+('main page'!$G$8/100))*(1+('main page'!$K$35/100))^V218)</f>
        <v>0</v>
      </c>
      <c r="V219" s="60">
        <v>211</v>
      </c>
      <c r="W219" s="36">
        <f ca="1">'normal case'!AC218</f>
        <v>0</v>
      </c>
      <c r="X219" s="36">
        <f ca="1">'normal case'!AD218</f>
        <v>0</v>
      </c>
      <c r="Y219" s="44">
        <f ca="1">IF(controls!$B$33=1,E219-($J$4-'main page'!$K$27*2)*(1+('main page'!$K$35/100))^A218,E219-$AG$5)</f>
        <v>-99.9</v>
      </c>
      <c r="Z219" s="44">
        <f ca="1">ABS(M219-(controls!$B$9/100)*100)</f>
        <v>461.75000000000006</v>
      </c>
      <c r="AI219" s="36"/>
      <c r="AJ219" s="36"/>
    </row>
    <row r="220" spans="1:36">
      <c r="A220" s="43">
        <v>217</v>
      </c>
      <c r="B220" s="62">
        <f ca="1">IF(controls!$B$6=2,AVERAGE(E216:E219)+B219*W220+hystere!$AG$9,AVERAGE(E216:E219)+B219*W220)</f>
        <v>1.1000000000000001</v>
      </c>
      <c r="C220" s="67">
        <f t="shared" ca="1" si="19"/>
        <v>0</v>
      </c>
      <c r="D220" s="88">
        <f t="shared" ca="1" si="20"/>
        <v>-1</v>
      </c>
      <c r="E220" s="64">
        <f t="shared" ca="1" si="21"/>
        <v>0.1</v>
      </c>
      <c r="F220" s="64">
        <f ca="1">IF('main page'!$K$34=1,hystere!H220,hystere!G220)</f>
        <v>-811.50000000000011</v>
      </c>
      <c r="G220" s="78">
        <f ca="1">I220-'main page'!$K$27*hystere!N219</f>
        <v>-811.50000000000011</v>
      </c>
      <c r="H220" s="62">
        <f ca="1">J220-'main page'!$K$27*N219</f>
        <v>-811.50000000000011</v>
      </c>
      <c r="I220" s="62">
        <f t="shared" ca="1" si="22"/>
        <v>108</v>
      </c>
      <c r="J220" s="62">
        <f t="shared" ca="1" si="23"/>
        <v>108</v>
      </c>
      <c r="M220" s="62">
        <f ca="1">IF(ABS('main page'!$K$29*M219+(1-'main page'!$K$29)*(controls!$B$9/100)*100+'main page'!$K$25*(E220-B220)-M219)&lt;0.0000001,M219,'main page'!$K$29*M219+(1-'main page'!$K$29)*(controls!$B$9/100)*100+'main page'!$K$25*(E220-B220))</f>
        <v>-460.75000000000006</v>
      </c>
      <c r="N220" s="62">
        <f ca="1">IF(controls!$B$10=1,N219,O220-'main page'!$K$29*M220-(1-'main page'!$K$29)*controls!$B$9)</f>
        <v>460.75000000000006</v>
      </c>
      <c r="O220" s="61">
        <f t="shared" ca="1" si="18"/>
        <v>0</v>
      </c>
      <c r="P220" s="63">
        <f ca="1">IF(controls!$B$10=1,hystere!N220+hystere!M220,hystere!Q220)</f>
        <v>-522.98750000000007</v>
      </c>
      <c r="Q220" s="61">
        <f ca="1">IF('main page'!$Y$53=1,'choose m.p.'!$I$22*100,R220)</f>
        <v>-522.98750000000007</v>
      </c>
      <c r="R220" s="83">
        <f ca="1">'main page'!$K$29*M220+(1-'main page'!$K$29)*controls!$B$9+S220+(('main page'!$K$25*'main page'!$U$13*'main page'!$K$29)/('main page'!$K$27*(1+('main page'!$K$25^2)*'main page'!$U$13)))*(M220-(controls!$B$9/100)*100)</f>
        <v>-522.98750000000007</v>
      </c>
      <c r="S220" s="81">
        <f ca="1">IF(controls!$B$33=1,(J221-E220*X221-B220)/'main page'!$K$27,(I221-E220*X221-B220)/'main page'!$K$27)</f>
        <v>53.45</v>
      </c>
      <c r="U220" s="58">
        <f>IF(controls!$B$6=1,$AG$4*(1+('main page'!$K$35/100))^V220-$AG$4*(1+('main page'!$K$35/100))^V219,$AG$4*(1+('main page'!$G$8/100))*(1+('main page'!$K$35/100))^V220-$AG$4*(1+('main page'!$G$8/100))*(1+('main page'!$K$35/100))^V219)</f>
        <v>0</v>
      </c>
      <c r="V220" s="60">
        <v>212</v>
      </c>
      <c r="W220" s="36">
        <f>'normal case'!AC219</f>
        <v>0</v>
      </c>
      <c r="X220" s="36">
        <f>'normal case'!AD219</f>
        <v>0</v>
      </c>
      <c r="Y220" s="44">
        <f ca="1">IF(controls!$B$33=1,E220-($J$4-'main page'!$K$27*2)*(1+('main page'!$K$35/100))^A219,E220-$AG$5)</f>
        <v>-99.9</v>
      </c>
      <c r="Z220" s="44">
        <f ca="1">ABS(M220-(controls!$B$9/100)*100)</f>
        <v>462.75000000000006</v>
      </c>
      <c r="AI220" s="36"/>
      <c r="AJ220" s="36"/>
    </row>
    <row r="221" spans="1:36">
      <c r="A221" s="43">
        <v>218</v>
      </c>
      <c r="B221" s="62">
        <f ca="1">IF(controls!$B$6=2,AVERAGE(E217:E220)+B220*W221+hystere!$AG$9,AVERAGE(E217:E220)+B220*W221)</f>
        <v>1.1000000000000001</v>
      </c>
      <c r="C221" s="67">
        <f t="shared" ca="1" si="19"/>
        <v>0</v>
      </c>
      <c r="D221" s="88">
        <f t="shared" ca="1" si="20"/>
        <v>-1</v>
      </c>
      <c r="E221" s="64">
        <f t="shared" ca="1" si="21"/>
        <v>0.1</v>
      </c>
      <c r="F221" s="64">
        <f ca="1">IF('main page'!$K$34=1,hystere!H221,hystere!G221)</f>
        <v>-813.50000000000011</v>
      </c>
      <c r="G221" s="78">
        <f ca="1">I221-'main page'!$K$27*hystere!N220</f>
        <v>-813.50000000000011</v>
      </c>
      <c r="H221" s="62">
        <f ca="1">J221-'main page'!$K$27*N220</f>
        <v>-813.50000000000011</v>
      </c>
      <c r="I221" s="62">
        <f t="shared" ca="1" si="22"/>
        <v>108</v>
      </c>
      <c r="J221" s="62">
        <f t="shared" ca="1" si="23"/>
        <v>108</v>
      </c>
      <c r="M221" s="62">
        <f ca="1">IF(ABS('main page'!$K$29*M220+(1-'main page'!$K$29)*(controls!$B$9/100)*100+'main page'!$K$25*(E221-B221)-M220)&lt;0.0000001,M220,'main page'!$K$29*M220+(1-'main page'!$K$29)*(controls!$B$9/100)*100+'main page'!$K$25*(E221-B221))</f>
        <v>-461.75000000000006</v>
      </c>
      <c r="N221" s="62">
        <f ca="1">IF(controls!$B$10=1,N220,O221-'main page'!$K$29*M221-(1-'main page'!$K$29)*controls!$B$9)</f>
        <v>461.75000000000006</v>
      </c>
      <c r="O221" s="61">
        <f t="shared" ca="1" si="18"/>
        <v>0</v>
      </c>
      <c r="P221" s="63">
        <f ca="1">IF(controls!$B$10=1,hystere!N221+hystere!M221,hystere!Q221)</f>
        <v>-524.23750000000007</v>
      </c>
      <c r="Q221" s="61">
        <f ca="1">IF('main page'!$Y$53=1,'choose m.p.'!$I$22*100,R221)</f>
        <v>-524.23750000000007</v>
      </c>
      <c r="R221" s="83">
        <f ca="1">'main page'!$K$29*M221+(1-'main page'!$K$29)*controls!$B$9+S221+(('main page'!$K$25*'main page'!$U$13*'main page'!$K$29)/('main page'!$K$27*(1+('main page'!$K$25^2)*'main page'!$U$13)))*(M221-(controls!$B$9/100)*100)</f>
        <v>-524.23750000000007</v>
      </c>
      <c r="S221" s="81">
        <f ca="1">IF(controls!$B$33=1,(J222-E221*X222-B221)/'main page'!$K$27,(I222-E221*X222-B221)/'main page'!$K$27)</f>
        <v>53.45</v>
      </c>
      <c r="U221" s="58">
        <f>IF(controls!$B$6=1,$AG$4*(1+('main page'!$K$35/100))^V221-$AG$4*(1+('main page'!$K$35/100))^V220,$AG$4*(1+('main page'!$G$8/100))*(1+('main page'!$K$35/100))^V221-$AG$4*(1+('main page'!$G$8/100))*(1+('main page'!$K$35/100))^V220)</f>
        <v>0</v>
      </c>
      <c r="V221" s="60">
        <v>213</v>
      </c>
      <c r="W221" s="36">
        <f>'normal case'!AC220</f>
        <v>0</v>
      </c>
      <c r="X221" s="36">
        <f>'normal case'!AD220</f>
        <v>0</v>
      </c>
      <c r="Y221" s="44">
        <f ca="1">IF(controls!$B$33=1,E221-($J$4-'main page'!$K$27*2)*(1+('main page'!$K$35/100))^A220,E221-$AG$5)</f>
        <v>-99.9</v>
      </c>
      <c r="Z221" s="44">
        <f ca="1">ABS(M221-(controls!$B$9/100)*100)</f>
        <v>463.75000000000006</v>
      </c>
      <c r="AI221" s="36"/>
      <c r="AJ221" s="36"/>
    </row>
    <row r="222" spans="1:36">
      <c r="A222" s="43">
        <v>219</v>
      </c>
      <c r="B222" s="62">
        <f ca="1">IF(controls!$B$6=2,AVERAGE(E218:E221)+B221*W222+hystere!$AG$9,AVERAGE(E218:E221)+B221*W222)</f>
        <v>1.1000000000000001</v>
      </c>
      <c r="C222" s="67">
        <f t="shared" ca="1" si="19"/>
        <v>0</v>
      </c>
      <c r="D222" s="88">
        <f t="shared" ca="1" si="20"/>
        <v>-1</v>
      </c>
      <c r="E222" s="64">
        <f t="shared" ca="1" si="21"/>
        <v>0.1</v>
      </c>
      <c r="F222" s="64">
        <f ca="1">IF('main page'!$K$34=1,hystere!H222,hystere!G222)</f>
        <v>-815.50000000000011</v>
      </c>
      <c r="G222" s="78">
        <f ca="1">I222-'main page'!$K$27*hystere!N221</f>
        <v>-815.50000000000011</v>
      </c>
      <c r="H222" s="62">
        <f ca="1">J222-'main page'!$K$27*N221</f>
        <v>-815.50000000000011</v>
      </c>
      <c r="I222" s="62">
        <f t="shared" ca="1" si="22"/>
        <v>108</v>
      </c>
      <c r="J222" s="62">
        <f t="shared" ca="1" si="23"/>
        <v>108</v>
      </c>
      <c r="M222" s="62">
        <f ca="1">IF(ABS('main page'!$K$29*M221+(1-'main page'!$K$29)*(controls!$B$9/100)*100+'main page'!$K$25*(E222-B222)-M221)&lt;0.0000001,M221,'main page'!$K$29*M221+(1-'main page'!$K$29)*(controls!$B$9/100)*100+'main page'!$K$25*(E222-B222))</f>
        <v>-462.75000000000006</v>
      </c>
      <c r="N222" s="62">
        <f ca="1">IF(controls!$B$10=1,N221,O222-'main page'!$K$29*M222-(1-'main page'!$K$29)*controls!$B$9)</f>
        <v>462.75000000000006</v>
      </c>
      <c r="O222" s="61">
        <f t="shared" ca="1" si="18"/>
        <v>0</v>
      </c>
      <c r="P222" s="63">
        <f ca="1">IF(controls!$B$10=1,hystere!N222+hystere!M222,hystere!Q222)</f>
        <v>-525.48750000000007</v>
      </c>
      <c r="Q222" s="61">
        <f ca="1">IF('main page'!$Y$53=1,'choose m.p.'!$I$22*100,R222)</f>
        <v>-525.48750000000007</v>
      </c>
      <c r="R222" s="83">
        <f ca="1">'main page'!$K$29*M222+(1-'main page'!$K$29)*controls!$B$9+S222+(('main page'!$K$25*'main page'!$U$13*'main page'!$K$29)/('main page'!$K$27*(1+('main page'!$K$25^2)*'main page'!$U$13)))*(M222-(controls!$B$9/100)*100)</f>
        <v>-525.48750000000007</v>
      </c>
      <c r="S222" s="81">
        <f ca="1">IF(controls!$B$33=1,(J223-E222*X223-B222)/'main page'!$K$27,(I223-E222*X223-B222)/'main page'!$K$27)</f>
        <v>53.45</v>
      </c>
      <c r="U222" s="58">
        <f>IF(controls!$B$6=1,$AG$4*(1+('main page'!$K$35/100))^V222-$AG$4*(1+('main page'!$K$35/100))^V221,$AG$4*(1+('main page'!$G$8/100))*(1+('main page'!$K$35/100))^V222-$AG$4*(1+('main page'!$G$8/100))*(1+('main page'!$K$35/100))^V221)</f>
        <v>0</v>
      </c>
      <c r="V222" s="60">
        <v>214</v>
      </c>
      <c r="W222" s="36">
        <f ca="1">'normal case'!AC221</f>
        <v>0</v>
      </c>
      <c r="X222" s="36">
        <f ca="1">'normal case'!AD221</f>
        <v>0</v>
      </c>
      <c r="Y222" s="44">
        <f ca="1">IF(controls!$B$33=1,E222-($J$4-'main page'!$K$27*2)*(1+('main page'!$K$35/100))^A221,E222-$AG$5)</f>
        <v>-99.9</v>
      </c>
      <c r="Z222" s="44">
        <f ca="1">ABS(M222-(controls!$B$9/100)*100)</f>
        <v>464.75000000000006</v>
      </c>
      <c r="AI222" s="36"/>
      <c r="AJ222" s="36"/>
    </row>
    <row r="223" spans="1:36">
      <c r="A223" s="43">
        <v>220</v>
      </c>
      <c r="B223" s="62">
        <f ca="1">IF(controls!$B$6=2,AVERAGE(E219:E222)+B222*W223+hystere!$AG$9,AVERAGE(E219:E222)+B222*W223)</f>
        <v>1.1000000000000001</v>
      </c>
      <c r="C223" s="67">
        <f t="shared" ca="1" si="19"/>
        <v>0</v>
      </c>
      <c r="D223" s="88">
        <f t="shared" ca="1" si="20"/>
        <v>-1</v>
      </c>
      <c r="E223" s="64">
        <f t="shared" ca="1" si="21"/>
        <v>0.1</v>
      </c>
      <c r="F223" s="64">
        <f ca="1">IF('main page'!$K$34=1,hystere!H223,hystere!G223)</f>
        <v>-817.50000000000011</v>
      </c>
      <c r="G223" s="78">
        <f ca="1">I223-'main page'!$K$27*hystere!N222</f>
        <v>-817.50000000000011</v>
      </c>
      <c r="H223" s="62">
        <f ca="1">J223-'main page'!$K$27*N222</f>
        <v>-817.50000000000011</v>
      </c>
      <c r="I223" s="62">
        <f t="shared" ca="1" si="22"/>
        <v>108</v>
      </c>
      <c r="J223" s="62">
        <f t="shared" ca="1" si="23"/>
        <v>108</v>
      </c>
      <c r="M223" s="62">
        <f ca="1">IF(ABS('main page'!$K$29*M222+(1-'main page'!$K$29)*(controls!$B$9/100)*100+'main page'!$K$25*(E223-B223)-M222)&lt;0.0000001,M222,'main page'!$K$29*M222+(1-'main page'!$K$29)*(controls!$B$9/100)*100+'main page'!$K$25*(E223-B223))</f>
        <v>-463.75000000000006</v>
      </c>
      <c r="N223" s="62">
        <f ca="1">IF(controls!$B$10=1,N222,O223-'main page'!$K$29*M223-(1-'main page'!$K$29)*controls!$B$9)</f>
        <v>463.75000000000006</v>
      </c>
      <c r="O223" s="61">
        <f t="shared" ca="1" si="18"/>
        <v>0</v>
      </c>
      <c r="P223" s="63">
        <f ca="1">IF(controls!$B$10=1,hystere!N223+hystere!M223,hystere!Q223)</f>
        <v>-526.73750000000007</v>
      </c>
      <c r="Q223" s="61">
        <f ca="1">IF('main page'!$Y$53=1,'choose m.p.'!$I$22*100,R223)</f>
        <v>-526.73750000000007</v>
      </c>
      <c r="R223" s="83">
        <f ca="1">'main page'!$K$29*M223+(1-'main page'!$K$29)*controls!$B$9+S223+(('main page'!$K$25*'main page'!$U$13*'main page'!$K$29)/('main page'!$K$27*(1+('main page'!$K$25^2)*'main page'!$U$13)))*(M223-(controls!$B$9/100)*100)</f>
        <v>-526.73750000000007</v>
      </c>
      <c r="S223" s="81">
        <f ca="1">IF(controls!$B$33=1,(J224-E223*X224-B223)/'main page'!$K$27,(I224-E223*X224-B223)/'main page'!$K$27)</f>
        <v>53.45</v>
      </c>
      <c r="U223" s="58">
        <f>IF(controls!$B$6=1,$AG$4*(1+('main page'!$K$35/100))^V223-$AG$4*(1+('main page'!$K$35/100))^V222,$AG$4*(1+('main page'!$G$8/100))*(1+('main page'!$K$35/100))^V223-$AG$4*(1+('main page'!$G$8/100))*(1+('main page'!$K$35/100))^V222)</f>
        <v>0</v>
      </c>
      <c r="V223" s="60">
        <v>215</v>
      </c>
      <c r="W223" s="36">
        <f>'normal case'!AC222</f>
        <v>0</v>
      </c>
      <c r="X223" s="36">
        <f>'normal case'!AD222</f>
        <v>0</v>
      </c>
      <c r="Y223" s="44">
        <f ca="1">IF(controls!$B$33=1,E223-($J$4-'main page'!$K$27*2)*(1+('main page'!$K$35/100))^A222,E223-$AG$5)</f>
        <v>-99.9</v>
      </c>
      <c r="Z223" s="44">
        <f ca="1">ABS(M223-(controls!$B$9/100)*100)</f>
        <v>465.75000000000006</v>
      </c>
      <c r="AI223" s="36"/>
      <c r="AJ223" s="36"/>
    </row>
    <row r="224" spans="1:36">
      <c r="A224" s="43">
        <v>221</v>
      </c>
      <c r="B224" s="62">
        <f ca="1">IF(controls!$B$6=2,AVERAGE(E220:E223)+B223*W224+hystere!$AG$9,AVERAGE(E220:E223)+B223*W224)</f>
        <v>1.1000000000000001</v>
      </c>
      <c r="C224" s="67">
        <f t="shared" ca="1" si="19"/>
        <v>0</v>
      </c>
      <c r="D224" s="88">
        <f t="shared" ca="1" si="20"/>
        <v>-1</v>
      </c>
      <c r="E224" s="64">
        <f t="shared" ca="1" si="21"/>
        <v>0.1</v>
      </c>
      <c r="F224" s="64">
        <f ca="1">IF('main page'!$K$34=1,hystere!H224,hystere!G224)</f>
        <v>-819.50000000000011</v>
      </c>
      <c r="G224" s="78">
        <f ca="1">I224-'main page'!$K$27*hystere!N223</f>
        <v>-819.50000000000011</v>
      </c>
      <c r="H224" s="62">
        <f ca="1">J224-'main page'!$K$27*N223</f>
        <v>-819.50000000000011</v>
      </c>
      <c r="I224" s="62">
        <f t="shared" ca="1" si="22"/>
        <v>108</v>
      </c>
      <c r="J224" s="62">
        <f t="shared" ca="1" si="23"/>
        <v>108</v>
      </c>
      <c r="M224" s="62">
        <f ca="1">IF(ABS('main page'!$K$29*M223+(1-'main page'!$K$29)*(controls!$B$9/100)*100+'main page'!$K$25*(E224-B224)-M223)&lt;0.0000001,M223,'main page'!$K$29*M223+(1-'main page'!$K$29)*(controls!$B$9/100)*100+'main page'!$K$25*(E224-B224))</f>
        <v>-464.75000000000006</v>
      </c>
      <c r="N224" s="62">
        <f ca="1">IF(controls!$B$10=1,N223,O224-'main page'!$K$29*M224-(1-'main page'!$K$29)*controls!$B$9)</f>
        <v>464.75000000000006</v>
      </c>
      <c r="O224" s="61">
        <f t="shared" ca="1" si="18"/>
        <v>0</v>
      </c>
      <c r="P224" s="63">
        <f ca="1">IF(controls!$B$10=1,hystere!N224+hystere!M224,hystere!Q224)</f>
        <v>-527.98750000000007</v>
      </c>
      <c r="Q224" s="61">
        <f ca="1">IF('main page'!$Y$53=1,'choose m.p.'!$I$22*100,R224)</f>
        <v>-527.98750000000007</v>
      </c>
      <c r="R224" s="83">
        <f ca="1">'main page'!$K$29*M224+(1-'main page'!$K$29)*controls!$B$9+S224+(('main page'!$K$25*'main page'!$U$13*'main page'!$K$29)/('main page'!$K$27*(1+('main page'!$K$25^2)*'main page'!$U$13)))*(M224-(controls!$B$9/100)*100)</f>
        <v>-527.98750000000007</v>
      </c>
      <c r="S224" s="81">
        <f ca="1">IF(controls!$B$33=1,(J225-E224*X225-B224)/'main page'!$K$27,(I225-E224*X225-B224)/'main page'!$K$27)</f>
        <v>53.45</v>
      </c>
      <c r="U224" s="58">
        <f>IF(controls!$B$6=1,$AG$4*(1+('main page'!$K$35/100))^V224-$AG$4*(1+('main page'!$K$35/100))^V223,$AG$4*(1+('main page'!$G$8/100))*(1+('main page'!$K$35/100))^V224-$AG$4*(1+('main page'!$G$8/100))*(1+('main page'!$K$35/100))^V223)</f>
        <v>0</v>
      </c>
      <c r="V224" s="60">
        <v>216</v>
      </c>
      <c r="W224" s="36">
        <f>'normal case'!AC223</f>
        <v>0</v>
      </c>
      <c r="X224" s="36">
        <f>'normal case'!AD223</f>
        <v>0</v>
      </c>
      <c r="Y224" s="44">
        <f ca="1">IF(controls!$B$33=1,E224-($J$4-'main page'!$K$27*2)*(1+('main page'!$K$35/100))^A223,E224-$AG$5)</f>
        <v>-99.9</v>
      </c>
      <c r="Z224" s="44">
        <f ca="1">ABS(M224-(controls!$B$9/100)*100)</f>
        <v>466.75000000000006</v>
      </c>
      <c r="AI224" s="36"/>
      <c r="AJ224" s="36"/>
    </row>
    <row r="225" spans="1:36">
      <c r="A225" s="43">
        <v>222</v>
      </c>
      <c r="B225" s="62">
        <f ca="1">IF(controls!$B$6=2,AVERAGE(E221:E224)+B224*W225+hystere!$AG$9,AVERAGE(E221:E224)+B224*W225)</f>
        <v>1.1000000000000001</v>
      </c>
      <c r="C225" s="67">
        <f t="shared" ca="1" si="19"/>
        <v>0</v>
      </c>
      <c r="D225" s="88">
        <f t="shared" ca="1" si="20"/>
        <v>-1</v>
      </c>
      <c r="E225" s="64">
        <f t="shared" ca="1" si="21"/>
        <v>0.1</v>
      </c>
      <c r="F225" s="64">
        <f ca="1">IF('main page'!$K$34=1,hystere!H225,hystere!G225)</f>
        <v>-821.50000000000011</v>
      </c>
      <c r="G225" s="78">
        <f ca="1">I225-'main page'!$K$27*hystere!N224</f>
        <v>-821.50000000000011</v>
      </c>
      <c r="H225" s="62">
        <f ca="1">J225-'main page'!$K$27*N224</f>
        <v>-821.50000000000011</v>
      </c>
      <c r="I225" s="62">
        <f t="shared" ca="1" si="22"/>
        <v>108</v>
      </c>
      <c r="J225" s="62">
        <f t="shared" ca="1" si="23"/>
        <v>108</v>
      </c>
      <c r="M225" s="62">
        <f ca="1">IF(ABS('main page'!$K$29*M224+(1-'main page'!$K$29)*(controls!$B$9/100)*100+'main page'!$K$25*(E225-B225)-M224)&lt;0.0000001,M224,'main page'!$K$29*M224+(1-'main page'!$K$29)*(controls!$B$9/100)*100+'main page'!$K$25*(E225-B225))</f>
        <v>-465.75000000000006</v>
      </c>
      <c r="N225" s="62">
        <f ca="1">IF(controls!$B$10=1,N224,O225-'main page'!$K$29*M225-(1-'main page'!$K$29)*controls!$B$9)</f>
        <v>465.75000000000006</v>
      </c>
      <c r="O225" s="61">
        <f t="shared" ca="1" si="18"/>
        <v>0</v>
      </c>
      <c r="P225" s="63">
        <f ca="1">IF(controls!$B$10=1,hystere!N225+hystere!M225,hystere!Q225)</f>
        <v>-529.23750000000007</v>
      </c>
      <c r="Q225" s="61">
        <f ca="1">IF('main page'!$Y$53=1,'choose m.p.'!$I$22*100,R225)</f>
        <v>-529.23750000000007</v>
      </c>
      <c r="R225" s="83">
        <f ca="1">'main page'!$K$29*M225+(1-'main page'!$K$29)*controls!$B$9+S225+(('main page'!$K$25*'main page'!$U$13*'main page'!$K$29)/('main page'!$K$27*(1+('main page'!$K$25^2)*'main page'!$U$13)))*(M225-(controls!$B$9/100)*100)</f>
        <v>-529.23750000000007</v>
      </c>
      <c r="S225" s="81">
        <f ca="1">IF(controls!$B$33=1,(J226-E225*X226-B225)/'main page'!$K$27,(I226-E225*X226-B225)/'main page'!$K$27)</f>
        <v>53.45</v>
      </c>
      <c r="U225" s="58">
        <f>IF(controls!$B$6=1,$AG$4*(1+('main page'!$K$35/100))^V225-$AG$4*(1+('main page'!$K$35/100))^V224,$AG$4*(1+('main page'!$G$8/100))*(1+('main page'!$K$35/100))^V225-$AG$4*(1+('main page'!$G$8/100))*(1+('main page'!$K$35/100))^V224)</f>
        <v>0</v>
      </c>
      <c r="V225" s="60">
        <v>217</v>
      </c>
      <c r="W225" s="36">
        <f ca="1">'normal case'!AC224</f>
        <v>0</v>
      </c>
      <c r="X225" s="36">
        <f ca="1">'normal case'!AD224</f>
        <v>0</v>
      </c>
      <c r="Y225" s="44">
        <f ca="1">IF(controls!$B$33=1,E225-($J$4-'main page'!$K$27*2)*(1+('main page'!$K$35/100))^A224,E225-$AG$5)</f>
        <v>-99.9</v>
      </c>
      <c r="Z225" s="44">
        <f ca="1">ABS(M225-(controls!$B$9/100)*100)</f>
        <v>467.75000000000006</v>
      </c>
      <c r="AI225" s="36"/>
      <c r="AJ225" s="36"/>
    </row>
    <row r="226" spans="1:36">
      <c r="A226" s="43">
        <v>223</v>
      </c>
      <c r="B226" s="62">
        <f ca="1">IF(controls!$B$6=2,AVERAGE(E222:E225)+B225*W226+hystere!$AG$9,AVERAGE(E222:E225)+B225*W226)</f>
        <v>1.1000000000000001</v>
      </c>
      <c r="C226" s="67">
        <f t="shared" ca="1" si="19"/>
        <v>0</v>
      </c>
      <c r="D226" s="88">
        <f t="shared" ca="1" si="20"/>
        <v>-1</v>
      </c>
      <c r="E226" s="64">
        <f t="shared" ca="1" si="21"/>
        <v>0.1</v>
      </c>
      <c r="F226" s="64">
        <f ca="1">IF('main page'!$K$34=1,hystere!H226,hystere!G226)</f>
        <v>-823.50000000000011</v>
      </c>
      <c r="G226" s="78">
        <f ca="1">I226-'main page'!$K$27*hystere!N225</f>
        <v>-823.50000000000011</v>
      </c>
      <c r="H226" s="62">
        <f ca="1">J226-'main page'!$K$27*N225</f>
        <v>-823.50000000000011</v>
      </c>
      <c r="I226" s="62">
        <f t="shared" ca="1" si="22"/>
        <v>108</v>
      </c>
      <c r="J226" s="62">
        <f t="shared" ca="1" si="23"/>
        <v>108</v>
      </c>
      <c r="M226" s="62">
        <f ca="1">IF(ABS('main page'!$K$29*M225+(1-'main page'!$K$29)*(controls!$B$9/100)*100+'main page'!$K$25*(E226-B226)-M225)&lt;0.0000001,M225,'main page'!$K$29*M225+(1-'main page'!$K$29)*(controls!$B$9/100)*100+'main page'!$K$25*(E226-B226))</f>
        <v>-466.75000000000006</v>
      </c>
      <c r="N226" s="62">
        <f ca="1">IF(controls!$B$10=1,N225,O226-'main page'!$K$29*M226-(1-'main page'!$K$29)*controls!$B$9)</f>
        <v>466.75000000000006</v>
      </c>
      <c r="O226" s="61">
        <f t="shared" ca="1" si="18"/>
        <v>0</v>
      </c>
      <c r="P226" s="63">
        <f ca="1">IF(controls!$B$10=1,hystere!N226+hystere!M226,hystere!Q226)</f>
        <v>-530.48750000000007</v>
      </c>
      <c r="Q226" s="61">
        <f ca="1">IF('main page'!$Y$53=1,'choose m.p.'!$I$22*100,R226)</f>
        <v>-530.48750000000007</v>
      </c>
      <c r="R226" s="83">
        <f ca="1">'main page'!$K$29*M226+(1-'main page'!$K$29)*controls!$B$9+S226+(('main page'!$K$25*'main page'!$U$13*'main page'!$K$29)/('main page'!$K$27*(1+('main page'!$K$25^2)*'main page'!$U$13)))*(M226-(controls!$B$9/100)*100)</f>
        <v>-530.48750000000007</v>
      </c>
      <c r="S226" s="81">
        <f ca="1">IF(controls!$B$33=1,(J227-E226*X227-B226)/'main page'!$K$27,(I227-E226*X227-B226)/'main page'!$K$27)</f>
        <v>53.45</v>
      </c>
      <c r="U226" s="58">
        <f>IF(controls!$B$6=1,$AG$4*(1+('main page'!$K$35/100))^V226-$AG$4*(1+('main page'!$K$35/100))^V225,$AG$4*(1+('main page'!$G$8/100))*(1+('main page'!$K$35/100))^V226-$AG$4*(1+('main page'!$G$8/100))*(1+('main page'!$K$35/100))^V225)</f>
        <v>0</v>
      </c>
      <c r="V226" s="60">
        <v>218</v>
      </c>
      <c r="W226" s="36">
        <f>'normal case'!AC225</f>
        <v>0</v>
      </c>
      <c r="X226" s="36">
        <f>'normal case'!AD225</f>
        <v>0</v>
      </c>
      <c r="Y226" s="44">
        <f ca="1">IF(controls!$B$33=1,E226-($J$4-'main page'!$K$27*2)*(1+('main page'!$K$35/100))^A225,E226-$AG$5)</f>
        <v>-99.9</v>
      </c>
      <c r="Z226" s="44">
        <f ca="1">ABS(M226-(controls!$B$9/100)*100)</f>
        <v>468.75000000000006</v>
      </c>
      <c r="AI226" s="36"/>
      <c r="AJ226" s="36"/>
    </row>
    <row r="227" spans="1:36">
      <c r="A227" s="43">
        <v>224</v>
      </c>
      <c r="B227" s="62">
        <f ca="1">IF(controls!$B$6=2,AVERAGE(E223:E226)+B226*W227+hystere!$AG$9,AVERAGE(E223:E226)+B226*W227)</f>
        <v>1.1000000000000001</v>
      </c>
      <c r="C227" s="67">
        <f t="shared" ca="1" si="19"/>
        <v>0</v>
      </c>
      <c r="D227" s="88">
        <f t="shared" ca="1" si="20"/>
        <v>-1</v>
      </c>
      <c r="E227" s="64">
        <f t="shared" ca="1" si="21"/>
        <v>0.1</v>
      </c>
      <c r="F227" s="64">
        <f ca="1">IF('main page'!$K$34=1,hystere!H227,hystere!G227)</f>
        <v>-825.50000000000011</v>
      </c>
      <c r="G227" s="78">
        <f ca="1">I227-'main page'!$K$27*hystere!N226</f>
        <v>-825.50000000000011</v>
      </c>
      <c r="H227" s="62">
        <f ca="1">J227-'main page'!$K$27*N226</f>
        <v>-825.50000000000011</v>
      </c>
      <c r="I227" s="62">
        <f t="shared" ca="1" si="22"/>
        <v>108</v>
      </c>
      <c r="J227" s="62">
        <f t="shared" ca="1" si="23"/>
        <v>108</v>
      </c>
      <c r="M227" s="62">
        <f ca="1">IF(ABS('main page'!$K$29*M226+(1-'main page'!$K$29)*(controls!$B$9/100)*100+'main page'!$K$25*(E227-B227)-M226)&lt;0.0000001,M226,'main page'!$K$29*M226+(1-'main page'!$K$29)*(controls!$B$9/100)*100+'main page'!$K$25*(E227-B227))</f>
        <v>-467.75000000000006</v>
      </c>
      <c r="N227" s="62">
        <f ca="1">IF(controls!$B$10=1,N226,O227-'main page'!$K$29*M227-(1-'main page'!$K$29)*controls!$B$9)</f>
        <v>467.75000000000006</v>
      </c>
      <c r="O227" s="61">
        <f t="shared" ca="1" si="18"/>
        <v>0</v>
      </c>
      <c r="P227" s="63">
        <f ca="1">IF(controls!$B$10=1,hystere!N227+hystere!M227,hystere!Q227)</f>
        <v>-531.73750000000007</v>
      </c>
      <c r="Q227" s="61">
        <f ca="1">IF('main page'!$Y$53=1,'choose m.p.'!$I$22*100,R227)</f>
        <v>-531.73750000000007</v>
      </c>
      <c r="R227" s="83">
        <f ca="1">'main page'!$K$29*M227+(1-'main page'!$K$29)*controls!$B$9+S227+(('main page'!$K$25*'main page'!$U$13*'main page'!$K$29)/('main page'!$K$27*(1+('main page'!$K$25^2)*'main page'!$U$13)))*(M227-(controls!$B$9/100)*100)</f>
        <v>-531.73750000000007</v>
      </c>
      <c r="S227" s="81">
        <f ca="1">IF(controls!$B$33=1,(J228-E227*X228-B227)/'main page'!$K$27,(I228-E227*X228-B227)/'main page'!$K$27)</f>
        <v>53.45</v>
      </c>
      <c r="U227" s="58">
        <f>IF(controls!$B$6=1,$AG$4*(1+('main page'!$K$35/100))^V227-$AG$4*(1+('main page'!$K$35/100))^V226,$AG$4*(1+('main page'!$G$8/100))*(1+('main page'!$K$35/100))^V227-$AG$4*(1+('main page'!$G$8/100))*(1+('main page'!$K$35/100))^V226)</f>
        <v>0</v>
      </c>
      <c r="V227" s="60">
        <v>219</v>
      </c>
      <c r="W227" s="36">
        <f>'normal case'!AC226</f>
        <v>0</v>
      </c>
      <c r="X227" s="36">
        <f>'normal case'!AD226</f>
        <v>0</v>
      </c>
      <c r="Y227" s="44">
        <f ca="1">IF(controls!$B$33=1,E227-($J$4-'main page'!$K$27*2)*(1+('main page'!$K$35/100))^A226,E227-$AG$5)</f>
        <v>-99.9</v>
      </c>
      <c r="Z227" s="44">
        <f ca="1">ABS(M227-(controls!$B$9/100)*100)</f>
        <v>469.75000000000006</v>
      </c>
      <c r="AI227" s="36"/>
      <c r="AJ227" s="36"/>
    </row>
    <row r="228" spans="1:36">
      <c r="A228" s="43">
        <v>225</v>
      </c>
      <c r="B228" s="62">
        <f ca="1">IF(controls!$B$6=2,AVERAGE(E224:E227)+B227*W228+hystere!$AG$9,AVERAGE(E224:E227)+B227*W228)</f>
        <v>1.1000000000000001</v>
      </c>
      <c r="C228" s="67">
        <f t="shared" ca="1" si="19"/>
        <v>0</v>
      </c>
      <c r="D228" s="88">
        <f t="shared" ca="1" si="20"/>
        <v>-1</v>
      </c>
      <c r="E228" s="64">
        <f t="shared" ca="1" si="21"/>
        <v>0.1</v>
      </c>
      <c r="F228" s="64">
        <f ca="1">IF('main page'!$K$34=1,hystere!H228,hystere!G228)</f>
        <v>-827.50000000000011</v>
      </c>
      <c r="G228" s="78">
        <f ca="1">I228-'main page'!$K$27*hystere!N227</f>
        <v>-827.50000000000011</v>
      </c>
      <c r="H228" s="62">
        <f ca="1">J228-'main page'!$K$27*N227</f>
        <v>-827.50000000000011</v>
      </c>
      <c r="I228" s="62">
        <f t="shared" ca="1" si="22"/>
        <v>108</v>
      </c>
      <c r="J228" s="62">
        <f t="shared" ca="1" si="23"/>
        <v>108</v>
      </c>
      <c r="M228" s="62">
        <f ca="1">IF(ABS('main page'!$K$29*M227+(1-'main page'!$K$29)*(controls!$B$9/100)*100+'main page'!$K$25*(E228-B228)-M227)&lt;0.0000001,M227,'main page'!$K$29*M227+(1-'main page'!$K$29)*(controls!$B$9/100)*100+'main page'!$K$25*(E228-B228))</f>
        <v>-468.75000000000006</v>
      </c>
      <c r="N228" s="62">
        <f ca="1">IF(controls!$B$10=1,N227,O228-'main page'!$K$29*M228-(1-'main page'!$K$29)*controls!$B$9)</f>
        <v>468.75000000000006</v>
      </c>
      <c r="O228" s="61">
        <f t="shared" ca="1" si="18"/>
        <v>0</v>
      </c>
      <c r="P228" s="63">
        <f ca="1">IF(controls!$B$10=1,hystere!N228+hystere!M228,hystere!Q228)</f>
        <v>-532.98750000000007</v>
      </c>
      <c r="Q228" s="61">
        <f ca="1">IF('main page'!$Y$53=1,'choose m.p.'!$I$22*100,R228)</f>
        <v>-532.98750000000007</v>
      </c>
      <c r="R228" s="83">
        <f ca="1">'main page'!$K$29*M228+(1-'main page'!$K$29)*controls!$B$9+S228+(('main page'!$K$25*'main page'!$U$13*'main page'!$K$29)/('main page'!$K$27*(1+('main page'!$K$25^2)*'main page'!$U$13)))*(M228-(controls!$B$9/100)*100)</f>
        <v>-532.98750000000007</v>
      </c>
      <c r="S228" s="81">
        <f ca="1">IF(controls!$B$33=1,(J229-E228*X229-B228)/'main page'!$K$27,(I229-E228*X229-B228)/'main page'!$K$27)</f>
        <v>53.45</v>
      </c>
      <c r="U228" s="58">
        <f>IF(controls!$B$6=1,$AG$4*(1+('main page'!$K$35/100))^V228-$AG$4*(1+('main page'!$K$35/100))^V227,$AG$4*(1+('main page'!$G$8/100))*(1+('main page'!$K$35/100))^V228-$AG$4*(1+('main page'!$G$8/100))*(1+('main page'!$K$35/100))^V227)</f>
        <v>0</v>
      </c>
      <c r="V228" s="60">
        <v>220</v>
      </c>
      <c r="W228" s="36">
        <f ca="1">'normal case'!AC227</f>
        <v>0</v>
      </c>
      <c r="X228" s="36">
        <f ca="1">'normal case'!AD227</f>
        <v>0</v>
      </c>
      <c r="Y228" s="44">
        <f ca="1">IF(controls!$B$33=1,E228-($J$4-'main page'!$K$27*2)*(1+('main page'!$K$35/100))^A227,E228-$AG$5)</f>
        <v>-99.9</v>
      </c>
      <c r="Z228" s="44">
        <f ca="1">ABS(M228-(controls!$B$9/100)*100)</f>
        <v>470.75000000000006</v>
      </c>
      <c r="AI228" s="36"/>
      <c r="AJ228" s="36"/>
    </row>
    <row r="229" spans="1:36">
      <c r="A229" s="43">
        <v>226</v>
      </c>
      <c r="B229" s="62">
        <f ca="1">IF(controls!$B$6=2,AVERAGE(E225:E228)+B228*W229+hystere!$AG$9,AVERAGE(E225:E228)+B228*W229)</f>
        <v>1.1000000000000001</v>
      </c>
      <c r="C229" s="67">
        <f t="shared" ca="1" si="19"/>
        <v>0</v>
      </c>
      <c r="D229" s="88">
        <f t="shared" ca="1" si="20"/>
        <v>-1</v>
      </c>
      <c r="E229" s="64">
        <f t="shared" ca="1" si="21"/>
        <v>0.1</v>
      </c>
      <c r="F229" s="64">
        <f ca="1">IF('main page'!$K$34=1,hystere!H229,hystere!G229)</f>
        <v>-829.50000000000011</v>
      </c>
      <c r="G229" s="78">
        <f ca="1">I229-'main page'!$K$27*hystere!N228</f>
        <v>-829.50000000000011</v>
      </c>
      <c r="H229" s="62">
        <f ca="1">J229-'main page'!$K$27*N228</f>
        <v>-829.50000000000011</v>
      </c>
      <c r="I229" s="62">
        <f t="shared" ca="1" si="22"/>
        <v>108</v>
      </c>
      <c r="J229" s="62">
        <f t="shared" ca="1" si="23"/>
        <v>108</v>
      </c>
      <c r="M229" s="62">
        <f ca="1">IF(ABS('main page'!$K$29*M228+(1-'main page'!$K$29)*(controls!$B$9/100)*100+'main page'!$K$25*(E229-B229)-M228)&lt;0.0000001,M228,'main page'!$K$29*M228+(1-'main page'!$K$29)*(controls!$B$9/100)*100+'main page'!$K$25*(E229-B229))</f>
        <v>-469.75000000000006</v>
      </c>
      <c r="N229" s="62">
        <f ca="1">IF(controls!$B$10=1,N228,O229-'main page'!$K$29*M229-(1-'main page'!$K$29)*controls!$B$9)</f>
        <v>469.75000000000006</v>
      </c>
      <c r="O229" s="61">
        <f t="shared" ca="1" si="18"/>
        <v>0</v>
      </c>
      <c r="P229" s="63">
        <f ca="1">IF(controls!$B$10=1,hystere!N229+hystere!M229,hystere!Q229)</f>
        <v>-534.23750000000007</v>
      </c>
      <c r="Q229" s="61">
        <f ca="1">IF('main page'!$Y$53=1,'choose m.p.'!$I$22*100,R229)</f>
        <v>-534.23750000000007</v>
      </c>
      <c r="R229" s="83">
        <f ca="1">'main page'!$K$29*M229+(1-'main page'!$K$29)*controls!$B$9+S229+(('main page'!$K$25*'main page'!$U$13*'main page'!$K$29)/('main page'!$K$27*(1+('main page'!$K$25^2)*'main page'!$U$13)))*(M229-(controls!$B$9/100)*100)</f>
        <v>-534.23750000000007</v>
      </c>
      <c r="S229" s="81">
        <f ca="1">IF(controls!$B$33=1,(J230-E229*X230-B229)/'main page'!$K$27,(I230-E229*X230-B229)/'main page'!$K$27)</f>
        <v>53.45</v>
      </c>
      <c r="U229" s="58">
        <f>IF(controls!$B$6=1,$AG$4*(1+('main page'!$K$35/100))^V229-$AG$4*(1+('main page'!$K$35/100))^V228,$AG$4*(1+('main page'!$G$8/100))*(1+('main page'!$K$35/100))^V229-$AG$4*(1+('main page'!$G$8/100))*(1+('main page'!$K$35/100))^V228)</f>
        <v>0</v>
      </c>
      <c r="V229" s="60">
        <v>221</v>
      </c>
      <c r="W229" s="36">
        <f>'normal case'!AC228</f>
        <v>0</v>
      </c>
      <c r="X229" s="36">
        <f>'normal case'!AD228</f>
        <v>0</v>
      </c>
      <c r="Y229" s="44">
        <f ca="1">IF(controls!$B$33=1,E229-($J$4-'main page'!$K$27*2)*(1+('main page'!$K$35/100))^A228,E229-$AG$5)</f>
        <v>-99.9</v>
      </c>
      <c r="Z229" s="44">
        <f ca="1">ABS(M229-(controls!$B$9/100)*100)</f>
        <v>471.75000000000006</v>
      </c>
      <c r="AI229" s="36"/>
      <c r="AJ229" s="36"/>
    </row>
    <row r="230" spans="1:36">
      <c r="A230" s="43">
        <v>227</v>
      </c>
      <c r="B230" s="62">
        <f ca="1">IF(controls!$B$6=2,AVERAGE(E226:E229)+B229*W230+hystere!$AG$9,AVERAGE(E226:E229)+B229*W230)</f>
        <v>1.1000000000000001</v>
      </c>
      <c r="C230" s="67">
        <f t="shared" ca="1" si="19"/>
        <v>0</v>
      </c>
      <c r="D230" s="88">
        <f t="shared" ca="1" si="20"/>
        <v>-1</v>
      </c>
      <c r="E230" s="64">
        <f t="shared" ca="1" si="21"/>
        <v>0.1</v>
      </c>
      <c r="F230" s="64">
        <f ca="1">IF('main page'!$K$34=1,hystere!H230,hystere!G230)</f>
        <v>-831.50000000000011</v>
      </c>
      <c r="G230" s="78">
        <f ca="1">I230-'main page'!$K$27*hystere!N229</f>
        <v>-831.50000000000011</v>
      </c>
      <c r="H230" s="62">
        <f ca="1">J230-'main page'!$K$27*N229</f>
        <v>-831.50000000000011</v>
      </c>
      <c r="I230" s="62">
        <f t="shared" ca="1" si="22"/>
        <v>108</v>
      </c>
      <c r="J230" s="62">
        <f t="shared" ca="1" si="23"/>
        <v>108</v>
      </c>
      <c r="M230" s="62">
        <f ca="1">IF(ABS('main page'!$K$29*M229+(1-'main page'!$K$29)*(controls!$B$9/100)*100+'main page'!$K$25*(E230-B230)-M229)&lt;0.0000001,M229,'main page'!$K$29*M229+(1-'main page'!$K$29)*(controls!$B$9/100)*100+'main page'!$K$25*(E230-B230))</f>
        <v>-470.75000000000006</v>
      </c>
      <c r="N230" s="62">
        <f ca="1">IF(controls!$B$10=1,N229,O230-'main page'!$K$29*M230-(1-'main page'!$K$29)*controls!$B$9)</f>
        <v>470.75000000000006</v>
      </c>
      <c r="O230" s="61">
        <f t="shared" ca="1" si="18"/>
        <v>0</v>
      </c>
      <c r="P230" s="63">
        <f ca="1">IF(controls!$B$10=1,hystere!N230+hystere!M230,hystere!Q230)</f>
        <v>-535.48750000000007</v>
      </c>
      <c r="Q230" s="61">
        <f ca="1">IF('main page'!$Y$53=1,'choose m.p.'!$I$22*100,R230)</f>
        <v>-535.48750000000007</v>
      </c>
      <c r="R230" s="83">
        <f ca="1">'main page'!$K$29*M230+(1-'main page'!$K$29)*controls!$B$9+S230+(('main page'!$K$25*'main page'!$U$13*'main page'!$K$29)/('main page'!$K$27*(1+('main page'!$K$25^2)*'main page'!$U$13)))*(M230-(controls!$B$9/100)*100)</f>
        <v>-535.48750000000007</v>
      </c>
      <c r="S230" s="81">
        <f ca="1">IF(controls!$B$33=1,(J231-E230*X231-B230)/'main page'!$K$27,(I231-E230*X231-B230)/'main page'!$K$27)</f>
        <v>53.45</v>
      </c>
      <c r="U230" s="58">
        <f>IF(controls!$B$6=1,$AG$4*(1+('main page'!$K$35/100))^V230-$AG$4*(1+('main page'!$K$35/100))^V229,$AG$4*(1+('main page'!$G$8/100))*(1+('main page'!$K$35/100))^V230-$AG$4*(1+('main page'!$G$8/100))*(1+('main page'!$K$35/100))^V229)</f>
        <v>0</v>
      </c>
      <c r="V230" s="60">
        <v>222</v>
      </c>
      <c r="W230" s="36">
        <f>'normal case'!AC229</f>
        <v>0</v>
      </c>
      <c r="X230" s="36">
        <f>'normal case'!AD229</f>
        <v>0</v>
      </c>
      <c r="Y230" s="44">
        <f ca="1">IF(controls!$B$33=1,E230-($J$4-'main page'!$K$27*2)*(1+('main page'!$K$35/100))^A229,E230-$AG$5)</f>
        <v>-99.9</v>
      </c>
      <c r="Z230" s="44">
        <f ca="1">ABS(M230-(controls!$B$9/100)*100)</f>
        <v>472.75000000000006</v>
      </c>
      <c r="AI230" s="36"/>
      <c r="AJ230" s="36"/>
    </row>
    <row r="231" spans="1:36">
      <c r="A231" s="43">
        <v>228</v>
      </c>
      <c r="B231" s="62">
        <f ca="1">IF(controls!$B$6=2,AVERAGE(E227:E230)+B230*W231+hystere!$AG$9,AVERAGE(E227:E230)+B230*W231)</f>
        <v>1.1000000000000001</v>
      </c>
      <c r="C231" s="67">
        <f t="shared" ca="1" si="19"/>
        <v>0</v>
      </c>
      <c r="D231" s="88">
        <f t="shared" ca="1" si="20"/>
        <v>-1</v>
      </c>
      <c r="E231" s="64">
        <f t="shared" ca="1" si="21"/>
        <v>0.1</v>
      </c>
      <c r="F231" s="64">
        <f ca="1">IF('main page'!$K$34=1,hystere!H231,hystere!G231)</f>
        <v>-833.50000000000011</v>
      </c>
      <c r="G231" s="78">
        <f ca="1">I231-'main page'!$K$27*hystere!N230</f>
        <v>-833.50000000000011</v>
      </c>
      <c r="H231" s="62">
        <f ca="1">J231-'main page'!$K$27*N230</f>
        <v>-833.50000000000011</v>
      </c>
      <c r="I231" s="62">
        <f t="shared" ca="1" si="22"/>
        <v>108</v>
      </c>
      <c r="J231" s="62">
        <f t="shared" ca="1" si="23"/>
        <v>108</v>
      </c>
      <c r="M231" s="62">
        <f ca="1">IF(ABS('main page'!$K$29*M230+(1-'main page'!$K$29)*(controls!$B$9/100)*100+'main page'!$K$25*(E231-B231)-M230)&lt;0.0000001,M230,'main page'!$K$29*M230+(1-'main page'!$K$29)*(controls!$B$9/100)*100+'main page'!$K$25*(E231-B231))</f>
        <v>-471.75000000000006</v>
      </c>
      <c r="N231" s="62">
        <f ca="1">IF(controls!$B$10=1,N230,O231-'main page'!$K$29*M231-(1-'main page'!$K$29)*controls!$B$9)</f>
        <v>471.75000000000006</v>
      </c>
      <c r="O231" s="61">
        <f t="shared" ca="1" si="18"/>
        <v>0</v>
      </c>
      <c r="P231" s="63">
        <f ca="1">IF(controls!$B$10=1,hystere!N231+hystere!M231,hystere!Q231)</f>
        <v>-536.73750000000007</v>
      </c>
      <c r="Q231" s="61">
        <f ca="1">IF('main page'!$Y$53=1,'choose m.p.'!$I$22*100,R231)</f>
        <v>-536.73750000000007</v>
      </c>
      <c r="R231" s="83">
        <f ca="1">'main page'!$K$29*M231+(1-'main page'!$K$29)*controls!$B$9+S231+(('main page'!$K$25*'main page'!$U$13*'main page'!$K$29)/('main page'!$K$27*(1+('main page'!$K$25^2)*'main page'!$U$13)))*(M231-(controls!$B$9/100)*100)</f>
        <v>-536.73750000000007</v>
      </c>
      <c r="S231" s="81">
        <f ca="1">IF(controls!$B$33=1,(J232-E231*X232-B231)/'main page'!$K$27,(I232-E231*X232-B231)/'main page'!$K$27)</f>
        <v>53.45</v>
      </c>
      <c r="U231" s="58">
        <f>IF(controls!$B$6=1,$AG$4*(1+('main page'!$K$35/100))^V231-$AG$4*(1+('main page'!$K$35/100))^V230,$AG$4*(1+('main page'!$G$8/100))*(1+('main page'!$K$35/100))^V231-$AG$4*(1+('main page'!$G$8/100))*(1+('main page'!$K$35/100))^V230)</f>
        <v>0</v>
      </c>
      <c r="V231" s="60">
        <v>223</v>
      </c>
      <c r="W231" s="36">
        <f ca="1">'normal case'!AC230</f>
        <v>0</v>
      </c>
      <c r="X231" s="36">
        <f ca="1">'normal case'!AD230</f>
        <v>0</v>
      </c>
      <c r="Y231" s="44">
        <f ca="1">IF(controls!$B$33=1,E231-($J$4-'main page'!$K$27*2)*(1+('main page'!$K$35/100))^A230,E231-$AG$5)</f>
        <v>-99.9</v>
      </c>
      <c r="Z231" s="44">
        <f ca="1">ABS(M231-(controls!$B$9/100)*100)</f>
        <v>473.75000000000006</v>
      </c>
      <c r="AI231" s="36"/>
      <c r="AJ231" s="36"/>
    </row>
    <row r="232" spans="1:36">
      <c r="A232" s="43">
        <v>229</v>
      </c>
      <c r="B232" s="62">
        <f ca="1">IF(controls!$B$6=2,AVERAGE(E228:E231)+B231*W232+hystere!$AG$9,AVERAGE(E228:E231)+B231*W232)</f>
        <v>1.1000000000000001</v>
      </c>
      <c r="C232" s="67">
        <f t="shared" ca="1" si="19"/>
        <v>0</v>
      </c>
      <c r="D232" s="88">
        <f t="shared" ca="1" si="20"/>
        <v>-1</v>
      </c>
      <c r="E232" s="64">
        <f t="shared" ca="1" si="21"/>
        <v>0.1</v>
      </c>
      <c r="F232" s="64">
        <f ca="1">IF('main page'!$K$34=1,hystere!H232,hystere!G232)</f>
        <v>-835.50000000000011</v>
      </c>
      <c r="G232" s="78">
        <f ca="1">I232-'main page'!$K$27*hystere!N231</f>
        <v>-835.50000000000011</v>
      </c>
      <c r="H232" s="62">
        <f ca="1">J232-'main page'!$K$27*N231</f>
        <v>-835.50000000000011</v>
      </c>
      <c r="I232" s="62">
        <f t="shared" ca="1" si="22"/>
        <v>108</v>
      </c>
      <c r="J232" s="62">
        <f t="shared" ca="1" si="23"/>
        <v>108</v>
      </c>
      <c r="M232" s="62">
        <f ca="1">IF(ABS('main page'!$K$29*M231+(1-'main page'!$K$29)*(controls!$B$9/100)*100+'main page'!$K$25*(E232-B232)-M231)&lt;0.0000001,M231,'main page'!$K$29*M231+(1-'main page'!$K$29)*(controls!$B$9/100)*100+'main page'!$K$25*(E232-B232))</f>
        <v>-472.75000000000006</v>
      </c>
      <c r="N232" s="62">
        <f ca="1">IF(controls!$B$10=1,N231,O232-'main page'!$K$29*M232-(1-'main page'!$K$29)*controls!$B$9)</f>
        <v>472.75000000000006</v>
      </c>
      <c r="O232" s="61">
        <f t="shared" ca="1" si="18"/>
        <v>0</v>
      </c>
      <c r="P232" s="63">
        <f ca="1">IF(controls!$B$10=1,hystere!N232+hystere!M232,hystere!Q232)</f>
        <v>-537.98750000000007</v>
      </c>
      <c r="Q232" s="61">
        <f ca="1">IF('main page'!$Y$53=1,'choose m.p.'!$I$22*100,R232)</f>
        <v>-537.98750000000007</v>
      </c>
      <c r="R232" s="83">
        <f ca="1">'main page'!$K$29*M232+(1-'main page'!$K$29)*controls!$B$9+S232+(('main page'!$K$25*'main page'!$U$13*'main page'!$K$29)/('main page'!$K$27*(1+('main page'!$K$25^2)*'main page'!$U$13)))*(M232-(controls!$B$9/100)*100)</f>
        <v>-537.98750000000007</v>
      </c>
      <c r="S232" s="81">
        <f ca="1">IF(controls!$B$33=1,(J233-E232*X233-B232)/'main page'!$K$27,(I233-E232*X233-B232)/'main page'!$K$27)</f>
        <v>53.45</v>
      </c>
      <c r="U232" s="58">
        <f>IF(controls!$B$6=1,$AG$4*(1+('main page'!$K$35/100))^V232-$AG$4*(1+('main page'!$K$35/100))^V231,$AG$4*(1+('main page'!$G$8/100))*(1+('main page'!$K$35/100))^V232-$AG$4*(1+('main page'!$G$8/100))*(1+('main page'!$K$35/100))^V231)</f>
        <v>0</v>
      </c>
      <c r="V232" s="60">
        <v>224</v>
      </c>
      <c r="W232" s="36">
        <f>'normal case'!AC231</f>
        <v>0</v>
      </c>
      <c r="X232" s="36">
        <f>'normal case'!AD231</f>
        <v>0</v>
      </c>
      <c r="Y232" s="44">
        <f ca="1">IF(controls!$B$33=1,E232-($J$4-'main page'!$K$27*2)*(1+('main page'!$K$35/100))^A231,E232-$AG$5)</f>
        <v>-99.9</v>
      </c>
      <c r="Z232" s="44">
        <f ca="1">ABS(M232-(controls!$B$9/100)*100)</f>
        <v>474.75000000000006</v>
      </c>
      <c r="AI232" s="36"/>
      <c r="AJ232" s="36"/>
    </row>
    <row r="233" spans="1:36">
      <c r="A233" s="43">
        <v>230</v>
      </c>
      <c r="B233" s="62">
        <f ca="1">IF(controls!$B$6=2,AVERAGE(E229:E232)+B232*W233+hystere!$AG$9,AVERAGE(E229:E232)+B232*W233)</f>
        <v>1.1000000000000001</v>
      </c>
      <c r="C233" s="67">
        <f t="shared" ca="1" si="19"/>
        <v>0</v>
      </c>
      <c r="D233" s="88">
        <f t="shared" ca="1" si="20"/>
        <v>-1</v>
      </c>
      <c r="E233" s="64">
        <f t="shared" ca="1" si="21"/>
        <v>0.1</v>
      </c>
      <c r="F233" s="64">
        <f ca="1">IF('main page'!$K$34=1,hystere!H233,hystere!G233)</f>
        <v>-837.50000000000011</v>
      </c>
      <c r="G233" s="78">
        <f ca="1">I233-'main page'!$K$27*hystere!N232</f>
        <v>-837.50000000000011</v>
      </c>
      <c r="H233" s="62">
        <f ca="1">J233-'main page'!$K$27*N232</f>
        <v>-837.50000000000011</v>
      </c>
      <c r="I233" s="62">
        <f t="shared" ca="1" si="22"/>
        <v>108</v>
      </c>
      <c r="J233" s="62">
        <f t="shared" ca="1" si="23"/>
        <v>108</v>
      </c>
      <c r="M233" s="62">
        <f ca="1">IF(ABS('main page'!$K$29*M232+(1-'main page'!$K$29)*(controls!$B$9/100)*100+'main page'!$K$25*(E233-B233)-M232)&lt;0.0000001,M232,'main page'!$K$29*M232+(1-'main page'!$K$29)*(controls!$B$9/100)*100+'main page'!$K$25*(E233-B233))</f>
        <v>-473.75000000000006</v>
      </c>
      <c r="N233" s="62">
        <f ca="1">IF(controls!$B$10=1,N232,O233-'main page'!$K$29*M233-(1-'main page'!$K$29)*controls!$B$9)</f>
        <v>473.75000000000006</v>
      </c>
      <c r="O233" s="61">
        <f t="shared" ca="1" si="18"/>
        <v>0</v>
      </c>
      <c r="P233" s="63">
        <f ca="1">IF(controls!$B$10=1,hystere!N233+hystere!M233,hystere!Q233)</f>
        <v>-539.23750000000007</v>
      </c>
      <c r="Q233" s="61">
        <f ca="1">IF('main page'!$Y$53=1,'choose m.p.'!$I$22*100,R233)</f>
        <v>-539.23750000000007</v>
      </c>
      <c r="R233" s="83">
        <f ca="1">'main page'!$K$29*M233+(1-'main page'!$K$29)*controls!$B$9+S233+(('main page'!$K$25*'main page'!$U$13*'main page'!$K$29)/('main page'!$K$27*(1+('main page'!$K$25^2)*'main page'!$U$13)))*(M233-(controls!$B$9/100)*100)</f>
        <v>-539.23750000000007</v>
      </c>
      <c r="S233" s="81">
        <f ca="1">IF(controls!$B$33=1,(J234-E233*X234-B233)/'main page'!$K$27,(I234-E233*X234-B233)/'main page'!$K$27)</f>
        <v>53.45</v>
      </c>
      <c r="U233" s="58">
        <f>IF(controls!$B$6=1,$AG$4*(1+('main page'!$K$35/100))^V233-$AG$4*(1+('main page'!$K$35/100))^V232,$AG$4*(1+('main page'!$G$8/100))*(1+('main page'!$K$35/100))^V233-$AG$4*(1+('main page'!$G$8/100))*(1+('main page'!$K$35/100))^V232)</f>
        <v>0</v>
      </c>
      <c r="V233" s="60">
        <v>225</v>
      </c>
      <c r="W233" s="36">
        <f>'normal case'!AC232</f>
        <v>0</v>
      </c>
      <c r="X233" s="36">
        <f>'normal case'!AD232</f>
        <v>0</v>
      </c>
      <c r="Y233" s="44">
        <f ca="1">IF(controls!$B$33=1,E233-($J$4-'main page'!$K$27*2)*(1+('main page'!$K$35/100))^A232,E233-$AG$5)</f>
        <v>-99.9</v>
      </c>
      <c r="Z233" s="44">
        <f ca="1">ABS(M233-(controls!$B$9/100)*100)</f>
        <v>475.75000000000006</v>
      </c>
      <c r="AI233" s="36"/>
      <c r="AJ233" s="36"/>
    </row>
    <row r="234" spans="1:36">
      <c r="A234" s="43">
        <v>231</v>
      </c>
      <c r="B234" s="62">
        <f ca="1">IF(controls!$B$6=2,AVERAGE(E230:E233)+B233*W234+hystere!$AG$9,AVERAGE(E230:E233)+B233*W234)</f>
        <v>1.1000000000000001</v>
      </c>
      <c r="C234" s="67">
        <f t="shared" ca="1" si="19"/>
        <v>0</v>
      </c>
      <c r="D234" s="88">
        <f t="shared" ca="1" si="20"/>
        <v>-1</v>
      </c>
      <c r="E234" s="64">
        <f t="shared" ca="1" si="21"/>
        <v>0.1</v>
      </c>
      <c r="F234" s="64">
        <f ca="1">IF('main page'!$K$34=1,hystere!H234,hystere!G234)</f>
        <v>-839.50000000000011</v>
      </c>
      <c r="G234" s="78">
        <f ca="1">I234-'main page'!$K$27*hystere!N233</f>
        <v>-839.50000000000011</v>
      </c>
      <c r="H234" s="62">
        <f ca="1">J234-'main page'!$K$27*N233</f>
        <v>-839.50000000000011</v>
      </c>
      <c r="I234" s="62">
        <f t="shared" ca="1" si="22"/>
        <v>108</v>
      </c>
      <c r="J234" s="62">
        <f t="shared" ca="1" si="23"/>
        <v>108</v>
      </c>
      <c r="M234" s="62">
        <f ca="1">IF(ABS('main page'!$K$29*M233+(1-'main page'!$K$29)*(controls!$B$9/100)*100+'main page'!$K$25*(E234-B234)-M233)&lt;0.0000001,M233,'main page'!$K$29*M233+(1-'main page'!$K$29)*(controls!$B$9/100)*100+'main page'!$K$25*(E234-B234))</f>
        <v>-474.75000000000006</v>
      </c>
      <c r="N234" s="62">
        <f ca="1">IF(controls!$B$10=1,N233,O234-'main page'!$K$29*M234-(1-'main page'!$K$29)*controls!$B$9)</f>
        <v>474.75000000000006</v>
      </c>
      <c r="O234" s="61">
        <f t="shared" ca="1" si="18"/>
        <v>0</v>
      </c>
      <c r="P234" s="63">
        <f ca="1">IF(controls!$B$10=1,hystere!N234+hystere!M234,hystere!Q234)</f>
        <v>-540.48750000000007</v>
      </c>
      <c r="Q234" s="61">
        <f ca="1">IF('main page'!$Y$53=1,'choose m.p.'!$I$22*100,R234)</f>
        <v>-540.48750000000007</v>
      </c>
      <c r="R234" s="83">
        <f ca="1">'main page'!$K$29*M234+(1-'main page'!$K$29)*controls!$B$9+S234+(('main page'!$K$25*'main page'!$U$13*'main page'!$K$29)/('main page'!$K$27*(1+('main page'!$K$25^2)*'main page'!$U$13)))*(M234-(controls!$B$9/100)*100)</f>
        <v>-540.48750000000007</v>
      </c>
      <c r="S234" s="81">
        <f ca="1">IF(controls!$B$33=1,(J235-E234*X235-B234)/'main page'!$K$27,(I235-E234*X235-B234)/'main page'!$K$27)</f>
        <v>53.45</v>
      </c>
      <c r="U234" s="58">
        <f>IF(controls!$B$6=1,$AG$4*(1+('main page'!$K$35/100))^V234-$AG$4*(1+('main page'!$K$35/100))^V233,$AG$4*(1+('main page'!$G$8/100))*(1+('main page'!$K$35/100))^V234-$AG$4*(1+('main page'!$G$8/100))*(1+('main page'!$K$35/100))^V233)</f>
        <v>0</v>
      </c>
      <c r="V234" s="60">
        <v>226</v>
      </c>
      <c r="W234" s="36">
        <f ca="1">'normal case'!AC233</f>
        <v>0</v>
      </c>
      <c r="X234" s="36">
        <f ca="1">'normal case'!AD233</f>
        <v>0</v>
      </c>
      <c r="Y234" s="44">
        <f ca="1">IF(controls!$B$33=1,E234-($J$4-'main page'!$K$27*2)*(1+('main page'!$K$35/100))^A233,E234-$AG$5)</f>
        <v>-99.9</v>
      </c>
      <c r="Z234" s="44">
        <f ca="1">ABS(M234-(controls!$B$9/100)*100)</f>
        <v>476.75000000000006</v>
      </c>
      <c r="AI234" s="36"/>
      <c r="AJ234" s="36"/>
    </row>
    <row r="235" spans="1:36">
      <c r="A235" s="43">
        <v>232</v>
      </c>
      <c r="B235" s="62">
        <f ca="1">IF(controls!$B$6=2,AVERAGE(E231:E234)+B234*W235+hystere!$AG$9,AVERAGE(E231:E234)+B234*W235)</f>
        <v>1.1000000000000001</v>
      </c>
      <c r="C235" s="67">
        <f t="shared" ca="1" si="19"/>
        <v>0</v>
      </c>
      <c r="D235" s="88">
        <f t="shared" ca="1" si="20"/>
        <v>-1</v>
      </c>
      <c r="E235" s="64">
        <f t="shared" ca="1" si="21"/>
        <v>0.1</v>
      </c>
      <c r="F235" s="64">
        <f ca="1">IF('main page'!$K$34=1,hystere!H235,hystere!G235)</f>
        <v>-841.50000000000011</v>
      </c>
      <c r="G235" s="78">
        <f ca="1">I235-'main page'!$K$27*hystere!N234</f>
        <v>-841.50000000000011</v>
      </c>
      <c r="H235" s="62">
        <f ca="1">J235-'main page'!$K$27*N234</f>
        <v>-841.50000000000011</v>
      </c>
      <c r="I235" s="62">
        <f t="shared" ca="1" si="22"/>
        <v>108</v>
      </c>
      <c r="J235" s="62">
        <f t="shared" ca="1" si="23"/>
        <v>108</v>
      </c>
      <c r="M235" s="62">
        <f ca="1">IF(ABS('main page'!$K$29*M234+(1-'main page'!$K$29)*(controls!$B$9/100)*100+'main page'!$K$25*(E235-B235)-M234)&lt;0.0000001,M234,'main page'!$K$29*M234+(1-'main page'!$K$29)*(controls!$B$9/100)*100+'main page'!$K$25*(E235-B235))</f>
        <v>-475.75000000000006</v>
      </c>
      <c r="N235" s="62">
        <f ca="1">IF(controls!$B$10=1,N234,O235-'main page'!$K$29*M235-(1-'main page'!$K$29)*controls!$B$9)</f>
        <v>475.75000000000006</v>
      </c>
      <c r="O235" s="61">
        <f t="shared" ca="1" si="18"/>
        <v>0</v>
      </c>
      <c r="P235" s="63">
        <f ca="1">IF(controls!$B$10=1,hystere!N235+hystere!M235,hystere!Q235)</f>
        <v>-541.73750000000007</v>
      </c>
      <c r="Q235" s="61">
        <f ca="1">IF('main page'!$Y$53=1,'choose m.p.'!$I$22*100,R235)</f>
        <v>-541.73750000000007</v>
      </c>
      <c r="R235" s="83">
        <f ca="1">'main page'!$K$29*M235+(1-'main page'!$K$29)*controls!$B$9+S235+(('main page'!$K$25*'main page'!$U$13*'main page'!$K$29)/('main page'!$K$27*(1+('main page'!$K$25^2)*'main page'!$U$13)))*(M235-(controls!$B$9/100)*100)</f>
        <v>-541.73750000000007</v>
      </c>
      <c r="S235" s="81">
        <f ca="1">IF(controls!$B$33=1,(J236-E235*X236-B235)/'main page'!$K$27,(I236-E235*X236-B235)/'main page'!$K$27)</f>
        <v>53.45</v>
      </c>
      <c r="U235" s="58">
        <f>IF(controls!$B$6=1,$AG$4*(1+('main page'!$K$35/100))^V235-$AG$4*(1+('main page'!$K$35/100))^V234,$AG$4*(1+('main page'!$G$8/100))*(1+('main page'!$K$35/100))^V235-$AG$4*(1+('main page'!$G$8/100))*(1+('main page'!$K$35/100))^V234)</f>
        <v>0</v>
      </c>
      <c r="V235" s="60">
        <v>227</v>
      </c>
      <c r="W235" s="36">
        <f>'normal case'!AC234</f>
        <v>0</v>
      </c>
      <c r="X235" s="36">
        <f>'normal case'!AD234</f>
        <v>0</v>
      </c>
      <c r="Y235" s="44">
        <f ca="1">IF(controls!$B$33=1,E235-($J$4-'main page'!$K$27*2)*(1+('main page'!$K$35/100))^A234,E235-$AG$5)</f>
        <v>-99.9</v>
      </c>
      <c r="Z235" s="44">
        <f ca="1">ABS(M235-(controls!$B$9/100)*100)</f>
        <v>477.75000000000006</v>
      </c>
      <c r="AI235" s="36"/>
      <c r="AJ235" s="36"/>
    </row>
    <row r="236" spans="1:36">
      <c r="A236" s="43">
        <v>233</v>
      </c>
      <c r="B236" s="62">
        <f ca="1">IF(controls!$B$6=2,AVERAGE(E232:E235)+B235*W236+hystere!$AG$9,AVERAGE(E232:E235)+B235*W236)</f>
        <v>1.1000000000000001</v>
      </c>
      <c r="C236" s="67">
        <f t="shared" ca="1" si="19"/>
        <v>0</v>
      </c>
      <c r="D236" s="88">
        <f t="shared" ca="1" si="20"/>
        <v>-1</v>
      </c>
      <c r="E236" s="64">
        <f t="shared" ca="1" si="21"/>
        <v>0.1</v>
      </c>
      <c r="F236" s="64">
        <f ca="1">IF('main page'!$K$34=1,hystere!H236,hystere!G236)</f>
        <v>-843.50000000000011</v>
      </c>
      <c r="G236" s="78">
        <f ca="1">I236-'main page'!$K$27*hystere!N235</f>
        <v>-843.50000000000011</v>
      </c>
      <c r="H236" s="62">
        <f ca="1">J236-'main page'!$K$27*N235</f>
        <v>-843.50000000000011</v>
      </c>
      <c r="I236" s="62">
        <f t="shared" ca="1" si="22"/>
        <v>108</v>
      </c>
      <c r="J236" s="62">
        <f t="shared" ca="1" si="23"/>
        <v>108</v>
      </c>
      <c r="M236" s="62">
        <f ca="1">IF(ABS('main page'!$K$29*M235+(1-'main page'!$K$29)*(controls!$B$9/100)*100+'main page'!$K$25*(E236-B236)-M235)&lt;0.0000001,M235,'main page'!$K$29*M235+(1-'main page'!$K$29)*(controls!$B$9/100)*100+'main page'!$K$25*(E236-B236))</f>
        <v>-476.75000000000006</v>
      </c>
      <c r="N236" s="62">
        <f ca="1">IF(controls!$B$10=1,N235,O236-'main page'!$K$29*M236-(1-'main page'!$K$29)*controls!$B$9)</f>
        <v>476.75000000000006</v>
      </c>
      <c r="O236" s="61">
        <f t="shared" ca="1" si="18"/>
        <v>0</v>
      </c>
      <c r="P236" s="63">
        <f ca="1">IF(controls!$B$10=1,hystere!N236+hystere!M236,hystere!Q236)</f>
        <v>-542.98750000000007</v>
      </c>
      <c r="Q236" s="61">
        <f ca="1">IF('main page'!$Y$53=1,'choose m.p.'!$I$22*100,R236)</f>
        <v>-542.98750000000007</v>
      </c>
      <c r="R236" s="83">
        <f ca="1">'main page'!$K$29*M236+(1-'main page'!$K$29)*controls!$B$9+S236+(('main page'!$K$25*'main page'!$U$13*'main page'!$K$29)/('main page'!$K$27*(1+('main page'!$K$25^2)*'main page'!$U$13)))*(M236-(controls!$B$9/100)*100)</f>
        <v>-542.98750000000007</v>
      </c>
      <c r="S236" s="81">
        <f ca="1">IF(controls!$B$33=1,(J237-E236*X237-B236)/'main page'!$K$27,(I237-E236*X237-B236)/'main page'!$K$27)</f>
        <v>53.45</v>
      </c>
      <c r="U236" s="58">
        <f>IF(controls!$B$6=1,$AG$4*(1+('main page'!$K$35/100))^V236-$AG$4*(1+('main page'!$K$35/100))^V235,$AG$4*(1+('main page'!$G$8/100))*(1+('main page'!$K$35/100))^V236-$AG$4*(1+('main page'!$G$8/100))*(1+('main page'!$K$35/100))^V235)</f>
        <v>0</v>
      </c>
      <c r="V236" s="60">
        <v>228</v>
      </c>
      <c r="W236" s="36">
        <f>'normal case'!AC235</f>
        <v>0</v>
      </c>
      <c r="X236" s="36">
        <f>'normal case'!AD235</f>
        <v>0</v>
      </c>
      <c r="Y236" s="44">
        <f ca="1">IF(controls!$B$33=1,E236-($J$4-'main page'!$K$27*2)*(1+('main page'!$K$35/100))^A235,E236-$AG$5)</f>
        <v>-99.9</v>
      </c>
      <c r="Z236" s="44">
        <f ca="1">ABS(M236-(controls!$B$9/100)*100)</f>
        <v>478.75000000000006</v>
      </c>
      <c r="AI236" s="36"/>
      <c r="AJ236" s="36"/>
    </row>
    <row r="237" spans="1:36">
      <c r="A237" s="43">
        <v>234</v>
      </c>
      <c r="B237" s="62">
        <f ca="1">IF(controls!$B$6=2,AVERAGE(E233:E236)+B236*W237+hystere!$AG$9,AVERAGE(E233:E236)+B236*W237)</f>
        <v>1.1000000000000001</v>
      </c>
      <c r="C237" s="67">
        <f t="shared" ca="1" si="19"/>
        <v>0</v>
      </c>
      <c r="D237" s="88">
        <f t="shared" ca="1" si="20"/>
        <v>-1</v>
      </c>
      <c r="E237" s="64">
        <f t="shared" ca="1" si="21"/>
        <v>0.1</v>
      </c>
      <c r="F237" s="64">
        <f ca="1">IF('main page'!$K$34=1,hystere!H237,hystere!G237)</f>
        <v>-845.50000000000011</v>
      </c>
      <c r="G237" s="78">
        <f ca="1">I237-'main page'!$K$27*hystere!N236</f>
        <v>-845.50000000000011</v>
      </c>
      <c r="H237" s="62">
        <f ca="1">J237-'main page'!$K$27*N236</f>
        <v>-845.50000000000011</v>
      </c>
      <c r="I237" s="62">
        <f t="shared" ca="1" si="22"/>
        <v>108</v>
      </c>
      <c r="J237" s="62">
        <f t="shared" ca="1" si="23"/>
        <v>108</v>
      </c>
      <c r="M237" s="62">
        <f ca="1">IF(ABS('main page'!$K$29*M236+(1-'main page'!$K$29)*(controls!$B$9/100)*100+'main page'!$K$25*(E237-B237)-M236)&lt;0.0000001,M236,'main page'!$K$29*M236+(1-'main page'!$K$29)*(controls!$B$9/100)*100+'main page'!$K$25*(E237-B237))</f>
        <v>-477.75000000000006</v>
      </c>
      <c r="N237" s="62">
        <f ca="1">IF(controls!$B$10=1,N236,O237-'main page'!$K$29*M237-(1-'main page'!$K$29)*controls!$B$9)</f>
        <v>477.75000000000006</v>
      </c>
      <c r="O237" s="61">
        <f t="shared" ca="1" si="18"/>
        <v>0</v>
      </c>
      <c r="P237" s="63">
        <f ca="1">IF(controls!$B$10=1,hystere!N237+hystere!M237,hystere!Q237)</f>
        <v>-544.23750000000007</v>
      </c>
      <c r="Q237" s="61">
        <f ca="1">IF('main page'!$Y$53=1,'choose m.p.'!$I$22*100,R237)</f>
        <v>-544.23750000000007</v>
      </c>
      <c r="R237" s="83">
        <f ca="1">'main page'!$K$29*M237+(1-'main page'!$K$29)*controls!$B$9+S237+(('main page'!$K$25*'main page'!$U$13*'main page'!$K$29)/('main page'!$K$27*(1+('main page'!$K$25^2)*'main page'!$U$13)))*(M237-(controls!$B$9/100)*100)</f>
        <v>-544.23750000000007</v>
      </c>
      <c r="S237" s="81">
        <f ca="1">IF(controls!$B$33=1,(J238-E237*X238-B237)/'main page'!$K$27,(I238-E237*X238-B237)/'main page'!$K$27)</f>
        <v>53.45</v>
      </c>
      <c r="U237" s="58">
        <f>IF(controls!$B$6=1,$AG$4*(1+('main page'!$K$35/100))^V237-$AG$4*(1+('main page'!$K$35/100))^V236,$AG$4*(1+('main page'!$G$8/100))*(1+('main page'!$K$35/100))^V237-$AG$4*(1+('main page'!$G$8/100))*(1+('main page'!$K$35/100))^V236)</f>
        <v>0</v>
      </c>
      <c r="V237" s="60">
        <v>229</v>
      </c>
      <c r="W237" s="36">
        <f ca="1">'normal case'!AC236</f>
        <v>0</v>
      </c>
      <c r="X237" s="36">
        <f ca="1">'normal case'!AD236</f>
        <v>0</v>
      </c>
      <c r="Y237" s="44">
        <f ca="1">IF(controls!$B$33=1,E237-($J$4-'main page'!$K$27*2)*(1+('main page'!$K$35/100))^A236,E237-$AG$5)</f>
        <v>-99.9</v>
      </c>
      <c r="Z237" s="44">
        <f ca="1">ABS(M237-(controls!$B$9/100)*100)</f>
        <v>479.75000000000006</v>
      </c>
      <c r="AI237" s="36"/>
      <c r="AJ237" s="36"/>
    </row>
    <row r="238" spans="1:36">
      <c r="A238" s="43">
        <v>235</v>
      </c>
      <c r="B238" s="62">
        <f ca="1">IF(controls!$B$6=2,AVERAGE(E234:E237)+B237*W238+hystere!$AG$9,AVERAGE(E234:E237)+B237*W238)</f>
        <v>1.1000000000000001</v>
      </c>
      <c r="C238" s="67">
        <f t="shared" ca="1" si="19"/>
        <v>0</v>
      </c>
      <c r="D238" s="88">
        <f t="shared" ca="1" si="20"/>
        <v>-1</v>
      </c>
      <c r="E238" s="64">
        <f t="shared" ca="1" si="21"/>
        <v>0.1</v>
      </c>
      <c r="F238" s="64">
        <f ca="1">IF('main page'!$K$34=1,hystere!H238,hystere!G238)</f>
        <v>-847.50000000000011</v>
      </c>
      <c r="G238" s="78">
        <f ca="1">I238-'main page'!$K$27*hystere!N237</f>
        <v>-847.50000000000011</v>
      </c>
      <c r="H238" s="62">
        <f ca="1">J238-'main page'!$K$27*N237</f>
        <v>-847.50000000000011</v>
      </c>
      <c r="I238" s="62">
        <f t="shared" ca="1" si="22"/>
        <v>108</v>
      </c>
      <c r="J238" s="62">
        <f t="shared" ca="1" si="23"/>
        <v>108</v>
      </c>
      <c r="M238" s="62">
        <f ca="1">IF(ABS('main page'!$K$29*M237+(1-'main page'!$K$29)*(controls!$B$9/100)*100+'main page'!$K$25*(E238-B238)-M237)&lt;0.0000001,M237,'main page'!$K$29*M237+(1-'main page'!$K$29)*(controls!$B$9/100)*100+'main page'!$K$25*(E238-B238))</f>
        <v>-478.75000000000006</v>
      </c>
      <c r="N238" s="62">
        <f ca="1">IF(controls!$B$10=1,N237,O238-'main page'!$K$29*M238-(1-'main page'!$K$29)*controls!$B$9)</f>
        <v>478.75000000000006</v>
      </c>
      <c r="O238" s="61">
        <f t="shared" ca="1" si="18"/>
        <v>0</v>
      </c>
      <c r="P238" s="63">
        <f ca="1">IF(controls!$B$10=1,hystere!N238+hystere!M238,hystere!Q238)</f>
        <v>-545.48750000000007</v>
      </c>
      <c r="Q238" s="61">
        <f ca="1">IF('main page'!$Y$53=1,'choose m.p.'!$I$22*100,R238)</f>
        <v>-545.48750000000007</v>
      </c>
      <c r="R238" s="83">
        <f ca="1">'main page'!$K$29*M238+(1-'main page'!$K$29)*controls!$B$9+S238+(('main page'!$K$25*'main page'!$U$13*'main page'!$K$29)/('main page'!$K$27*(1+('main page'!$K$25^2)*'main page'!$U$13)))*(M238-(controls!$B$9/100)*100)</f>
        <v>-545.48750000000007</v>
      </c>
      <c r="S238" s="81">
        <f ca="1">IF(controls!$B$33=1,(J239-E238*X239-B238)/'main page'!$K$27,(I239-E238*X239-B238)/'main page'!$K$27)</f>
        <v>53.45</v>
      </c>
      <c r="U238" s="58">
        <f>IF(controls!$B$6=1,$AG$4*(1+('main page'!$K$35/100))^V238-$AG$4*(1+('main page'!$K$35/100))^V237,$AG$4*(1+('main page'!$G$8/100))*(1+('main page'!$K$35/100))^V238-$AG$4*(1+('main page'!$G$8/100))*(1+('main page'!$K$35/100))^V237)</f>
        <v>0</v>
      </c>
      <c r="V238" s="60">
        <v>230</v>
      </c>
      <c r="W238" s="36">
        <f>'normal case'!AC237</f>
        <v>0</v>
      </c>
      <c r="X238" s="36">
        <f>'normal case'!AD237</f>
        <v>0</v>
      </c>
      <c r="Y238" s="44">
        <f ca="1">IF(controls!$B$33=1,E238-($J$4-'main page'!$K$27*2)*(1+('main page'!$K$35/100))^A237,E238-$AG$5)</f>
        <v>-99.9</v>
      </c>
      <c r="Z238" s="44">
        <f ca="1">ABS(M238-(controls!$B$9/100)*100)</f>
        <v>480.75000000000006</v>
      </c>
      <c r="AI238" s="36"/>
      <c r="AJ238" s="36"/>
    </row>
    <row r="239" spans="1:36">
      <c r="A239" s="43">
        <v>236</v>
      </c>
      <c r="B239" s="62">
        <f ca="1">IF(controls!$B$6=2,AVERAGE(E235:E238)+B238*W239+hystere!$AG$9,AVERAGE(E235:E238)+B238*W239)</f>
        <v>1.1000000000000001</v>
      </c>
      <c r="C239" s="67">
        <f t="shared" ca="1" si="19"/>
        <v>0</v>
      </c>
      <c r="D239" s="88">
        <f t="shared" ca="1" si="20"/>
        <v>-1</v>
      </c>
      <c r="E239" s="64">
        <f t="shared" ca="1" si="21"/>
        <v>0.1</v>
      </c>
      <c r="F239" s="64">
        <f ca="1">IF('main page'!$K$34=1,hystere!H239,hystere!G239)</f>
        <v>-849.50000000000011</v>
      </c>
      <c r="G239" s="78">
        <f ca="1">I239-'main page'!$K$27*hystere!N238</f>
        <v>-849.50000000000011</v>
      </c>
      <c r="H239" s="62">
        <f ca="1">J239-'main page'!$K$27*N238</f>
        <v>-849.50000000000011</v>
      </c>
      <c r="I239" s="62">
        <f t="shared" ca="1" si="22"/>
        <v>108</v>
      </c>
      <c r="J239" s="62">
        <f t="shared" ca="1" si="23"/>
        <v>108</v>
      </c>
      <c r="M239" s="62">
        <f ca="1">IF(ABS('main page'!$K$29*M238+(1-'main page'!$K$29)*(controls!$B$9/100)*100+'main page'!$K$25*(E239-B239)-M238)&lt;0.0000001,M238,'main page'!$K$29*M238+(1-'main page'!$K$29)*(controls!$B$9/100)*100+'main page'!$K$25*(E239-B239))</f>
        <v>-479.75000000000006</v>
      </c>
      <c r="N239" s="62">
        <f ca="1">IF(controls!$B$10=1,N238,O239-'main page'!$K$29*M239-(1-'main page'!$K$29)*controls!$B$9)</f>
        <v>479.75000000000006</v>
      </c>
      <c r="O239" s="61">
        <f t="shared" ca="1" si="18"/>
        <v>0</v>
      </c>
      <c r="P239" s="63">
        <f ca="1">IF(controls!$B$10=1,hystere!N239+hystere!M239,hystere!Q239)</f>
        <v>-546.73750000000007</v>
      </c>
      <c r="Q239" s="61">
        <f ca="1">IF('main page'!$Y$53=1,'choose m.p.'!$I$22*100,R239)</f>
        <v>-546.73750000000007</v>
      </c>
      <c r="R239" s="83">
        <f ca="1">'main page'!$K$29*M239+(1-'main page'!$K$29)*controls!$B$9+S239+(('main page'!$K$25*'main page'!$U$13*'main page'!$K$29)/('main page'!$K$27*(1+('main page'!$K$25^2)*'main page'!$U$13)))*(M239-(controls!$B$9/100)*100)</f>
        <v>-546.73750000000007</v>
      </c>
      <c r="S239" s="81">
        <f ca="1">IF(controls!$B$33=1,(J240-E239*X240-B239)/'main page'!$K$27,(I240-E239*X240-B239)/'main page'!$K$27)</f>
        <v>53.45</v>
      </c>
      <c r="U239" s="58">
        <f>IF(controls!$B$6=1,$AG$4*(1+('main page'!$K$35/100))^V239-$AG$4*(1+('main page'!$K$35/100))^V238,$AG$4*(1+('main page'!$G$8/100))*(1+('main page'!$K$35/100))^V239-$AG$4*(1+('main page'!$G$8/100))*(1+('main page'!$K$35/100))^V238)</f>
        <v>0</v>
      </c>
      <c r="V239" s="60">
        <v>231</v>
      </c>
      <c r="W239" s="36">
        <f>'normal case'!AC238</f>
        <v>0</v>
      </c>
      <c r="X239" s="36">
        <f>'normal case'!AD238</f>
        <v>0</v>
      </c>
      <c r="Y239" s="44">
        <f ca="1">IF(controls!$B$33=1,E239-($J$4-'main page'!$K$27*2)*(1+('main page'!$K$35/100))^A238,E239-$AG$5)</f>
        <v>-99.9</v>
      </c>
      <c r="Z239" s="44">
        <f ca="1">ABS(M239-(controls!$B$9/100)*100)</f>
        <v>481.75000000000006</v>
      </c>
      <c r="AI239" s="36"/>
      <c r="AJ239" s="36"/>
    </row>
    <row r="240" spans="1:36">
      <c r="A240" s="43">
        <v>237</v>
      </c>
      <c r="B240" s="62">
        <f ca="1">IF(controls!$B$6=2,AVERAGE(E236:E239)+B239*W240+hystere!$AG$9,AVERAGE(E236:E239)+B239*W240)</f>
        <v>1.1000000000000001</v>
      </c>
      <c r="C240" s="67">
        <f t="shared" ca="1" si="19"/>
        <v>0</v>
      </c>
      <c r="D240" s="88">
        <f t="shared" ca="1" si="20"/>
        <v>-1</v>
      </c>
      <c r="E240" s="64">
        <f t="shared" ca="1" si="21"/>
        <v>0.1</v>
      </c>
      <c r="F240" s="64">
        <f ca="1">IF('main page'!$K$34=1,hystere!H240,hystere!G240)</f>
        <v>-851.50000000000011</v>
      </c>
      <c r="G240" s="78">
        <f ca="1">I240-'main page'!$K$27*hystere!N239</f>
        <v>-851.50000000000011</v>
      </c>
      <c r="H240" s="62">
        <f ca="1">J240-'main page'!$K$27*N239</f>
        <v>-851.50000000000011</v>
      </c>
      <c r="I240" s="62">
        <f t="shared" ca="1" si="22"/>
        <v>108</v>
      </c>
      <c r="J240" s="62">
        <f t="shared" ca="1" si="23"/>
        <v>108</v>
      </c>
      <c r="M240" s="62">
        <f ca="1">IF(ABS('main page'!$K$29*M239+(1-'main page'!$K$29)*(controls!$B$9/100)*100+'main page'!$K$25*(E240-B240)-M239)&lt;0.0000001,M239,'main page'!$K$29*M239+(1-'main page'!$K$29)*(controls!$B$9/100)*100+'main page'!$K$25*(E240-B240))</f>
        <v>-480.75000000000006</v>
      </c>
      <c r="N240" s="62">
        <f ca="1">IF(controls!$B$10=1,N239,O240-'main page'!$K$29*M240-(1-'main page'!$K$29)*controls!$B$9)</f>
        <v>480.75000000000006</v>
      </c>
      <c r="O240" s="61">
        <f t="shared" ca="1" si="18"/>
        <v>0</v>
      </c>
      <c r="P240" s="63">
        <f ca="1">IF(controls!$B$10=1,hystere!N240+hystere!M240,hystere!Q240)</f>
        <v>-547.98750000000007</v>
      </c>
      <c r="Q240" s="61">
        <f ca="1">IF('main page'!$Y$53=1,'choose m.p.'!$I$22*100,R240)</f>
        <v>-547.98750000000007</v>
      </c>
      <c r="R240" s="83">
        <f ca="1">'main page'!$K$29*M240+(1-'main page'!$K$29)*controls!$B$9+S240+(('main page'!$K$25*'main page'!$U$13*'main page'!$K$29)/('main page'!$K$27*(1+('main page'!$K$25^2)*'main page'!$U$13)))*(M240-(controls!$B$9/100)*100)</f>
        <v>-547.98750000000007</v>
      </c>
      <c r="S240" s="81">
        <f ca="1">IF(controls!$B$33=1,(J241-E240*X241-B240)/'main page'!$K$27,(I241-E240*X241-B240)/'main page'!$K$27)</f>
        <v>53.45</v>
      </c>
      <c r="U240" s="58">
        <f>IF(controls!$B$6=1,$AG$4*(1+('main page'!$K$35/100))^V240-$AG$4*(1+('main page'!$K$35/100))^V239,$AG$4*(1+('main page'!$G$8/100))*(1+('main page'!$K$35/100))^V240-$AG$4*(1+('main page'!$G$8/100))*(1+('main page'!$K$35/100))^V239)</f>
        <v>0</v>
      </c>
      <c r="V240" s="60">
        <v>232</v>
      </c>
      <c r="W240" s="36">
        <f ca="1">'normal case'!AC239</f>
        <v>0</v>
      </c>
      <c r="X240" s="36">
        <f ca="1">'normal case'!AD239</f>
        <v>0</v>
      </c>
      <c r="Y240" s="44">
        <f ca="1">IF(controls!$B$33=1,E240-($J$4-'main page'!$K$27*2)*(1+('main page'!$K$35/100))^A239,E240-$AG$5)</f>
        <v>-99.9</v>
      </c>
      <c r="Z240" s="44">
        <f ca="1">ABS(M240-(controls!$B$9/100)*100)</f>
        <v>482.75000000000006</v>
      </c>
      <c r="AI240" s="36"/>
      <c r="AJ240" s="36"/>
    </row>
    <row r="241" spans="1:36">
      <c r="A241" s="43">
        <v>238</v>
      </c>
      <c r="B241" s="62">
        <f ca="1">IF(controls!$B$6=2,AVERAGE(E237:E240)+B240*W241+hystere!$AG$9,AVERAGE(E237:E240)+B240*W241)</f>
        <v>1.1000000000000001</v>
      </c>
      <c r="C241" s="67">
        <f t="shared" ca="1" si="19"/>
        <v>0</v>
      </c>
      <c r="D241" s="88">
        <f t="shared" ca="1" si="20"/>
        <v>-1</v>
      </c>
      <c r="E241" s="64">
        <f t="shared" ca="1" si="21"/>
        <v>0.1</v>
      </c>
      <c r="F241" s="64">
        <f ca="1">IF('main page'!$K$34=1,hystere!H241,hystere!G241)</f>
        <v>-853.50000000000011</v>
      </c>
      <c r="G241" s="78">
        <f ca="1">I241-'main page'!$K$27*hystere!N240</f>
        <v>-853.50000000000011</v>
      </c>
      <c r="H241" s="62">
        <f ca="1">J241-'main page'!$K$27*N240</f>
        <v>-853.50000000000011</v>
      </c>
      <c r="I241" s="62">
        <f t="shared" ca="1" si="22"/>
        <v>108</v>
      </c>
      <c r="J241" s="62">
        <f t="shared" ca="1" si="23"/>
        <v>108</v>
      </c>
      <c r="M241" s="62">
        <f ca="1">IF(ABS('main page'!$K$29*M240+(1-'main page'!$K$29)*(controls!$B$9/100)*100+'main page'!$K$25*(E241-B241)-M240)&lt;0.0000001,M240,'main page'!$K$29*M240+(1-'main page'!$K$29)*(controls!$B$9/100)*100+'main page'!$K$25*(E241-B241))</f>
        <v>-481.75000000000006</v>
      </c>
      <c r="N241" s="62">
        <f ca="1">IF(controls!$B$10=1,N240,O241-'main page'!$K$29*M241-(1-'main page'!$K$29)*controls!$B$9)</f>
        <v>481.75000000000006</v>
      </c>
      <c r="O241" s="61">
        <f t="shared" ca="1" si="18"/>
        <v>0</v>
      </c>
      <c r="P241" s="63">
        <f ca="1">IF(controls!$B$10=1,hystere!N241+hystere!M241,hystere!Q241)</f>
        <v>-549.23750000000007</v>
      </c>
      <c r="Q241" s="61">
        <f ca="1">IF('main page'!$Y$53=1,'choose m.p.'!$I$22*100,R241)</f>
        <v>-549.23750000000007</v>
      </c>
      <c r="R241" s="83">
        <f ca="1">'main page'!$K$29*M241+(1-'main page'!$K$29)*controls!$B$9+S241+(('main page'!$K$25*'main page'!$U$13*'main page'!$K$29)/('main page'!$K$27*(1+('main page'!$K$25^2)*'main page'!$U$13)))*(M241-(controls!$B$9/100)*100)</f>
        <v>-549.23750000000007</v>
      </c>
      <c r="S241" s="81">
        <f ca="1">IF(controls!$B$33=1,(J242-E241*X242-B241)/'main page'!$K$27,(I242-E241*X242-B241)/'main page'!$K$27)</f>
        <v>53.45</v>
      </c>
      <c r="U241" s="58">
        <f>IF(controls!$B$6=1,$AG$4*(1+('main page'!$K$35/100))^V241-$AG$4*(1+('main page'!$K$35/100))^V240,$AG$4*(1+('main page'!$G$8/100))*(1+('main page'!$K$35/100))^V241-$AG$4*(1+('main page'!$G$8/100))*(1+('main page'!$K$35/100))^V240)</f>
        <v>0</v>
      </c>
      <c r="V241" s="60">
        <v>233</v>
      </c>
      <c r="W241" s="36">
        <f>'normal case'!AC240</f>
        <v>0</v>
      </c>
      <c r="X241" s="36">
        <f>'normal case'!AD240</f>
        <v>0</v>
      </c>
      <c r="Y241" s="44">
        <f ca="1">IF(controls!$B$33=1,E241-($J$4-'main page'!$K$27*2)*(1+('main page'!$K$35/100))^A240,E241-$AG$5)</f>
        <v>-99.9</v>
      </c>
      <c r="Z241" s="44">
        <f ca="1">ABS(M241-(controls!$B$9/100)*100)</f>
        <v>483.75000000000006</v>
      </c>
      <c r="AI241" s="36"/>
      <c r="AJ241" s="36"/>
    </row>
    <row r="242" spans="1:36">
      <c r="A242" s="43">
        <v>239</v>
      </c>
      <c r="B242" s="62">
        <f ca="1">IF(controls!$B$6=2,AVERAGE(E238:E241)+B241*W242+hystere!$AG$9,AVERAGE(E238:E241)+B241*W242)</f>
        <v>1.1000000000000001</v>
      </c>
      <c r="C242" s="67">
        <f t="shared" ca="1" si="19"/>
        <v>0</v>
      </c>
      <c r="D242" s="88">
        <f t="shared" ca="1" si="20"/>
        <v>-1</v>
      </c>
      <c r="E242" s="64">
        <f t="shared" ca="1" si="21"/>
        <v>0.1</v>
      </c>
      <c r="F242" s="64">
        <f ca="1">IF('main page'!$K$34=1,hystere!H242,hystere!G242)</f>
        <v>-855.50000000000011</v>
      </c>
      <c r="G242" s="78">
        <f ca="1">I242-'main page'!$K$27*hystere!N241</f>
        <v>-855.50000000000011</v>
      </c>
      <c r="H242" s="62">
        <f ca="1">J242-'main page'!$K$27*N241</f>
        <v>-855.50000000000011</v>
      </c>
      <c r="I242" s="62">
        <f t="shared" ca="1" si="22"/>
        <v>108</v>
      </c>
      <c r="J242" s="62">
        <f t="shared" ca="1" si="23"/>
        <v>108</v>
      </c>
      <c r="M242" s="62">
        <f ca="1">IF(ABS('main page'!$K$29*M241+(1-'main page'!$K$29)*(controls!$B$9/100)*100+'main page'!$K$25*(E242-B242)-M241)&lt;0.0000001,M241,'main page'!$K$29*M241+(1-'main page'!$K$29)*(controls!$B$9/100)*100+'main page'!$K$25*(E242-B242))</f>
        <v>-482.75000000000006</v>
      </c>
      <c r="N242" s="62">
        <f ca="1">IF(controls!$B$10=1,N241,O242-'main page'!$K$29*M242-(1-'main page'!$K$29)*controls!$B$9)</f>
        <v>482.75000000000006</v>
      </c>
      <c r="O242" s="61">
        <f t="shared" ca="1" si="18"/>
        <v>0</v>
      </c>
      <c r="P242" s="63">
        <f ca="1">IF(controls!$B$10=1,hystere!N242+hystere!M242,hystere!Q242)</f>
        <v>-550.48750000000007</v>
      </c>
      <c r="Q242" s="61">
        <f ca="1">IF('main page'!$Y$53=1,'choose m.p.'!$I$22*100,R242)</f>
        <v>-550.48750000000007</v>
      </c>
      <c r="R242" s="83">
        <f ca="1">'main page'!$K$29*M242+(1-'main page'!$K$29)*controls!$B$9+S242+(('main page'!$K$25*'main page'!$U$13*'main page'!$K$29)/('main page'!$K$27*(1+('main page'!$K$25^2)*'main page'!$U$13)))*(M242-(controls!$B$9/100)*100)</f>
        <v>-550.48750000000007</v>
      </c>
      <c r="S242" s="81">
        <f ca="1">IF(controls!$B$33=1,(J243-E242*X243-B242)/'main page'!$K$27,(I243-E242*X243-B242)/'main page'!$K$27)</f>
        <v>53.45</v>
      </c>
      <c r="U242" s="58">
        <f>IF(controls!$B$6=1,$AG$4*(1+('main page'!$K$35/100))^V242-$AG$4*(1+('main page'!$K$35/100))^V241,$AG$4*(1+('main page'!$G$8/100))*(1+('main page'!$K$35/100))^V242-$AG$4*(1+('main page'!$G$8/100))*(1+('main page'!$K$35/100))^V241)</f>
        <v>0</v>
      </c>
      <c r="V242" s="60">
        <v>234</v>
      </c>
      <c r="W242" s="36">
        <f>'normal case'!AC241</f>
        <v>0</v>
      </c>
      <c r="X242" s="36">
        <f>'normal case'!AD241</f>
        <v>0</v>
      </c>
      <c r="Y242" s="44">
        <f ca="1">IF(controls!$B$33=1,E242-($J$4-'main page'!$K$27*2)*(1+('main page'!$K$35/100))^A241,E242-$AG$5)</f>
        <v>-99.9</v>
      </c>
      <c r="Z242" s="44">
        <f ca="1">ABS(M242-(controls!$B$9/100)*100)</f>
        <v>484.75000000000006</v>
      </c>
      <c r="AI242" s="36"/>
      <c r="AJ242" s="36"/>
    </row>
    <row r="243" spans="1:36">
      <c r="A243" s="43">
        <v>240</v>
      </c>
      <c r="B243" s="62">
        <f ca="1">IF(controls!$B$6=2,AVERAGE(E239:E242)+B242*W243+hystere!$AG$9,AVERAGE(E239:E242)+B242*W243)</f>
        <v>1.1000000000000001</v>
      </c>
      <c r="C243" s="67">
        <f t="shared" ca="1" si="19"/>
        <v>0</v>
      </c>
      <c r="D243" s="88">
        <f t="shared" ca="1" si="20"/>
        <v>-1</v>
      </c>
      <c r="E243" s="64">
        <f t="shared" ca="1" si="21"/>
        <v>0.1</v>
      </c>
      <c r="F243" s="64">
        <f ca="1">IF('main page'!$K$34=1,hystere!H243,hystere!G243)</f>
        <v>-857.50000000000011</v>
      </c>
      <c r="G243" s="78">
        <f ca="1">I243-'main page'!$K$27*hystere!N242</f>
        <v>-857.50000000000011</v>
      </c>
      <c r="H243" s="62">
        <f ca="1">J243-'main page'!$K$27*N242</f>
        <v>-857.50000000000011</v>
      </c>
      <c r="I243" s="62">
        <f t="shared" ca="1" si="22"/>
        <v>108</v>
      </c>
      <c r="J243" s="62">
        <f t="shared" ca="1" si="23"/>
        <v>108</v>
      </c>
      <c r="M243" s="62">
        <f ca="1">IF(ABS('main page'!$K$29*M242+(1-'main page'!$K$29)*(controls!$B$9/100)*100+'main page'!$K$25*(E243-B243)-M242)&lt;0.0000001,M242,'main page'!$K$29*M242+(1-'main page'!$K$29)*(controls!$B$9/100)*100+'main page'!$K$25*(E243-B243))</f>
        <v>-483.75000000000006</v>
      </c>
      <c r="N243" s="62">
        <f ca="1">IF(controls!$B$10=1,N242,O243-'main page'!$K$29*M243-(1-'main page'!$K$29)*controls!$B$9)</f>
        <v>483.75000000000006</v>
      </c>
      <c r="O243" s="61">
        <f t="shared" ca="1" si="18"/>
        <v>0</v>
      </c>
      <c r="P243" s="63">
        <f ca="1">IF(controls!$B$10=1,hystere!N243+hystere!M243,hystere!Q243)</f>
        <v>-551.73750000000007</v>
      </c>
      <c r="Q243" s="61">
        <f ca="1">IF('main page'!$Y$53=1,'choose m.p.'!$I$22*100,R243)</f>
        <v>-551.73750000000007</v>
      </c>
      <c r="R243" s="83">
        <f ca="1">'main page'!$K$29*M243+(1-'main page'!$K$29)*controls!$B$9+S243+(('main page'!$K$25*'main page'!$U$13*'main page'!$K$29)/('main page'!$K$27*(1+('main page'!$K$25^2)*'main page'!$U$13)))*(M243-(controls!$B$9/100)*100)</f>
        <v>-551.73750000000007</v>
      </c>
      <c r="S243" s="81">
        <f ca="1">IF(controls!$B$33=1,(J244-E243*X244-B243)/'main page'!$K$27,(I244-E243*X244-B243)/'main page'!$K$27)</f>
        <v>53.45</v>
      </c>
      <c r="U243" s="58">
        <f>IF(controls!$B$6=1,$AG$4*(1+('main page'!$K$35/100))^V243-$AG$4*(1+('main page'!$K$35/100))^V242,$AG$4*(1+('main page'!$G$8/100))*(1+('main page'!$K$35/100))^V243-$AG$4*(1+('main page'!$G$8/100))*(1+('main page'!$K$35/100))^V242)</f>
        <v>0</v>
      </c>
      <c r="V243" s="60">
        <v>235</v>
      </c>
      <c r="W243" s="36">
        <f ca="1">'normal case'!AC242</f>
        <v>0</v>
      </c>
      <c r="X243" s="36">
        <f ca="1">'normal case'!AD242</f>
        <v>0</v>
      </c>
      <c r="Y243" s="44">
        <f ca="1">IF(controls!$B$33=1,E243-($J$4-'main page'!$K$27*2)*(1+('main page'!$K$35/100))^A242,E243-$AG$5)</f>
        <v>-99.9</v>
      </c>
      <c r="Z243" s="44">
        <f ca="1">ABS(M243-(controls!$B$9/100)*100)</f>
        <v>485.75000000000006</v>
      </c>
      <c r="AI243" s="36"/>
      <c r="AJ243" s="36"/>
    </row>
    <row r="244" spans="1:36">
      <c r="A244" s="43">
        <v>241</v>
      </c>
      <c r="B244" s="62">
        <f ca="1">IF(controls!$B$6=2,AVERAGE(E240:E243)+B243*W244+hystere!$AG$9,AVERAGE(E240:E243)+B243*W244)</f>
        <v>1.1000000000000001</v>
      </c>
      <c r="C244" s="67">
        <f t="shared" ca="1" si="19"/>
        <v>0</v>
      </c>
      <c r="D244" s="88">
        <f t="shared" ca="1" si="20"/>
        <v>-1</v>
      </c>
      <c r="E244" s="64">
        <f t="shared" ca="1" si="21"/>
        <v>0.1</v>
      </c>
      <c r="F244" s="64">
        <f ca="1">IF('main page'!$K$34=1,hystere!H244,hystere!G244)</f>
        <v>-859.50000000000011</v>
      </c>
      <c r="G244" s="78">
        <f ca="1">I244-'main page'!$K$27*hystere!N243</f>
        <v>-859.50000000000011</v>
      </c>
      <c r="H244" s="62">
        <f ca="1">J244-'main page'!$K$27*N243</f>
        <v>-859.50000000000011</v>
      </c>
      <c r="I244" s="62">
        <f t="shared" ca="1" si="22"/>
        <v>108</v>
      </c>
      <c r="J244" s="62">
        <f t="shared" ca="1" si="23"/>
        <v>108</v>
      </c>
      <c r="M244" s="62">
        <f ca="1">IF(ABS('main page'!$K$29*M243+(1-'main page'!$K$29)*(controls!$B$9/100)*100+'main page'!$K$25*(E244-B244)-M243)&lt;0.0000001,M243,'main page'!$K$29*M243+(1-'main page'!$K$29)*(controls!$B$9/100)*100+'main page'!$K$25*(E244-B244))</f>
        <v>-484.75000000000006</v>
      </c>
      <c r="N244" s="62">
        <f ca="1">IF(controls!$B$10=1,N243,O244-'main page'!$K$29*M244-(1-'main page'!$K$29)*controls!$B$9)</f>
        <v>484.75000000000006</v>
      </c>
      <c r="O244" s="61">
        <f t="shared" ca="1" si="18"/>
        <v>0</v>
      </c>
      <c r="P244" s="63">
        <f ca="1">IF(controls!$B$10=1,hystere!N244+hystere!M244,hystere!Q244)</f>
        <v>-552.98750000000007</v>
      </c>
      <c r="Q244" s="61">
        <f ca="1">IF('main page'!$Y$53=1,'choose m.p.'!$I$22*100,R244)</f>
        <v>-552.98750000000007</v>
      </c>
      <c r="R244" s="83">
        <f ca="1">'main page'!$K$29*M244+(1-'main page'!$K$29)*controls!$B$9+S244+(('main page'!$K$25*'main page'!$U$13*'main page'!$K$29)/('main page'!$K$27*(1+('main page'!$K$25^2)*'main page'!$U$13)))*(M244-(controls!$B$9/100)*100)</f>
        <v>-552.98750000000007</v>
      </c>
      <c r="S244" s="81">
        <f ca="1">IF(controls!$B$33=1,(J245-E244*X245-B244)/'main page'!$K$27,(I245-E244*X245-B244)/'main page'!$K$27)</f>
        <v>53.45</v>
      </c>
      <c r="U244" s="58">
        <f>IF(controls!$B$6=1,$AG$4*(1+('main page'!$K$35/100))^V244-$AG$4*(1+('main page'!$K$35/100))^V243,$AG$4*(1+('main page'!$G$8/100))*(1+('main page'!$K$35/100))^V244-$AG$4*(1+('main page'!$G$8/100))*(1+('main page'!$K$35/100))^V243)</f>
        <v>0</v>
      </c>
      <c r="V244" s="60">
        <v>236</v>
      </c>
      <c r="W244" s="36">
        <f>'normal case'!AC243</f>
        <v>0</v>
      </c>
      <c r="X244" s="36">
        <f>'normal case'!AD243</f>
        <v>0</v>
      </c>
      <c r="Y244" s="44">
        <f ca="1">IF(controls!$B$33=1,E244-($J$4-'main page'!$K$27*2)*(1+('main page'!$K$35/100))^A243,E244-$AG$5)</f>
        <v>-99.9</v>
      </c>
      <c r="Z244" s="44">
        <f ca="1">ABS(M244-(controls!$B$9/100)*100)</f>
        <v>486.75000000000006</v>
      </c>
      <c r="AI244" s="36"/>
      <c r="AJ244" s="36"/>
    </row>
    <row r="245" spans="1:36">
      <c r="A245" s="43">
        <v>242</v>
      </c>
      <c r="B245" s="62">
        <f ca="1">IF(controls!$B$6=2,AVERAGE(E241:E244)+B244*W245+hystere!$AG$9,AVERAGE(E241:E244)+B244*W245)</f>
        <v>1.1000000000000001</v>
      </c>
      <c r="C245" s="67">
        <f t="shared" ca="1" si="19"/>
        <v>0</v>
      </c>
      <c r="D245" s="88">
        <f t="shared" ca="1" si="20"/>
        <v>-1</v>
      </c>
      <c r="E245" s="64">
        <f t="shared" ca="1" si="21"/>
        <v>0.1</v>
      </c>
      <c r="F245" s="64">
        <f ca="1">IF('main page'!$K$34=1,hystere!H245,hystere!G245)</f>
        <v>-861.50000000000011</v>
      </c>
      <c r="G245" s="78">
        <f ca="1">I245-'main page'!$K$27*hystere!N244</f>
        <v>-861.50000000000011</v>
      </c>
      <c r="H245" s="62">
        <f ca="1">J245-'main page'!$K$27*N244</f>
        <v>-861.50000000000011</v>
      </c>
      <c r="I245" s="62">
        <f t="shared" ca="1" si="22"/>
        <v>108</v>
      </c>
      <c r="J245" s="62">
        <f t="shared" ca="1" si="23"/>
        <v>108</v>
      </c>
      <c r="M245" s="62">
        <f ca="1">IF(ABS('main page'!$K$29*M244+(1-'main page'!$K$29)*(controls!$B$9/100)*100+'main page'!$K$25*(E245-B245)-M244)&lt;0.0000001,M244,'main page'!$K$29*M244+(1-'main page'!$K$29)*(controls!$B$9/100)*100+'main page'!$K$25*(E245-B245))</f>
        <v>-485.75000000000006</v>
      </c>
      <c r="N245" s="62">
        <f ca="1">IF(controls!$B$10=1,N244,O245-'main page'!$K$29*M245-(1-'main page'!$K$29)*controls!$B$9)</f>
        <v>485.75000000000006</v>
      </c>
      <c r="O245" s="61">
        <f t="shared" ca="1" si="18"/>
        <v>0</v>
      </c>
      <c r="P245" s="63">
        <f ca="1">IF(controls!$B$10=1,hystere!N245+hystere!M245,hystere!Q245)</f>
        <v>-554.23750000000007</v>
      </c>
      <c r="Q245" s="61">
        <f ca="1">IF('main page'!$Y$53=1,'choose m.p.'!$I$22*100,R245)</f>
        <v>-554.23750000000007</v>
      </c>
      <c r="R245" s="83">
        <f ca="1">'main page'!$K$29*M245+(1-'main page'!$K$29)*controls!$B$9+S245+(('main page'!$K$25*'main page'!$U$13*'main page'!$K$29)/('main page'!$K$27*(1+('main page'!$K$25^2)*'main page'!$U$13)))*(M245-(controls!$B$9/100)*100)</f>
        <v>-554.23750000000007</v>
      </c>
      <c r="S245" s="81">
        <f ca="1">IF(controls!$B$33=1,(J246-E245*X246-B245)/'main page'!$K$27,(I246-E245*X246-B245)/'main page'!$K$27)</f>
        <v>53.45</v>
      </c>
      <c r="U245" s="58">
        <f>IF(controls!$B$6=1,$AG$4*(1+('main page'!$K$35/100))^V245-$AG$4*(1+('main page'!$K$35/100))^V244,$AG$4*(1+('main page'!$G$8/100))*(1+('main page'!$K$35/100))^V245-$AG$4*(1+('main page'!$G$8/100))*(1+('main page'!$K$35/100))^V244)</f>
        <v>0</v>
      </c>
      <c r="V245" s="60">
        <v>237</v>
      </c>
      <c r="W245" s="36">
        <f>'normal case'!AC244</f>
        <v>0</v>
      </c>
      <c r="X245" s="36">
        <f>'normal case'!AD244</f>
        <v>0</v>
      </c>
      <c r="Y245" s="44">
        <f ca="1">IF(controls!$B$33=1,E245-($J$4-'main page'!$K$27*2)*(1+('main page'!$K$35/100))^A244,E245-$AG$5)</f>
        <v>-99.9</v>
      </c>
      <c r="Z245" s="44">
        <f ca="1">ABS(M245-(controls!$B$9/100)*100)</f>
        <v>487.75000000000006</v>
      </c>
      <c r="AI245" s="36"/>
      <c r="AJ245" s="36"/>
    </row>
    <row r="246" spans="1:36">
      <c r="A246" s="43">
        <v>243</v>
      </c>
      <c r="B246" s="62">
        <f ca="1">IF(controls!$B$6=2,AVERAGE(E242:E245)+B245*W246+hystere!$AG$9,AVERAGE(E242:E245)+B245*W246)</f>
        <v>1.1000000000000001</v>
      </c>
      <c r="C246" s="67">
        <f t="shared" ca="1" si="19"/>
        <v>0</v>
      </c>
      <c r="D246" s="88">
        <f t="shared" ca="1" si="20"/>
        <v>-1</v>
      </c>
      <c r="E246" s="64">
        <f t="shared" ca="1" si="21"/>
        <v>0.1</v>
      </c>
      <c r="F246" s="64">
        <f ca="1">IF('main page'!$K$34=1,hystere!H246,hystere!G246)</f>
        <v>-863.50000000000011</v>
      </c>
      <c r="G246" s="78">
        <f ca="1">I246-'main page'!$K$27*hystere!N245</f>
        <v>-863.50000000000011</v>
      </c>
      <c r="H246" s="62">
        <f ca="1">J246-'main page'!$K$27*N245</f>
        <v>-863.50000000000011</v>
      </c>
      <c r="I246" s="62">
        <f t="shared" ca="1" si="22"/>
        <v>108</v>
      </c>
      <c r="J246" s="62">
        <f t="shared" ca="1" si="23"/>
        <v>108</v>
      </c>
      <c r="M246" s="62">
        <f ca="1">IF(ABS('main page'!$K$29*M245+(1-'main page'!$K$29)*(controls!$B$9/100)*100+'main page'!$K$25*(E246-B246)-M245)&lt;0.0000001,M245,'main page'!$K$29*M245+(1-'main page'!$K$29)*(controls!$B$9/100)*100+'main page'!$K$25*(E246-B246))</f>
        <v>-486.75000000000006</v>
      </c>
      <c r="N246" s="62">
        <f ca="1">IF(controls!$B$10=1,N245,O246-'main page'!$K$29*M246-(1-'main page'!$K$29)*controls!$B$9)</f>
        <v>486.75000000000006</v>
      </c>
      <c r="O246" s="61">
        <f t="shared" ca="1" si="18"/>
        <v>0</v>
      </c>
      <c r="P246" s="63">
        <f ca="1">IF(controls!$B$10=1,hystere!N246+hystere!M246,hystere!Q246)</f>
        <v>-555.48750000000007</v>
      </c>
      <c r="Q246" s="61">
        <f ca="1">IF('main page'!$Y$53=1,'choose m.p.'!$I$22*100,R246)</f>
        <v>-555.48750000000007</v>
      </c>
      <c r="R246" s="83">
        <f ca="1">'main page'!$K$29*M246+(1-'main page'!$K$29)*controls!$B$9+S246+(('main page'!$K$25*'main page'!$U$13*'main page'!$K$29)/('main page'!$K$27*(1+('main page'!$K$25^2)*'main page'!$U$13)))*(M246-(controls!$B$9/100)*100)</f>
        <v>-555.48750000000007</v>
      </c>
      <c r="S246" s="81">
        <f ca="1">IF(controls!$B$33=1,(J247-E246*X247-B246)/'main page'!$K$27,(I247-E246*X247-B246)/'main page'!$K$27)</f>
        <v>53.45</v>
      </c>
      <c r="U246" s="58">
        <f>IF(controls!$B$6=1,$AG$4*(1+('main page'!$K$35/100))^V246-$AG$4*(1+('main page'!$K$35/100))^V245,$AG$4*(1+('main page'!$G$8/100))*(1+('main page'!$K$35/100))^V246-$AG$4*(1+('main page'!$G$8/100))*(1+('main page'!$K$35/100))^V245)</f>
        <v>0</v>
      </c>
      <c r="V246" s="60">
        <v>238</v>
      </c>
      <c r="W246" s="36">
        <f ca="1">'normal case'!AC245</f>
        <v>0</v>
      </c>
      <c r="X246" s="36">
        <f ca="1">'normal case'!AD245</f>
        <v>0</v>
      </c>
      <c r="Y246" s="44">
        <f ca="1">IF(controls!$B$33=1,E246-($J$4-'main page'!$K$27*2)*(1+('main page'!$K$35/100))^A245,E246-$AG$5)</f>
        <v>-99.9</v>
      </c>
      <c r="Z246" s="44">
        <f ca="1">ABS(M246-(controls!$B$9/100)*100)</f>
        <v>488.75000000000006</v>
      </c>
      <c r="AI246" s="36"/>
      <c r="AJ246" s="36"/>
    </row>
    <row r="247" spans="1:36">
      <c r="A247" s="43">
        <v>244</v>
      </c>
      <c r="B247" s="62">
        <f ca="1">IF(controls!$B$6=2,AVERAGE(E243:E246)+B246*W247+hystere!$AG$9,AVERAGE(E243:E246)+B246*W247)</f>
        <v>1.1000000000000001</v>
      </c>
      <c r="C247" s="67">
        <f t="shared" ca="1" si="19"/>
        <v>0</v>
      </c>
      <c r="D247" s="88">
        <f t="shared" ca="1" si="20"/>
        <v>-1</v>
      </c>
      <c r="E247" s="64">
        <f t="shared" ca="1" si="21"/>
        <v>0.1</v>
      </c>
      <c r="F247" s="64">
        <f ca="1">IF('main page'!$K$34=1,hystere!H247,hystere!G247)</f>
        <v>-865.50000000000011</v>
      </c>
      <c r="G247" s="78">
        <f ca="1">I247-'main page'!$K$27*hystere!N246</f>
        <v>-865.50000000000011</v>
      </c>
      <c r="H247" s="62">
        <f ca="1">J247-'main page'!$K$27*N246</f>
        <v>-865.50000000000011</v>
      </c>
      <c r="I247" s="62">
        <f t="shared" ca="1" si="22"/>
        <v>108</v>
      </c>
      <c r="J247" s="62">
        <f t="shared" ca="1" si="23"/>
        <v>108</v>
      </c>
      <c r="M247" s="62">
        <f ca="1">IF(ABS('main page'!$K$29*M246+(1-'main page'!$K$29)*(controls!$B$9/100)*100+'main page'!$K$25*(E247-B247)-M246)&lt;0.0000001,M246,'main page'!$K$29*M246+(1-'main page'!$K$29)*(controls!$B$9/100)*100+'main page'!$K$25*(E247-B247))</f>
        <v>-487.75000000000006</v>
      </c>
      <c r="N247" s="62">
        <f ca="1">IF(controls!$B$10=1,N246,O247-'main page'!$K$29*M247-(1-'main page'!$K$29)*controls!$B$9)</f>
        <v>487.75000000000006</v>
      </c>
      <c r="O247" s="61">
        <f t="shared" ca="1" si="18"/>
        <v>0</v>
      </c>
      <c r="P247" s="63">
        <f ca="1">IF(controls!$B$10=1,hystere!N247+hystere!M247,hystere!Q247)</f>
        <v>-556.73750000000007</v>
      </c>
      <c r="Q247" s="61">
        <f ca="1">IF('main page'!$Y$53=1,'choose m.p.'!$I$22*100,R247)</f>
        <v>-556.73750000000007</v>
      </c>
      <c r="R247" s="83">
        <f ca="1">'main page'!$K$29*M247+(1-'main page'!$K$29)*controls!$B$9+S247+(('main page'!$K$25*'main page'!$U$13*'main page'!$K$29)/('main page'!$K$27*(1+('main page'!$K$25^2)*'main page'!$U$13)))*(M247-(controls!$B$9/100)*100)</f>
        <v>-556.73750000000007</v>
      </c>
      <c r="S247" s="81">
        <f ca="1">IF(controls!$B$33=1,(J248-E247*X248-B247)/'main page'!$K$27,(I248-E247*X248-B247)/'main page'!$K$27)</f>
        <v>53.45</v>
      </c>
      <c r="U247" s="58">
        <f>IF(controls!$B$6=1,$AG$4*(1+('main page'!$K$35/100))^V247-$AG$4*(1+('main page'!$K$35/100))^V246,$AG$4*(1+('main page'!$G$8/100))*(1+('main page'!$K$35/100))^V247-$AG$4*(1+('main page'!$G$8/100))*(1+('main page'!$K$35/100))^V246)</f>
        <v>0</v>
      </c>
      <c r="V247" s="60">
        <v>239</v>
      </c>
      <c r="W247" s="36">
        <f>'normal case'!AC246</f>
        <v>0</v>
      </c>
      <c r="X247" s="36">
        <f>'normal case'!AD246</f>
        <v>0</v>
      </c>
      <c r="Y247" s="44">
        <f ca="1">IF(controls!$B$33=1,E247-($J$4-'main page'!$K$27*2)*(1+('main page'!$K$35/100))^A246,E247-$AG$5)</f>
        <v>-99.9</v>
      </c>
      <c r="Z247" s="44">
        <f ca="1">ABS(M247-(controls!$B$9/100)*100)</f>
        <v>489.75000000000006</v>
      </c>
      <c r="AI247" s="36"/>
      <c r="AJ247" s="36"/>
    </row>
    <row r="248" spans="1:36">
      <c r="A248" s="43">
        <v>245</v>
      </c>
      <c r="B248" s="62">
        <f ca="1">IF(controls!$B$6=2,AVERAGE(E244:E247)+B247*W248+hystere!$AG$9,AVERAGE(E244:E247)+B247*W248)</f>
        <v>1.1000000000000001</v>
      </c>
      <c r="C248" s="67">
        <f t="shared" ca="1" si="19"/>
        <v>0</v>
      </c>
      <c r="D248" s="88">
        <f t="shared" ca="1" si="20"/>
        <v>-1</v>
      </c>
      <c r="E248" s="64">
        <f t="shared" ca="1" si="21"/>
        <v>0.1</v>
      </c>
      <c r="F248" s="64">
        <f ca="1">IF('main page'!$K$34=1,hystere!H248,hystere!G248)</f>
        <v>-867.50000000000011</v>
      </c>
      <c r="G248" s="78">
        <f ca="1">I248-'main page'!$K$27*hystere!N247</f>
        <v>-867.50000000000011</v>
      </c>
      <c r="H248" s="62">
        <f ca="1">J248-'main page'!$K$27*N247</f>
        <v>-867.50000000000011</v>
      </c>
      <c r="I248" s="62">
        <f t="shared" ca="1" si="22"/>
        <v>108</v>
      </c>
      <c r="J248" s="62">
        <f t="shared" ca="1" si="23"/>
        <v>108</v>
      </c>
      <c r="M248" s="62">
        <f ca="1">IF(ABS('main page'!$K$29*M247+(1-'main page'!$K$29)*(controls!$B$9/100)*100+'main page'!$K$25*(E248-B248)-M247)&lt;0.0000001,M247,'main page'!$K$29*M247+(1-'main page'!$K$29)*(controls!$B$9/100)*100+'main page'!$K$25*(E248-B248))</f>
        <v>-488.75000000000006</v>
      </c>
      <c r="N248" s="62">
        <f ca="1">IF(controls!$B$10=1,N247,O248-'main page'!$K$29*M248-(1-'main page'!$K$29)*controls!$B$9)</f>
        <v>488.75000000000006</v>
      </c>
      <c r="O248" s="61">
        <f t="shared" ca="1" si="18"/>
        <v>0</v>
      </c>
      <c r="P248" s="63">
        <f ca="1">IF(controls!$B$10=1,hystere!N248+hystere!M248,hystere!Q248)</f>
        <v>-557.98750000000007</v>
      </c>
      <c r="Q248" s="61">
        <f ca="1">IF('main page'!$Y$53=1,'choose m.p.'!$I$22*100,R248)</f>
        <v>-557.98750000000007</v>
      </c>
      <c r="R248" s="83">
        <f ca="1">'main page'!$K$29*M248+(1-'main page'!$K$29)*controls!$B$9+S248+(('main page'!$K$25*'main page'!$U$13*'main page'!$K$29)/('main page'!$K$27*(1+('main page'!$K$25^2)*'main page'!$U$13)))*(M248-(controls!$B$9/100)*100)</f>
        <v>-557.98750000000007</v>
      </c>
      <c r="S248" s="81">
        <f ca="1">IF(controls!$B$33=1,(J249-E248*X249-B248)/'main page'!$K$27,(I249-E248*X249-B248)/'main page'!$K$27)</f>
        <v>53.45</v>
      </c>
      <c r="U248" s="58">
        <f>IF(controls!$B$6=1,$AG$4*(1+('main page'!$K$35/100))^V248-$AG$4*(1+('main page'!$K$35/100))^V247,$AG$4*(1+('main page'!$G$8/100))*(1+('main page'!$K$35/100))^V248-$AG$4*(1+('main page'!$G$8/100))*(1+('main page'!$K$35/100))^V247)</f>
        <v>0</v>
      </c>
      <c r="V248" s="60">
        <v>240</v>
      </c>
      <c r="W248" s="36">
        <f>'normal case'!AC247</f>
        <v>0</v>
      </c>
      <c r="X248" s="36">
        <f>'normal case'!AD247</f>
        <v>0</v>
      </c>
      <c r="Y248" s="44">
        <f ca="1">IF(controls!$B$33=1,E248-($J$4-'main page'!$K$27*2)*(1+('main page'!$K$35/100))^A247,E248-$AG$5)</f>
        <v>-99.9</v>
      </c>
      <c r="Z248" s="44">
        <f ca="1">ABS(M248-(controls!$B$9/100)*100)</f>
        <v>490.75000000000006</v>
      </c>
      <c r="AI248" s="36"/>
      <c r="AJ248" s="36"/>
    </row>
    <row r="249" spans="1:36">
      <c r="A249" s="43">
        <v>246</v>
      </c>
      <c r="B249" s="62">
        <f ca="1">IF(controls!$B$6=2,AVERAGE(E245:E248)+B248*W249+hystere!$AG$9,AVERAGE(E245:E248)+B248*W249)</f>
        <v>1.1000000000000001</v>
      </c>
      <c r="C249" s="67">
        <f t="shared" ca="1" si="19"/>
        <v>0</v>
      </c>
      <c r="D249" s="88">
        <f t="shared" ca="1" si="20"/>
        <v>-1</v>
      </c>
      <c r="E249" s="64">
        <f t="shared" ca="1" si="21"/>
        <v>0.1</v>
      </c>
      <c r="F249" s="64">
        <f ca="1">IF('main page'!$K$34=1,hystere!H249,hystere!G249)</f>
        <v>-869.50000000000011</v>
      </c>
      <c r="G249" s="78">
        <f ca="1">I249-'main page'!$K$27*hystere!N248</f>
        <v>-869.50000000000011</v>
      </c>
      <c r="H249" s="62">
        <f ca="1">J249-'main page'!$K$27*N248</f>
        <v>-869.50000000000011</v>
      </c>
      <c r="I249" s="62">
        <f t="shared" ca="1" si="22"/>
        <v>108</v>
      </c>
      <c r="J249" s="62">
        <f t="shared" ca="1" si="23"/>
        <v>108</v>
      </c>
      <c r="M249" s="62">
        <f ca="1">IF(ABS('main page'!$K$29*M248+(1-'main page'!$K$29)*(controls!$B$9/100)*100+'main page'!$K$25*(E249-B249)-M248)&lt;0.0000001,M248,'main page'!$K$29*M248+(1-'main page'!$K$29)*(controls!$B$9/100)*100+'main page'!$K$25*(E249-B249))</f>
        <v>-489.75000000000006</v>
      </c>
      <c r="N249" s="62">
        <f ca="1">IF(controls!$B$10=1,N248,O249-'main page'!$K$29*M249-(1-'main page'!$K$29)*controls!$B$9)</f>
        <v>489.75000000000006</v>
      </c>
      <c r="O249" s="61">
        <f t="shared" ca="1" si="18"/>
        <v>0</v>
      </c>
      <c r="P249" s="63">
        <f ca="1">IF(controls!$B$10=1,hystere!N249+hystere!M249,hystere!Q249)</f>
        <v>-559.23750000000007</v>
      </c>
      <c r="Q249" s="61">
        <f ca="1">IF('main page'!$Y$53=1,'choose m.p.'!$I$22*100,R249)</f>
        <v>-559.23750000000007</v>
      </c>
      <c r="R249" s="83">
        <f ca="1">'main page'!$K$29*M249+(1-'main page'!$K$29)*controls!$B$9+S249+(('main page'!$K$25*'main page'!$U$13*'main page'!$K$29)/('main page'!$K$27*(1+('main page'!$K$25^2)*'main page'!$U$13)))*(M249-(controls!$B$9/100)*100)</f>
        <v>-559.23750000000007</v>
      </c>
      <c r="S249" s="81">
        <f ca="1">IF(controls!$B$33=1,(J250-E249*X250-B249)/'main page'!$K$27,(I250-E249*X250-B249)/'main page'!$K$27)</f>
        <v>53.45</v>
      </c>
      <c r="U249" s="58">
        <f>IF(controls!$B$6=1,$AG$4*(1+('main page'!$K$35/100))^V249-$AG$4*(1+('main page'!$K$35/100))^V248,$AG$4*(1+('main page'!$G$8/100))*(1+('main page'!$K$35/100))^V249-$AG$4*(1+('main page'!$G$8/100))*(1+('main page'!$K$35/100))^V248)</f>
        <v>0</v>
      </c>
      <c r="V249" s="60">
        <v>241</v>
      </c>
      <c r="W249" s="36">
        <f ca="1">'normal case'!AC248</f>
        <v>0</v>
      </c>
      <c r="X249" s="36">
        <f ca="1">'normal case'!AD248</f>
        <v>0</v>
      </c>
      <c r="Y249" s="44">
        <f ca="1">IF(controls!$B$33=1,E249-($J$4-'main page'!$K$27*2)*(1+('main page'!$K$35/100))^A248,E249-$AG$5)</f>
        <v>-99.9</v>
      </c>
      <c r="Z249" s="44">
        <f ca="1">ABS(M249-(controls!$B$9/100)*100)</f>
        <v>491.75000000000006</v>
      </c>
      <c r="AI249" s="36"/>
      <c r="AJ249" s="36"/>
    </row>
    <row r="250" spans="1:36">
      <c r="A250" s="43">
        <v>247</v>
      </c>
      <c r="B250" s="62">
        <f ca="1">IF(controls!$B$6=2,AVERAGE(E246:E249)+B249*W250+hystere!$AG$9,AVERAGE(E246:E249)+B249*W250)</f>
        <v>1.1000000000000001</v>
      </c>
      <c r="C250" s="67">
        <f t="shared" ca="1" si="19"/>
        <v>0</v>
      </c>
      <c r="D250" s="88">
        <f t="shared" ca="1" si="20"/>
        <v>-1</v>
      </c>
      <c r="E250" s="64">
        <f t="shared" ca="1" si="21"/>
        <v>0.1</v>
      </c>
      <c r="F250" s="64">
        <f ca="1">IF('main page'!$K$34=1,hystere!H250,hystere!G250)</f>
        <v>-871.50000000000011</v>
      </c>
      <c r="G250" s="78">
        <f ca="1">I250-'main page'!$K$27*hystere!N249</f>
        <v>-871.50000000000011</v>
      </c>
      <c r="H250" s="62">
        <f ca="1">J250-'main page'!$K$27*N249</f>
        <v>-871.50000000000011</v>
      </c>
      <c r="I250" s="62">
        <f t="shared" ca="1" si="22"/>
        <v>108</v>
      </c>
      <c r="J250" s="62">
        <f t="shared" ca="1" si="23"/>
        <v>108</v>
      </c>
      <c r="M250" s="62">
        <f ca="1">IF(ABS('main page'!$K$29*M249+(1-'main page'!$K$29)*(controls!$B$9/100)*100+'main page'!$K$25*(E250-B250)-M249)&lt;0.0000001,M249,'main page'!$K$29*M249+(1-'main page'!$K$29)*(controls!$B$9/100)*100+'main page'!$K$25*(E250-B250))</f>
        <v>-490.75000000000006</v>
      </c>
      <c r="N250" s="62">
        <f ca="1">IF(controls!$B$10=1,N249,O250-'main page'!$K$29*M250-(1-'main page'!$K$29)*controls!$B$9)</f>
        <v>490.75000000000006</v>
      </c>
      <c r="O250" s="61">
        <f t="shared" ca="1" si="18"/>
        <v>0</v>
      </c>
      <c r="P250" s="63">
        <f ca="1">IF(controls!$B$10=1,hystere!N250+hystere!M250,hystere!Q250)</f>
        <v>-560.48750000000007</v>
      </c>
      <c r="Q250" s="61">
        <f ca="1">IF('main page'!$Y$53=1,'choose m.p.'!$I$22*100,R250)</f>
        <v>-560.48750000000007</v>
      </c>
      <c r="R250" s="83">
        <f ca="1">'main page'!$K$29*M250+(1-'main page'!$K$29)*controls!$B$9+S250+(('main page'!$K$25*'main page'!$U$13*'main page'!$K$29)/('main page'!$K$27*(1+('main page'!$K$25^2)*'main page'!$U$13)))*(M250-(controls!$B$9/100)*100)</f>
        <v>-560.48750000000007</v>
      </c>
      <c r="S250" s="81">
        <f ca="1">IF(controls!$B$33=1,(J251-E250*X251-B250)/'main page'!$K$27,(I251-E250*X251-B250)/'main page'!$K$27)</f>
        <v>53.45</v>
      </c>
      <c r="U250" s="58">
        <f>IF(controls!$B$6=1,$AG$4*(1+('main page'!$K$35/100))^V250-$AG$4*(1+('main page'!$K$35/100))^V249,$AG$4*(1+('main page'!$G$8/100))*(1+('main page'!$K$35/100))^V250-$AG$4*(1+('main page'!$G$8/100))*(1+('main page'!$K$35/100))^V249)</f>
        <v>0</v>
      </c>
      <c r="V250" s="60">
        <v>242</v>
      </c>
      <c r="W250" s="36">
        <f>'normal case'!AC249</f>
        <v>0</v>
      </c>
      <c r="X250" s="36">
        <f>'normal case'!AD249</f>
        <v>0</v>
      </c>
      <c r="Y250" s="44">
        <f ca="1">IF(controls!$B$33=1,E250-($J$4-'main page'!$K$27*2)*(1+('main page'!$K$35/100))^A249,E250-$AG$5)</f>
        <v>-99.9</v>
      </c>
      <c r="Z250" s="44">
        <f ca="1">ABS(M250-(controls!$B$9/100)*100)</f>
        <v>492.75000000000006</v>
      </c>
      <c r="AI250" s="36"/>
      <c r="AJ250" s="36"/>
    </row>
    <row r="251" spans="1:36">
      <c r="A251" s="43">
        <v>248</v>
      </c>
      <c r="B251" s="62">
        <f ca="1">IF(controls!$B$6=2,AVERAGE(E247:E250)+B250*W251+hystere!$AG$9,AVERAGE(E247:E250)+B250*W251)</f>
        <v>1.1000000000000001</v>
      </c>
      <c r="C251" s="67">
        <f t="shared" ca="1" si="19"/>
        <v>0</v>
      </c>
      <c r="D251" s="88">
        <f t="shared" ca="1" si="20"/>
        <v>-1</v>
      </c>
      <c r="E251" s="64">
        <f t="shared" ca="1" si="21"/>
        <v>0.1</v>
      </c>
      <c r="F251" s="64">
        <f ca="1">IF('main page'!$K$34=1,hystere!H251,hystere!G251)</f>
        <v>-873.50000000000011</v>
      </c>
      <c r="G251" s="78">
        <f ca="1">I251-'main page'!$K$27*hystere!N250</f>
        <v>-873.50000000000011</v>
      </c>
      <c r="H251" s="62">
        <f ca="1">J251-'main page'!$K$27*N250</f>
        <v>-873.50000000000011</v>
      </c>
      <c r="I251" s="62">
        <f t="shared" ca="1" si="22"/>
        <v>108</v>
      </c>
      <c r="J251" s="62">
        <f t="shared" ca="1" si="23"/>
        <v>108</v>
      </c>
      <c r="M251" s="62">
        <f ca="1">IF(ABS('main page'!$K$29*M250+(1-'main page'!$K$29)*(controls!$B$9/100)*100+'main page'!$K$25*(E251-B251)-M250)&lt;0.0000001,M250,'main page'!$K$29*M250+(1-'main page'!$K$29)*(controls!$B$9/100)*100+'main page'!$K$25*(E251-B251))</f>
        <v>-491.75000000000006</v>
      </c>
      <c r="N251" s="62">
        <f ca="1">IF(controls!$B$10=1,N250,O251-'main page'!$K$29*M251-(1-'main page'!$K$29)*controls!$B$9)</f>
        <v>491.75000000000006</v>
      </c>
      <c r="O251" s="61">
        <f t="shared" ca="1" si="18"/>
        <v>0</v>
      </c>
      <c r="P251" s="63">
        <f ca="1">IF(controls!$B$10=1,hystere!N251+hystere!M251,hystere!Q251)</f>
        <v>-561.73750000000007</v>
      </c>
      <c r="Q251" s="61">
        <f ca="1">IF('main page'!$Y$53=1,'choose m.p.'!$I$22*100,R251)</f>
        <v>-561.73750000000007</v>
      </c>
      <c r="R251" s="83">
        <f ca="1">'main page'!$K$29*M251+(1-'main page'!$K$29)*controls!$B$9+S251+(('main page'!$K$25*'main page'!$U$13*'main page'!$K$29)/('main page'!$K$27*(1+('main page'!$K$25^2)*'main page'!$U$13)))*(M251-(controls!$B$9/100)*100)</f>
        <v>-561.73750000000007</v>
      </c>
      <c r="S251" s="81">
        <f ca="1">IF(controls!$B$33=1,(J252-E251*X252-B251)/'main page'!$K$27,(I252-E251*X252-B251)/'main page'!$K$27)</f>
        <v>53.45</v>
      </c>
      <c r="U251" s="58">
        <f>IF(controls!$B$6=1,$AG$4*(1+('main page'!$K$35/100))^V251-$AG$4*(1+('main page'!$K$35/100))^V250,$AG$4*(1+('main page'!$G$8/100))*(1+('main page'!$K$35/100))^V251-$AG$4*(1+('main page'!$G$8/100))*(1+('main page'!$K$35/100))^V250)</f>
        <v>0</v>
      </c>
      <c r="V251" s="60">
        <v>243</v>
      </c>
      <c r="W251" s="36">
        <f>'normal case'!AC250</f>
        <v>0</v>
      </c>
      <c r="X251" s="36">
        <f>'normal case'!AD250</f>
        <v>0</v>
      </c>
      <c r="Y251" s="44">
        <f ca="1">IF(controls!$B$33=1,E251-($J$4-'main page'!$K$27*2)*(1+('main page'!$K$35/100))^A250,E251-$AG$5)</f>
        <v>-99.9</v>
      </c>
      <c r="Z251" s="44">
        <f ca="1">ABS(M251-(controls!$B$9/100)*100)</f>
        <v>493.75000000000006</v>
      </c>
      <c r="AI251" s="36"/>
      <c r="AJ251" s="36"/>
    </row>
    <row r="252" spans="1:36">
      <c r="A252" s="43">
        <v>249</v>
      </c>
      <c r="B252" s="62">
        <f ca="1">IF(controls!$B$6=2,AVERAGE(E248:E251)+B251*W252+hystere!$AG$9,AVERAGE(E248:E251)+B251*W252)</f>
        <v>1.1000000000000001</v>
      </c>
      <c r="C252" s="67">
        <f t="shared" ca="1" si="19"/>
        <v>0</v>
      </c>
      <c r="D252" s="88">
        <f t="shared" ca="1" si="20"/>
        <v>-1</v>
      </c>
      <c r="E252" s="64">
        <f t="shared" ca="1" si="21"/>
        <v>0.1</v>
      </c>
      <c r="F252" s="64">
        <f ca="1">IF('main page'!$K$34=1,hystere!H252,hystere!G252)</f>
        <v>-875.50000000000011</v>
      </c>
      <c r="G252" s="78">
        <f ca="1">I252-'main page'!$K$27*hystere!N251</f>
        <v>-875.50000000000011</v>
      </c>
      <c r="H252" s="62">
        <f ca="1">J252-'main page'!$K$27*N251</f>
        <v>-875.50000000000011</v>
      </c>
      <c r="I252" s="62">
        <f t="shared" ca="1" si="22"/>
        <v>108</v>
      </c>
      <c r="J252" s="62">
        <f t="shared" ca="1" si="23"/>
        <v>108</v>
      </c>
      <c r="M252" s="62">
        <f ca="1">IF(ABS('main page'!$K$29*M251+(1-'main page'!$K$29)*(controls!$B$9/100)*100+'main page'!$K$25*(E252-B252)-M251)&lt;0.0000001,M251,'main page'!$K$29*M251+(1-'main page'!$K$29)*(controls!$B$9/100)*100+'main page'!$K$25*(E252-B252))</f>
        <v>-492.75000000000006</v>
      </c>
      <c r="N252" s="62">
        <f ca="1">IF(controls!$B$10=1,N251,O252-'main page'!$K$29*M252-(1-'main page'!$K$29)*controls!$B$9)</f>
        <v>492.75000000000006</v>
      </c>
      <c r="O252" s="61">
        <f t="shared" ca="1" si="18"/>
        <v>0</v>
      </c>
      <c r="P252" s="63">
        <f ca="1">IF(controls!$B$10=1,hystere!N252+hystere!M252,hystere!Q252)</f>
        <v>-562.98750000000007</v>
      </c>
      <c r="Q252" s="61">
        <f ca="1">IF('main page'!$Y$53=1,'choose m.p.'!$I$22*100,R252)</f>
        <v>-562.98750000000007</v>
      </c>
      <c r="R252" s="83">
        <f ca="1">'main page'!$K$29*M252+(1-'main page'!$K$29)*controls!$B$9+S252+(('main page'!$K$25*'main page'!$U$13*'main page'!$K$29)/('main page'!$K$27*(1+('main page'!$K$25^2)*'main page'!$U$13)))*(M252-(controls!$B$9/100)*100)</f>
        <v>-562.98750000000007</v>
      </c>
      <c r="S252" s="81">
        <f ca="1">IF(controls!$B$33=1,(J253-E252*X253-B252)/'main page'!$K$27,(I253-E252*X253-B252)/'main page'!$K$27)</f>
        <v>53.45</v>
      </c>
      <c r="U252" s="58">
        <f>IF(controls!$B$6=1,$AG$4*(1+('main page'!$K$35/100))^V252-$AG$4*(1+('main page'!$K$35/100))^V251,$AG$4*(1+('main page'!$G$8/100))*(1+('main page'!$K$35/100))^V252-$AG$4*(1+('main page'!$G$8/100))*(1+('main page'!$K$35/100))^V251)</f>
        <v>0</v>
      </c>
      <c r="V252" s="60">
        <v>244</v>
      </c>
      <c r="W252" s="36">
        <f ca="1">'normal case'!AC251</f>
        <v>0</v>
      </c>
      <c r="X252" s="36">
        <f ca="1">'normal case'!AD251</f>
        <v>0</v>
      </c>
      <c r="Y252" s="44">
        <f ca="1">IF(controls!$B$33=1,E252-($J$4-'main page'!$K$27*2)*(1+('main page'!$K$35/100))^A251,E252-$AG$5)</f>
        <v>-99.9</v>
      </c>
      <c r="Z252" s="44">
        <f ca="1">ABS(M252-(controls!$B$9/100)*100)</f>
        <v>494.75000000000006</v>
      </c>
      <c r="AI252" s="36"/>
      <c r="AJ252" s="36"/>
    </row>
    <row r="253" spans="1:36">
      <c r="A253" s="43">
        <v>250</v>
      </c>
      <c r="B253" s="62">
        <f ca="1">IF(controls!$B$6=2,AVERAGE(E249:E252)+B252*W253+hystere!$AG$9,AVERAGE(E249:E252)+B252*W253)</f>
        <v>1.1000000000000001</v>
      </c>
      <c r="C253" s="67">
        <f t="shared" ca="1" si="19"/>
        <v>0</v>
      </c>
      <c r="D253" s="88">
        <f t="shared" ca="1" si="20"/>
        <v>-1</v>
      </c>
      <c r="E253" s="64">
        <f t="shared" ca="1" si="21"/>
        <v>0.1</v>
      </c>
      <c r="F253" s="64">
        <f ca="1">IF('main page'!$K$34=1,hystere!H253,hystere!G253)</f>
        <v>-877.50000000000011</v>
      </c>
      <c r="G253" s="78">
        <f ca="1">I253-'main page'!$K$27*hystere!N252</f>
        <v>-877.50000000000011</v>
      </c>
      <c r="H253" s="62">
        <f ca="1">J253-'main page'!$K$27*N252</f>
        <v>-877.50000000000011</v>
      </c>
      <c r="I253" s="62">
        <f t="shared" ca="1" si="22"/>
        <v>108</v>
      </c>
      <c r="J253" s="62">
        <f t="shared" ca="1" si="23"/>
        <v>108</v>
      </c>
      <c r="M253" s="62">
        <f ca="1">IF(ABS('main page'!$K$29*M252+(1-'main page'!$K$29)*(controls!$B$9/100)*100+'main page'!$K$25*(E253-B253)-M252)&lt;0.0000001,M252,'main page'!$K$29*M252+(1-'main page'!$K$29)*(controls!$B$9/100)*100+'main page'!$K$25*(E253-B253))</f>
        <v>-493.75000000000006</v>
      </c>
      <c r="N253" s="62">
        <f ca="1">IF(controls!$B$10=1,N252,O253-'main page'!$K$29*M253-(1-'main page'!$K$29)*controls!$B$9)</f>
        <v>493.75000000000006</v>
      </c>
      <c r="O253" s="61">
        <f t="shared" ca="1" si="18"/>
        <v>0</v>
      </c>
      <c r="P253" s="63">
        <f ca="1">IF(controls!$B$10=1,hystere!N253+hystere!M253,hystere!Q253)</f>
        <v>-564.23750000000007</v>
      </c>
      <c r="Q253" s="61">
        <f ca="1">IF('main page'!$Y$53=1,'choose m.p.'!$I$22*100,R253)</f>
        <v>-564.23750000000007</v>
      </c>
      <c r="R253" s="83">
        <f ca="1">'main page'!$K$29*M253+(1-'main page'!$K$29)*controls!$B$9+S253+(('main page'!$K$25*'main page'!$U$13*'main page'!$K$29)/('main page'!$K$27*(1+('main page'!$K$25^2)*'main page'!$U$13)))*(M253-(controls!$B$9/100)*100)</f>
        <v>-564.23750000000007</v>
      </c>
      <c r="S253" s="81">
        <f ca="1">IF(controls!$B$33=1,(J254-E253*X254-B253)/'main page'!$K$27,(I254-E253*X254-B253)/'main page'!$K$27)</f>
        <v>53.45</v>
      </c>
      <c r="U253" s="58">
        <f>IF(controls!$B$6=1,$AG$4*(1+('main page'!$K$35/100))^V253-$AG$4*(1+('main page'!$K$35/100))^V252,$AG$4*(1+('main page'!$G$8/100))*(1+('main page'!$K$35/100))^V253-$AG$4*(1+('main page'!$G$8/100))*(1+('main page'!$K$35/100))^V252)</f>
        <v>0</v>
      </c>
      <c r="V253" s="60">
        <v>245</v>
      </c>
      <c r="W253" s="36">
        <f>'normal case'!AC252</f>
        <v>0</v>
      </c>
      <c r="X253" s="36">
        <f>'normal case'!AD252</f>
        <v>0</v>
      </c>
      <c r="Y253" s="44">
        <f ca="1">IF(controls!$B$33=1,E253-($J$4-'main page'!$K$27*2)*(1+('main page'!$K$35/100))^A252,E253-$AG$5)</f>
        <v>-99.9</v>
      </c>
      <c r="Z253" s="44">
        <f ca="1">ABS(M253-(controls!$B$9/100)*100)</f>
        <v>495.75000000000006</v>
      </c>
      <c r="AI253" s="36"/>
      <c r="AJ253" s="36"/>
    </row>
    <row r="254" spans="1:36">
      <c r="A254" s="43">
        <v>251</v>
      </c>
      <c r="B254" s="62">
        <f ca="1">IF(controls!$B$6=2,AVERAGE(E250:E253)+B253*W254+hystere!$AG$9,AVERAGE(E250:E253)+B253*W254)</f>
        <v>1.1000000000000001</v>
      </c>
      <c r="C254" s="67">
        <f t="shared" ca="1" si="19"/>
        <v>0</v>
      </c>
      <c r="D254" s="88">
        <f t="shared" ca="1" si="20"/>
        <v>-1</v>
      </c>
      <c r="E254" s="64">
        <f t="shared" ca="1" si="21"/>
        <v>0.1</v>
      </c>
      <c r="F254" s="64">
        <f ca="1">IF('main page'!$K$34=1,hystere!H254,hystere!G254)</f>
        <v>-879.50000000000011</v>
      </c>
      <c r="G254" s="78">
        <f ca="1">I254-'main page'!$K$27*hystere!N253</f>
        <v>-879.50000000000011</v>
      </c>
      <c r="H254" s="62">
        <f ca="1">J254-'main page'!$K$27*N253</f>
        <v>-879.50000000000011</v>
      </c>
      <c r="I254" s="62">
        <f t="shared" ca="1" si="22"/>
        <v>108</v>
      </c>
      <c r="J254" s="62">
        <f t="shared" ca="1" si="23"/>
        <v>108</v>
      </c>
      <c r="M254" s="62">
        <f ca="1">IF(ABS('main page'!$K$29*M253+(1-'main page'!$K$29)*(controls!$B$9/100)*100+'main page'!$K$25*(E254-B254)-M253)&lt;0.0000001,M253,'main page'!$K$29*M253+(1-'main page'!$K$29)*(controls!$B$9/100)*100+'main page'!$K$25*(E254-B254))</f>
        <v>-494.75000000000006</v>
      </c>
      <c r="N254" s="62">
        <f ca="1">IF(controls!$B$10=1,N253,O254-'main page'!$K$29*M254-(1-'main page'!$K$29)*controls!$B$9)</f>
        <v>494.75000000000006</v>
      </c>
      <c r="O254" s="61">
        <f t="shared" ca="1" si="18"/>
        <v>0</v>
      </c>
      <c r="P254" s="63">
        <f ca="1">IF(controls!$B$10=1,hystere!N254+hystere!M254,hystere!Q254)</f>
        <v>-565.48750000000007</v>
      </c>
      <c r="Q254" s="61">
        <f ca="1">IF('main page'!$Y$53=1,'choose m.p.'!$I$22*100,R254)</f>
        <v>-565.48750000000007</v>
      </c>
      <c r="R254" s="83">
        <f ca="1">'main page'!$K$29*M254+(1-'main page'!$K$29)*controls!$B$9+S254+(('main page'!$K$25*'main page'!$U$13*'main page'!$K$29)/('main page'!$K$27*(1+('main page'!$K$25^2)*'main page'!$U$13)))*(M254-(controls!$B$9/100)*100)</f>
        <v>-565.48750000000007</v>
      </c>
      <c r="S254" s="81">
        <f ca="1">IF(controls!$B$33=1,(J255-E254*X255-B254)/'main page'!$K$27,(I255-E254*X255-B254)/'main page'!$K$27)</f>
        <v>53.45</v>
      </c>
      <c r="U254" s="58">
        <f>IF(controls!$B$6=1,$AG$4*(1+('main page'!$K$35/100))^V254-$AG$4*(1+('main page'!$K$35/100))^V253,$AG$4*(1+('main page'!$G$8/100))*(1+('main page'!$K$35/100))^V254-$AG$4*(1+('main page'!$G$8/100))*(1+('main page'!$K$35/100))^V253)</f>
        <v>0</v>
      </c>
      <c r="V254" s="60">
        <v>246</v>
      </c>
      <c r="W254" s="36">
        <f>'normal case'!AC253</f>
        <v>0</v>
      </c>
      <c r="X254" s="36">
        <f>'normal case'!AD253</f>
        <v>0</v>
      </c>
      <c r="Y254" s="44">
        <f ca="1">IF(controls!$B$33=1,E254-($J$4-'main page'!$K$27*2)*(1+('main page'!$K$35/100))^A253,E254-$AG$5)</f>
        <v>-99.9</v>
      </c>
      <c r="Z254" s="44">
        <f ca="1">ABS(M254-(controls!$B$9/100)*100)</f>
        <v>496.75000000000006</v>
      </c>
      <c r="AI254" s="36"/>
      <c r="AJ254" s="36"/>
    </row>
    <row r="255" spans="1:36">
      <c r="A255" s="43">
        <v>252</v>
      </c>
      <c r="B255" s="62">
        <f ca="1">IF(controls!$B$6=2,AVERAGE(E251:E254)+B254*W255+hystere!$AG$9,AVERAGE(E251:E254)+B254*W255)</f>
        <v>1.1000000000000001</v>
      </c>
      <c r="C255" s="67">
        <f t="shared" ca="1" si="19"/>
        <v>0</v>
      </c>
      <c r="D255" s="88">
        <f t="shared" ca="1" si="20"/>
        <v>-1</v>
      </c>
      <c r="E255" s="64">
        <f t="shared" ca="1" si="21"/>
        <v>0.1</v>
      </c>
      <c r="F255" s="64">
        <f ca="1">IF('main page'!$K$34=1,hystere!H255,hystere!G255)</f>
        <v>-881.50000000000011</v>
      </c>
      <c r="G255" s="78">
        <f ca="1">I255-'main page'!$K$27*hystere!N254</f>
        <v>-881.50000000000011</v>
      </c>
      <c r="H255" s="62">
        <f ca="1">J255-'main page'!$K$27*N254</f>
        <v>-881.50000000000011</v>
      </c>
      <c r="I255" s="62">
        <f t="shared" ca="1" si="22"/>
        <v>108</v>
      </c>
      <c r="J255" s="62">
        <f t="shared" ca="1" si="23"/>
        <v>108</v>
      </c>
      <c r="M255" s="62">
        <f ca="1">IF(ABS('main page'!$K$29*M254+(1-'main page'!$K$29)*(controls!$B$9/100)*100+'main page'!$K$25*(E255-B255)-M254)&lt;0.0000001,M254,'main page'!$K$29*M254+(1-'main page'!$K$29)*(controls!$B$9/100)*100+'main page'!$K$25*(E255-B255))</f>
        <v>-495.75000000000006</v>
      </c>
      <c r="N255" s="62">
        <f ca="1">IF(controls!$B$10=1,N254,O255-'main page'!$K$29*M255-(1-'main page'!$K$29)*controls!$B$9)</f>
        <v>495.75000000000006</v>
      </c>
      <c r="O255" s="61">
        <f t="shared" ca="1" si="18"/>
        <v>0</v>
      </c>
      <c r="P255" s="63">
        <f ca="1">IF(controls!$B$10=1,hystere!N255+hystere!M255,hystere!Q255)</f>
        <v>-566.73750000000007</v>
      </c>
      <c r="Q255" s="61">
        <f ca="1">IF('main page'!$Y$53=1,'choose m.p.'!$I$22*100,R255)</f>
        <v>-566.73750000000007</v>
      </c>
      <c r="R255" s="83">
        <f ca="1">'main page'!$K$29*M255+(1-'main page'!$K$29)*controls!$B$9+S255+(('main page'!$K$25*'main page'!$U$13*'main page'!$K$29)/('main page'!$K$27*(1+('main page'!$K$25^2)*'main page'!$U$13)))*(M255-(controls!$B$9/100)*100)</f>
        <v>-566.73750000000007</v>
      </c>
      <c r="S255" s="81">
        <f ca="1">IF(controls!$B$33=1,(J256-E255*X256-B255)/'main page'!$K$27,(I256-E255*X256-B255)/'main page'!$K$27)</f>
        <v>53.45</v>
      </c>
      <c r="U255" s="58">
        <f>IF(controls!$B$6=1,$AG$4*(1+('main page'!$K$35/100))^V255-$AG$4*(1+('main page'!$K$35/100))^V254,$AG$4*(1+('main page'!$G$8/100))*(1+('main page'!$K$35/100))^V255-$AG$4*(1+('main page'!$G$8/100))*(1+('main page'!$K$35/100))^V254)</f>
        <v>0</v>
      </c>
      <c r="V255" s="60">
        <v>247</v>
      </c>
      <c r="W255" s="36">
        <f ca="1">'normal case'!AC254</f>
        <v>0</v>
      </c>
      <c r="X255" s="36">
        <f ca="1">'normal case'!AD254</f>
        <v>0</v>
      </c>
      <c r="Y255" s="44">
        <f ca="1">IF(controls!$B$33=1,E255-($J$4-'main page'!$K$27*2)*(1+('main page'!$K$35/100))^A254,E255-$AG$5)</f>
        <v>-99.9</v>
      </c>
      <c r="Z255" s="44">
        <f ca="1">ABS(M255-(controls!$B$9/100)*100)</f>
        <v>497.75000000000006</v>
      </c>
      <c r="AI255" s="36"/>
      <c r="AJ255" s="36"/>
    </row>
    <row r="256" spans="1:36">
      <c r="A256" s="43">
        <v>253</v>
      </c>
      <c r="B256" s="62">
        <f ca="1">IF(controls!$B$6=2,AVERAGE(E252:E255)+B255*W256+hystere!$AG$9,AVERAGE(E252:E255)+B255*W256)</f>
        <v>1.1000000000000001</v>
      </c>
      <c r="C256" s="67">
        <f t="shared" ca="1" si="19"/>
        <v>0</v>
      </c>
      <c r="D256" s="88">
        <f t="shared" ca="1" si="20"/>
        <v>-1</v>
      </c>
      <c r="E256" s="64">
        <f t="shared" ca="1" si="21"/>
        <v>0.1</v>
      </c>
      <c r="F256" s="64">
        <f ca="1">IF('main page'!$K$34=1,hystere!H256,hystere!G256)</f>
        <v>-883.50000000000011</v>
      </c>
      <c r="G256" s="78">
        <f ca="1">I256-'main page'!$K$27*hystere!N255</f>
        <v>-883.50000000000011</v>
      </c>
      <c r="H256" s="62">
        <f ca="1">J256-'main page'!$K$27*N255</f>
        <v>-883.50000000000011</v>
      </c>
      <c r="I256" s="62">
        <f t="shared" ca="1" si="22"/>
        <v>108</v>
      </c>
      <c r="J256" s="62">
        <f t="shared" ca="1" si="23"/>
        <v>108</v>
      </c>
      <c r="M256" s="62">
        <f ca="1">IF(ABS('main page'!$K$29*M255+(1-'main page'!$K$29)*(controls!$B$9/100)*100+'main page'!$K$25*(E256-B256)-M255)&lt;0.0000001,M255,'main page'!$K$29*M255+(1-'main page'!$K$29)*(controls!$B$9/100)*100+'main page'!$K$25*(E256-B256))</f>
        <v>-496.75000000000006</v>
      </c>
      <c r="N256" s="62">
        <f ca="1">IF(controls!$B$10=1,N255,O256-'main page'!$K$29*M256-(1-'main page'!$K$29)*controls!$B$9)</f>
        <v>496.75000000000006</v>
      </c>
      <c r="O256" s="61">
        <f t="shared" ca="1" si="18"/>
        <v>0</v>
      </c>
      <c r="P256" s="63">
        <f ca="1">IF(controls!$B$10=1,hystere!N256+hystere!M256,hystere!Q256)</f>
        <v>-567.98750000000007</v>
      </c>
      <c r="Q256" s="61">
        <f ca="1">IF('main page'!$Y$53=1,'choose m.p.'!$I$22*100,R256)</f>
        <v>-567.98750000000007</v>
      </c>
      <c r="R256" s="83">
        <f ca="1">'main page'!$K$29*M256+(1-'main page'!$K$29)*controls!$B$9+S256+(('main page'!$K$25*'main page'!$U$13*'main page'!$K$29)/('main page'!$K$27*(1+('main page'!$K$25^2)*'main page'!$U$13)))*(M256-(controls!$B$9/100)*100)</f>
        <v>-567.98750000000007</v>
      </c>
      <c r="S256" s="81">
        <f ca="1">IF(controls!$B$33=1,(J257-E256*X257-B256)/'main page'!$K$27,(I257-E256*X257-B256)/'main page'!$K$27)</f>
        <v>53.45</v>
      </c>
      <c r="U256" s="58">
        <f>IF(controls!$B$6=1,$AG$4*(1+('main page'!$K$35/100))^V256-$AG$4*(1+('main page'!$K$35/100))^V255,$AG$4*(1+('main page'!$G$8/100))*(1+('main page'!$K$35/100))^V256-$AG$4*(1+('main page'!$G$8/100))*(1+('main page'!$K$35/100))^V255)</f>
        <v>0</v>
      </c>
      <c r="V256" s="60">
        <v>248</v>
      </c>
      <c r="W256" s="36">
        <f>'normal case'!AC255</f>
        <v>0</v>
      </c>
      <c r="X256" s="36">
        <f>'normal case'!AD255</f>
        <v>0</v>
      </c>
      <c r="Y256" s="44">
        <f ca="1">IF(controls!$B$33=1,E256-($J$4-'main page'!$K$27*2)*(1+('main page'!$K$35/100))^A255,E256-$AG$5)</f>
        <v>-99.9</v>
      </c>
      <c r="Z256" s="44">
        <f ca="1">ABS(M256-(controls!$B$9/100)*100)</f>
        <v>498.75000000000006</v>
      </c>
      <c r="AI256" s="36"/>
      <c r="AJ256" s="36"/>
    </row>
    <row r="257" spans="1:36">
      <c r="A257" s="43">
        <v>254</v>
      </c>
      <c r="B257" s="62">
        <f ca="1">IF(controls!$B$6=2,AVERAGE(E253:E256)+B256*W257+hystere!$AG$9,AVERAGE(E253:E256)+B256*W257)</f>
        <v>1.1000000000000001</v>
      </c>
      <c r="C257" s="67">
        <f t="shared" ca="1" si="19"/>
        <v>0</v>
      </c>
      <c r="D257" s="88">
        <f t="shared" ca="1" si="20"/>
        <v>-1</v>
      </c>
      <c r="E257" s="64">
        <f t="shared" ca="1" si="21"/>
        <v>0.1</v>
      </c>
      <c r="F257" s="64">
        <f ca="1">IF('main page'!$K$34=1,hystere!H257,hystere!G257)</f>
        <v>-885.50000000000011</v>
      </c>
      <c r="G257" s="78">
        <f ca="1">I257-'main page'!$K$27*hystere!N256</f>
        <v>-885.50000000000011</v>
      </c>
      <c r="H257" s="62">
        <f ca="1">J257-'main page'!$K$27*N256</f>
        <v>-885.50000000000011</v>
      </c>
      <c r="I257" s="62">
        <f t="shared" ca="1" si="22"/>
        <v>108</v>
      </c>
      <c r="J257" s="62">
        <f t="shared" ca="1" si="23"/>
        <v>108</v>
      </c>
      <c r="M257" s="62">
        <f ca="1">IF(ABS('main page'!$K$29*M256+(1-'main page'!$K$29)*(controls!$B$9/100)*100+'main page'!$K$25*(E257-B257)-M256)&lt;0.0000001,M256,'main page'!$K$29*M256+(1-'main page'!$K$29)*(controls!$B$9/100)*100+'main page'!$K$25*(E257-B257))</f>
        <v>-497.75000000000006</v>
      </c>
      <c r="N257" s="62">
        <f ca="1">IF(controls!$B$10=1,N256,O257-'main page'!$K$29*M257-(1-'main page'!$K$29)*controls!$B$9)</f>
        <v>497.75000000000006</v>
      </c>
      <c r="O257" s="61">
        <f t="shared" ca="1" si="18"/>
        <v>0</v>
      </c>
      <c r="P257" s="63">
        <f ca="1">IF(controls!$B$10=1,hystere!N257+hystere!M257,hystere!Q257)</f>
        <v>-569.23750000000007</v>
      </c>
      <c r="Q257" s="61">
        <f ca="1">IF('main page'!$Y$53=1,'choose m.p.'!$I$22*100,R257)</f>
        <v>-569.23750000000007</v>
      </c>
      <c r="R257" s="83">
        <f ca="1">'main page'!$K$29*M257+(1-'main page'!$K$29)*controls!$B$9+S257+(('main page'!$K$25*'main page'!$U$13*'main page'!$K$29)/('main page'!$K$27*(1+('main page'!$K$25^2)*'main page'!$U$13)))*(M257-(controls!$B$9/100)*100)</f>
        <v>-569.23750000000007</v>
      </c>
      <c r="S257" s="81">
        <f ca="1">IF(controls!$B$33=1,(J258-E257*X258-B257)/'main page'!$K$27,(I258-E257*X258-B257)/'main page'!$K$27)</f>
        <v>53.45</v>
      </c>
      <c r="U257" s="58">
        <f>IF(controls!$B$6=1,$AG$4*(1+('main page'!$K$35/100))^V257-$AG$4*(1+('main page'!$K$35/100))^V256,$AG$4*(1+('main page'!$G$8/100))*(1+('main page'!$K$35/100))^V257-$AG$4*(1+('main page'!$G$8/100))*(1+('main page'!$K$35/100))^V256)</f>
        <v>0</v>
      </c>
      <c r="V257" s="60">
        <v>249</v>
      </c>
      <c r="W257" s="36">
        <f>'normal case'!AC256</f>
        <v>0</v>
      </c>
      <c r="X257" s="36">
        <f>'normal case'!AD256</f>
        <v>0</v>
      </c>
      <c r="Y257" s="44">
        <f ca="1">IF(controls!$B$33=1,E257-($J$4-'main page'!$K$27*2)*(1+('main page'!$K$35/100))^A256,E257-$AG$5)</f>
        <v>-99.9</v>
      </c>
      <c r="Z257" s="44">
        <f ca="1">ABS(M257-(controls!$B$9/100)*100)</f>
        <v>499.75000000000006</v>
      </c>
      <c r="AI257" s="36"/>
      <c r="AJ257" s="36"/>
    </row>
    <row r="258" spans="1:36">
      <c r="A258" s="43">
        <v>255</v>
      </c>
      <c r="B258" s="62">
        <f ca="1">IF(controls!$B$6=2,AVERAGE(E254:E257)+B257*W258+hystere!$AG$9,AVERAGE(E254:E257)+B257*W258)</f>
        <v>1.1000000000000001</v>
      </c>
      <c r="C258" s="67">
        <f t="shared" ca="1" si="19"/>
        <v>0</v>
      </c>
      <c r="D258" s="88">
        <f t="shared" ca="1" si="20"/>
        <v>-1</v>
      </c>
      <c r="E258" s="64">
        <f t="shared" ca="1" si="21"/>
        <v>0.1</v>
      </c>
      <c r="F258" s="64">
        <f ca="1">IF('main page'!$K$34=1,hystere!H258,hystere!G258)</f>
        <v>-887.50000000000011</v>
      </c>
      <c r="G258" s="78">
        <f ca="1">I258-'main page'!$K$27*hystere!N257</f>
        <v>-887.50000000000011</v>
      </c>
      <c r="H258" s="62">
        <f ca="1">J258-'main page'!$K$27*N257</f>
        <v>-887.50000000000011</v>
      </c>
      <c r="I258" s="62">
        <f t="shared" ca="1" si="22"/>
        <v>108</v>
      </c>
      <c r="J258" s="62">
        <f t="shared" ca="1" si="23"/>
        <v>108</v>
      </c>
      <c r="M258" s="62">
        <f ca="1">IF(ABS('main page'!$K$29*M257+(1-'main page'!$K$29)*(controls!$B$9/100)*100+'main page'!$K$25*(E258-B258)-M257)&lt;0.0000001,M257,'main page'!$K$29*M257+(1-'main page'!$K$29)*(controls!$B$9/100)*100+'main page'!$K$25*(E258-B258))</f>
        <v>-498.75000000000006</v>
      </c>
      <c r="N258" s="62">
        <f ca="1">IF(controls!$B$10=1,N257,O258-'main page'!$K$29*M258-(1-'main page'!$K$29)*controls!$B$9)</f>
        <v>498.75000000000006</v>
      </c>
      <c r="O258" s="61">
        <f t="shared" ca="1" si="18"/>
        <v>0</v>
      </c>
      <c r="P258" s="63">
        <f ca="1">IF(controls!$B$10=1,hystere!N258+hystere!M258,hystere!Q258)</f>
        <v>-570.48750000000007</v>
      </c>
      <c r="Q258" s="61">
        <f ca="1">IF('main page'!$Y$53=1,'choose m.p.'!$I$22*100,R258)</f>
        <v>-570.48750000000007</v>
      </c>
      <c r="R258" s="83">
        <f ca="1">'main page'!$K$29*M258+(1-'main page'!$K$29)*controls!$B$9+S258+(('main page'!$K$25*'main page'!$U$13*'main page'!$K$29)/('main page'!$K$27*(1+('main page'!$K$25^2)*'main page'!$U$13)))*(M258-(controls!$B$9/100)*100)</f>
        <v>-570.48750000000007</v>
      </c>
      <c r="S258" s="81">
        <f ca="1">IF(controls!$B$33=1,(J259-E258*X259-B258)/'main page'!$K$27,(I259-E258*X259-B258)/'main page'!$K$27)</f>
        <v>53.45</v>
      </c>
      <c r="U258" s="58">
        <f>IF(controls!$B$6=1,$AG$4*(1+('main page'!$K$35/100))^V258-$AG$4*(1+('main page'!$K$35/100))^V257,$AG$4*(1+('main page'!$G$8/100))*(1+('main page'!$K$35/100))^V258-$AG$4*(1+('main page'!$G$8/100))*(1+('main page'!$K$35/100))^V257)</f>
        <v>0</v>
      </c>
      <c r="V258" s="60">
        <v>250</v>
      </c>
      <c r="W258" s="36">
        <f ca="1">'normal case'!AC257</f>
        <v>0</v>
      </c>
      <c r="X258" s="36">
        <f ca="1">'normal case'!AD257</f>
        <v>0</v>
      </c>
      <c r="Y258" s="44">
        <f ca="1">IF(controls!$B$33=1,E258-($J$4-'main page'!$K$27*2)*(1+('main page'!$K$35/100))^A257,E258-$AG$5)</f>
        <v>-99.9</v>
      </c>
      <c r="Z258" s="44">
        <f ca="1">ABS(M258-(controls!$B$9/100)*100)</f>
        <v>500.75000000000006</v>
      </c>
      <c r="AI258" s="36"/>
      <c r="AJ258" s="36"/>
    </row>
    <row r="259" spans="1:36">
      <c r="A259" s="43">
        <v>256</v>
      </c>
      <c r="B259" s="62">
        <f ca="1">IF(controls!$B$6=2,AVERAGE(E255:E258)+B258*W259+hystere!$AG$9,AVERAGE(E255:E258)+B258*W259)</f>
        <v>1.1000000000000001</v>
      </c>
      <c r="C259" s="67">
        <f t="shared" ca="1" si="19"/>
        <v>0</v>
      </c>
      <c r="D259" s="88">
        <f t="shared" ca="1" si="20"/>
        <v>-1</v>
      </c>
      <c r="E259" s="64">
        <f t="shared" ca="1" si="21"/>
        <v>0.1</v>
      </c>
      <c r="F259" s="64">
        <f ca="1">IF('main page'!$K$34=1,hystere!H259,hystere!G259)</f>
        <v>-889.50000000000011</v>
      </c>
      <c r="G259" s="78">
        <f ca="1">I259-'main page'!$K$27*hystere!N258</f>
        <v>-889.50000000000011</v>
      </c>
      <c r="H259" s="62">
        <f ca="1">J259-'main page'!$K$27*N258</f>
        <v>-889.50000000000011</v>
      </c>
      <c r="I259" s="62">
        <f t="shared" ca="1" si="22"/>
        <v>108</v>
      </c>
      <c r="J259" s="62">
        <f t="shared" ca="1" si="23"/>
        <v>108</v>
      </c>
      <c r="M259" s="62">
        <f ca="1">IF(ABS('main page'!$K$29*M258+(1-'main page'!$K$29)*(controls!$B$9/100)*100+'main page'!$K$25*(E259-B259)-M258)&lt;0.0000001,M258,'main page'!$K$29*M258+(1-'main page'!$K$29)*(controls!$B$9/100)*100+'main page'!$K$25*(E259-B259))</f>
        <v>-499.75000000000006</v>
      </c>
      <c r="N259" s="62">
        <f ca="1">IF(controls!$B$10=1,N258,O259-'main page'!$K$29*M259-(1-'main page'!$K$29)*controls!$B$9)</f>
        <v>499.75000000000006</v>
      </c>
      <c r="O259" s="61">
        <f t="shared" ca="1" si="18"/>
        <v>0</v>
      </c>
      <c r="P259" s="63">
        <f ca="1">IF(controls!$B$10=1,hystere!N259+hystere!M259,hystere!Q259)</f>
        <v>-571.73750000000007</v>
      </c>
      <c r="Q259" s="61">
        <f ca="1">IF('main page'!$Y$53=1,'choose m.p.'!$I$22*100,R259)</f>
        <v>-571.73750000000007</v>
      </c>
      <c r="R259" s="83">
        <f ca="1">'main page'!$K$29*M259+(1-'main page'!$K$29)*controls!$B$9+S259+(('main page'!$K$25*'main page'!$U$13*'main page'!$K$29)/('main page'!$K$27*(1+('main page'!$K$25^2)*'main page'!$U$13)))*(M259-(controls!$B$9/100)*100)</f>
        <v>-571.73750000000007</v>
      </c>
      <c r="S259" s="81">
        <f ca="1">IF(controls!$B$33=1,(J260-E259*X260-B259)/'main page'!$K$27,(I260-E259*X260-B259)/'main page'!$K$27)</f>
        <v>53.45</v>
      </c>
      <c r="U259" s="58">
        <f>IF(controls!$B$6=1,$AG$4*(1+('main page'!$K$35/100))^V259-$AG$4*(1+('main page'!$K$35/100))^V258,$AG$4*(1+('main page'!$G$8/100))*(1+('main page'!$K$35/100))^V259-$AG$4*(1+('main page'!$G$8/100))*(1+('main page'!$K$35/100))^V258)</f>
        <v>0</v>
      </c>
      <c r="V259" s="60">
        <v>251</v>
      </c>
      <c r="W259" s="36">
        <f>'normal case'!AC258</f>
        <v>0</v>
      </c>
      <c r="X259" s="36">
        <f>'normal case'!AD258</f>
        <v>0</v>
      </c>
      <c r="Y259" s="44">
        <f ca="1">IF(controls!$B$33=1,E259-($J$4-'main page'!$K$27*2)*(1+('main page'!$K$35/100))^A258,E259-$AG$5)</f>
        <v>-99.9</v>
      </c>
      <c r="Z259" s="44">
        <f ca="1">ABS(M259-(controls!$B$9/100)*100)</f>
        <v>501.75000000000006</v>
      </c>
      <c r="AI259" s="36"/>
      <c r="AJ259" s="36"/>
    </row>
    <row r="260" spans="1:36">
      <c r="A260" s="43">
        <v>257</v>
      </c>
      <c r="B260" s="62">
        <f ca="1">IF(controls!$B$6=2,AVERAGE(E256:E259)+B259*W260+hystere!$AG$9,AVERAGE(E256:E259)+B259*W260)</f>
        <v>1.1000000000000001</v>
      </c>
      <c r="C260" s="67">
        <f t="shared" ca="1" si="19"/>
        <v>0</v>
      </c>
      <c r="D260" s="88">
        <f t="shared" ca="1" si="20"/>
        <v>-1</v>
      </c>
      <c r="E260" s="64">
        <f t="shared" ca="1" si="21"/>
        <v>0.1</v>
      </c>
      <c r="F260" s="64">
        <f ca="1">IF('main page'!$K$34=1,hystere!H260,hystere!G260)</f>
        <v>-891.50000000000011</v>
      </c>
      <c r="G260" s="78">
        <f ca="1">I260-'main page'!$K$27*hystere!N259</f>
        <v>-891.50000000000011</v>
      </c>
      <c r="H260" s="62">
        <f ca="1">J260-'main page'!$K$27*N259</f>
        <v>-891.50000000000011</v>
      </c>
      <c r="I260" s="62">
        <f t="shared" ca="1" si="22"/>
        <v>108</v>
      </c>
      <c r="J260" s="62">
        <f t="shared" ca="1" si="23"/>
        <v>108</v>
      </c>
      <c r="M260" s="62">
        <f ca="1">IF(ABS('main page'!$K$29*M259+(1-'main page'!$K$29)*(controls!$B$9/100)*100+'main page'!$K$25*(E260-B260)-M259)&lt;0.0000001,M259,'main page'!$K$29*M259+(1-'main page'!$K$29)*(controls!$B$9/100)*100+'main page'!$K$25*(E260-B260))</f>
        <v>-500.75000000000006</v>
      </c>
      <c r="N260" s="62">
        <f ca="1">IF(controls!$B$10=1,N259,O260-'main page'!$K$29*M260-(1-'main page'!$K$29)*controls!$B$9)</f>
        <v>500.75000000000006</v>
      </c>
      <c r="O260" s="61">
        <f t="shared" ref="O260:O323" ca="1" si="24">IF(P260&lt;0,0,P260)</f>
        <v>0</v>
      </c>
      <c r="P260" s="63">
        <f ca="1">IF(controls!$B$10=1,hystere!N260+hystere!M260,hystere!Q260)</f>
        <v>-572.98750000000007</v>
      </c>
      <c r="Q260" s="61">
        <f ca="1">IF('main page'!$Y$53=1,'choose m.p.'!$I$22*100,R260)</f>
        <v>-572.98750000000007</v>
      </c>
      <c r="R260" s="83">
        <f ca="1">'main page'!$K$29*M260+(1-'main page'!$K$29)*controls!$B$9+S260+(('main page'!$K$25*'main page'!$U$13*'main page'!$K$29)/('main page'!$K$27*(1+('main page'!$K$25^2)*'main page'!$U$13)))*(M260-(controls!$B$9/100)*100)</f>
        <v>-572.98750000000007</v>
      </c>
      <c r="S260" s="81">
        <f ca="1">IF(controls!$B$33=1,(J261-E260*X261-B260)/'main page'!$K$27,(I261-E260*X261-B260)/'main page'!$K$27)</f>
        <v>53.45</v>
      </c>
      <c r="U260" s="58">
        <f>IF(controls!$B$6=1,$AG$4*(1+('main page'!$K$35/100))^V260-$AG$4*(1+('main page'!$K$35/100))^V259,$AG$4*(1+('main page'!$G$8/100))*(1+('main page'!$K$35/100))^V260-$AG$4*(1+('main page'!$G$8/100))*(1+('main page'!$K$35/100))^V259)</f>
        <v>0</v>
      </c>
      <c r="V260" s="60">
        <v>252</v>
      </c>
      <c r="W260" s="36">
        <f>'normal case'!AC259</f>
        <v>0</v>
      </c>
      <c r="X260" s="36">
        <f>'normal case'!AD259</f>
        <v>0</v>
      </c>
      <c r="Y260" s="44">
        <f ca="1">IF(controls!$B$33=1,E260-($J$4-'main page'!$K$27*2)*(1+('main page'!$K$35/100))^A259,E260-$AG$5)</f>
        <v>-99.9</v>
      </c>
      <c r="Z260" s="44">
        <f ca="1">ABS(M260-(controls!$B$9/100)*100)</f>
        <v>502.75000000000006</v>
      </c>
      <c r="AI260" s="36"/>
      <c r="AJ260" s="36"/>
    </row>
    <row r="261" spans="1:36">
      <c r="A261" s="43">
        <v>258</v>
      </c>
      <c r="B261" s="62">
        <f ca="1">IF(controls!$B$6=2,AVERAGE(E257:E260)+B260*W261+hystere!$AG$9,AVERAGE(E257:E260)+B260*W261)</f>
        <v>1.1000000000000001</v>
      </c>
      <c r="C261" s="67">
        <f t="shared" ref="C261:C324" ca="1" si="25">E261/E260-1</f>
        <v>0</v>
      </c>
      <c r="D261" s="88">
        <f t="shared" ref="D261:D324" ca="1" si="26">E261-B261</f>
        <v>-1</v>
      </c>
      <c r="E261" s="64">
        <f t="shared" ref="E261:E324" ca="1" si="27">IF(F261&gt;0,F261,0.1)</f>
        <v>0.1</v>
      </c>
      <c r="F261" s="64">
        <f ca="1">IF('main page'!$K$34=1,hystere!H261,hystere!G261)</f>
        <v>-893.50000000000011</v>
      </c>
      <c r="G261" s="78">
        <f ca="1">I261-'main page'!$K$27*hystere!N260</f>
        <v>-893.50000000000011</v>
      </c>
      <c r="H261" s="62">
        <f ca="1">J261-'main page'!$K$27*N260</f>
        <v>-893.50000000000011</v>
      </c>
      <c r="I261" s="62">
        <f t="shared" ca="1" si="22"/>
        <v>108</v>
      </c>
      <c r="J261" s="62">
        <f t="shared" ca="1" si="23"/>
        <v>108</v>
      </c>
      <c r="M261" s="62">
        <f ca="1">IF(ABS('main page'!$K$29*M260+(1-'main page'!$K$29)*(controls!$B$9/100)*100+'main page'!$K$25*(E261-B261)-M260)&lt;0.0000001,M260,'main page'!$K$29*M260+(1-'main page'!$K$29)*(controls!$B$9/100)*100+'main page'!$K$25*(E261-B261))</f>
        <v>-501.75000000000006</v>
      </c>
      <c r="N261" s="62">
        <f ca="1">IF(controls!$B$10=1,N260,O261-'main page'!$K$29*M261-(1-'main page'!$K$29)*controls!$B$9)</f>
        <v>501.75000000000006</v>
      </c>
      <c r="O261" s="61">
        <f t="shared" ca="1" si="24"/>
        <v>0</v>
      </c>
      <c r="P261" s="63">
        <f ca="1">IF(controls!$B$10=1,hystere!N261+hystere!M261,hystere!Q261)</f>
        <v>-574.23750000000007</v>
      </c>
      <c r="Q261" s="61">
        <f ca="1">IF('main page'!$Y$53=1,'choose m.p.'!$I$22*100,R261)</f>
        <v>-574.23750000000007</v>
      </c>
      <c r="R261" s="83">
        <f ca="1">'main page'!$K$29*M261+(1-'main page'!$K$29)*controls!$B$9+S261+(('main page'!$K$25*'main page'!$U$13*'main page'!$K$29)/('main page'!$K$27*(1+('main page'!$K$25^2)*'main page'!$U$13)))*(M261-(controls!$B$9/100)*100)</f>
        <v>-574.23750000000007</v>
      </c>
      <c r="S261" s="81">
        <f ca="1">IF(controls!$B$33=1,(J262-E261*X262-B261)/'main page'!$K$27,(I262-E261*X262-B261)/'main page'!$K$27)</f>
        <v>53.45</v>
      </c>
      <c r="U261" s="58">
        <f>IF(controls!$B$6=1,$AG$4*(1+('main page'!$K$35/100))^V261-$AG$4*(1+('main page'!$K$35/100))^V260,$AG$4*(1+('main page'!$G$8/100))*(1+('main page'!$K$35/100))^V261-$AG$4*(1+('main page'!$G$8/100))*(1+('main page'!$K$35/100))^V260)</f>
        <v>0</v>
      </c>
      <c r="V261" s="60">
        <v>253</v>
      </c>
      <c r="W261" s="36">
        <f ca="1">'normal case'!AC260</f>
        <v>0</v>
      </c>
      <c r="X261" s="36">
        <f ca="1">'normal case'!AD260</f>
        <v>0</v>
      </c>
      <c r="Y261" s="44">
        <f ca="1">IF(controls!$B$33=1,E261-($J$4-'main page'!$K$27*2)*(1+('main page'!$K$35/100))^A260,E261-$AG$5)</f>
        <v>-99.9</v>
      </c>
      <c r="Z261" s="44">
        <f ca="1">ABS(M261-(controls!$B$9/100)*100)</f>
        <v>503.75000000000006</v>
      </c>
      <c r="AI261" s="36"/>
      <c r="AJ261" s="36"/>
    </row>
    <row r="262" spans="1:36">
      <c r="A262" s="43">
        <v>259</v>
      </c>
      <c r="B262" s="62">
        <f ca="1">IF(controls!$B$6=2,AVERAGE(E258:E261)+B261*W262+hystere!$AG$9,AVERAGE(E258:E261)+B261*W262)</f>
        <v>1.1000000000000001</v>
      </c>
      <c r="C262" s="67">
        <f t="shared" ca="1" si="25"/>
        <v>0</v>
      </c>
      <c r="D262" s="88">
        <f t="shared" ca="1" si="26"/>
        <v>-1</v>
      </c>
      <c r="E262" s="64">
        <f t="shared" ca="1" si="27"/>
        <v>0.1</v>
      </c>
      <c r="F262" s="64">
        <f ca="1">IF('main page'!$K$34=1,hystere!H262,hystere!G262)</f>
        <v>-895.50000000000011</v>
      </c>
      <c r="G262" s="78">
        <f ca="1">I262-'main page'!$K$27*hystere!N261</f>
        <v>-895.50000000000011</v>
      </c>
      <c r="H262" s="62">
        <f ca="1">J262-'main page'!$K$27*N261</f>
        <v>-895.50000000000011</v>
      </c>
      <c r="I262" s="62">
        <f t="shared" ca="1" si="22"/>
        <v>108</v>
      </c>
      <c r="J262" s="62">
        <f t="shared" ca="1" si="23"/>
        <v>108</v>
      </c>
      <c r="M262" s="62">
        <f ca="1">IF(ABS('main page'!$K$29*M261+(1-'main page'!$K$29)*(controls!$B$9/100)*100+'main page'!$K$25*(E262-B262)-M261)&lt;0.0000001,M261,'main page'!$K$29*M261+(1-'main page'!$K$29)*(controls!$B$9/100)*100+'main page'!$K$25*(E262-B262))</f>
        <v>-502.75000000000006</v>
      </c>
      <c r="N262" s="62">
        <f ca="1">IF(controls!$B$10=1,N261,O262-'main page'!$K$29*M262-(1-'main page'!$K$29)*controls!$B$9)</f>
        <v>502.75000000000006</v>
      </c>
      <c r="O262" s="61">
        <f t="shared" ca="1" si="24"/>
        <v>0</v>
      </c>
      <c r="P262" s="63">
        <f ca="1">IF(controls!$B$10=1,hystere!N262+hystere!M262,hystere!Q262)</f>
        <v>-575.48750000000007</v>
      </c>
      <c r="Q262" s="61">
        <f ca="1">IF('main page'!$Y$53=1,'choose m.p.'!$I$22*100,R262)</f>
        <v>-575.48750000000007</v>
      </c>
      <c r="R262" s="83">
        <f ca="1">'main page'!$K$29*M262+(1-'main page'!$K$29)*controls!$B$9+S262+(('main page'!$K$25*'main page'!$U$13*'main page'!$K$29)/('main page'!$K$27*(1+('main page'!$K$25^2)*'main page'!$U$13)))*(M262-(controls!$B$9/100)*100)</f>
        <v>-575.48750000000007</v>
      </c>
      <c r="S262" s="81">
        <f ca="1">IF(controls!$B$33=1,(J263-E262*X263-B262)/'main page'!$K$27,(I263-E262*X263-B262)/'main page'!$K$27)</f>
        <v>53.45</v>
      </c>
      <c r="U262" s="58">
        <f>IF(controls!$B$6=1,$AG$4*(1+('main page'!$K$35/100))^V262-$AG$4*(1+('main page'!$K$35/100))^V261,$AG$4*(1+('main page'!$G$8/100))*(1+('main page'!$K$35/100))^V262-$AG$4*(1+('main page'!$G$8/100))*(1+('main page'!$K$35/100))^V261)</f>
        <v>0</v>
      </c>
      <c r="V262" s="60">
        <v>254</v>
      </c>
      <c r="W262" s="36">
        <f>'normal case'!AC261</f>
        <v>0</v>
      </c>
      <c r="X262" s="36">
        <f>'normal case'!AD261</f>
        <v>0</v>
      </c>
      <c r="Y262" s="44">
        <f ca="1">IF(controls!$B$33=1,E262-($J$4-'main page'!$K$27*2)*(1+('main page'!$K$35/100))^A261,E262-$AG$5)</f>
        <v>-99.9</v>
      </c>
      <c r="Z262" s="44">
        <f ca="1">ABS(M262-(controls!$B$9/100)*100)</f>
        <v>504.75000000000006</v>
      </c>
      <c r="AI262" s="36"/>
      <c r="AJ262" s="36"/>
    </row>
    <row r="263" spans="1:36">
      <c r="A263" s="43">
        <v>260</v>
      </c>
      <c r="B263" s="62">
        <f ca="1">IF(controls!$B$6=2,AVERAGE(E259:E262)+B262*W263+hystere!$AG$9,AVERAGE(E259:E262)+B262*W263)</f>
        <v>1.1000000000000001</v>
      </c>
      <c r="C263" s="67">
        <f t="shared" ca="1" si="25"/>
        <v>0</v>
      </c>
      <c r="D263" s="88">
        <f t="shared" ca="1" si="26"/>
        <v>-1</v>
      </c>
      <c r="E263" s="64">
        <f t="shared" ca="1" si="27"/>
        <v>0.1</v>
      </c>
      <c r="F263" s="64">
        <f ca="1">IF('main page'!$K$34=1,hystere!H263,hystere!G263)</f>
        <v>-897.50000000000011</v>
      </c>
      <c r="G263" s="78">
        <f ca="1">I263-'main page'!$K$27*hystere!N262</f>
        <v>-897.50000000000011</v>
      </c>
      <c r="H263" s="62">
        <f ca="1">J263-'main page'!$K$27*N262</f>
        <v>-897.50000000000011</v>
      </c>
      <c r="I263" s="62">
        <f t="shared" ca="1" si="22"/>
        <v>108</v>
      </c>
      <c r="J263" s="62">
        <f t="shared" ca="1" si="23"/>
        <v>108</v>
      </c>
      <c r="M263" s="62">
        <f ca="1">IF(ABS('main page'!$K$29*M262+(1-'main page'!$K$29)*(controls!$B$9/100)*100+'main page'!$K$25*(E263-B263)-M262)&lt;0.0000001,M262,'main page'!$K$29*M262+(1-'main page'!$K$29)*(controls!$B$9/100)*100+'main page'!$K$25*(E263-B263))</f>
        <v>-503.75000000000006</v>
      </c>
      <c r="N263" s="62">
        <f ca="1">IF(controls!$B$10=1,N262,O263-'main page'!$K$29*M263-(1-'main page'!$K$29)*controls!$B$9)</f>
        <v>503.75000000000006</v>
      </c>
      <c r="O263" s="61">
        <f t="shared" ca="1" si="24"/>
        <v>0</v>
      </c>
      <c r="P263" s="63">
        <f ca="1">IF(controls!$B$10=1,hystere!N263+hystere!M263,hystere!Q263)</f>
        <v>-576.73750000000007</v>
      </c>
      <c r="Q263" s="61">
        <f ca="1">IF('main page'!$Y$53=1,'choose m.p.'!$I$22*100,R263)</f>
        <v>-576.73750000000007</v>
      </c>
      <c r="R263" s="83">
        <f ca="1">'main page'!$K$29*M263+(1-'main page'!$K$29)*controls!$B$9+S263+(('main page'!$K$25*'main page'!$U$13*'main page'!$K$29)/('main page'!$K$27*(1+('main page'!$K$25^2)*'main page'!$U$13)))*(M263-(controls!$B$9/100)*100)</f>
        <v>-576.73750000000007</v>
      </c>
      <c r="S263" s="81">
        <f ca="1">IF(controls!$B$33=1,(J264-E263*X264-B263)/'main page'!$K$27,(I264-E263*X264-B263)/'main page'!$K$27)</f>
        <v>53.45</v>
      </c>
      <c r="U263" s="58">
        <f>IF(controls!$B$6=1,$AG$4*(1+('main page'!$K$35/100))^V263-$AG$4*(1+('main page'!$K$35/100))^V262,$AG$4*(1+('main page'!$G$8/100))*(1+('main page'!$K$35/100))^V263-$AG$4*(1+('main page'!$G$8/100))*(1+('main page'!$K$35/100))^V262)</f>
        <v>0</v>
      </c>
      <c r="V263" s="60">
        <v>255</v>
      </c>
      <c r="W263" s="36">
        <f>'normal case'!AC262</f>
        <v>0</v>
      </c>
      <c r="X263" s="36">
        <f>'normal case'!AD262</f>
        <v>0</v>
      </c>
      <c r="Y263" s="44">
        <f ca="1">IF(controls!$B$33=1,E263-($J$4-'main page'!$K$27*2)*(1+('main page'!$K$35/100))^A262,E263-$AG$5)</f>
        <v>-99.9</v>
      </c>
      <c r="Z263" s="44">
        <f ca="1">ABS(M263-(controls!$B$9/100)*100)</f>
        <v>505.75000000000006</v>
      </c>
      <c r="AI263" s="36"/>
      <c r="AJ263" s="36"/>
    </row>
    <row r="264" spans="1:36">
      <c r="A264" s="43">
        <v>261</v>
      </c>
      <c r="B264" s="62">
        <f ca="1">IF(controls!$B$6=2,AVERAGE(E260:E263)+B263*W264+hystere!$AG$9,AVERAGE(E260:E263)+B263*W264)</f>
        <v>1.1000000000000001</v>
      </c>
      <c r="C264" s="67">
        <f t="shared" ca="1" si="25"/>
        <v>0</v>
      </c>
      <c r="D264" s="88">
        <f t="shared" ca="1" si="26"/>
        <v>-1</v>
      </c>
      <c r="E264" s="64">
        <f t="shared" ca="1" si="27"/>
        <v>0.1</v>
      </c>
      <c r="F264" s="64">
        <f ca="1">IF('main page'!$K$34=1,hystere!H264,hystere!G264)</f>
        <v>-899.50000000000011</v>
      </c>
      <c r="G264" s="78">
        <f ca="1">I264-'main page'!$K$27*hystere!N263</f>
        <v>-899.50000000000011</v>
      </c>
      <c r="H264" s="62">
        <f ca="1">J264-'main page'!$K$27*N263</f>
        <v>-899.50000000000011</v>
      </c>
      <c r="I264" s="62">
        <f t="shared" ca="1" si="22"/>
        <v>108</v>
      </c>
      <c r="J264" s="62">
        <f t="shared" ca="1" si="23"/>
        <v>108</v>
      </c>
      <c r="M264" s="62">
        <f ca="1">IF(ABS('main page'!$K$29*M263+(1-'main page'!$K$29)*(controls!$B$9/100)*100+'main page'!$K$25*(E264-B264)-M263)&lt;0.0000001,M263,'main page'!$K$29*M263+(1-'main page'!$K$29)*(controls!$B$9/100)*100+'main page'!$K$25*(E264-B264))</f>
        <v>-504.75000000000006</v>
      </c>
      <c r="N264" s="62">
        <f ca="1">IF(controls!$B$10=1,N263,O264-'main page'!$K$29*M264-(1-'main page'!$K$29)*controls!$B$9)</f>
        <v>504.75000000000006</v>
      </c>
      <c r="O264" s="61">
        <f t="shared" ca="1" si="24"/>
        <v>0</v>
      </c>
      <c r="P264" s="63">
        <f ca="1">IF(controls!$B$10=1,hystere!N264+hystere!M264,hystere!Q264)</f>
        <v>-577.98750000000007</v>
      </c>
      <c r="Q264" s="61">
        <f ca="1">IF('main page'!$Y$53=1,'choose m.p.'!$I$22*100,R264)</f>
        <v>-577.98750000000007</v>
      </c>
      <c r="R264" s="83">
        <f ca="1">'main page'!$K$29*M264+(1-'main page'!$K$29)*controls!$B$9+S264+(('main page'!$K$25*'main page'!$U$13*'main page'!$K$29)/('main page'!$K$27*(1+('main page'!$K$25^2)*'main page'!$U$13)))*(M264-(controls!$B$9/100)*100)</f>
        <v>-577.98750000000007</v>
      </c>
      <c r="S264" s="81">
        <f ca="1">IF(controls!$B$33=1,(J265-E264*X265-B264)/'main page'!$K$27,(I265-E264*X265-B264)/'main page'!$K$27)</f>
        <v>53.45</v>
      </c>
      <c r="U264" s="58">
        <f>IF(controls!$B$6=1,$AG$4*(1+('main page'!$K$35/100))^V264-$AG$4*(1+('main page'!$K$35/100))^V263,$AG$4*(1+('main page'!$G$8/100))*(1+('main page'!$K$35/100))^V264-$AG$4*(1+('main page'!$G$8/100))*(1+('main page'!$K$35/100))^V263)</f>
        <v>0</v>
      </c>
      <c r="V264" s="60">
        <v>256</v>
      </c>
      <c r="W264" s="36">
        <f ca="1">'normal case'!AC263</f>
        <v>0</v>
      </c>
      <c r="X264" s="36">
        <f ca="1">'normal case'!AD263</f>
        <v>0</v>
      </c>
      <c r="Y264" s="44">
        <f ca="1">IF(controls!$B$33=1,E264-($J$4-'main page'!$K$27*2)*(1+('main page'!$K$35/100))^A263,E264-$AG$5)</f>
        <v>-99.9</v>
      </c>
      <c r="Z264" s="44">
        <f ca="1">ABS(M264-(controls!$B$9/100)*100)</f>
        <v>506.75000000000006</v>
      </c>
      <c r="AI264" s="36"/>
      <c r="AJ264" s="36"/>
    </row>
    <row r="265" spans="1:36">
      <c r="A265" s="43">
        <v>262</v>
      </c>
      <c r="B265" s="62">
        <f ca="1">IF(controls!$B$6=2,AVERAGE(E261:E264)+B264*W265+hystere!$AG$9,AVERAGE(E261:E264)+B264*W265)</f>
        <v>1.1000000000000001</v>
      </c>
      <c r="C265" s="67">
        <f t="shared" ca="1" si="25"/>
        <v>0</v>
      </c>
      <c r="D265" s="88">
        <f t="shared" ca="1" si="26"/>
        <v>-1</v>
      </c>
      <c r="E265" s="64">
        <f t="shared" ca="1" si="27"/>
        <v>0.1</v>
      </c>
      <c r="F265" s="64">
        <f ca="1">IF('main page'!$K$34=1,hystere!H265,hystere!G265)</f>
        <v>-901.50000000000011</v>
      </c>
      <c r="G265" s="78">
        <f ca="1">I265-'main page'!$K$27*hystere!N264</f>
        <v>-901.50000000000011</v>
      </c>
      <c r="H265" s="62">
        <f ca="1">J265-'main page'!$K$27*N264</f>
        <v>-901.50000000000011</v>
      </c>
      <c r="I265" s="62">
        <f t="shared" ca="1" si="22"/>
        <v>108</v>
      </c>
      <c r="J265" s="62">
        <f t="shared" ca="1" si="23"/>
        <v>108</v>
      </c>
      <c r="M265" s="62">
        <f ca="1">IF(ABS('main page'!$K$29*M264+(1-'main page'!$K$29)*(controls!$B$9/100)*100+'main page'!$K$25*(E265-B265)-M264)&lt;0.0000001,M264,'main page'!$K$29*M264+(1-'main page'!$K$29)*(controls!$B$9/100)*100+'main page'!$K$25*(E265-B265))</f>
        <v>-505.75000000000006</v>
      </c>
      <c r="N265" s="62">
        <f ca="1">IF(controls!$B$10=1,N264,O265-'main page'!$K$29*M265-(1-'main page'!$K$29)*controls!$B$9)</f>
        <v>505.75000000000006</v>
      </c>
      <c r="O265" s="61">
        <f t="shared" ca="1" si="24"/>
        <v>0</v>
      </c>
      <c r="P265" s="63">
        <f ca="1">IF(controls!$B$10=1,hystere!N265+hystere!M265,hystere!Q265)</f>
        <v>-579.23750000000007</v>
      </c>
      <c r="Q265" s="61">
        <f ca="1">IF('main page'!$Y$53=1,'choose m.p.'!$I$22*100,R265)</f>
        <v>-579.23750000000007</v>
      </c>
      <c r="R265" s="83">
        <f ca="1">'main page'!$K$29*M265+(1-'main page'!$K$29)*controls!$B$9+S265+(('main page'!$K$25*'main page'!$U$13*'main page'!$K$29)/('main page'!$K$27*(1+('main page'!$K$25^2)*'main page'!$U$13)))*(M265-(controls!$B$9/100)*100)</f>
        <v>-579.23750000000007</v>
      </c>
      <c r="S265" s="81">
        <f ca="1">IF(controls!$B$33=1,(J266-E265*X266-B265)/'main page'!$K$27,(I266-E265*X266-B265)/'main page'!$K$27)</f>
        <v>53.45</v>
      </c>
      <c r="U265" s="58">
        <f>IF(controls!$B$6=1,$AG$4*(1+('main page'!$K$35/100))^V265-$AG$4*(1+('main page'!$K$35/100))^V264,$AG$4*(1+('main page'!$G$8/100))*(1+('main page'!$K$35/100))^V265-$AG$4*(1+('main page'!$G$8/100))*(1+('main page'!$K$35/100))^V264)</f>
        <v>0</v>
      </c>
      <c r="V265" s="60">
        <v>257</v>
      </c>
      <c r="W265" s="36">
        <f>'normal case'!AC264</f>
        <v>0</v>
      </c>
      <c r="X265" s="36">
        <f>'normal case'!AD264</f>
        <v>0</v>
      </c>
      <c r="Y265" s="44">
        <f ca="1">IF(controls!$B$33=1,E265-($J$4-'main page'!$K$27*2)*(1+('main page'!$K$35/100))^A264,E265-$AG$5)</f>
        <v>-99.9</v>
      </c>
      <c r="Z265" s="44">
        <f ca="1">ABS(M265-(controls!$B$9/100)*100)</f>
        <v>507.75000000000006</v>
      </c>
      <c r="AI265" s="36"/>
      <c r="AJ265" s="36"/>
    </row>
    <row r="266" spans="1:36">
      <c r="A266" s="43">
        <v>263</v>
      </c>
      <c r="B266" s="62">
        <f ca="1">IF(controls!$B$6=2,AVERAGE(E262:E265)+B265*W266+hystere!$AG$9,AVERAGE(E262:E265)+B265*W266)</f>
        <v>1.1000000000000001</v>
      </c>
      <c r="C266" s="67">
        <f t="shared" ca="1" si="25"/>
        <v>0</v>
      </c>
      <c r="D266" s="88">
        <f t="shared" ca="1" si="26"/>
        <v>-1</v>
      </c>
      <c r="E266" s="64">
        <f t="shared" ca="1" si="27"/>
        <v>0.1</v>
      </c>
      <c r="F266" s="64">
        <f ca="1">IF('main page'!$K$34=1,hystere!H266,hystere!G266)</f>
        <v>-903.50000000000011</v>
      </c>
      <c r="G266" s="78">
        <f ca="1">I266-'main page'!$K$27*hystere!N265</f>
        <v>-903.50000000000011</v>
      </c>
      <c r="H266" s="62">
        <f ca="1">J266-'main page'!$K$27*N265</f>
        <v>-903.50000000000011</v>
      </c>
      <c r="I266" s="62">
        <f t="shared" ca="1" si="22"/>
        <v>108</v>
      </c>
      <c r="J266" s="62">
        <f t="shared" ca="1" si="23"/>
        <v>108</v>
      </c>
      <c r="M266" s="62">
        <f ca="1">IF(ABS('main page'!$K$29*M265+(1-'main page'!$K$29)*(controls!$B$9/100)*100+'main page'!$K$25*(E266-B266)-M265)&lt;0.0000001,M265,'main page'!$K$29*M265+(1-'main page'!$K$29)*(controls!$B$9/100)*100+'main page'!$K$25*(E266-B266))</f>
        <v>-506.75000000000006</v>
      </c>
      <c r="N266" s="62">
        <f ca="1">IF(controls!$B$10=1,N265,O266-'main page'!$K$29*M266-(1-'main page'!$K$29)*controls!$B$9)</f>
        <v>506.75000000000006</v>
      </c>
      <c r="O266" s="61">
        <f t="shared" ca="1" si="24"/>
        <v>0</v>
      </c>
      <c r="P266" s="63">
        <f ca="1">IF(controls!$B$10=1,hystere!N266+hystere!M266,hystere!Q266)</f>
        <v>-580.48750000000007</v>
      </c>
      <c r="Q266" s="61">
        <f ca="1">IF('main page'!$Y$53=1,'choose m.p.'!$I$22*100,R266)</f>
        <v>-580.48750000000007</v>
      </c>
      <c r="R266" s="83">
        <f ca="1">'main page'!$K$29*M266+(1-'main page'!$K$29)*controls!$B$9+S266+(('main page'!$K$25*'main page'!$U$13*'main page'!$K$29)/('main page'!$K$27*(1+('main page'!$K$25^2)*'main page'!$U$13)))*(M266-(controls!$B$9/100)*100)</f>
        <v>-580.48750000000007</v>
      </c>
      <c r="S266" s="81">
        <f ca="1">IF(controls!$B$33=1,(J267-E266*X267-B266)/'main page'!$K$27,(I267-E266*X267-B266)/'main page'!$K$27)</f>
        <v>53.45</v>
      </c>
      <c r="U266" s="58">
        <f>IF(controls!$B$6=1,$AG$4*(1+('main page'!$K$35/100))^V266-$AG$4*(1+('main page'!$K$35/100))^V265,$AG$4*(1+('main page'!$G$8/100))*(1+('main page'!$K$35/100))^V266-$AG$4*(1+('main page'!$G$8/100))*(1+('main page'!$K$35/100))^V265)</f>
        <v>0</v>
      </c>
      <c r="V266" s="60">
        <v>258</v>
      </c>
      <c r="W266" s="36">
        <f>'normal case'!AC265</f>
        <v>0</v>
      </c>
      <c r="X266" s="36">
        <f>'normal case'!AD265</f>
        <v>0</v>
      </c>
      <c r="Y266" s="44">
        <f ca="1">IF(controls!$B$33=1,E266-($J$4-'main page'!$K$27*2)*(1+('main page'!$K$35/100))^A265,E266-$AG$5)</f>
        <v>-99.9</v>
      </c>
      <c r="Z266" s="44">
        <f ca="1">ABS(M266-(controls!$B$9/100)*100)</f>
        <v>508.75000000000006</v>
      </c>
      <c r="AI266" s="36"/>
      <c r="AJ266" s="36"/>
    </row>
    <row r="267" spans="1:36">
      <c r="A267" s="43">
        <v>264</v>
      </c>
      <c r="B267" s="62">
        <f ca="1">IF(controls!$B$6=2,AVERAGE(E263:E266)+B266*W267+hystere!$AG$9,AVERAGE(E263:E266)+B266*W267)</f>
        <v>1.1000000000000001</v>
      </c>
      <c r="C267" s="67">
        <f t="shared" ca="1" si="25"/>
        <v>0</v>
      </c>
      <c r="D267" s="88">
        <f t="shared" ca="1" si="26"/>
        <v>-1</v>
      </c>
      <c r="E267" s="64">
        <f t="shared" ca="1" si="27"/>
        <v>0.1</v>
      </c>
      <c r="F267" s="64">
        <f ca="1">IF('main page'!$K$34=1,hystere!H267,hystere!G267)</f>
        <v>-905.50000000000011</v>
      </c>
      <c r="G267" s="78">
        <f ca="1">I267-'main page'!$K$27*hystere!N266</f>
        <v>-905.50000000000011</v>
      </c>
      <c r="H267" s="62">
        <f ca="1">J267-'main page'!$K$27*N266</f>
        <v>-905.50000000000011</v>
      </c>
      <c r="I267" s="62">
        <f t="shared" ca="1" si="22"/>
        <v>108</v>
      </c>
      <c r="J267" s="62">
        <f t="shared" ca="1" si="23"/>
        <v>108</v>
      </c>
      <c r="M267" s="62">
        <f ca="1">IF(ABS('main page'!$K$29*M266+(1-'main page'!$K$29)*(controls!$B$9/100)*100+'main page'!$K$25*(E267-B267)-M266)&lt;0.0000001,M266,'main page'!$K$29*M266+(1-'main page'!$K$29)*(controls!$B$9/100)*100+'main page'!$K$25*(E267-B267))</f>
        <v>-507.75000000000006</v>
      </c>
      <c r="N267" s="62">
        <f ca="1">IF(controls!$B$10=1,N266,O267-'main page'!$K$29*M267-(1-'main page'!$K$29)*controls!$B$9)</f>
        <v>507.75000000000006</v>
      </c>
      <c r="O267" s="61">
        <f t="shared" ca="1" si="24"/>
        <v>0</v>
      </c>
      <c r="P267" s="63">
        <f ca="1">IF(controls!$B$10=1,hystere!N267+hystere!M267,hystere!Q267)</f>
        <v>-581.73750000000007</v>
      </c>
      <c r="Q267" s="61">
        <f ca="1">IF('main page'!$Y$53=1,'choose m.p.'!$I$22*100,R267)</f>
        <v>-581.73750000000007</v>
      </c>
      <c r="R267" s="83">
        <f ca="1">'main page'!$K$29*M267+(1-'main page'!$K$29)*controls!$B$9+S267+(('main page'!$K$25*'main page'!$U$13*'main page'!$K$29)/('main page'!$K$27*(1+('main page'!$K$25^2)*'main page'!$U$13)))*(M267-(controls!$B$9/100)*100)</f>
        <v>-581.73750000000007</v>
      </c>
      <c r="S267" s="81">
        <f ca="1">IF(controls!$B$33=1,(J268-E267*X268-B267)/'main page'!$K$27,(I268-E267*X268-B267)/'main page'!$K$27)</f>
        <v>53.45</v>
      </c>
      <c r="U267" s="58">
        <f>IF(controls!$B$6=1,$AG$4*(1+('main page'!$K$35/100))^V267-$AG$4*(1+('main page'!$K$35/100))^V266,$AG$4*(1+('main page'!$G$8/100))*(1+('main page'!$K$35/100))^V267-$AG$4*(1+('main page'!$G$8/100))*(1+('main page'!$K$35/100))^V266)</f>
        <v>0</v>
      </c>
      <c r="V267" s="60">
        <v>259</v>
      </c>
      <c r="W267" s="36">
        <f ca="1">'normal case'!AC266</f>
        <v>0</v>
      </c>
      <c r="X267" s="36">
        <f ca="1">'normal case'!AD266</f>
        <v>0</v>
      </c>
      <c r="Y267" s="44">
        <f ca="1">IF(controls!$B$33=1,E267-($J$4-'main page'!$K$27*2)*(1+('main page'!$K$35/100))^A266,E267-$AG$5)</f>
        <v>-99.9</v>
      </c>
      <c r="Z267" s="44">
        <f ca="1">ABS(M267-(controls!$B$9/100)*100)</f>
        <v>509.75000000000006</v>
      </c>
      <c r="AI267" s="36"/>
      <c r="AJ267" s="36"/>
    </row>
    <row r="268" spans="1:36">
      <c r="A268" s="43">
        <v>265</v>
      </c>
      <c r="B268" s="62">
        <f ca="1">IF(controls!$B$6=2,AVERAGE(E264:E267)+B267*W268+hystere!$AG$9,AVERAGE(E264:E267)+B267*W268)</f>
        <v>1.1000000000000001</v>
      </c>
      <c r="C268" s="67">
        <f t="shared" ca="1" si="25"/>
        <v>0</v>
      </c>
      <c r="D268" s="88">
        <f t="shared" ca="1" si="26"/>
        <v>-1</v>
      </c>
      <c r="E268" s="64">
        <f t="shared" ca="1" si="27"/>
        <v>0.1</v>
      </c>
      <c r="F268" s="64">
        <f ca="1">IF('main page'!$K$34=1,hystere!H268,hystere!G268)</f>
        <v>-907.50000000000011</v>
      </c>
      <c r="G268" s="78">
        <f ca="1">I268-'main page'!$K$27*hystere!N267</f>
        <v>-907.50000000000011</v>
      </c>
      <c r="H268" s="62">
        <f ca="1">J268-'main page'!$K$27*N267</f>
        <v>-907.50000000000011</v>
      </c>
      <c r="I268" s="62">
        <f t="shared" ca="1" si="22"/>
        <v>108</v>
      </c>
      <c r="J268" s="62">
        <f t="shared" ca="1" si="23"/>
        <v>108</v>
      </c>
      <c r="M268" s="62">
        <f ca="1">IF(ABS('main page'!$K$29*M267+(1-'main page'!$K$29)*(controls!$B$9/100)*100+'main page'!$K$25*(E268-B268)-M267)&lt;0.0000001,M267,'main page'!$K$29*M267+(1-'main page'!$K$29)*(controls!$B$9/100)*100+'main page'!$K$25*(E268-B268))</f>
        <v>-508.75000000000006</v>
      </c>
      <c r="N268" s="62">
        <f ca="1">IF(controls!$B$10=1,N267,O268-'main page'!$K$29*M268-(1-'main page'!$K$29)*controls!$B$9)</f>
        <v>508.75000000000006</v>
      </c>
      <c r="O268" s="61">
        <f t="shared" ca="1" si="24"/>
        <v>0</v>
      </c>
      <c r="P268" s="63">
        <f ca="1">IF(controls!$B$10=1,hystere!N268+hystere!M268,hystere!Q268)</f>
        <v>-582.98750000000007</v>
      </c>
      <c r="Q268" s="61">
        <f ca="1">IF('main page'!$Y$53=1,'choose m.p.'!$I$22*100,R268)</f>
        <v>-582.98750000000007</v>
      </c>
      <c r="R268" s="83">
        <f ca="1">'main page'!$K$29*M268+(1-'main page'!$K$29)*controls!$B$9+S268+(('main page'!$K$25*'main page'!$U$13*'main page'!$K$29)/('main page'!$K$27*(1+('main page'!$K$25^2)*'main page'!$U$13)))*(M268-(controls!$B$9/100)*100)</f>
        <v>-582.98750000000007</v>
      </c>
      <c r="S268" s="81">
        <f ca="1">IF(controls!$B$33=1,(J269-E268*X269-B268)/'main page'!$K$27,(I269-E268*X269-B268)/'main page'!$K$27)</f>
        <v>53.45</v>
      </c>
      <c r="U268" s="58">
        <f>IF(controls!$B$6=1,$AG$4*(1+('main page'!$K$35/100))^V268-$AG$4*(1+('main page'!$K$35/100))^V267,$AG$4*(1+('main page'!$G$8/100))*(1+('main page'!$K$35/100))^V268-$AG$4*(1+('main page'!$G$8/100))*(1+('main page'!$K$35/100))^V267)</f>
        <v>0</v>
      </c>
      <c r="V268" s="60">
        <v>260</v>
      </c>
      <c r="W268" s="36">
        <f>'normal case'!AC267</f>
        <v>0</v>
      </c>
      <c r="X268" s="36">
        <f>'normal case'!AD267</f>
        <v>0</v>
      </c>
      <c r="Y268" s="44">
        <f ca="1">IF(controls!$B$33=1,E268-($J$4-'main page'!$K$27*2)*(1+('main page'!$K$35/100))^A267,E268-$AG$5)</f>
        <v>-99.9</v>
      </c>
      <c r="Z268" s="44">
        <f ca="1">ABS(M268-(controls!$B$9/100)*100)</f>
        <v>510.75000000000006</v>
      </c>
      <c r="AI268" s="36"/>
      <c r="AJ268" s="36"/>
    </row>
    <row r="269" spans="1:36">
      <c r="A269" s="43">
        <v>266</v>
      </c>
      <c r="B269" s="62">
        <f ca="1">IF(controls!$B$6=2,AVERAGE(E265:E268)+B268*W269+hystere!$AG$9,AVERAGE(E265:E268)+B268*W269)</f>
        <v>1.1000000000000001</v>
      </c>
      <c r="C269" s="67">
        <f t="shared" ca="1" si="25"/>
        <v>0</v>
      </c>
      <c r="D269" s="88">
        <f t="shared" ca="1" si="26"/>
        <v>-1</v>
      </c>
      <c r="E269" s="64">
        <f t="shared" ca="1" si="27"/>
        <v>0.1</v>
      </c>
      <c r="F269" s="64">
        <f ca="1">IF('main page'!$K$34=1,hystere!H269,hystere!G269)</f>
        <v>-909.50000000000011</v>
      </c>
      <c r="G269" s="78">
        <f ca="1">I269-'main page'!$K$27*hystere!N268</f>
        <v>-909.50000000000011</v>
      </c>
      <c r="H269" s="62">
        <f ca="1">J269-'main page'!$K$27*N268</f>
        <v>-909.50000000000011</v>
      </c>
      <c r="I269" s="62">
        <f t="shared" ca="1" si="22"/>
        <v>108</v>
      </c>
      <c r="J269" s="62">
        <f t="shared" ca="1" si="23"/>
        <v>108</v>
      </c>
      <c r="M269" s="62">
        <f ca="1">IF(ABS('main page'!$K$29*M268+(1-'main page'!$K$29)*(controls!$B$9/100)*100+'main page'!$K$25*(E269-B269)-M268)&lt;0.0000001,M268,'main page'!$K$29*M268+(1-'main page'!$K$29)*(controls!$B$9/100)*100+'main page'!$K$25*(E269-B269))</f>
        <v>-509.75000000000006</v>
      </c>
      <c r="N269" s="62">
        <f ca="1">IF(controls!$B$10=1,N268,O269-'main page'!$K$29*M269-(1-'main page'!$K$29)*controls!$B$9)</f>
        <v>509.75000000000006</v>
      </c>
      <c r="O269" s="61">
        <f t="shared" ca="1" si="24"/>
        <v>0</v>
      </c>
      <c r="P269" s="63">
        <f ca="1">IF(controls!$B$10=1,hystere!N269+hystere!M269,hystere!Q269)</f>
        <v>-584.23750000000007</v>
      </c>
      <c r="Q269" s="61">
        <f ca="1">IF('main page'!$Y$53=1,'choose m.p.'!$I$22*100,R269)</f>
        <v>-584.23750000000007</v>
      </c>
      <c r="R269" s="83">
        <f ca="1">'main page'!$K$29*M269+(1-'main page'!$K$29)*controls!$B$9+S269+(('main page'!$K$25*'main page'!$U$13*'main page'!$K$29)/('main page'!$K$27*(1+('main page'!$K$25^2)*'main page'!$U$13)))*(M269-(controls!$B$9/100)*100)</f>
        <v>-584.23750000000007</v>
      </c>
      <c r="S269" s="81">
        <f ca="1">IF(controls!$B$33=1,(J270-E269*X270-B269)/'main page'!$K$27,(I270-E269*X270-B269)/'main page'!$K$27)</f>
        <v>53.45</v>
      </c>
      <c r="U269" s="58">
        <f>IF(controls!$B$6=1,$AG$4*(1+('main page'!$K$35/100))^V269-$AG$4*(1+('main page'!$K$35/100))^V268,$AG$4*(1+('main page'!$G$8/100))*(1+('main page'!$K$35/100))^V269-$AG$4*(1+('main page'!$G$8/100))*(1+('main page'!$K$35/100))^V268)</f>
        <v>0</v>
      </c>
      <c r="V269" s="60">
        <v>261</v>
      </c>
      <c r="W269" s="36">
        <f>'normal case'!AC268</f>
        <v>0</v>
      </c>
      <c r="X269" s="36">
        <f>'normal case'!AD268</f>
        <v>0</v>
      </c>
      <c r="Y269" s="44">
        <f ca="1">IF(controls!$B$33=1,E269-($J$4-'main page'!$K$27*2)*(1+('main page'!$K$35/100))^A268,E269-$AG$5)</f>
        <v>-99.9</v>
      </c>
      <c r="Z269" s="44">
        <f ca="1">ABS(M269-(controls!$B$9/100)*100)</f>
        <v>511.75000000000006</v>
      </c>
      <c r="AI269" s="36"/>
      <c r="AJ269" s="36"/>
    </row>
    <row r="270" spans="1:36">
      <c r="A270" s="43">
        <v>267</v>
      </c>
      <c r="B270" s="62">
        <f ca="1">IF(controls!$B$6=2,AVERAGE(E266:E269)+B269*W270+hystere!$AG$9,AVERAGE(E266:E269)+B269*W270)</f>
        <v>1.1000000000000001</v>
      </c>
      <c r="C270" s="67">
        <f t="shared" ca="1" si="25"/>
        <v>0</v>
      </c>
      <c r="D270" s="88">
        <f t="shared" ca="1" si="26"/>
        <v>-1</v>
      </c>
      <c r="E270" s="64">
        <f t="shared" ca="1" si="27"/>
        <v>0.1</v>
      </c>
      <c r="F270" s="64">
        <f ca="1">IF('main page'!$K$34=1,hystere!H270,hystere!G270)</f>
        <v>-911.50000000000011</v>
      </c>
      <c r="G270" s="78">
        <f ca="1">I270-'main page'!$K$27*hystere!N269</f>
        <v>-911.50000000000011</v>
      </c>
      <c r="H270" s="62">
        <f ca="1">J270-'main page'!$K$27*N269</f>
        <v>-911.50000000000011</v>
      </c>
      <c r="I270" s="62">
        <f t="shared" ca="1" si="22"/>
        <v>108</v>
      </c>
      <c r="J270" s="62">
        <f t="shared" ca="1" si="23"/>
        <v>108</v>
      </c>
      <c r="M270" s="62">
        <f ca="1">IF(ABS('main page'!$K$29*M269+(1-'main page'!$K$29)*(controls!$B$9/100)*100+'main page'!$K$25*(E270-B270)-M269)&lt;0.0000001,M269,'main page'!$K$29*M269+(1-'main page'!$K$29)*(controls!$B$9/100)*100+'main page'!$K$25*(E270-B270))</f>
        <v>-510.75000000000006</v>
      </c>
      <c r="N270" s="62">
        <f ca="1">IF(controls!$B$10=1,N269,O270-'main page'!$K$29*M270-(1-'main page'!$K$29)*controls!$B$9)</f>
        <v>510.75000000000006</v>
      </c>
      <c r="O270" s="61">
        <f t="shared" ca="1" si="24"/>
        <v>0</v>
      </c>
      <c r="P270" s="63">
        <f ca="1">IF(controls!$B$10=1,hystere!N270+hystere!M270,hystere!Q270)</f>
        <v>-585.48750000000007</v>
      </c>
      <c r="Q270" s="61">
        <f ca="1">IF('main page'!$Y$53=1,'choose m.p.'!$I$22*100,R270)</f>
        <v>-585.48750000000007</v>
      </c>
      <c r="R270" s="83">
        <f ca="1">'main page'!$K$29*M270+(1-'main page'!$K$29)*controls!$B$9+S270+(('main page'!$K$25*'main page'!$U$13*'main page'!$K$29)/('main page'!$K$27*(1+('main page'!$K$25^2)*'main page'!$U$13)))*(M270-(controls!$B$9/100)*100)</f>
        <v>-585.48750000000007</v>
      </c>
      <c r="S270" s="81">
        <f ca="1">IF(controls!$B$33=1,(J271-E270*X271-B270)/'main page'!$K$27,(I271-E270*X271-B270)/'main page'!$K$27)</f>
        <v>53.45</v>
      </c>
      <c r="U270" s="58">
        <f>IF(controls!$B$6=1,$AG$4*(1+('main page'!$K$35/100))^V270-$AG$4*(1+('main page'!$K$35/100))^V269,$AG$4*(1+('main page'!$G$8/100))*(1+('main page'!$K$35/100))^V270-$AG$4*(1+('main page'!$G$8/100))*(1+('main page'!$K$35/100))^V269)</f>
        <v>0</v>
      </c>
      <c r="V270" s="60">
        <v>262</v>
      </c>
      <c r="W270" s="36">
        <f ca="1">'normal case'!AC269</f>
        <v>0</v>
      </c>
      <c r="X270" s="36">
        <f ca="1">'normal case'!AD269</f>
        <v>0</v>
      </c>
      <c r="Y270" s="44">
        <f ca="1">IF(controls!$B$33=1,E270-($J$4-'main page'!$K$27*2)*(1+('main page'!$K$35/100))^A269,E270-$AG$5)</f>
        <v>-99.9</v>
      </c>
      <c r="Z270" s="44">
        <f ca="1">ABS(M270-(controls!$B$9/100)*100)</f>
        <v>512.75</v>
      </c>
      <c r="AI270" s="36"/>
      <c r="AJ270" s="36"/>
    </row>
    <row r="271" spans="1:36">
      <c r="A271" s="43">
        <v>268</v>
      </c>
      <c r="B271" s="62">
        <f ca="1">IF(controls!$B$6=2,AVERAGE(E267:E270)+B270*W271+hystere!$AG$9,AVERAGE(E267:E270)+B270*W271)</f>
        <v>1.1000000000000001</v>
      </c>
      <c r="C271" s="67">
        <f t="shared" ca="1" si="25"/>
        <v>0</v>
      </c>
      <c r="D271" s="88">
        <f t="shared" ca="1" si="26"/>
        <v>-1</v>
      </c>
      <c r="E271" s="64">
        <f t="shared" ca="1" si="27"/>
        <v>0.1</v>
      </c>
      <c r="F271" s="64">
        <f ca="1">IF('main page'!$K$34=1,hystere!H271,hystere!G271)</f>
        <v>-913.50000000000011</v>
      </c>
      <c r="G271" s="78">
        <f ca="1">I271-'main page'!$K$27*hystere!N270</f>
        <v>-913.50000000000011</v>
      </c>
      <c r="H271" s="62">
        <f ca="1">J271-'main page'!$K$27*N270</f>
        <v>-913.50000000000011</v>
      </c>
      <c r="I271" s="62">
        <f t="shared" ca="1" si="22"/>
        <v>108</v>
      </c>
      <c r="J271" s="62">
        <f t="shared" ca="1" si="23"/>
        <v>108</v>
      </c>
      <c r="M271" s="62">
        <f ca="1">IF(ABS('main page'!$K$29*M270+(1-'main page'!$K$29)*(controls!$B$9/100)*100+'main page'!$K$25*(E271-B271)-M270)&lt;0.0000001,M270,'main page'!$K$29*M270+(1-'main page'!$K$29)*(controls!$B$9/100)*100+'main page'!$K$25*(E271-B271))</f>
        <v>-511.75000000000006</v>
      </c>
      <c r="N271" s="62">
        <f ca="1">IF(controls!$B$10=1,N270,O271-'main page'!$K$29*M271-(1-'main page'!$K$29)*controls!$B$9)</f>
        <v>511.75000000000006</v>
      </c>
      <c r="O271" s="61">
        <f t="shared" ca="1" si="24"/>
        <v>0</v>
      </c>
      <c r="P271" s="63">
        <f ca="1">IF(controls!$B$10=1,hystere!N271+hystere!M271,hystere!Q271)</f>
        <v>-586.73750000000007</v>
      </c>
      <c r="Q271" s="61">
        <f ca="1">IF('main page'!$Y$53=1,'choose m.p.'!$I$22*100,R271)</f>
        <v>-586.73750000000007</v>
      </c>
      <c r="R271" s="83">
        <f ca="1">'main page'!$K$29*M271+(1-'main page'!$K$29)*controls!$B$9+S271+(('main page'!$K$25*'main page'!$U$13*'main page'!$K$29)/('main page'!$K$27*(1+('main page'!$K$25^2)*'main page'!$U$13)))*(M271-(controls!$B$9/100)*100)</f>
        <v>-586.73750000000007</v>
      </c>
      <c r="S271" s="81">
        <f ca="1">IF(controls!$B$33=1,(J272-E271*X272-B271)/'main page'!$K$27,(I272-E271*X272-B271)/'main page'!$K$27)</f>
        <v>53.45</v>
      </c>
      <c r="U271" s="58">
        <f>IF(controls!$B$6=1,$AG$4*(1+('main page'!$K$35/100))^V271-$AG$4*(1+('main page'!$K$35/100))^V270,$AG$4*(1+('main page'!$G$8/100))*(1+('main page'!$K$35/100))^V271-$AG$4*(1+('main page'!$G$8/100))*(1+('main page'!$K$35/100))^V270)</f>
        <v>0</v>
      </c>
      <c r="V271" s="60">
        <v>263</v>
      </c>
      <c r="W271" s="36">
        <f>'normal case'!AC270</f>
        <v>0</v>
      </c>
      <c r="X271" s="36">
        <f>'normal case'!AD270</f>
        <v>0</v>
      </c>
      <c r="Y271" s="44">
        <f ca="1">IF(controls!$B$33=1,E271-($J$4-'main page'!$K$27*2)*(1+('main page'!$K$35/100))^A270,E271-$AG$5)</f>
        <v>-99.9</v>
      </c>
      <c r="Z271" s="44">
        <f ca="1">ABS(M271-(controls!$B$9/100)*100)</f>
        <v>513.75</v>
      </c>
      <c r="AI271" s="36"/>
      <c r="AJ271" s="36"/>
    </row>
    <row r="272" spans="1:36">
      <c r="A272" s="43">
        <v>269</v>
      </c>
      <c r="B272" s="62">
        <f ca="1">IF(controls!$B$6=2,AVERAGE(E268:E271)+B271*W272+hystere!$AG$9,AVERAGE(E268:E271)+B271*W272)</f>
        <v>1.1000000000000001</v>
      </c>
      <c r="C272" s="67">
        <f t="shared" ca="1" si="25"/>
        <v>0</v>
      </c>
      <c r="D272" s="88">
        <f t="shared" ca="1" si="26"/>
        <v>-1</v>
      </c>
      <c r="E272" s="64">
        <f t="shared" ca="1" si="27"/>
        <v>0.1</v>
      </c>
      <c r="F272" s="64">
        <f ca="1">IF('main page'!$K$34=1,hystere!H272,hystere!G272)</f>
        <v>-915.50000000000011</v>
      </c>
      <c r="G272" s="78">
        <f ca="1">I272-'main page'!$K$27*hystere!N271</f>
        <v>-915.50000000000011</v>
      </c>
      <c r="H272" s="62">
        <f ca="1">J272-'main page'!$K$27*N271</f>
        <v>-915.50000000000011</v>
      </c>
      <c r="I272" s="62">
        <f t="shared" ca="1" si="22"/>
        <v>108</v>
      </c>
      <c r="J272" s="62">
        <f t="shared" ca="1" si="23"/>
        <v>108</v>
      </c>
      <c r="M272" s="62">
        <f ca="1">IF(ABS('main page'!$K$29*M271+(1-'main page'!$K$29)*(controls!$B$9/100)*100+'main page'!$K$25*(E272-B272)-M271)&lt;0.0000001,M271,'main page'!$K$29*M271+(1-'main page'!$K$29)*(controls!$B$9/100)*100+'main page'!$K$25*(E272-B272))</f>
        <v>-512.75</v>
      </c>
      <c r="N272" s="62">
        <f ca="1">IF(controls!$B$10=1,N271,O272-'main page'!$K$29*M272-(1-'main page'!$K$29)*controls!$B$9)</f>
        <v>512.75</v>
      </c>
      <c r="O272" s="61">
        <f t="shared" ca="1" si="24"/>
        <v>0</v>
      </c>
      <c r="P272" s="63">
        <f ca="1">IF(controls!$B$10=1,hystere!N272+hystere!M272,hystere!Q272)</f>
        <v>-587.98749999999995</v>
      </c>
      <c r="Q272" s="61">
        <f ca="1">IF('main page'!$Y$53=1,'choose m.p.'!$I$22*100,R272)</f>
        <v>-587.98749999999995</v>
      </c>
      <c r="R272" s="83">
        <f ca="1">'main page'!$K$29*M272+(1-'main page'!$K$29)*controls!$B$9+S272+(('main page'!$K$25*'main page'!$U$13*'main page'!$K$29)/('main page'!$K$27*(1+('main page'!$K$25^2)*'main page'!$U$13)))*(M272-(controls!$B$9/100)*100)</f>
        <v>-587.98749999999995</v>
      </c>
      <c r="S272" s="81">
        <f ca="1">IF(controls!$B$33=1,(J273-E272*X273-B272)/'main page'!$K$27,(I273-E272*X273-B272)/'main page'!$K$27)</f>
        <v>53.45</v>
      </c>
      <c r="U272" s="58">
        <f>IF(controls!$B$6=1,$AG$4*(1+('main page'!$K$35/100))^V272-$AG$4*(1+('main page'!$K$35/100))^V271,$AG$4*(1+('main page'!$G$8/100))*(1+('main page'!$K$35/100))^V272-$AG$4*(1+('main page'!$G$8/100))*(1+('main page'!$K$35/100))^V271)</f>
        <v>0</v>
      </c>
      <c r="V272" s="60">
        <v>264</v>
      </c>
      <c r="W272" s="36">
        <f>'normal case'!AC271</f>
        <v>0</v>
      </c>
      <c r="X272" s="36">
        <f>'normal case'!AD271</f>
        <v>0</v>
      </c>
      <c r="Y272" s="44">
        <f ca="1">IF(controls!$B$33=1,E272-($J$4-'main page'!$K$27*2)*(1+('main page'!$K$35/100))^A271,E272-$AG$5)</f>
        <v>-99.9</v>
      </c>
      <c r="Z272" s="44">
        <f ca="1">ABS(M272-(controls!$B$9/100)*100)</f>
        <v>514.75</v>
      </c>
      <c r="AI272" s="36"/>
      <c r="AJ272" s="36"/>
    </row>
    <row r="273" spans="1:36">
      <c r="A273" s="43">
        <v>270</v>
      </c>
      <c r="B273" s="62">
        <f ca="1">IF(controls!$B$6=2,AVERAGE(E269:E272)+B272*W273+hystere!$AG$9,AVERAGE(E269:E272)+B272*W273)</f>
        <v>1.1000000000000001</v>
      </c>
      <c r="C273" s="67">
        <f t="shared" ca="1" si="25"/>
        <v>0</v>
      </c>
      <c r="D273" s="88">
        <f t="shared" ca="1" si="26"/>
        <v>-1</v>
      </c>
      <c r="E273" s="64">
        <f t="shared" ca="1" si="27"/>
        <v>0.1</v>
      </c>
      <c r="F273" s="64">
        <f ca="1">IF('main page'!$K$34=1,hystere!H273,hystere!G273)</f>
        <v>-917.5</v>
      </c>
      <c r="G273" s="78">
        <f ca="1">I273-'main page'!$K$27*hystere!N272</f>
        <v>-917.5</v>
      </c>
      <c r="H273" s="62">
        <f ca="1">J273-'main page'!$K$27*N272</f>
        <v>-917.5</v>
      </c>
      <c r="I273" s="62">
        <f t="shared" ca="1" si="22"/>
        <v>108</v>
      </c>
      <c r="J273" s="62">
        <f t="shared" ca="1" si="23"/>
        <v>108</v>
      </c>
      <c r="M273" s="62">
        <f ca="1">IF(ABS('main page'!$K$29*M272+(1-'main page'!$K$29)*(controls!$B$9/100)*100+'main page'!$K$25*(E273-B273)-M272)&lt;0.0000001,M272,'main page'!$K$29*M272+(1-'main page'!$K$29)*(controls!$B$9/100)*100+'main page'!$K$25*(E273-B273))</f>
        <v>-513.75</v>
      </c>
      <c r="N273" s="62">
        <f ca="1">IF(controls!$B$10=1,N272,O273-'main page'!$K$29*M273-(1-'main page'!$K$29)*controls!$B$9)</f>
        <v>513.75</v>
      </c>
      <c r="O273" s="61">
        <f t="shared" ca="1" si="24"/>
        <v>0</v>
      </c>
      <c r="P273" s="63">
        <f ca="1">IF(controls!$B$10=1,hystere!N273+hystere!M273,hystere!Q273)</f>
        <v>-589.23749999999995</v>
      </c>
      <c r="Q273" s="61">
        <f ca="1">IF('main page'!$Y$53=1,'choose m.p.'!$I$22*100,R273)</f>
        <v>-589.23749999999995</v>
      </c>
      <c r="R273" s="83">
        <f ca="1">'main page'!$K$29*M273+(1-'main page'!$K$29)*controls!$B$9+S273+(('main page'!$K$25*'main page'!$U$13*'main page'!$K$29)/('main page'!$K$27*(1+('main page'!$K$25^2)*'main page'!$U$13)))*(M273-(controls!$B$9/100)*100)</f>
        <v>-589.23749999999995</v>
      </c>
      <c r="S273" s="81">
        <f ca="1">IF(controls!$B$33=1,(J274-E273*X274-B273)/'main page'!$K$27,(I274-E273*X274-B273)/'main page'!$K$27)</f>
        <v>53.45</v>
      </c>
      <c r="U273" s="58">
        <f>IF(controls!$B$6=1,$AG$4*(1+('main page'!$K$35/100))^V273-$AG$4*(1+('main page'!$K$35/100))^V272,$AG$4*(1+('main page'!$G$8/100))*(1+('main page'!$K$35/100))^V273-$AG$4*(1+('main page'!$G$8/100))*(1+('main page'!$K$35/100))^V272)</f>
        <v>0</v>
      </c>
      <c r="V273" s="60">
        <v>265</v>
      </c>
      <c r="W273" s="36">
        <f ca="1">'normal case'!AC272</f>
        <v>0</v>
      </c>
      <c r="X273" s="36">
        <f ca="1">'normal case'!AD272</f>
        <v>0</v>
      </c>
      <c r="Y273" s="44">
        <f ca="1">IF(controls!$B$33=1,E273-($J$4-'main page'!$K$27*2)*(1+('main page'!$K$35/100))^A272,E273-$AG$5)</f>
        <v>-99.9</v>
      </c>
      <c r="Z273" s="44">
        <f ca="1">ABS(M273-(controls!$B$9/100)*100)</f>
        <v>515.75</v>
      </c>
      <c r="AI273" s="36"/>
      <c r="AJ273" s="36"/>
    </row>
    <row r="274" spans="1:36">
      <c r="A274" s="43">
        <v>271</v>
      </c>
      <c r="B274" s="62">
        <f ca="1">IF(controls!$B$6=2,AVERAGE(E270:E273)+B273*W274+hystere!$AG$9,AVERAGE(E270:E273)+B273*W274)</f>
        <v>1.1000000000000001</v>
      </c>
      <c r="C274" s="67">
        <f t="shared" ca="1" si="25"/>
        <v>0</v>
      </c>
      <c r="D274" s="88">
        <f t="shared" ca="1" si="26"/>
        <v>-1</v>
      </c>
      <c r="E274" s="64">
        <f t="shared" ca="1" si="27"/>
        <v>0.1</v>
      </c>
      <c r="F274" s="64">
        <f ca="1">IF('main page'!$K$34=1,hystere!H274,hystere!G274)</f>
        <v>-919.5</v>
      </c>
      <c r="G274" s="78">
        <f ca="1">I274-'main page'!$K$27*hystere!N273</f>
        <v>-919.5</v>
      </c>
      <c r="H274" s="62">
        <f ca="1">J274-'main page'!$K$27*N273</f>
        <v>-919.5</v>
      </c>
      <c r="I274" s="62">
        <f t="shared" ca="1" si="22"/>
        <v>108</v>
      </c>
      <c r="J274" s="62">
        <f t="shared" ca="1" si="23"/>
        <v>108</v>
      </c>
      <c r="M274" s="62">
        <f ca="1">IF(ABS('main page'!$K$29*M273+(1-'main page'!$K$29)*(controls!$B$9/100)*100+'main page'!$K$25*(E274-B274)-M273)&lt;0.0000001,M273,'main page'!$K$29*M273+(1-'main page'!$K$29)*(controls!$B$9/100)*100+'main page'!$K$25*(E274-B274))</f>
        <v>-514.75</v>
      </c>
      <c r="N274" s="62">
        <f ca="1">IF(controls!$B$10=1,N273,O274-'main page'!$K$29*M274-(1-'main page'!$K$29)*controls!$B$9)</f>
        <v>514.75</v>
      </c>
      <c r="O274" s="61">
        <f t="shared" ca="1" si="24"/>
        <v>0</v>
      </c>
      <c r="P274" s="63">
        <f ca="1">IF(controls!$B$10=1,hystere!N274+hystere!M274,hystere!Q274)</f>
        <v>-590.48749999999995</v>
      </c>
      <c r="Q274" s="61">
        <f ca="1">IF('main page'!$Y$53=1,'choose m.p.'!$I$22*100,R274)</f>
        <v>-590.48749999999995</v>
      </c>
      <c r="R274" s="83">
        <f ca="1">'main page'!$K$29*M274+(1-'main page'!$K$29)*controls!$B$9+S274+(('main page'!$K$25*'main page'!$U$13*'main page'!$K$29)/('main page'!$K$27*(1+('main page'!$K$25^2)*'main page'!$U$13)))*(M274-(controls!$B$9/100)*100)</f>
        <v>-590.48749999999995</v>
      </c>
      <c r="S274" s="81">
        <f ca="1">IF(controls!$B$33=1,(J275-E274*X275-B274)/'main page'!$K$27,(I275-E274*X275-B274)/'main page'!$K$27)</f>
        <v>53.45</v>
      </c>
      <c r="U274" s="58">
        <f>IF(controls!$B$6=1,$AG$4*(1+('main page'!$K$35/100))^V274-$AG$4*(1+('main page'!$K$35/100))^V273,$AG$4*(1+('main page'!$G$8/100))*(1+('main page'!$K$35/100))^V274-$AG$4*(1+('main page'!$G$8/100))*(1+('main page'!$K$35/100))^V273)</f>
        <v>0</v>
      </c>
      <c r="V274" s="60">
        <v>266</v>
      </c>
      <c r="W274" s="36">
        <f>'normal case'!AC273</f>
        <v>0</v>
      </c>
      <c r="X274" s="36">
        <f>'normal case'!AD273</f>
        <v>0</v>
      </c>
      <c r="Y274" s="44">
        <f ca="1">IF(controls!$B$33=1,E274-($J$4-'main page'!$K$27*2)*(1+('main page'!$K$35/100))^A273,E274-$AG$5)</f>
        <v>-99.9</v>
      </c>
      <c r="Z274" s="44">
        <f ca="1">ABS(M274-(controls!$B$9/100)*100)</f>
        <v>516.75</v>
      </c>
      <c r="AI274" s="36"/>
      <c r="AJ274" s="36"/>
    </row>
    <row r="275" spans="1:36">
      <c r="A275" s="43">
        <v>272</v>
      </c>
      <c r="B275" s="62">
        <f ca="1">IF(controls!$B$6=2,AVERAGE(E271:E274)+B274*W275+hystere!$AG$9,AVERAGE(E271:E274)+B274*W275)</f>
        <v>1.1000000000000001</v>
      </c>
      <c r="C275" s="67">
        <f t="shared" ca="1" si="25"/>
        <v>0</v>
      </c>
      <c r="D275" s="88">
        <f t="shared" ca="1" si="26"/>
        <v>-1</v>
      </c>
      <c r="E275" s="64">
        <f t="shared" ca="1" si="27"/>
        <v>0.1</v>
      </c>
      <c r="F275" s="64">
        <f ca="1">IF('main page'!$K$34=1,hystere!H275,hystere!G275)</f>
        <v>-921.5</v>
      </c>
      <c r="G275" s="78">
        <f ca="1">I275-'main page'!$K$27*hystere!N274</f>
        <v>-921.5</v>
      </c>
      <c r="H275" s="62">
        <f ca="1">J275-'main page'!$K$27*N274</f>
        <v>-921.5</v>
      </c>
      <c r="I275" s="62">
        <f t="shared" ca="1" si="22"/>
        <v>108</v>
      </c>
      <c r="J275" s="62">
        <f t="shared" ca="1" si="23"/>
        <v>108</v>
      </c>
      <c r="M275" s="62">
        <f ca="1">IF(ABS('main page'!$K$29*M274+(1-'main page'!$K$29)*(controls!$B$9/100)*100+'main page'!$K$25*(E275-B275)-M274)&lt;0.0000001,M274,'main page'!$K$29*M274+(1-'main page'!$K$29)*(controls!$B$9/100)*100+'main page'!$K$25*(E275-B275))</f>
        <v>-515.75</v>
      </c>
      <c r="N275" s="62">
        <f ca="1">IF(controls!$B$10=1,N274,O275-'main page'!$K$29*M275-(1-'main page'!$K$29)*controls!$B$9)</f>
        <v>515.75</v>
      </c>
      <c r="O275" s="61">
        <f t="shared" ca="1" si="24"/>
        <v>0</v>
      </c>
      <c r="P275" s="63">
        <f ca="1">IF(controls!$B$10=1,hystere!N275+hystere!M275,hystere!Q275)</f>
        <v>-591.73749999999995</v>
      </c>
      <c r="Q275" s="61">
        <f ca="1">IF('main page'!$Y$53=1,'choose m.p.'!$I$22*100,R275)</f>
        <v>-591.73749999999995</v>
      </c>
      <c r="R275" s="83">
        <f ca="1">'main page'!$K$29*M275+(1-'main page'!$K$29)*controls!$B$9+S275+(('main page'!$K$25*'main page'!$U$13*'main page'!$K$29)/('main page'!$K$27*(1+('main page'!$K$25^2)*'main page'!$U$13)))*(M275-(controls!$B$9/100)*100)</f>
        <v>-591.73749999999995</v>
      </c>
      <c r="S275" s="81">
        <f ca="1">IF(controls!$B$33=1,(J276-E275*X276-B275)/'main page'!$K$27,(I276-E275*X276-B275)/'main page'!$K$27)</f>
        <v>53.45</v>
      </c>
      <c r="U275" s="58">
        <f>IF(controls!$B$6=1,$AG$4*(1+('main page'!$K$35/100))^V275-$AG$4*(1+('main page'!$K$35/100))^V274,$AG$4*(1+('main page'!$G$8/100))*(1+('main page'!$K$35/100))^V275-$AG$4*(1+('main page'!$G$8/100))*(1+('main page'!$K$35/100))^V274)</f>
        <v>0</v>
      </c>
      <c r="V275" s="60">
        <v>267</v>
      </c>
      <c r="W275" s="36">
        <f>'normal case'!AC274</f>
        <v>0</v>
      </c>
      <c r="X275" s="36">
        <f>'normal case'!AD274</f>
        <v>0</v>
      </c>
      <c r="Y275" s="44">
        <f ca="1">IF(controls!$B$33=1,E275-($J$4-'main page'!$K$27*2)*(1+('main page'!$K$35/100))^A274,E275-$AG$5)</f>
        <v>-99.9</v>
      </c>
      <c r="Z275" s="44">
        <f ca="1">ABS(M275-(controls!$B$9/100)*100)</f>
        <v>517.75</v>
      </c>
      <c r="AI275" s="36"/>
      <c r="AJ275" s="36"/>
    </row>
    <row r="276" spans="1:36">
      <c r="A276" s="43">
        <v>273</v>
      </c>
      <c r="B276" s="62">
        <f ca="1">IF(controls!$B$6=2,AVERAGE(E272:E275)+B275*W276+hystere!$AG$9,AVERAGE(E272:E275)+B275*W276)</f>
        <v>1.1000000000000001</v>
      </c>
      <c r="C276" s="67">
        <f t="shared" ca="1" si="25"/>
        <v>0</v>
      </c>
      <c r="D276" s="88">
        <f t="shared" ca="1" si="26"/>
        <v>-1</v>
      </c>
      <c r="E276" s="64">
        <f t="shared" ca="1" si="27"/>
        <v>0.1</v>
      </c>
      <c r="F276" s="64">
        <f ca="1">IF('main page'!$K$34=1,hystere!H276,hystere!G276)</f>
        <v>-923.5</v>
      </c>
      <c r="G276" s="78">
        <f ca="1">I276-'main page'!$K$27*hystere!N275</f>
        <v>-923.5</v>
      </c>
      <c r="H276" s="62">
        <f ca="1">J276-'main page'!$K$27*N275</f>
        <v>-923.5</v>
      </c>
      <c r="I276" s="62">
        <f t="shared" ca="1" si="22"/>
        <v>108</v>
      </c>
      <c r="J276" s="62">
        <f t="shared" ca="1" si="23"/>
        <v>108</v>
      </c>
      <c r="M276" s="62">
        <f ca="1">IF(ABS('main page'!$K$29*M275+(1-'main page'!$K$29)*(controls!$B$9/100)*100+'main page'!$K$25*(E276-B276)-M275)&lt;0.0000001,M275,'main page'!$K$29*M275+(1-'main page'!$K$29)*(controls!$B$9/100)*100+'main page'!$K$25*(E276-B276))</f>
        <v>-516.75</v>
      </c>
      <c r="N276" s="62">
        <f ca="1">IF(controls!$B$10=1,N275,O276-'main page'!$K$29*M276-(1-'main page'!$K$29)*controls!$B$9)</f>
        <v>516.75</v>
      </c>
      <c r="O276" s="61">
        <f t="shared" ca="1" si="24"/>
        <v>0</v>
      </c>
      <c r="P276" s="63">
        <f ca="1">IF(controls!$B$10=1,hystere!N276+hystere!M276,hystere!Q276)</f>
        <v>-592.98749999999995</v>
      </c>
      <c r="Q276" s="61">
        <f ca="1">IF('main page'!$Y$53=1,'choose m.p.'!$I$22*100,R276)</f>
        <v>-592.98749999999995</v>
      </c>
      <c r="R276" s="83">
        <f ca="1">'main page'!$K$29*M276+(1-'main page'!$K$29)*controls!$B$9+S276+(('main page'!$K$25*'main page'!$U$13*'main page'!$K$29)/('main page'!$K$27*(1+('main page'!$K$25^2)*'main page'!$U$13)))*(M276-(controls!$B$9/100)*100)</f>
        <v>-592.98749999999995</v>
      </c>
      <c r="S276" s="81">
        <f ca="1">IF(controls!$B$33=1,(J277-E276*X277-B276)/'main page'!$K$27,(I277-E276*X277-B276)/'main page'!$K$27)</f>
        <v>53.45</v>
      </c>
      <c r="U276" s="58">
        <f>IF(controls!$B$6=1,$AG$4*(1+('main page'!$K$35/100))^V276-$AG$4*(1+('main page'!$K$35/100))^V275,$AG$4*(1+('main page'!$G$8/100))*(1+('main page'!$K$35/100))^V276-$AG$4*(1+('main page'!$G$8/100))*(1+('main page'!$K$35/100))^V275)</f>
        <v>0</v>
      </c>
      <c r="V276" s="60">
        <v>268</v>
      </c>
      <c r="W276" s="36">
        <f ca="1">'normal case'!AC275</f>
        <v>0</v>
      </c>
      <c r="X276" s="36">
        <f ca="1">'normal case'!AD275</f>
        <v>0</v>
      </c>
      <c r="Y276" s="44">
        <f ca="1">IF(controls!$B$33=1,E276-($J$4-'main page'!$K$27*2)*(1+('main page'!$K$35/100))^A275,E276-$AG$5)</f>
        <v>-99.9</v>
      </c>
      <c r="Z276" s="44">
        <f ca="1">ABS(M276-(controls!$B$9/100)*100)</f>
        <v>518.75</v>
      </c>
      <c r="AI276" s="36"/>
      <c r="AJ276" s="36"/>
    </row>
    <row r="277" spans="1:36">
      <c r="A277" s="43">
        <v>274</v>
      </c>
      <c r="B277" s="62">
        <f ca="1">IF(controls!$B$6=2,AVERAGE(E273:E276)+B276*W277+hystere!$AG$9,AVERAGE(E273:E276)+B276*W277)</f>
        <v>1.1000000000000001</v>
      </c>
      <c r="C277" s="67">
        <f t="shared" ca="1" si="25"/>
        <v>0</v>
      </c>
      <c r="D277" s="88">
        <f t="shared" ca="1" si="26"/>
        <v>-1</v>
      </c>
      <c r="E277" s="64">
        <f t="shared" ca="1" si="27"/>
        <v>0.1</v>
      </c>
      <c r="F277" s="64">
        <f ca="1">IF('main page'!$K$34=1,hystere!H277,hystere!G277)</f>
        <v>-925.5</v>
      </c>
      <c r="G277" s="78">
        <f ca="1">I277-'main page'!$K$27*hystere!N276</f>
        <v>-925.5</v>
      </c>
      <c r="H277" s="62">
        <f ca="1">J277-'main page'!$K$27*N276</f>
        <v>-925.5</v>
      </c>
      <c r="I277" s="62">
        <f t="shared" ca="1" si="22"/>
        <v>108</v>
      </c>
      <c r="J277" s="62">
        <f t="shared" ca="1" si="23"/>
        <v>108</v>
      </c>
      <c r="M277" s="62">
        <f ca="1">IF(ABS('main page'!$K$29*M276+(1-'main page'!$K$29)*(controls!$B$9/100)*100+'main page'!$K$25*(E277-B277)-M276)&lt;0.0000001,M276,'main page'!$K$29*M276+(1-'main page'!$K$29)*(controls!$B$9/100)*100+'main page'!$K$25*(E277-B277))</f>
        <v>-517.75</v>
      </c>
      <c r="N277" s="62">
        <f ca="1">IF(controls!$B$10=1,N276,O277-'main page'!$K$29*M277-(1-'main page'!$K$29)*controls!$B$9)</f>
        <v>517.75</v>
      </c>
      <c r="O277" s="61">
        <f t="shared" ca="1" si="24"/>
        <v>0</v>
      </c>
      <c r="P277" s="63">
        <f ca="1">IF(controls!$B$10=1,hystere!N277+hystere!M277,hystere!Q277)</f>
        <v>-594.23749999999995</v>
      </c>
      <c r="Q277" s="61">
        <f ca="1">IF('main page'!$Y$53=1,'choose m.p.'!$I$22*100,R277)</f>
        <v>-594.23749999999995</v>
      </c>
      <c r="R277" s="83">
        <f ca="1">'main page'!$K$29*M277+(1-'main page'!$K$29)*controls!$B$9+S277+(('main page'!$K$25*'main page'!$U$13*'main page'!$K$29)/('main page'!$K$27*(1+('main page'!$K$25^2)*'main page'!$U$13)))*(M277-(controls!$B$9/100)*100)</f>
        <v>-594.23749999999995</v>
      </c>
      <c r="S277" s="81">
        <f ca="1">IF(controls!$B$33=1,(J278-E277*X278-B277)/'main page'!$K$27,(I278-E277*X278-B277)/'main page'!$K$27)</f>
        <v>53.45</v>
      </c>
      <c r="U277" s="58">
        <f>IF(controls!$B$6=1,$AG$4*(1+('main page'!$K$35/100))^V277-$AG$4*(1+('main page'!$K$35/100))^V276,$AG$4*(1+('main page'!$G$8/100))*(1+('main page'!$K$35/100))^V277-$AG$4*(1+('main page'!$G$8/100))*(1+('main page'!$K$35/100))^V276)</f>
        <v>0</v>
      </c>
      <c r="V277" s="60">
        <v>269</v>
      </c>
      <c r="W277" s="36">
        <f>'normal case'!AC276</f>
        <v>0</v>
      </c>
      <c r="X277" s="36">
        <f>'normal case'!AD276</f>
        <v>0</v>
      </c>
      <c r="Y277" s="44">
        <f ca="1">IF(controls!$B$33=1,E277-($J$4-'main page'!$K$27*2)*(1+('main page'!$K$35/100))^A276,E277-$AG$5)</f>
        <v>-99.9</v>
      </c>
      <c r="Z277" s="44">
        <f ca="1">ABS(M277-(controls!$B$9/100)*100)</f>
        <v>519.75</v>
      </c>
      <c r="AI277" s="36"/>
      <c r="AJ277" s="36"/>
    </row>
    <row r="278" spans="1:36">
      <c r="A278" s="43">
        <v>275</v>
      </c>
      <c r="B278" s="62">
        <f ca="1">IF(controls!$B$6=2,AVERAGE(E274:E277)+B277*W278+hystere!$AG$9,AVERAGE(E274:E277)+B277*W278)</f>
        <v>1.1000000000000001</v>
      </c>
      <c r="C278" s="67">
        <f t="shared" ca="1" si="25"/>
        <v>0</v>
      </c>
      <c r="D278" s="88">
        <f t="shared" ca="1" si="26"/>
        <v>-1</v>
      </c>
      <c r="E278" s="64">
        <f t="shared" ca="1" si="27"/>
        <v>0.1</v>
      </c>
      <c r="F278" s="64">
        <f ca="1">IF('main page'!$K$34=1,hystere!H278,hystere!G278)</f>
        <v>-927.5</v>
      </c>
      <c r="G278" s="78">
        <f ca="1">I278-'main page'!$K$27*hystere!N277</f>
        <v>-927.5</v>
      </c>
      <c r="H278" s="62">
        <f ca="1">J278-'main page'!$K$27*N277</f>
        <v>-927.5</v>
      </c>
      <c r="I278" s="62">
        <f t="shared" ca="1" si="22"/>
        <v>108</v>
      </c>
      <c r="J278" s="62">
        <f t="shared" ca="1" si="23"/>
        <v>108</v>
      </c>
      <c r="M278" s="62">
        <f ca="1">IF(ABS('main page'!$K$29*M277+(1-'main page'!$K$29)*(controls!$B$9/100)*100+'main page'!$K$25*(E278-B278)-M277)&lt;0.0000001,M277,'main page'!$K$29*M277+(1-'main page'!$K$29)*(controls!$B$9/100)*100+'main page'!$K$25*(E278-B278))</f>
        <v>-518.75</v>
      </c>
      <c r="N278" s="62">
        <f ca="1">IF(controls!$B$10=1,N277,O278-'main page'!$K$29*M278-(1-'main page'!$K$29)*controls!$B$9)</f>
        <v>518.75</v>
      </c>
      <c r="O278" s="61">
        <f t="shared" ca="1" si="24"/>
        <v>0</v>
      </c>
      <c r="P278" s="63">
        <f ca="1">IF(controls!$B$10=1,hystere!N278+hystere!M278,hystere!Q278)</f>
        <v>-595.48749999999995</v>
      </c>
      <c r="Q278" s="61">
        <f ca="1">IF('main page'!$Y$53=1,'choose m.p.'!$I$22*100,R278)</f>
        <v>-595.48749999999995</v>
      </c>
      <c r="R278" s="83">
        <f ca="1">'main page'!$K$29*M278+(1-'main page'!$K$29)*controls!$B$9+S278+(('main page'!$K$25*'main page'!$U$13*'main page'!$K$29)/('main page'!$K$27*(1+('main page'!$K$25^2)*'main page'!$U$13)))*(M278-(controls!$B$9/100)*100)</f>
        <v>-595.48749999999995</v>
      </c>
      <c r="S278" s="81">
        <f ca="1">IF(controls!$B$33=1,(J279-E278*X279-B278)/'main page'!$K$27,(I279-E278*X279-B278)/'main page'!$K$27)</f>
        <v>53.45</v>
      </c>
      <c r="U278" s="58">
        <f>IF(controls!$B$6=1,$AG$4*(1+('main page'!$K$35/100))^V278-$AG$4*(1+('main page'!$K$35/100))^V277,$AG$4*(1+('main page'!$G$8/100))*(1+('main page'!$K$35/100))^V278-$AG$4*(1+('main page'!$G$8/100))*(1+('main page'!$K$35/100))^V277)</f>
        <v>0</v>
      </c>
      <c r="V278" s="60">
        <v>270</v>
      </c>
      <c r="W278" s="36">
        <f>'normal case'!AC277</f>
        <v>0</v>
      </c>
      <c r="X278" s="36">
        <f>'normal case'!AD277</f>
        <v>0</v>
      </c>
      <c r="Y278" s="44">
        <f ca="1">IF(controls!$B$33=1,E278-($J$4-'main page'!$K$27*2)*(1+('main page'!$K$35/100))^A277,E278-$AG$5)</f>
        <v>-99.9</v>
      </c>
      <c r="Z278" s="44">
        <f ca="1">ABS(M278-(controls!$B$9/100)*100)</f>
        <v>520.75</v>
      </c>
      <c r="AI278" s="36"/>
      <c r="AJ278" s="36"/>
    </row>
    <row r="279" spans="1:36">
      <c r="A279" s="43">
        <v>276</v>
      </c>
      <c r="B279" s="62">
        <f ca="1">IF(controls!$B$6=2,AVERAGE(E275:E278)+B278*W279+hystere!$AG$9,AVERAGE(E275:E278)+B278*W279)</f>
        <v>1.1000000000000001</v>
      </c>
      <c r="C279" s="67">
        <f t="shared" ca="1" si="25"/>
        <v>0</v>
      </c>
      <c r="D279" s="88">
        <f t="shared" ca="1" si="26"/>
        <v>-1</v>
      </c>
      <c r="E279" s="64">
        <f t="shared" ca="1" si="27"/>
        <v>0.1</v>
      </c>
      <c r="F279" s="64">
        <f ca="1">IF('main page'!$K$34=1,hystere!H279,hystere!G279)</f>
        <v>-929.5</v>
      </c>
      <c r="G279" s="78">
        <f ca="1">I279-'main page'!$K$27*hystere!N278</f>
        <v>-929.5</v>
      </c>
      <c r="H279" s="62">
        <f ca="1">J279-'main page'!$K$27*N278</f>
        <v>-929.5</v>
      </c>
      <c r="I279" s="62">
        <f t="shared" ca="1" si="22"/>
        <v>108</v>
      </c>
      <c r="J279" s="62">
        <f t="shared" ca="1" si="23"/>
        <v>108</v>
      </c>
      <c r="M279" s="62">
        <f ca="1">IF(ABS('main page'!$K$29*M278+(1-'main page'!$K$29)*(controls!$B$9/100)*100+'main page'!$K$25*(E279-B279)-M278)&lt;0.0000001,M278,'main page'!$K$29*M278+(1-'main page'!$K$29)*(controls!$B$9/100)*100+'main page'!$K$25*(E279-B279))</f>
        <v>-519.75</v>
      </c>
      <c r="N279" s="62">
        <f ca="1">IF(controls!$B$10=1,N278,O279-'main page'!$K$29*M279-(1-'main page'!$K$29)*controls!$B$9)</f>
        <v>519.75</v>
      </c>
      <c r="O279" s="61">
        <f t="shared" ca="1" si="24"/>
        <v>0</v>
      </c>
      <c r="P279" s="63">
        <f ca="1">IF(controls!$B$10=1,hystere!N279+hystere!M279,hystere!Q279)</f>
        <v>-596.73749999999995</v>
      </c>
      <c r="Q279" s="61">
        <f ca="1">IF('main page'!$Y$53=1,'choose m.p.'!$I$22*100,R279)</f>
        <v>-596.73749999999995</v>
      </c>
      <c r="R279" s="83">
        <f ca="1">'main page'!$K$29*M279+(1-'main page'!$K$29)*controls!$B$9+S279+(('main page'!$K$25*'main page'!$U$13*'main page'!$K$29)/('main page'!$K$27*(1+('main page'!$K$25^2)*'main page'!$U$13)))*(M279-(controls!$B$9/100)*100)</f>
        <v>-596.73749999999995</v>
      </c>
      <c r="S279" s="81">
        <f ca="1">IF(controls!$B$33=1,(J280-E279*X280-B279)/'main page'!$K$27,(I280-E279*X280-B279)/'main page'!$K$27)</f>
        <v>53.45</v>
      </c>
      <c r="U279" s="58">
        <f>IF(controls!$B$6=1,$AG$4*(1+('main page'!$K$35/100))^V279-$AG$4*(1+('main page'!$K$35/100))^V278,$AG$4*(1+('main page'!$G$8/100))*(1+('main page'!$K$35/100))^V279-$AG$4*(1+('main page'!$G$8/100))*(1+('main page'!$K$35/100))^V278)</f>
        <v>0</v>
      </c>
      <c r="V279" s="60">
        <v>271</v>
      </c>
      <c r="W279" s="36">
        <f ca="1">'normal case'!AC278</f>
        <v>0</v>
      </c>
      <c r="X279" s="36">
        <f ca="1">'normal case'!AD278</f>
        <v>0</v>
      </c>
      <c r="Y279" s="44">
        <f ca="1">IF(controls!$B$33=1,E279-($J$4-'main page'!$K$27*2)*(1+('main page'!$K$35/100))^A278,E279-$AG$5)</f>
        <v>-99.9</v>
      </c>
      <c r="Z279" s="44">
        <f ca="1">ABS(M279-(controls!$B$9/100)*100)</f>
        <v>521.75</v>
      </c>
      <c r="AI279" s="36"/>
      <c r="AJ279" s="36"/>
    </row>
    <row r="280" spans="1:36">
      <c r="A280" s="43">
        <v>277</v>
      </c>
      <c r="B280" s="62">
        <f ca="1">IF(controls!$B$6=2,AVERAGE(E276:E279)+B279*W280+hystere!$AG$9,AVERAGE(E276:E279)+B279*W280)</f>
        <v>1.1000000000000001</v>
      </c>
      <c r="C280" s="67">
        <f t="shared" ca="1" si="25"/>
        <v>0</v>
      </c>
      <c r="D280" s="88">
        <f t="shared" ca="1" si="26"/>
        <v>-1</v>
      </c>
      <c r="E280" s="64">
        <f t="shared" ca="1" si="27"/>
        <v>0.1</v>
      </c>
      <c r="F280" s="64">
        <f ca="1">IF('main page'!$K$34=1,hystere!H280,hystere!G280)</f>
        <v>-931.5</v>
      </c>
      <c r="G280" s="78">
        <f ca="1">I280-'main page'!$K$27*hystere!N279</f>
        <v>-931.5</v>
      </c>
      <c r="H280" s="62">
        <f ca="1">J280-'main page'!$K$27*N279</f>
        <v>-931.5</v>
      </c>
      <c r="I280" s="62">
        <f t="shared" ca="1" si="22"/>
        <v>108</v>
      </c>
      <c r="J280" s="62">
        <f t="shared" ca="1" si="23"/>
        <v>108</v>
      </c>
      <c r="M280" s="62">
        <f ca="1">IF(ABS('main page'!$K$29*M279+(1-'main page'!$K$29)*(controls!$B$9/100)*100+'main page'!$K$25*(E280-B280)-M279)&lt;0.0000001,M279,'main page'!$K$29*M279+(1-'main page'!$K$29)*(controls!$B$9/100)*100+'main page'!$K$25*(E280-B280))</f>
        <v>-520.75</v>
      </c>
      <c r="N280" s="62">
        <f ca="1">IF(controls!$B$10=1,N279,O280-'main page'!$K$29*M280-(1-'main page'!$K$29)*controls!$B$9)</f>
        <v>520.75</v>
      </c>
      <c r="O280" s="61">
        <f t="shared" ca="1" si="24"/>
        <v>0</v>
      </c>
      <c r="P280" s="63">
        <f ca="1">IF(controls!$B$10=1,hystere!N280+hystere!M280,hystere!Q280)</f>
        <v>-597.98749999999995</v>
      </c>
      <c r="Q280" s="61">
        <f ca="1">IF('main page'!$Y$53=1,'choose m.p.'!$I$22*100,R280)</f>
        <v>-597.98749999999995</v>
      </c>
      <c r="R280" s="83">
        <f ca="1">'main page'!$K$29*M280+(1-'main page'!$K$29)*controls!$B$9+S280+(('main page'!$K$25*'main page'!$U$13*'main page'!$K$29)/('main page'!$K$27*(1+('main page'!$K$25^2)*'main page'!$U$13)))*(M280-(controls!$B$9/100)*100)</f>
        <v>-597.98749999999995</v>
      </c>
      <c r="S280" s="81">
        <f ca="1">IF(controls!$B$33=1,(J281-E280*X281-B280)/'main page'!$K$27,(I281-E280*X281-B280)/'main page'!$K$27)</f>
        <v>53.45</v>
      </c>
      <c r="U280" s="58">
        <f>IF(controls!$B$6=1,$AG$4*(1+('main page'!$K$35/100))^V280-$AG$4*(1+('main page'!$K$35/100))^V279,$AG$4*(1+('main page'!$G$8/100))*(1+('main page'!$K$35/100))^V280-$AG$4*(1+('main page'!$G$8/100))*(1+('main page'!$K$35/100))^V279)</f>
        <v>0</v>
      </c>
      <c r="V280" s="60">
        <v>272</v>
      </c>
      <c r="W280" s="36">
        <f>'normal case'!AC279</f>
        <v>0</v>
      </c>
      <c r="X280" s="36">
        <f>'normal case'!AD279</f>
        <v>0</v>
      </c>
      <c r="Y280" s="44">
        <f ca="1">IF(controls!$B$33=1,E280-($J$4-'main page'!$K$27*2)*(1+('main page'!$K$35/100))^A279,E280-$AG$5)</f>
        <v>-99.9</v>
      </c>
      <c r="Z280" s="44">
        <f ca="1">ABS(M280-(controls!$B$9/100)*100)</f>
        <v>522.75</v>
      </c>
      <c r="AI280" s="36"/>
      <c r="AJ280" s="36"/>
    </row>
    <row r="281" spans="1:36">
      <c r="A281" s="43">
        <v>278</v>
      </c>
      <c r="B281" s="62">
        <f ca="1">IF(controls!$B$6=2,AVERAGE(E277:E280)+B280*W281+hystere!$AG$9,AVERAGE(E277:E280)+B280*W281)</f>
        <v>1.1000000000000001</v>
      </c>
      <c r="C281" s="67">
        <f t="shared" ca="1" si="25"/>
        <v>0</v>
      </c>
      <c r="D281" s="88">
        <f t="shared" ca="1" si="26"/>
        <v>-1</v>
      </c>
      <c r="E281" s="64">
        <f t="shared" ca="1" si="27"/>
        <v>0.1</v>
      </c>
      <c r="F281" s="64">
        <f ca="1">IF('main page'!$K$34=1,hystere!H281,hystere!G281)</f>
        <v>-933.5</v>
      </c>
      <c r="G281" s="78">
        <f ca="1">I281-'main page'!$K$27*hystere!N280</f>
        <v>-933.5</v>
      </c>
      <c r="H281" s="62">
        <f ca="1">J281-'main page'!$K$27*N280</f>
        <v>-933.5</v>
      </c>
      <c r="I281" s="62">
        <f t="shared" ref="I281:I344" ca="1" si="28">I280+E280*X281</f>
        <v>108</v>
      </c>
      <c r="J281" s="62">
        <f t="shared" ref="J281:J344" ca="1" si="29">J280+E280*X281+U281</f>
        <v>108</v>
      </c>
      <c r="M281" s="62">
        <f ca="1">IF(ABS('main page'!$K$29*M280+(1-'main page'!$K$29)*(controls!$B$9/100)*100+'main page'!$K$25*(E281-B281)-M280)&lt;0.0000001,M280,'main page'!$K$29*M280+(1-'main page'!$K$29)*(controls!$B$9/100)*100+'main page'!$K$25*(E281-B281))</f>
        <v>-521.75</v>
      </c>
      <c r="N281" s="62">
        <f ca="1">IF(controls!$B$10=1,N280,O281-'main page'!$K$29*M281-(1-'main page'!$K$29)*controls!$B$9)</f>
        <v>521.75</v>
      </c>
      <c r="O281" s="61">
        <f t="shared" ca="1" si="24"/>
        <v>0</v>
      </c>
      <c r="P281" s="63">
        <f ca="1">IF(controls!$B$10=1,hystere!N281+hystere!M281,hystere!Q281)</f>
        <v>-599.23749999999995</v>
      </c>
      <c r="Q281" s="61">
        <f ca="1">IF('main page'!$Y$53=1,'choose m.p.'!$I$22*100,R281)</f>
        <v>-599.23749999999995</v>
      </c>
      <c r="R281" s="83">
        <f ca="1">'main page'!$K$29*M281+(1-'main page'!$K$29)*controls!$B$9+S281+(('main page'!$K$25*'main page'!$U$13*'main page'!$K$29)/('main page'!$K$27*(1+('main page'!$K$25^2)*'main page'!$U$13)))*(M281-(controls!$B$9/100)*100)</f>
        <v>-599.23749999999995</v>
      </c>
      <c r="S281" s="81">
        <f ca="1">IF(controls!$B$33=1,(J282-E281*X282-B281)/'main page'!$K$27,(I282-E281*X282-B281)/'main page'!$K$27)</f>
        <v>53.45</v>
      </c>
      <c r="U281" s="58">
        <f>IF(controls!$B$6=1,$AG$4*(1+('main page'!$K$35/100))^V281-$AG$4*(1+('main page'!$K$35/100))^V280,$AG$4*(1+('main page'!$G$8/100))*(1+('main page'!$K$35/100))^V281-$AG$4*(1+('main page'!$G$8/100))*(1+('main page'!$K$35/100))^V280)</f>
        <v>0</v>
      </c>
      <c r="V281" s="60">
        <v>273</v>
      </c>
      <c r="W281" s="36">
        <f>'normal case'!AC280</f>
        <v>0</v>
      </c>
      <c r="X281" s="36">
        <f>'normal case'!AD280</f>
        <v>0</v>
      </c>
      <c r="Y281" s="44">
        <f ca="1">IF(controls!$B$33=1,E281-($J$4-'main page'!$K$27*2)*(1+('main page'!$K$35/100))^A280,E281-$AG$5)</f>
        <v>-99.9</v>
      </c>
      <c r="Z281" s="44">
        <f ca="1">ABS(M281-(controls!$B$9/100)*100)</f>
        <v>523.75</v>
      </c>
      <c r="AI281" s="36"/>
      <c r="AJ281" s="36"/>
    </row>
    <row r="282" spans="1:36">
      <c r="A282" s="43">
        <v>279</v>
      </c>
      <c r="B282" s="62">
        <f ca="1">IF(controls!$B$6=2,AVERAGE(E278:E281)+B281*W282+hystere!$AG$9,AVERAGE(E278:E281)+B281*W282)</f>
        <v>1.1000000000000001</v>
      </c>
      <c r="C282" s="67">
        <f t="shared" ca="1" si="25"/>
        <v>0</v>
      </c>
      <c r="D282" s="88">
        <f t="shared" ca="1" si="26"/>
        <v>-1</v>
      </c>
      <c r="E282" s="64">
        <f t="shared" ca="1" si="27"/>
        <v>0.1</v>
      </c>
      <c r="F282" s="64">
        <f ca="1">IF('main page'!$K$34=1,hystere!H282,hystere!G282)</f>
        <v>-935.5</v>
      </c>
      <c r="G282" s="78">
        <f ca="1">I282-'main page'!$K$27*hystere!N281</f>
        <v>-935.5</v>
      </c>
      <c r="H282" s="62">
        <f ca="1">J282-'main page'!$K$27*N281</f>
        <v>-935.5</v>
      </c>
      <c r="I282" s="62">
        <f t="shared" ca="1" si="28"/>
        <v>108</v>
      </c>
      <c r="J282" s="62">
        <f t="shared" ca="1" si="29"/>
        <v>108</v>
      </c>
      <c r="M282" s="62">
        <f ca="1">IF(ABS('main page'!$K$29*M281+(1-'main page'!$K$29)*(controls!$B$9/100)*100+'main page'!$K$25*(E282-B282)-M281)&lt;0.0000001,M281,'main page'!$K$29*M281+(1-'main page'!$K$29)*(controls!$B$9/100)*100+'main page'!$K$25*(E282-B282))</f>
        <v>-522.75</v>
      </c>
      <c r="N282" s="62">
        <f ca="1">IF(controls!$B$10=1,N281,O282-'main page'!$K$29*M282-(1-'main page'!$K$29)*controls!$B$9)</f>
        <v>522.75</v>
      </c>
      <c r="O282" s="61">
        <f t="shared" ca="1" si="24"/>
        <v>0</v>
      </c>
      <c r="P282" s="63">
        <f ca="1">IF(controls!$B$10=1,hystere!N282+hystere!M282,hystere!Q282)</f>
        <v>-600.48749999999995</v>
      </c>
      <c r="Q282" s="61">
        <f ca="1">IF('main page'!$Y$53=1,'choose m.p.'!$I$22*100,R282)</f>
        <v>-600.48749999999995</v>
      </c>
      <c r="R282" s="83">
        <f ca="1">'main page'!$K$29*M282+(1-'main page'!$K$29)*controls!$B$9+S282+(('main page'!$K$25*'main page'!$U$13*'main page'!$K$29)/('main page'!$K$27*(1+('main page'!$K$25^2)*'main page'!$U$13)))*(M282-(controls!$B$9/100)*100)</f>
        <v>-600.48749999999995</v>
      </c>
      <c r="S282" s="81">
        <f ca="1">IF(controls!$B$33=1,(J283-E282*X283-B282)/'main page'!$K$27,(I283-E282*X283-B282)/'main page'!$K$27)</f>
        <v>53.45</v>
      </c>
      <c r="U282" s="58">
        <f>IF(controls!$B$6=1,$AG$4*(1+('main page'!$K$35/100))^V282-$AG$4*(1+('main page'!$K$35/100))^V281,$AG$4*(1+('main page'!$G$8/100))*(1+('main page'!$K$35/100))^V282-$AG$4*(1+('main page'!$G$8/100))*(1+('main page'!$K$35/100))^V281)</f>
        <v>0</v>
      </c>
      <c r="V282" s="60">
        <v>274</v>
      </c>
      <c r="W282" s="36">
        <f ca="1">'normal case'!AC281</f>
        <v>0</v>
      </c>
      <c r="X282" s="36">
        <f ca="1">'normal case'!AD281</f>
        <v>0</v>
      </c>
      <c r="Y282" s="44">
        <f ca="1">IF(controls!$B$33=1,E282-($J$4-'main page'!$K$27*2)*(1+('main page'!$K$35/100))^A281,E282-$AG$5)</f>
        <v>-99.9</v>
      </c>
      <c r="Z282" s="44">
        <f ca="1">ABS(M282-(controls!$B$9/100)*100)</f>
        <v>524.75</v>
      </c>
      <c r="AI282" s="36"/>
      <c r="AJ282" s="36"/>
    </row>
    <row r="283" spans="1:36">
      <c r="A283" s="43">
        <v>280</v>
      </c>
      <c r="B283" s="62">
        <f ca="1">IF(controls!$B$6=2,AVERAGE(E279:E282)+B282*W283+hystere!$AG$9,AVERAGE(E279:E282)+B282*W283)</f>
        <v>1.1000000000000001</v>
      </c>
      <c r="C283" s="67">
        <f t="shared" ca="1" si="25"/>
        <v>0</v>
      </c>
      <c r="D283" s="88">
        <f t="shared" ca="1" si="26"/>
        <v>-1</v>
      </c>
      <c r="E283" s="64">
        <f t="shared" ca="1" si="27"/>
        <v>0.1</v>
      </c>
      <c r="F283" s="64">
        <f ca="1">IF('main page'!$K$34=1,hystere!H283,hystere!G283)</f>
        <v>-937.5</v>
      </c>
      <c r="G283" s="78">
        <f ca="1">I283-'main page'!$K$27*hystere!N282</f>
        <v>-937.5</v>
      </c>
      <c r="H283" s="62">
        <f ca="1">J283-'main page'!$K$27*N282</f>
        <v>-937.5</v>
      </c>
      <c r="I283" s="62">
        <f t="shared" ca="1" si="28"/>
        <v>108</v>
      </c>
      <c r="J283" s="62">
        <f t="shared" ca="1" si="29"/>
        <v>108</v>
      </c>
      <c r="M283" s="62">
        <f ca="1">IF(ABS('main page'!$K$29*M282+(1-'main page'!$K$29)*(controls!$B$9/100)*100+'main page'!$K$25*(E283-B283)-M282)&lt;0.0000001,M282,'main page'!$K$29*M282+(1-'main page'!$K$29)*(controls!$B$9/100)*100+'main page'!$K$25*(E283-B283))</f>
        <v>-523.75</v>
      </c>
      <c r="N283" s="62">
        <f ca="1">IF(controls!$B$10=1,N282,O283-'main page'!$K$29*M283-(1-'main page'!$K$29)*controls!$B$9)</f>
        <v>523.75</v>
      </c>
      <c r="O283" s="61">
        <f t="shared" ca="1" si="24"/>
        <v>0</v>
      </c>
      <c r="P283" s="63">
        <f ca="1">IF(controls!$B$10=1,hystere!N283+hystere!M283,hystere!Q283)</f>
        <v>-601.73749999999995</v>
      </c>
      <c r="Q283" s="61">
        <f ca="1">IF('main page'!$Y$53=1,'choose m.p.'!$I$22*100,R283)</f>
        <v>-601.73749999999995</v>
      </c>
      <c r="R283" s="83">
        <f ca="1">'main page'!$K$29*M283+(1-'main page'!$K$29)*controls!$B$9+S283+(('main page'!$K$25*'main page'!$U$13*'main page'!$K$29)/('main page'!$K$27*(1+('main page'!$K$25^2)*'main page'!$U$13)))*(M283-(controls!$B$9/100)*100)</f>
        <v>-601.73749999999995</v>
      </c>
      <c r="S283" s="81">
        <f ca="1">IF(controls!$B$33=1,(J284-E283*X284-B283)/'main page'!$K$27,(I284-E283*X284-B283)/'main page'!$K$27)</f>
        <v>53.45</v>
      </c>
      <c r="U283" s="58">
        <f>IF(controls!$B$6=1,$AG$4*(1+('main page'!$K$35/100))^V283-$AG$4*(1+('main page'!$K$35/100))^V282,$AG$4*(1+('main page'!$G$8/100))*(1+('main page'!$K$35/100))^V283-$AG$4*(1+('main page'!$G$8/100))*(1+('main page'!$K$35/100))^V282)</f>
        <v>0</v>
      </c>
      <c r="V283" s="60">
        <v>275</v>
      </c>
      <c r="W283" s="36">
        <f>'normal case'!AC282</f>
        <v>0</v>
      </c>
      <c r="X283" s="36">
        <f>'normal case'!AD282</f>
        <v>0</v>
      </c>
      <c r="Y283" s="44">
        <f ca="1">IF(controls!$B$33=1,E283-($J$4-'main page'!$K$27*2)*(1+('main page'!$K$35/100))^A282,E283-$AG$5)</f>
        <v>-99.9</v>
      </c>
      <c r="Z283" s="44">
        <f ca="1">ABS(M283-(controls!$B$9/100)*100)</f>
        <v>525.75</v>
      </c>
      <c r="AI283" s="36"/>
      <c r="AJ283" s="36"/>
    </row>
    <row r="284" spans="1:36">
      <c r="A284" s="43">
        <v>281</v>
      </c>
      <c r="B284" s="62">
        <f ca="1">IF(controls!$B$6=2,AVERAGE(E280:E283)+B283*W284+hystere!$AG$9,AVERAGE(E280:E283)+B283*W284)</f>
        <v>1.1000000000000001</v>
      </c>
      <c r="C284" s="67">
        <f t="shared" ca="1" si="25"/>
        <v>0</v>
      </c>
      <c r="D284" s="88">
        <f t="shared" ca="1" si="26"/>
        <v>-1</v>
      </c>
      <c r="E284" s="64">
        <f t="shared" ca="1" si="27"/>
        <v>0.1</v>
      </c>
      <c r="F284" s="64">
        <f ca="1">IF('main page'!$K$34=1,hystere!H284,hystere!G284)</f>
        <v>-939.5</v>
      </c>
      <c r="G284" s="78">
        <f ca="1">I284-'main page'!$K$27*hystere!N283</f>
        <v>-939.5</v>
      </c>
      <c r="H284" s="62">
        <f ca="1">J284-'main page'!$K$27*N283</f>
        <v>-939.5</v>
      </c>
      <c r="I284" s="62">
        <f t="shared" ca="1" si="28"/>
        <v>108</v>
      </c>
      <c r="J284" s="62">
        <f t="shared" ca="1" si="29"/>
        <v>108</v>
      </c>
      <c r="M284" s="62">
        <f ca="1">IF(ABS('main page'!$K$29*M283+(1-'main page'!$K$29)*(controls!$B$9/100)*100+'main page'!$K$25*(E284-B284)-M283)&lt;0.0000001,M283,'main page'!$K$29*M283+(1-'main page'!$K$29)*(controls!$B$9/100)*100+'main page'!$K$25*(E284-B284))</f>
        <v>-524.75</v>
      </c>
      <c r="N284" s="62">
        <f ca="1">IF(controls!$B$10=1,N283,O284-'main page'!$K$29*M284-(1-'main page'!$K$29)*controls!$B$9)</f>
        <v>524.75</v>
      </c>
      <c r="O284" s="61">
        <f t="shared" ca="1" si="24"/>
        <v>0</v>
      </c>
      <c r="P284" s="63">
        <f ca="1">IF(controls!$B$10=1,hystere!N284+hystere!M284,hystere!Q284)</f>
        <v>-602.98749999999995</v>
      </c>
      <c r="Q284" s="61">
        <f ca="1">IF('main page'!$Y$53=1,'choose m.p.'!$I$22*100,R284)</f>
        <v>-602.98749999999995</v>
      </c>
      <c r="R284" s="83">
        <f ca="1">'main page'!$K$29*M284+(1-'main page'!$K$29)*controls!$B$9+S284+(('main page'!$K$25*'main page'!$U$13*'main page'!$K$29)/('main page'!$K$27*(1+('main page'!$K$25^2)*'main page'!$U$13)))*(M284-(controls!$B$9/100)*100)</f>
        <v>-602.98749999999995</v>
      </c>
      <c r="S284" s="81">
        <f ca="1">IF(controls!$B$33=1,(J285-E284*X285-B284)/'main page'!$K$27,(I285-E284*X285-B284)/'main page'!$K$27)</f>
        <v>53.45</v>
      </c>
      <c r="U284" s="58">
        <f>IF(controls!$B$6=1,$AG$4*(1+('main page'!$K$35/100))^V284-$AG$4*(1+('main page'!$K$35/100))^V283,$AG$4*(1+('main page'!$G$8/100))*(1+('main page'!$K$35/100))^V284-$AG$4*(1+('main page'!$G$8/100))*(1+('main page'!$K$35/100))^V283)</f>
        <v>0</v>
      </c>
      <c r="V284" s="60">
        <v>276</v>
      </c>
      <c r="W284" s="36">
        <f>'normal case'!AC283</f>
        <v>0</v>
      </c>
      <c r="X284" s="36">
        <f>'normal case'!AD283</f>
        <v>0</v>
      </c>
      <c r="Y284" s="44">
        <f ca="1">IF(controls!$B$33=1,E284-($J$4-'main page'!$K$27*2)*(1+('main page'!$K$35/100))^A283,E284-$AG$5)</f>
        <v>-99.9</v>
      </c>
      <c r="Z284" s="44">
        <f ca="1">ABS(M284-(controls!$B$9/100)*100)</f>
        <v>526.75</v>
      </c>
      <c r="AI284" s="36"/>
      <c r="AJ284" s="36"/>
    </row>
    <row r="285" spans="1:36">
      <c r="A285" s="43">
        <v>282</v>
      </c>
      <c r="B285" s="62">
        <f ca="1">IF(controls!$B$6=2,AVERAGE(E281:E284)+B284*W285+hystere!$AG$9,AVERAGE(E281:E284)+B284*W285)</f>
        <v>1.1000000000000001</v>
      </c>
      <c r="C285" s="67">
        <f t="shared" ca="1" si="25"/>
        <v>0</v>
      </c>
      <c r="D285" s="88">
        <f t="shared" ca="1" si="26"/>
        <v>-1</v>
      </c>
      <c r="E285" s="64">
        <f t="shared" ca="1" si="27"/>
        <v>0.1</v>
      </c>
      <c r="F285" s="64">
        <f ca="1">IF('main page'!$K$34=1,hystere!H285,hystere!G285)</f>
        <v>-941.5</v>
      </c>
      <c r="G285" s="78">
        <f ca="1">I285-'main page'!$K$27*hystere!N284</f>
        <v>-941.5</v>
      </c>
      <c r="H285" s="62">
        <f ca="1">J285-'main page'!$K$27*N284</f>
        <v>-941.5</v>
      </c>
      <c r="I285" s="62">
        <f t="shared" ca="1" si="28"/>
        <v>108</v>
      </c>
      <c r="J285" s="62">
        <f t="shared" ca="1" si="29"/>
        <v>108</v>
      </c>
      <c r="M285" s="62">
        <f ca="1">IF(ABS('main page'!$K$29*M284+(1-'main page'!$K$29)*(controls!$B$9/100)*100+'main page'!$K$25*(E285-B285)-M284)&lt;0.0000001,M284,'main page'!$K$29*M284+(1-'main page'!$K$29)*(controls!$B$9/100)*100+'main page'!$K$25*(E285-B285))</f>
        <v>-525.75</v>
      </c>
      <c r="N285" s="62">
        <f ca="1">IF(controls!$B$10=1,N284,O285-'main page'!$K$29*M285-(1-'main page'!$K$29)*controls!$B$9)</f>
        <v>525.75</v>
      </c>
      <c r="O285" s="61">
        <f t="shared" ca="1" si="24"/>
        <v>0</v>
      </c>
      <c r="P285" s="63">
        <f ca="1">IF(controls!$B$10=1,hystere!N285+hystere!M285,hystere!Q285)</f>
        <v>-604.23749999999995</v>
      </c>
      <c r="Q285" s="61">
        <f ca="1">IF('main page'!$Y$53=1,'choose m.p.'!$I$22*100,R285)</f>
        <v>-604.23749999999995</v>
      </c>
      <c r="R285" s="83">
        <f ca="1">'main page'!$K$29*M285+(1-'main page'!$K$29)*controls!$B$9+S285+(('main page'!$K$25*'main page'!$U$13*'main page'!$K$29)/('main page'!$K$27*(1+('main page'!$K$25^2)*'main page'!$U$13)))*(M285-(controls!$B$9/100)*100)</f>
        <v>-604.23749999999995</v>
      </c>
      <c r="S285" s="81">
        <f ca="1">IF(controls!$B$33=1,(J286-E285*X286-B285)/'main page'!$K$27,(I286-E285*X286-B285)/'main page'!$K$27)</f>
        <v>53.45</v>
      </c>
      <c r="U285" s="58">
        <f>IF(controls!$B$6=1,$AG$4*(1+('main page'!$K$35/100))^V285-$AG$4*(1+('main page'!$K$35/100))^V284,$AG$4*(1+('main page'!$G$8/100))*(1+('main page'!$K$35/100))^V285-$AG$4*(1+('main page'!$G$8/100))*(1+('main page'!$K$35/100))^V284)</f>
        <v>0</v>
      </c>
      <c r="V285" s="60">
        <v>277</v>
      </c>
      <c r="W285" s="36">
        <f ca="1">'normal case'!AC284</f>
        <v>0</v>
      </c>
      <c r="X285" s="36">
        <f ca="1">'normal case'!AD284</f>
        <v>0</v>
      </c>
      <c r="Y285" s="44">
        <f ca="1">IF(controls!$B$33=1,E285-($J$4-'main page'!$K$27*2)*(1+('main page'!$K$35/100))^A284,E285-$AG$5)</f>
        <v>-99.9</v>
      </c>
      <c r="Z285" s="44">
        <f ca="1">ABS(M285-(controls!$B$9/100)*100)</f>
        <v>527.75</v>
      </c>
      <c r="AI285" s="36"/>
      <c r="AJ285" s="36"/>
    </row>
    <row r="286" spans="1:36">
      <c r="A286" s="43">
        <v>283</v>
      </c>
      <c r="B286" s="62">
        <f ca="1">IF(controls!$B$6=2,AVERAGE(E282:E285)+B285*W286+hystere!$AG$9,AVERAGE(E282:E285)+B285*W286)</f>
        <v>1.1000000000000001</v>
      </c>
      <c r="C286" s="67">
        <f t="shared" ca="1" si="25"/>
        <v>0</v>
      </c>
      <c r="D286" s="88">
        <f t="shared" ca="1" si="26"/>
        <v>-1</v>
      </c>
      <c r="E286" s="64">
        <f t="shared" ca="1" si="27"/>
        <v>0.1</v>
      </c>
      <c r="F286" s="64">
        <f ca="1">IF('main page'!$K$34=1,hystere!H286,hystere!G286)</f>
        <v>-943.5</v>
      </c>
      <c r="G286" s="78">
        <f ca="1">I286-'main page'!$K$27*hystere!N285</f>
        <v>-943.5</v>
      </c>
      <c r="H286" s="62">
        <f ca="1">J286-'main page'!$K$27*N285</f>
        <v>-943.5</v>
      </c>
      <c r="I286" s="62">
        <f t="shared" ca="1" si="28"/>
        <v>108</v>
      </c>
      <c r="J286" s="62">
        <f t="shared" ca="1" si="29"/>
        <v>108</v>
      </c>
      <c r="M286" s="62">
        <f ca="1">IF(ABS('main page'!$K$29*M285+(1-'main page'!$K$29)*(controls!$B$9/100)*100+'main page'!$K$25*(E286-B286)-M285)&lt;0.0000001,M285,'main page'!$K$29*M285+(1-'main page'!$K$29)*(controls!$B$9/100)*100+'main page'!$K$25*(E286-B286))</f>
        <v>-526.75</v>
      </c>
      <c r="N286" s="62">
        <f ca="1">IF(controls!$B$10=1,N285,O286-'main page'!$K$29*M286-(1-'main page'!$K$29)*controls!$B$9)</f>
        <v>526.75</v>
      </c>
      <c r="O286" s="61">
        <f t="shared" ca="1" si="24"/>
        <v>0</v>
      </c>
      <c r="P286" s="63">
        <f ca="1">IF(controls!$B$10=1,hystere!N286+hystere!M286,hystere!Q286)</f>
        <v>-605.48749999999995</v>
      </c>
      <c r="Q286" s="61">
        <f ca="1">IF('main page'!$Y$53=1,'choose m.p.'!$I$22*100,R286)</f>
        <v>-605.48749999999995</v>
      </c>
      <c r="R286" s="83">
        <f ca="1">'main page'!$K$29*M286+(1-'main page'!$K$29)*controls!$B$9+S286+(('main page'!$K$25*'main page'!$U$13*'main page'!$K$29)/('main page'!$K$27*(1+('main page'!$K$25^2)*'main page'!$U$13)))*(M286-(controls!$B$9/100)*100)</f>
        <v>-605.48749999999995</v>
      </c>
      <c r="S286" s="81">
        <f ca="1">IF(controls!$B$33=1,(J287-E286*X287-B286)/'main page'!$K$27,(I287-E286*X287-B286)/'main page'!$K$27)</f>
        <v>53.45</v>
      </c>
      <c r="U286" s="58">
        <f>IF(controls!$B$6=1,$AG$4*(1+('main page'!$K$35/100))^V286-$AG$4*(1+('main page'!$K$35/100))^V285,$AG$4*(1+('main page'!$G$8/100))*(1+('main page'!$K$35/100))^V286-$AG$4*(1+('main page'!$G$8/100))*(1+('main page'!$K$35/100))^V285)</f>
        <v>0</v>
      </c>
      <c r="V286" s="60">
        <v>278</v>
      </c>
      <c r="W286" s="36">
        <f>'normal case'!AC285</f>
        <v>0</v>
      </c>
      <c r="X286" s="36">
        <f>'normal case'!AD285</f>
        <v>0</v>
      </c>
      <c r="Y286" s="44">
        <f ca="1">IF(controls!$B$33=1,E286-($J$4-'main page'!$K$27*2)*(1+('main page'!$K$35/100))^A285,E286-$AG$5)</f>
        <v>-99.9</v>
      </c>
      <c r="Z286" s="44">
        <f ca="1">ABS(M286-(controls!$B$9/100)*100)</f>
        <v>528.75</v>
      </c>
      <c r="AI286" s="36"/>
      <c r="AJ286" s="36"/>
    </row>
    <row r="287" spans="1:36">
      <c r="A287" s="43">
        <v>284</v>
      </c>
      <c r="B287" s="62">
        <f ca="1">IF(controls!$B$6=2,AVERAGE(E283:E286)+B286*W287+hystere!$AG$9,AVERAGE(E283:E286)+B286*W287)</f>
        <v>1.1000000000000001</v>
      </c>
      <c r="C287" s="67">
        <f t="shared" ca="1" si="25"/>
        <v>0</v>
      </c>
      <c r="D287" s="88">
        <f t="shared" ca="1" si="26"/>
        <v>-1</v>
      </c>
      <c r="E287" s="64">
        <f t="shared" ca="1" si="27"/>
        <v>0.1</v>
      </c>
      <c r="F287" s="64">
        <f ca="1">IF('main page'!$K$34=1,hystere!H287,hystere!G287)</f>
        <v>-945.5</v>
      </c>
      <c r="G287" s="78">
        <f ca="1">I287-'main page'!$K$27*hystere!N286</f>
        <v>-945.5</v>
      </c>
      <c r="H287" s="62">
        <f ca="1">J287-'main page'!$K$27*N286</f>
        <v>-945.5</v>
      </c>
      <c r="I287" s="62">
        <f t="shared" ca="1" si="28"/>
        <v>108</v>
      </c>
      <c r="J287" s="62">
        <f t="shared" ca="1" si="29"/>
        <v>108</v>
      </c>
      <c r="M287" s="62">
        <f ca="1">IF(ABS('main page'!$K$29*M286+(1-'main page'!$K$29)*(controls!$B$9/100)*100+'main page'!$K$25*(E287-B287)-M286)&lt;0.0000001,M286,'main page'!$K$29*M286+(1-'main page'!$K$29)*(controls!$B$9/100)*100+'main page'!$K$25*(E287-B287))</f>
        <v>-527.75</v>
      </c>
      <c r="N287" s="62">
        <f ca="1">IF(controls!$B$10=1,N286,O287-'main page'!$K$29*M287-(1-'main page'!$K$29)*controls!$B$9)</f>
        <v>527.75</v>
      </c>
      <c r="O287" s="61">
        <f t="shared" ca="1" si="24"/>
        <v>0</v>
      </c>
      <c r="P287" s="63">
        <f ca="1">IF(controls!$B$10=1,hystere!N287+hystere!M287,hystere!Q287)</f>
        <v>-606.73749999999995</v>
      </c>
      <c r="Q287" s="61">
        <f ca="1">IF('main page'!$Y$53=1,'choose m.p.'!$I$22*100,R287)</f>
        <v>-606.73749999999995</v>
      </c>
      <c r="R287" s="83">
        <f ca="1">'main page'!$K$29*M287+(1-'main page'!$K$29)*controls!$B$9+S287+(('main page'!$K$25*'main page'!$U$13*'main page'!$K$29)/('main page'!$K$27*(1+('main page'!$K$25^2)*'main page'!$U$13)))*(M287-(controls!$B$9/100)*100)</f>
        <v>-606.73749999999995</v>
      </c>
      <c r="S287" s="81">
        <f ca="1">IF(controls!$B$33=1,(J288-E287*X288-B287)/'main page'!$K$27,(I288-E287*X288-B287)/'main page'!$K$27)</f>
        <v>53.45</v>
      </c>
      <c r="U287" s="58">
        <f>IF(controls!$B$6=1,$AG$4*(1+('main page'!$K$35/100))^V287-$AG$4*(1+('main page'!$K$35/100))^V286,$AG$4*(1+('main page'!$G$8/100))*(1+('main page'!$K$35/100))^V287-$AG$4*(1+('main page'!$G$8/100))*(1+('main page'!$K$35/100))^V286)</f>
        <v>0</v>
      </c>
      <c r="V287" s="60">
        <v>279</v>
      </c>
      <c r="W287" s="36">
        <f>'normal case'!AC286</f>
        <v>0</v>
      </c>
      <c r="X287" s="36">
        <f>'normal case'!AD286</f>
        <v>0</v>
      </c>
      <c r="Y287" s="44">
        <f ca="1">IF(controls!$B$33=1,E287-($J$4-'main page'!$K$27*2)*(1+('main page'!$K$35/100))^A286,E287-$AG$5)</f>
        <v>-99.9</v>
      </c>
      <c r="Z287" s="44">
        <f ca="1">ABS(M287-(controls!$B$9/100)*100)</f>
        <v>529.75</v>
      </c>
      <c r="AI287" s="36"/>
      <c r="AJ287" s="36"/>
    </row>
    <row r="288" spans="1:36">
      <c r="A288" s="43">
        <v>285</v>
      </c>
      <c r="B288" s="62">
        <f ca="1">IF(controls!$B$6=2,AVERAGE(E284:E287)+B287*W288+hystere!$AG$9,AVERAGE(E284:E287)+B287*W288)</f>
        <v>1.1000000000000001</v>
      </c>
      <c r="C288" s="67">
        <f t="shared" ca="1" si="25"/>
        <v>0</v>
      </c>
      <c r="D288" s="88">
        <f t="shared" ca="1" si="26"/>
        <v>-1</v>
      </c>
      <c r="E288" s="64">
        <f t="shared" ca="1" si="27"/>
        <v>0.1</v>
      </c>
      <c r="F288" s="64">
        <f ca="1">IF('main page'!$K$34=1,hystere!H288,hystere!G288)</f>
        <v>-947.5</v>
      </c>
      <c r="G288" s="78">
        <f ca="1">I288-'main page'!$K$27*hystere!N287</f>
        <v>-947.5</v>
      </c>
      <c r="H288" s="62">
        <f ca="1">J288-'main page'!$K$27*N287</f>
        <v>-947.5</v>
      </c>
      <c r="I288" s="62">
        <f t="shared" ca="1" si="28"/>
        <v>108</v>
      </c>
      <c r="J288" s="62">
        <f t="shared" ca="1" si="29"/>
        <v>108</v>
      </c>
      <c r="M288" s="62">
        <f ca="1">IF(ABS('main page'!$K$29*M287+(1-'main page'!$K$29)*(controls!$B$9/100)*100+'main page'!$K$25*(E288-B288)-M287)&lt;0.0000001,M287,'main page'!$K$29*M287+(1-'main page'!$K$29)*(controls!$B$9/100)*100+'main page'!$K$25*(E288-B288))</f>
        <v>-528.75</v>
      </c>
      <c r="N288" s="62">
        <f ca="1">IF(controls!$B$10=1,N287,O288-'main page'!$K$29*M288-(1-'main page'!$K$29)*controls!$B$9)</f>
        <v>528.75</v>
      </c>
      <c r="O288" s="61">
        <f t="shared" ca="1" si="24"/>
        <v>0</v>
      </c>
      <c r="P288" s="63">
        <f ca="1">IF(controls!$B$10=1,hystere!N288+hystere!M288,hystere!Q288)</f>
        <v>-607.98749999999995</v>
      </c>
      <c r="Q288" s="61">
        <f ca="1">IF('main page'!$Y$53=1,'choose m.p.'!$I$22*100,R288)</f>
        <v>-607.98749999999995</v>
      </c>
      <c r="R288" s="83">
        <f ca="1">'main page'!$K$29*M288+(1-'main page'!$K$29)*controls!$B$9+S288+(('main page'!$K$25*'main page'!$U$13*'main page'!$K$29)/('main page'!$K$27*(1+('main page'!$K$25^2)*'main page'!$U$13)))*(M288-(controls!$B$9/100)*100)</f>
        <v>-607.98749999999995</v>
      </c>
      <c r="S288" s="81">
        <f ca="1">IF(controls!$B$33=1,(J289-E288*X289-B288)/'main page'!$K$27,(I289-E288*X289-B288)/'main page'!$K$27)</f>
        <v>53.45</v>
      </c>
      <c r="U288" s="58">
        <f>IF(controls!$B$6=1,$AG$4*(1+('main page'!$K$35/100))^V288-$AG$4*(1+('main page'!$K$35/100))^V287,$AG$4*(1+('main page'!$G$8/100))*(1+('main page'!$K$35/100))^V288-$AG$4*(1+('main page'!$G$8/100))*(1+('main page'!$K$35/100))^V287)</f>
        <v>0</v>
      </c>
      <c r="V288" s="60">
        <v>280</v>
      </c>
      <c r="W288" s="36">
        <f ca="1">'normal case'!AC287</f>
        <v>0</v>
      </c>
      <c r="X288" s="36">
        <f ca="1">'normal case'!AD287</f>
        <v>0</v>
      </c>
      <c r="Y288" s="44">
        <f ca="1">IF(controls!$B$33=1,E288-($J$4-'main page'!$K$27*2)*(1+('main page'!$K$35/100))^A287,E288-$AG$5)</f>
        <v>-99.9</v>
      </c>
      <c r="Z288" s="44">
        <f ca="1">ABS(M288-(controls!$B$9/100)*100)</f>
        <v>530.75</v>
      </c>
      <c r="AI288" s="36"/>
      <c r="AJ288" s="36"/>
    </row>
    <row r="289" spans="1:36">
      <c r="A289" s="43">
        <v>286</v>
      </c>
      <c r="B289" s="62">
        <f ca="1">IF(controls!$B$6=2,AVERAGE(E285:E288)+B288*W289+hystere!$AG$9,AVERAGE(E285:E288)+B288*W289)</f>
        <v>1.1000000000000001</v>
      </c>
      <c r="C289" s="67">
        <f t="shared" ca="1" si="25"/>
        <v>0</v>
      </c>
      <c r="D289" s="88">
        <f t="shared" ca="1" si="26"/>
        <v>-1</v>
      </c>
      <c r="E289" s="64">
        <f t="shared" ca="1" si="27"/>
        <v>0.1</v>
      </c>
      <c r="F289" s="64">
        <f ca="1">IF('main page'!$K$34=1,hystere!H289,hystere!G289)</f>
        <v>-949.5</v>
      </c>
      <c r="G289" s="78">
        <f ca="1">I289-'main page'!$K$27*hystere!N288</f>
        <v>-949.5</v>
      </c>
      <c r="H289" s="62">
        <f ca="1">J289-'main page'!$K$27*N288</f>
        <v>-949.5</v>
      </c>
      <c r="I289" s="62">
        <f t="shared" ca="1" si="28"/>
        <v>108</v>
      </c>
      <c r="J289" s="62">
        <f t="shared" ca="1" si="29"/>
        <v>108</v>
      </c>
      <c r="M289" s="62">
        <f ca="1">IF(ABS('main page'!$K$29*M288+(1-'main page'!$K$29)*(controls!$B$9/100)*100+'main page'!$K$25*(E289-B289)-M288)&lt;0.0000001,M288,'main page'!$K$29*M288+(1-'main page'!$K$29)*(controls!$B$9/100)*100+'main page'!$K$25*(E289-B289))</f>
        <v>-529.75</v>
      </c>
      <c r="N289" s="62">
        <f ca="1">IF(controls!$B$10=1,N288,O289-'main page'!$K$29*M289-(1-'main page'!$K$29)*controls!$B$9)</f>
        <v>529.75</v>
      </c>
      <c r="O289" s="61">
        <f t="shared" ca="1" si="24"/>
        <v>0</v>
      </c>
      <c r="P289" s="63">
        <f ca="1">IF(controls!$B$10=1,hystere!N289+hystere!M289,hystere!Q289)</f>
        <v>-609.23749999999995</v>
      </c>
      <c r="Q289" s="61">
        <f ca="1">IF('main page'!$Y$53=1,'choose m.p.'!$I$22*100,R289)</f>
        <v>-609.23749999999995</v>
      </c>
      <c r="R289" s="83">
        <f ca="1">'main page'!$K$29*M289+(1-'main page'!$K$29)*controls!$B$9+S289+(('main page'!$K$25*'main page'!$U$13*'main page'!$K$29)/('main page'!$K$27*(1+('main page'!$K$25^2)*'main page'!$U$13)))*(M289-(controls!$B$9/100)*100)</f>
        <v>-609.23749999999995</v>
      </c>
      <c r="S289" s="81">
        <f ca="1">IF(controls!$B$33=1,(J290-E289*X290-B289)/'main page'!$K$27,(I290-E289*X290-B289)/'main page'!$K$27)</f>
        <v>53.45</v>
      </c>
      <c r="U289" s="58">
        <f>IF(controls!$B$6=1,$AG$4*(1+('main page'!$K$35/100))^V289-$AG$4*(1+('main page'!$K$35/100))^V288,$AG$4*(1+('main page'!$G$8/100))*(1+('main page'!$K$35/100))^V289-$AG$4*(1+('main page'!$G$8/100))*(1+('main page'!$K$35/100))^V288)</f>
        <v>0</v>
      </c>
      <c r="V289" s="60">
        <v>281</v>
      </c>
      <c r="W289" s="36">
        <f>'normal case'!AC288</f>
        <v>0</v>
      </c>
      <c r="X289" s="36">
        <f>'normal case'!AD288</f>
        <v>0</v>
      </c>
      <c r="Y289" s="44">
        <f ca="1">IF(controls!$B$33=1,E289-($J$4-'main page'!$K$27*2)*(1+('main page'!$K$35/100))^A288,E289-$AG$5)</f>
        <v>-99.9</v>
      </c>
      <c r="Z289" s="44">
        <f ca="1">ABS(M289-(controls!$B$9/100)*100)</f>
        <v>531.75</v>
      </c>
      <c r="AI289" s="36"/>
      <c r="AJ289" s="36"/>
    </row>
    <row r="290" spans="1:36">
      <c r="A290" s="43">
        <v>287</v>
      </c>
      <c r="B290" s="62">
        <f ca="1">IF(controls!$B$6=2,AVERAGE(E286:E289)+B289*W290+hystere!$AG$9,AVERAGE(E286:E289)+B289*W290)</f>
        <v>1.1000000000000001</v>
      </c>
      <c r="C290" s="67">
        <f t="shared" ca="1" si="25"/>
        <v>0</v>
      </c>
      <c r="D290" s="88">
        <f t="shared" ca="1" si="26"/>
        <v>-1</v>
      </c>
      <c r="E290" s="64">
        <f t="shared" ca="1" si="27"/>
        <v>0.1</v>
      </c>
      <c r="F290" s="64">
        <f ca="1">IF('main page'!$K$34=1,hystere!H290,hystere!G290)</f>
        <v>-951.5</v>
      </c>
      <c r="G290" s="78">
        <f ca="1">I290-'main page'!$K$27*hystere!N289</f>
        <v>-951.5</v>
      </c>
      <c r="H290" s="62">
        <f ca="1">J290-'main page'!$K$27*N289</f>
        <v>-951.5</v>
      </c>
      <c r="I290" s="62">
        <f t="shared" ca="1" si="28"/>
        <v>108</v>
      </c>
      <c r="J290" s="62">
        <f t="shared" ca="1" si="29"/>
        <v>108</v>
      </c>
      <c r="M290" s="62">
        <f ca="1">IF(ABS('main page'!$K$29*M289+(1-'main page'!$K$29)*(controls!$B$9/100)*100+'main page'!$K$25*(E290-B290)-M289)&lt;0.0000001,M289,'main page'!$K$29*M289+(1-'main page'!$K$29)*(controls!$B$9/100)*100+'main page'!$K$25*(E290-B290))</f>
        <v>-530.75</v>
      </c>
      <c r="N290" s="62">
        <f ca="1">IF(controls!$B$10=1,N289,O290-'main page'!$K$29*M290-(1-'main page'!$K$29)*controls!$B$9)</f>
        <v>530.75</v>
      </c>
      <c r="O290" s="61">
        <f t="shared" ca="1" si="24"/>
        <v>0</v>
      </c>
      <c r="P290" s="63">
        <f ca="1">IF(controls!$B$10=1,hystere!N290+hystere!M290,hystere!Q290)</f>
        <v>-610.48749999999995</v>
      </c>
      <c r="Q290" s="61">
        <f ca="1">IF('main page'!$Y$53=1,'choose m.p.'!$I$22*100,R290)</f>
        <v>-610.48749999999995</v>
      </c>
      <c r="R290" s="83">
        <f ca="1">'main page'!$K$29*M290+(1-'main page'!$K$29)*controls!$B$9+S290+(('main page'!$K$25*'main page'!$U$13*'main page'!$K$29)/('main page'!$K$27*(1+('main page'!$K$25^2)*'main page'!$U$13)))*(M290-(controls!$B$9/100)*100)</f>
        <v>-610.48749999999995</v>
      </c>
      <c r="S290" s="81">
        <f ca="1">IF(controls!$B$33=1,(J291-E290*X291-B290)/'main page'!$K$27,(I291-E290*X291-B290)/'main page'!$K$27)</f>
        <v>53.45</v>
      </c>
      <c r="U290" s="58">
        <f>IF(controls!$B$6=1,$AG$4*(1+('main page'!$K$35/100))^V290-$AG$4*(1+('main page'!$K$35/100))^V289,$AG$4*(1+('main page'!$G$8/100))*(1+('main page'!$K$35/100))^V290-$AG$4*(1+('main page'!$G$8/100))*(1+('main page'!$K$35/100))^V289)</f>
        <v>0</v>
      </c>
      <c r="V290" s="60">
        <v>282</v>
      </c>
      <c r="W290" s="36">
        <f>'normal case'!AC289</f>
        <v>0</v>
      </c>
      <c r="X290" s="36">
        <f>'normal case'!AD289</f>
        <v>0</v>
      </c>
      <c r="Y290" s="44">
        <f ca="1">IF(controls!$B$33=1,E290-($J$4-'main page'!$K$27*2)*(1+('main page'!$K$35/100))^A289,E290-$AG$5)</f>
        <v>-99.9</v>
      </c>
      <c r="Z290" s="44">
        <f ca="1">ABS(M290-(controls!$B$9/100)*100)</f>
        <v>532.75</v>
      </c>
      <c r="AI290" s="36"/>
      <c r="AJ290" s="36"/>
    </row>
    <row r="291" spans="1:36">
      <c r="A291" s="43">
        <v>288</v>
      </c>
      <c r="B291" s="62">
        <f ca="1">IF(controls!$B$6=2,AVERAGE(E287:E290)+B290*W291+hystere!$AG$9,AVERAGE(E287:E290)+B290*W291)</f>
        <v>1.1000000000000001</v>
      </c>
      <c r="C291" s="67">
        <f t="shared" ca="1" si="25"/>
        <v>0</v>
      </c>
      <c r="D291" s="88">
        <f t="shared" ca="1" si="26"/>
        <v>-1</v>
      </c>
      <c r="E291" s="64">
        <f t="shared" ca="1" si="27"/>
        <v>0.1</v>
      </c>
      <c r="F291" s="64">
        <f ca="1">IF('main page'!$K$34=1,hystere!H291,hystere!G291)</f>
        <v>-953.5</v>
      </c>
      <c r="G291" s="78">
        <f ca="1">I291-'main page'!$K$27*hystere!N290</f>
        <v>-953.5</v>
      </c>
      <c r="H291" s="62">
        <f ca="1">J291-'main page'!$K$27*N290</f>
        <v>-953.5</v>
      </c>
      <c r="I291" s="62">
        <f t="shared" ca="1" si="28"/>
        <v>108</v>
      </c>
      <c r="J291" s="62">
        <f t="shared" ca="1" si="29"/>
        <v>108</v>
      </c>
      <c r="M291" s="62">
        <f ca="1">IF(ABS('main page'!$K$29*M290+(1-'main page'!$K$29)*(controls!$B$9/100)*100+'main page'!$K$25*(E291-B291)-M290)&lt;0.0000001,M290,'main page'!$K$29*M290+(1-'main page'!$K$29)*(controls!$B$9/100)*100+'main page'!$K$25*(E291-B291))</f>
        <v>-531.75</v>
      </c>
      <c r="N291" s="62">
        <f ca="1">IF(controls!$B$10=1,N290,O291-'main page'!$K$29*M291-(1-'main page'!$K$29)*controls!$B$9)</f>
        <v>531.75</v>
      </c>
      <c r="O291" s="61">
        <f t="shared" ca="1" si="24"/>
        <v>0</v>
      </c>
      <c r="P291" s="63">
        <f ca="1">IF(controls!$B$10=1,hystere!N291+hystere!M291,hystere!Q291)</f>
        <v>-611.73749999999995</v>
      </c>
      <c r="Q291" s="61">
        <f ca="1">IF('main page'!$Y$53=1,'choose m.p.'!$I$22*100,R291)</f>
        <v>-611.73749999999995</v>
      </c>
      <c r="R291" s="83">
        <f ca="1">'main page'!$K$29*M291+(1-'main page'!$K$29)*controls!$B$9+S291+(('main page'!$K$25*'main page'!$U$13*'main page'!$K$29)/('main page'!$K$27*(1+('main page'!$K$25^2)*'main page'!$U$13)))*(M291-(controls!$B$9/100)*100)</f>
        <v>-611.73749999999995</v>
      </c>
      <c r="S291" s="81">
        <f ca="1">IF(controls!$B$33=1,(J292-E291*X292-B291)/'main page'!$K$27,(I292-E291*X292-B291)/'main page'!$K$27)</f>
        <v>53.45</v>
      </c>
      <c r="U291" s="58">
        <f>IF(controls!$B$6=1,$AG$4*(1+('main page'!$K$35/100))^V291-$AG$4*(1+('main page'!$K$35/100))^V290,$AG$4*(1+('main page'!$G$8/100))*(1+('main page'!$K$35/100))^V291-$AG$4*(1+('main page'!$G$8/100))*(1+('main page'!$K$35/100))^V290)</f>
        <v>0</v>
      </c>
      <c r="V291" s="60">
        <v>283</v>
      </c>
      <c r="W291" s="36">
        <f ca="1">'normal case'!AC290</f>
        <v>0</v>
      </c>
      <c r="X291" s="36">
        <f ca="1">'normal case'!AD290</f>
        <v>0</v>
      </c>
      <c r="Y291" s="44">
        <f ca="1">IF(controls!$B$33=1,E291-($J$4-'main page'!$K$27*2)*(1+('main page'!$K$35/100))^A290,E291-$AG$5)</f>
        <v>-99.9</v>
      </c>
      <c r="Z291" s="44">
        <f ca="1">ABS(M291-(controls!$B$9/100)*100)</f>
        <v>533.75</v>
      </c>
      <c r="AI291" s="36"/>
      <c r="AJ291" s="36"/>
    </row>
    <row r="292" spans="1:36">
      <c r="A292" s="43">
        <v>289</v>
      </c>
      <c r="B292" s="62">
        <f ca="1">IF(controls!$B$6=2,AVERAGE(E288:E291)+B291*W292+hystere!$AG$9,AVERAGE(E288:E291)+B291*W292)</f>
        <v>1.1000000000000001</v>
      </c>
      <c r="C292" s="67">
        <f t="shared" ca="1" si="25"/>
        <v>0</v>
      </c>
      <c r="D292" s="88">
        <f t="shared" ca="1" si="26"/>
        <v>-1</v>
      </c>
      <c r="E292" s="64">
        <f t="shared" ca="1" si="27"/>
        <v>0.1</v>
      </c>
      <c r="F292" s="64">
        <f ca="1">IF('main page'!$K$34=1,hystere!H292,hystere!G292)</f>
        <v>-955.5</v>
      </c>
      <c r="G292" s="78">
        <f ca="1">I292-'main page'!$K$27*hystere!N291</f>
        <v>-955.5</v>
      </c>
      <c r="H292" s="62">
        <f ca="1">J292-'main page'!$K$27*N291</f>
        <v>-955.5</v>
      </c>
      <c r="I292" s="62">
        <f t="shared" ca="1" si="28"/>
        <v>108</v>
      </c>
      <c r="J292" s="62">
        <f t="shared" ca="1" si="29"/>
        <v>108</v>
      </c>
      <c r="M292" s="62">
        <f ca="1">IF(ABS('main page'!$K$29*M291+(1-'main page'!$K$29)*(controls!$B$9/100)*100+'main page'!$K$25*(E292-B292)-M291)&lt;0.0000001,M291,'main page'!$K$29*M291+(1-'main page'!$K$29)*(controls!$B$9/100)*100+'main page'!$K$25*(E292-B292))</f>
        <v>-532.75</v>
      </c>
      <c r="N292" s="62">
        <f ca="1">IF(controls!$B$10=1,N291,O292-'main page'!$K$29*M292-(1-'main page'!$K$29)*controls!$B$9)</f>
        <v>532.75</v>
      </c>
      <c r="O292" s="61">
        <f t="shared" ca="1" si="24"/>
        <v>0</v>
      </c>
      <c r="P292" s="63">
        <f ca="1">IF(controls!$B$10=1,hystere!N292+hystere!M292,hystere!Q292)</f>
        <v>-612.98749999999995</v>
      </c>
      <c r="Q292" s="61">
        <f ca="1">IF('main page'!$Y$53=1,'choose m.p.'!$I$22*100,R292)</f>
        <v>-612.98749999999995</v>
      </c>
      <c r="R292" s="83">
        <f ca="1">'main page'!$K$29*M292+(1-'main page'!$K$29)*controls!$B$9+S292+(('main page'!$K$25*'main page'!$U$13*'main page'!$K$29)/('main page'!$K$27*(1+('main page'!$K$25^2)*'main page'!$U$13)))*(M292-(controls!$B$9/100)*100)</f>
        <v>-612.98749999999995</v>
      </c>
      <c r="S292" s="81">
        <f ca="1">IF(controls!$B$33=1,(J293-E292*X293-B292)/'main page'!$K$27,(I293-E292*X293-B292)/'main page'!$K$27)</f>
        <v>53.45</v>
      </c>
      <c r="U292" s="58">
        <f>IF(controls!$B$6=1,$AG$4*(1+('main page'!$K$35/100))^V292-$AG$4*(1+('main page'!$K$35/100))^V291,$AG$4*(1+('main page'!$G$8/100))*(1+('main page'!$K$35/100))^V292-$AG$4*(1+('main page'!$G$8/100))*(1+('main page'!$K$35/100))^V291)</f>
        <v>0</v>
      </c>
      <c r="V292" s="60">
        <v>284</v>
      </c>
      <c r="W292" s="36">
        <f>'normal case'!AC291</f>
        <v>0</v>
      </c>
      <c r="X292" s="36">
        <f>'normal case'!AD291</f>
        <v>0</v>
      </c>
      <c r="Y292" s="44">
        <f ca="1">IF(controls!$B$33=1,E292-($J$4-'main page'!$K$27*2)*(1+('main page'!$K$35/100))^A291,E292-$AG$5)</f>
        <v>-99.9</v>
      </c>
      <c r="Z292" s="44">
        <f ca="1">ABS(M292-(controls!$B$9/100)*100)</f>
        <v>534.75</v>
      </c>
      <c r="AI292" s="36"/>
      <c r="AJ292" s="36"/>
    </row>
    <row r="293" spans="1:36">
      <c r="A293" s="43">
        <v>290</v>
      </c>
      <c r="B293" s="62">
        <f ca="1">IF(controls!$B$6=2,AVERAGE(E289:E292)+B292*W293+hystere!$AG$9,AVERAGE(E289:E292)+B292*W293)</f>
        <v>1.1000000000000001</v>
      </c>
      <c r="C293" s="67">
        <f t="shared" ca="1" si="25"/>
        <v>0</v>
      </c>
      <c r="D293" s="88">
        <f t="shared" ca="1" si="26"/>
        <v>-1</v>
      </c>
      <c r="E293" s="64">
        <f t="shared" ca="1" si="27"/>
        <v>0.1</v>
      </c>
      <c r="F293" s="64">
        <f ca="1">IF('main page'!$K$34=1,hystere!H293,hystere!G293)</f>
        <v>-957.5</v>
      </c>
      <c r="G293" s="78">
        <f ca="1">I293-'main page'!$K$27*hystere!N292</f>
        <v>-957.5</v>
      </c>
      <c r="H293" s="62">
        <f ca="1">J293-'main page'!$K$27*N292</f>
        <v>-957.5</v>
      </c>
      <c r="I293" s="62">
        <f t="shared" ca="1" si="28"/>
        <v>108</v>
      </c>
      <c r="J293" s="62">
        <f t="shared" ca="1" si="29"/>
        <v>108</v>
      </c>
      <c r="M293" s="62">
        <f ca="1">IF(ABS('main page'!$K$29*M292+(1-'main page'!$K$29)*(controls!$B$9/100)*100+'main page'!$K$25*(E293-B293)-M292)&lt;0.0000001,M292,'main page'!$K$29*M292+(1-'main page'!$K$29)*(controls!$B$9/100)*100+'main page'!$K$25*(E293-B293))</f>
        <v>-533.75</v>
      </c>
      <c r="N293" s="62">
        <f ca="1">IF(controls!$B$10=1,N292,O293-'main page'!$K$29*M293-(1-'main page'!$K$29)*controls!$B$9)</f>
        <v>533.75</v>
      </c>
      <c r="O293" s="61">
        <f t="shared" ca="1" si="24"/>
        <v>0</v>
      </c>
      <c r="P293" s="63">
        <f ca="1">IF(controls!$B$10=1,hystere!N293+hystere!M293,hystere!Q293)</f>
        <v>-614.23749999999995</v>
      </c>
      <c r="Q293" s="61">
        <f ca="1">IF('main page'!$Y$53=1,'choose m.p.'!$I$22*100,R293)</f>
        <v>-614.23749999999995</v>
      </c>
      <c r="R293" s="83">
        <f ca="1">'main page'!$K$29*M293+(1-'main page'!$K$29)*controls!$B$9+S293+(('main page'!$K$25*'main page'!$U$13*'main page'!$K$29)/('main page'!$K$27*(1+('main page'!$K$25^2)*'main page'!$U$13)))*(M293-(controls!$B$9/100)*100)</f>
        <v>-614.23749999999995</v>
      </c>
      <c r="S293" s="81">
        <f ca="1">IF(controls!$B$33=1,(J294-E293*X294-B293)/'main page'!$K$27,(I294-E293*X294-B293)/'main page'!$K$27)</f>
        <v>53.45</v>
      </c>
      <c r="U293" s="58">
        <f>IF(controls!$B$6=1,$AG$4*(1+('main page'!$K$35/100))^V293-$AG$4*(1+('main page'!$K$35/100))^V292,$AG$4*(1+('main page'!$G$8/100))*(1+('main page'!$K$35/100))^V293-$AG$4*(1+('main page'!$G$8/100))*(1+('main page'!$K$35/100))^V292)</f>
        <v>0</v>
      </c>
      <c r="V293" s="60">
        <v>285</v>
      </c>
      <c r="W293" s="36">
        <f>'normal case'!AC292</f>
        <v>0</v>
      </c>
      <c r="X293" s="36">
        <f>'normal case'!AD292</f>
        <v>0</v>
      </c>
      <c r="Y293" s="44">
        <f ca="1">IF(controls!$B$33=1,E293-($J$4-'main page'!$K$27*2)*(1+('main page'!$K$35/100))^A292,E293-$AG$5)</f>
        <v>-99.9</v>
      </c>
      <c r="Z293" s="44">
        <f ca="1">ABS(M293-(controls!$B$9/100)*100)</f>
        <v>535.75</v>
      </c>
      <c r="AI293" s="36"/>
      <c r="AJ293" s="36"/>
    </row>
    <row r="294" spans="1:36">
      <c r="A294" s="43">
        <v>291</v>
      </c>
      <c r="B294" s="62">
        <f ca="1">IF(controls!$B$6=2,AVERAGE(E290:E293)+B293*W294+hystere!$AG$9,AVERAGE(E290:E293)+B293*W294)</f>
        <v>1.1000000000000001</v>
      </c>
      <c r="C294" s="67">
        <f t="shared" ca="1" si="25"/>
        <v>0</v>
      </c>
      <c r="D294" s="88">
        <f t="shared" ca="1" si="26"/>
        <v>-1</v>
      </c>
      <c r="E294" s="64">
        <f t="shared" ca="1" si="27"/>
        <v>0.1</v>
      </c>
      <c r="F294" s="64">
        <f ca="1">IF('main page'!$K$34=1,hystere!H294,hystere!G294)</f>
        <v>-959.5</v>
      </c>
      <c r="G294" s="78">
        <f ca="1">I294-'main page'!$K$27*hystere!N293</f>
        <v>-959.5</v>
      </c>
      <c r="H294" s="62">
        <f ca="1">J294-'main page'!$K$27*N293</f>
        <v>-959.5</v>
      </c>
      <c r="I294" s="62">
        <f t="shared" ca="1" si="28"/>
        <v>108</v>
      </c>
      <c r="J294" s="62">
        <f t="shared" ca="1" si="29"/>
        <v>108</v>
      </c>
      <c r="M294" s="62">
        <f ca="1">IF(ABS('main page'!$K$29*M293+(1-'main page'!$K$29)*(controls!$B$9/100)*100+'main page'!$K$25*(E294-B294)-M293)&lt;0.0000001,M293,'main page'!$K$29*M293+(1-'main page'!$K$29)*(controls!$B$9/100)*100+'main page'!$K$25*(E294-B294))</f>
        <v>-534.75</v>
      </c>
      <c r="N294" s="62">
        <f ca="1">IF(controls!$B$10=1,N293,O294-'main page'!$K$29*M294-(1-'main page'!$K$29)*controls!$B$9)</f>
        <v>534.75</v>
      </c>
      <c r="O294" s="61">
        <f t="shared" ca="1" si="24"/>
        <v>0</v>
      </c>
      <c r="P294" s="63">
        <f ca="1">IF(controls!$B$10=1,hystere!N294+hystere!M294,hystere!Q294)</f>
        <v>-615.48749999999995</v>
      </c>
      <c r="Q294" s="61">
        <f ca="1">IF('main page'!$Y$53=1,'choose m.p.'!$I$22*100,R294)</f>
        <v>-615.48749999999995</v>
      </c>
      <c r="R294" s="83">
        <f ca="1">'main page'!$K$29*M294+(1-'main page'!$K$29)*controls!$B$9+S294+(('main page'!$K$25*'main page'!$U$13*'main page'!$K$29)/('main page'!$K$27*(1+('main page'!$K$25^2)*'main page'!$U$13)))*(M294-(controls!$B$9/100)*100)</f>
        <v>-615.48749999999995</v>
      </c>
      <c r="S294" s="81">
        <f ca="1">IF(controls!$B$33=1,(J295-E294*X295-B294)/'main page'!$K$27,(I295-E294*X295-B294)/'main page'!$K$27)</f>
        <v>53.45</v>
      </c>
      <c r="U294" s="58">
        <f>IF(controls!$B$6=1,$AG$4*(1+('main page'!$K$35/100))^V294-$AG$4*(1+('main page'!$K$35/100))^V293,$AG$4*(1+('main page'!$G$8/100))*(1+('main page'!$K$35/100))^V294-$AG$4*(1+('main page'!$G$8/100))*(1+('main page'!$K$35/100))^V293)</f>
        <v>0</v>
      </c>
      <c r="V294" s="60">
        <v>286</v>
      </c>
      <c r="W294" s="36">
        <f ca="1">'normal case'!AC293</f>
        <v>0</v>
      </c>
      <c r="X294" s="36">
        <f ca="1">'normal case'!AD293</f>
        <v>0</v>
      </c>
      <c r="Y294" s="44">
        <f ca="1">IF(controls!$B$33=1,E294-($J$4-'main page'!$K$27*2)*(1+('main page'!$K$35/100))^A293,E294-$AG$5)</f>
        <v>-99.9</v>
      </c>
      <c r="Z294" s="44">
        <f ca="1">ABS(M294-(controls!$B$9/100)*100)</f>
        <v>536.75</v>
      </c>
      <c r="AI294" s="36"/>
      <c r="AJ294" s="36"/>
    </row>
    <row r="295" spans="1:36">
      <c r="A295" s="43">
        <v>292</v>
      </c>
      <c r="B295" s="62">
        <f ca="1">IF(controls!$B$6=2,AVERAGE(E291:E294)+B294*W295+hystere!$AG$9,AVERAGE(E291:E294)+B294*W295)</f>
        <v>1.1000000000000001</v>
      </c>
      <c r="C295" s="67">
        <f t="shared" ca="1" si="25"/>
        <v>0</v>
      </c>
      <c r="D295" s="88">
        <f t="shared" ca="1" si="26"/>
        <v>-1</v>
      </c>
      <c r="E295" s="64">
        <f t="shared" ca="1" si="27"/>
        <v>0.1</v>
      </c>
      <c r="F295" s="64">
        <f ca="1">IF('main page'!$K$34=1,hystere!H295,hystere!G295)</f>
        <v>-961.5</v>
      </c>
      <c r="G295" s="78">
        <f ca="1">I295-'main page'!$K$27*hystere!N294</f>
        <v>-961.5</v>
      </c>
      <c r="H295" s="62">
        <f ca="1">J295-'main page'!$K$27*N294</f>
        <v>-961.5</v>
      </c>
      <c r="I295" s="62">
        <f t="shared" ca="1" si="28"/>
        <v>108</v>
      </c>
      <c r="J295" s="62">
        <f t="shared" ca="1" si="29"/>
        <v>108</v>
      </c>
      <c r="M295" s="62">
        <f ca="1">IF(ABS('main page'!$K$29*M294+(1-'main page'!$K$29)*(controls!$B$9/100)*100+'main page'!$K$25*(E295-B295)-M294)&lt;0.0000001,M294,'main page'!$K$29*M294+(1-'main page'!$K$29)*(controls!$B$9/100)*100+'main page'!$K$25*(E295-B295))</f>
        <v>-535.75</v>
      </c>
      <c r="N295" s="62">
        <f ca="1">IF(controls!$B$10=1,N294,O295-'main page'!$K$29*M295-(1-'main page'!$K$29)*controls!$B$9)</f>
        <v>535.75</v>
      </c>
      <c r="O295" s="61">
        <f t="shared" ca="1" si="24"/>
        <v>0</v>
      </c>
      <c r="P295" s="63">
        <f ca="1">IF(controls!$B$10=1,hystere!N295+hystere!M295,hystere!Q295)</f>
        <v>-616.73749999999995</v>
      </c>
      <c r="Q295" s="61">
        <f ca="1">IF('main page'!$Y$53=1,'choose m.p.'!$I$22*100,R295)</f>
        <v>-616.73749999999995</v>
      </c>
      <c r="R295" s="83">
        <f ca="1">'main page'!$K$29*M295+(1-'main page'!$K$29)*controls!$B$9+S295+(('main page'!$K$25*'main page'!$U$13*'main page'!$K$29)/('main page'!$K$27*(1+('main page'!$K$25^2)*'main page'!$U$13)))*(M295-(controls!$B$9/100)*100)</f>
        <v>-616.73749999999995</v>
      </c>
      <c r="S295" s="81">
        <f ca="1">IF(controls!$B$33=1,(J296-E295*X296-B295)/'main page'!$K$27,(I296-E295*X296-B295)/'main page'!$K$27)</f>
        <v>53.45</v>
      </c>
      <c r="U295" s="58">
        <f>IF(controls!$B$6=1,$AG$4*(1+('main page'!$K$35/100))^V295-$AG$4*(1+('main page'!$K$35/100))^V294,$AG$4*(1+('main page'!$G$8/100))*(1+('main page'!$K$35/100))^V295-$AG$4*(1+('main page'!$G$8/100))*(1+('main page'!$K$35/100))^V294)</f>
        <v>0</v>
      </c>
      <c r="V295" s="60">
        <v>287</v>
      </c>
      <c r="W295" s="36">
        <f>'normal case'!AC294</f>
        <v>0</v>
      </c>
      <c r="X295" s="36">
        <f>'normal case'!AD294</f>
        <v>0</v>
      </c>
      <c r="Y295" s="44">
        <f ca="1">IF(controls!$B$33=1,E295-($J$4-'main page'!$K$27*2)*(1+('main page'!$K$35/100))^A294,E295-$AG$5)</f>
        <v>-99.9</v>
      </c>
      <c r="Z295" s="44">
        <f ca="1">ABS(M295-(controls!$B$9/100)*100)</f>
        <v>537.75</v>
      </c>
      <c r="AI295" s="36"/>
      <c r="AJ295" s="36"/>
    </row>
    <row r="296" spans="1:36">
      <c r="A296" s="43">
        <v>293</v>
      </c>
      <c r="B296" s="62">
        <f ca="1">IF(controls!$B$6=2,AVERAGE(E292:E295)+B295*W296+hystere!$AG$9,AVERAGE(E292:E295)+B295*W296)</f>
        <v>1.1000000000000001</v>
      </c>
      <c r="C296" s="67">
        <f t="shared" ca="1" si="25"/>
        <v>0</v>
      </c>
      <c r="D296" s="88">
        <f t="shared" ca="1" si="26"/>
        <v>-1</v>
      </c>
      <c r="E296" s="64">
        <f t="shared" ca="1" si="27"/>
        <v>0.1</v>
      </c>
      <c r="F296" s="64">
        <f ca="1">IF('main page'!$K$34=1,hystere!H296,hystere!G296)</f>
        <v>-963.5</v>
      </c>
      <c r="G296" s="78">
        <f ca="1">I296-'main page'!$K$27*hystere!N295</f>
        <v>-963.5</v>
      </c>
      <c r="H296" s="62">
        <f ca="1">J296-'main page'!$K$27*N295</f>
        <v>-963.5</v>
      </c>
      <c r="I296" s="62">
        <f t="shared" ca="1" si="28"/>
        <v>108</v>
      </c>
      <c r="J296" s="62">
        <f t="shared" ca="1" si="29"/>
        <v>108</v>
      </c>
      <c r="M296" s="62">
        <f ca="1">IF(ABS('main page'!$K$29*M295+(1-'main page'!$K$29)*(controls!$B$9/100)*100+'main page'!$K$25*(E296-B296)-M295)&lt;0.0000001,M295,'main page'!$K$29*M295+(1-'main page'!$K$29)*(controls!$B$9/100)*100+'main page'!$K$25*(E296-B296))</f>
        <v>-536.75</v>
      </c>
      <c r="N296" s="62">
        <f ca="1">IF(controls!$B$10=1,N295,O296-'main page'!$K$29*M296-(1-'main page'!$K$29)*controls!$B$9)</f>
        <v>536.75</v>
      </c>
      <c r="O296" s="61">
        <f t="shared" ca="1" si="24"/>
        <v>0</v>
      </c>
      <c r="P296" s="63">
        <f ca="1">IF(controls!$B$10=1,hystere!N296+hystere!M296,hystere!Q296)</f>
        <v>-617.98749999999995</v>
      </c>
      <c r="Q296" s="61">
        <f ca="1">IF('main page'!$Y$53=1,'choose m.p.'!$I$22*100,R296)</f>
        <v>-617.98749999999995</v>
      </c>
      <c r="R296" s="83">
        <f ca="1">'main page'!$K$29*M296+(1-'main page'!$K$29)*controls!$B$9+S296+(('main page'!$K$25*'main page'!$U$13*'main page'!$K$29)/('main page'!$K$27*(1+('main page'!$K$25^2)*'main page'!$U$13)))*(M296-(controls!$B$9/100)*100)</f>
        <v>-617.98749999999995</v>
      </c>
      <c r="S296" s="81">
        <f ca="1">IF(controls!$B$33=1,(J297-E296*X297-B296)/'main page'!$K$27,(I297-E296*X297-B296)/'main page'!$K$27)</f>
        <v>53.45</v>
      </c>
      <c r="U296" s="58">
        <f>IF(controls!$B$6=1,$AG$4*(1+('main page'!$K$35/100))^V296-$AG$4*(1+('main page'!$K$35/100))^V295,$AG$4*(1+('main page'!$G$8/100))*(1+('main page'!$K$35/100))^V296-$AG$4*(1+('main page'!$G$8/100))*(1+('main page'!$K$35/100))^V295)</f>
        <v>0</v>
      </c>
      <c r="V296" s="60">
        <v>288</v>
      </c>
      <c r="W296" s="36">
        <f>'normal case'!AC295</f>
        <v>0</v>
      </c>
      <c r="X296" s="36">
        <f>'normal case'!AD295</f>
        <v>0</v>
      </c>
      <c r="Y296" s="44">
        <f ca="1">IF(controls!$B$33=1,E296-($J$4-'main page'!$K$27*2)*(1+('main page'!$K$35/100))^A295,E296-$AG$5)</f>
        <v>-99.9</v>
      </c>
      <c r="Z296" s="44">
        <f ca="1">ABS(M296-(controls!$B$9/100)*100)</f>
        <v>538.75</v>
      </c>
      <c r="AI296" s="36"/>
      <c r="AJ296" s="36"/>
    </row>
    <row r="297" spans="1:36">
      <c r="A297" s="43">
        <v>294</v>
      </c>
      <c r="B297" s="62">
        <f ca="1">IF(controls!$B$6=2,AVERAGE(E293:E296)+B296*W297+hystere!$AG$9,AVERAGE(E293:E296)+B296*W297)</f>
        <v>1.1000000000000001</v>
      </c>
      <c r="C297" s="67">
        <f t="shared" ca="1" si="25"/>
        <v>0</v>
      </c>
      <c r="D297" s="88">
        <f t="shared" ca="1" si="26"/>
        <v>-1</v>
      </c>
      <c r="E297" s="64">
        <f t="shared" ca="1" si="27"/>
        <v>0.1</v>
      </c>
      <c r="F297" s="64">
        <f ca="1">IF('main page'!$K$34=1,hystere!H297,hystere!G297)</f>
        <v>-965.5</v>
      </c>
      <c r="G297" s="78">
        <f ca="1">I297-'main page'!$K$27*hystere!N296</f>
        <v>-965.5</v>
      </c>
      <c r="H297" s="62">
        <f ca="1">J297-'main page'!$K$27*N296</f>
        <v>-965.5</v>
      </c>
      <c r="I297" s="62">
        <f t="shared" ca="1" si="28"/>
        <v>108</v>
      </c>
      <c r="J297" s="62">
        <f t="shared" ca="1" si="29"/>
        <v>108</v>
      </c>
      <c r="M297" s="62">
        <f ca="1">IF(ABS('main page'!$K$29*M296+(1-'main page'!$K$29)*(controls!$B$9/100)*100+'main page'!$K$25*(E297-B297)-M296)&lt;0.0000001,M296,'main page'!$K$29*M296+(1-'main page'!$K$29)*(controls!$B$9/100)*100+'main page'!$K$25*(E297-B297))</f>
        <v>-537.75</v>
      </c>
      <c r="N297" s="62">
        <f ca="1">IF(controls!$B$10=1,N296,O297-'main page'!$K$29*M297-(1-'main page'!$K$29)*controls!$B$9)</f>
        <v>537.75</v>
      </c>
      <c r="O297" s="61">
        <f t="shared" ca="1" si="24"/>
        <v>0</v>
      </c>
      <c r="P297" s="63">
        <f ca="1">IF(controls!$B$10=1,hystere!N297+hystere!M297,hystere!Q297)</f>
        <v>-619.23749999999995</v>
      </c>
      <c r="Q297" s="61">
        <f ca="1">IF('main page'!$Y$53=1,'choose m.p.'!$I$22*100,R297)</f>
        <v>-619.23749999999995</v>
      </c>
      <c r="R297" s="83">
        <f ca="1">'main page'!$K$29*M297+(1-'main page'!$K$29)*controls!$B$9+S297+(('main page'!$K$25*'main page'!$U$13*'main page'!$K$29)/('main page'!$K$27*(1+('main page'!$K$25^2)*'main page'!$U$13)))*(M297-(controls!$B$9/100)*100)</f>
        <v>-619.23749999999995</v>
      </c>
      <c r="S297" s="81">
        <f ca="1">IF(controls!$B$33=1,(J298-E297*X298-B297)/'main page'!$K$27,(I298-E297*X298-B297)/'main page'!$K$27)</f>
        <v>53.45</v>
      </c>
      <c r="U297" s="58">
        <f>IF(controls!$B$6=1,$AG$4*(1+('main page'!$K$35/100))^V297-$AG$4*(1+('main page'!$K$35/100))^V296,$AG$4*(1+('main page'!$G$8/100))*(1+('main page'!$K$35/100))^V297-$AG$4*(1+('main page'!$G$8/100))*(1+('main page'!$K$35/100))^V296)</f>
        <v>0</v>
      </c>
      <c r="V297" s="60">
        <v>289</v>
      </c>
      <c r="W297" s="36">
        <f ca="1">'normal case'!AC296</f>
        <v>0</v>
      </c>
      <c r="X297" s="36">
        <f ca="1">'normal case'!AD296</f>
        <v>0</v>
      </c>
      <c r="Y297" s="44">
        <f ca="1">IF(controls!$B$33=1,E297-($J$4-'main page'!$K$27*2)*(1+('main page'!$K$35/100))^A296,E297-$AG$5)</f>
        <v>-99.9</v>
      </c>
      <c r="Z297" s="44">
        <f ca="1">ABS(M297-(controls!$B$9/100)*100)</f>
        <v>539.75</v>
      </c>
      <c r="AI297" s="36"/>
      <c r="AJ297" s="36"/>
    </row>
    <row r="298" spans="1:36">
      <c r="A298" s="43">
        <v>295</v>
      </c>
      <c r="B298" s="62">
        <f ca="1">IF(controls!$B$6=2,AVERAGE(E294:E297)+B297*W298+hystere!$AG$9,AVERAGE(E294:E297)+B297*W298)</f>
        <v>1.1000000000000001</v>
      </c>
      <c r="C298" s="67">
        <f t="shared" ca="1" si="25"/>
        <v>0</v>
      </c>
      <c r="D298" s="88">
        <f t="shared" ca="1" si="26"/>
        <v>-1</v>
      </c>
      <c r="E298" s="64">
        <f t="shared" ca="1" si="27"/>
        <v>0.1</v>
      </c>
      <c r="F298" s="64">
        <f ca="1">IF('main page'!$K$34=1,hystere!H298,hystere!G298)</f>
        <v>-967.5</v>
      </c>
      <c r="G298" s="78">
        <f ca="1">I298-'main page'!$K$27*hystere!N297</f>
        <v>-967.5</v>
      </c>
      <c r="H298" s="62">
        <f ca="1">J298-'main page'!$K$27*N297</f>
        <v>-967.5</v>
      </c>
      <c r="I298" s="62">
        <f t="shared" ca="1" si="28"/>
        <v>108</v>
      </c>
      <c r="J298" s="62">
        <f t="shared" ca="1" si="29"/>
        <v>108</v>
      </c>
      <c r="M298" s="62">
        <f ca="1">IF(ABS('main page'!$K$29*M297+(1-'main page'!$K$29)*(controls!$B$9/100)*100+'main page'!$K$25*(E298-B298)-M297)&lt;0.0000001,M297,'main page'!$K$29*M297+(1-'main page'!$K$29)*(controls!$B$9/100)*100+'main page'!$K$25*(E298-B298))</f>
        <v>-538.75</v>
      </c>
      <c r="N298" s="62">
        <f ca="1">IF(controls!$B$10=1,N297,O298-'main page'!$K$29*M298-(1-'main page'!$K$29)*controls!$B$9)</f>
        <v>538.75</v>
      </c>
      <c r="O298" s="61">
        <f t="shared" ca="1" si="24"/>
        <v>0</v>
      </c>
      <c r="P298" s="63">
        <f ca="1">IF(controls!$B$10=1,hystere!N298+hystere!M298,hystere!Q298)</f>
        <v>-620.48749999999995</v>
      </c>
      <c r="Q298" s="61">
        <f ca="1">IF('main page'!$Y$53=1,'choose m.p.'!$I$22*100,R298)</f>
        <v>-620.48749999999995</v>
      </c>
      <c r="R298" s="83">
        <f ca="1">'main page'!$K$29*M298+(1-'main page'!$K$29)*controls!$B$9+S298+(('main page'!$K$25*'main page'!$U$13*'main page'!$K$29)/('main page'!$K$27*(1+('main page'!$K$25^2)*'main page'!$U$13)))*(M298-(controls!$B$9/100)*100)</f>
        <v>-620.48749999999995</v>
      </c>
      <c r="S298" s="81">
        <f ca="1">IF(controls!$B$33=1,(J299-E298*X299-B298)/'main page'!$K$27,(I299-E298*X299-B298)/'main page'!$K$27)</f>
        <v>53.45</v>
      </c>
      <c r="U298" s="58">
        <f>IF(controls!$B$6=1,$AG$4*(1+('main page'!$K$35/100))^V298-$AG$4*(1+('main page'!$K$35/100))^V297,$AG$4*(1+('main page'!$G$8/100))*(1+('main page'!$K$35/100))^V298-$AG$4*(1+('main page'!$G$8/100))*(1+('main page'!$K$35/100))^V297)</f>
        <v>0</v>
      </c>
      <c r="V298" s="60">
        <v>290</v>
      </c>
      <c r="W298" s="36">
        <f>'normal case'!AC297</f>
        <v>0</v>
      </c>
      <c r="X298" s="36">
        <f>'normal case'!AD297</f>
        <v>0</v>
      </c>
      <c r="Y298" s="44">
        <f ca="1">IF(controls!$B$33=1,E298-($J$4-'main page'!$K$27*2)*(1+('main page'!$K$35/100))^A297,E298-$AG$5)</f>
        <v>-99.9</v>
      </c>
      <c r="Z298" s="44">
        <f ca="1">ABS(M298-(controls!$B$9/100)*100)</f>
        <v>540.75</v>
      </c>
      <c r="AI298" s="36"/>
      <c r="AJ298" s="36"/>
    </row>
    <row r="299" spans="1:36">
      <c r="A299" s="43">
        <v>296</v>
      </c>
      <c r="B299" s="62">
        <f ca="1">IF(controls!$B$6=2,AVERAGE(E295:E298)+B298*W299+hystere!$AG$9,AVERAGE(E295:E298)+B298*W299)</f>
        <v>1.1000000000000001</v>
      </c>
      <c r="C299" s="67">
        <f t="shared" ca="1" si="25"/>
        <v>0</v>
      </c>
      <c r="D299" s="88">
        <f t="shared" ca="1" si="26"/>
        <v>-1</v>
      </c>
      <c r="E299" s="64">
        <f t="shared" ca="1" si="27"/>
        <v>0.1</v>
      </c>
      <c r="F299" s="64">
        <f ca="1">IF('main page'!$K$34=1,hystere!H299,hystere!G299)</f>
        <v>-969.5</v>
      </c>
      <c r="G299" s="78">
        <f ca="1">I299-'main page'!$K$27*hystere!N298</f>
        <v>-969.5</v>
      </c>
      <c r="H299" s="62">
        <f ca="1">J299-'main page'!$K$27*N298</f>
        <v>-969.5</v>
      </c>
      <c r="I299" s="62">
        <f t="shared" ca="1" si="28"/>
        <v>108</v>
      </c>
      <c r="J299" s="62">
        <f t="shared" ca="1" si="29"/>
        <v>108</v>
      </c>
      <c r="M299" s="62">
        <f ca="1">IF(ABS('main page'!$K$29*M298+(1-'main page'!$K$29)*(controls!$B$9/100)*100+'main page'!$K$25*(E299-B299)-M298)&lt;0.0000001,M298,'main page'!$K$29*M298+(1-'main page'!$K$29)*(controls!$B$9/100)*100+'main page'!$K$25*(E299-B299))</f>
        <v>-539.75</v>
      </c>
      <c r="N299" s="62">
        <f ca="1">IF(controls!$B$10=1,N298,O299-'main page'!$K$29*M299-(1-'main page'!$K$29)*controls!$B$9)</f>
        <v>539.75</v>
      </c>
      <c r="O299" s="61">
        <f t="shared" ca="1" si="24"/>
        <v>0</v>
      </c>
      <c r="P299" s="63">
        <f ca="1">IF(controls!$B$10=1,hystere!N299+hystere!M299,hystere!Q299)</f>
        <v>-621.73749999999995</v>
      </c>
      <c r="Q299" s="61">
        <f ca="1">IF('main page'!$Y$53=1,'choose m.p.'!$I$22*100,R299)</f>
        <v>-621.73749999999995</v>
      </c>
      <c r="R299" s="83">
        <f ca="1">'main page'!$K$29*M299+(1-'main page'!$K$29)*controls!$B$9+S299+(('main page'!$K$25*'main page'!$U$13*'main page'!$K$29)/('main page'!$K$27*(1+('main page'!$K$25^2)*'main page'!$U$13)))*(M299-(controls!$B$9/100)*100)</f>
        <v>-621.73749999999995</v>
      </c>
      <c r="S299" s="81">
        <f ca="1">IF(controls!$B$33=1,(J300-E299*X300-B299)/'main page'!$K$27,(I300-E299*X300-B299)/'main page'!$K$27)</f>
        <v>53.45</v>
      </c>
      <c r="U299" s="58">
        <f>IF(controls!$B$6=1,$AG$4*(1+('main page'!$K$35/100))^V299-$AG$4*(1+('main page'!$K$35/100))^V298,$AG$4*(1+('main page'!$G$8/100))*(1+('main page'!$K$35/100))^V299-$AG$4*(1+('main page'!$G$8/100))*(1+('main page'!$K$35/100))^V298)</f>
        <v>0</v>
      </c>
      <c r="V299" s="60">
        <v>291</v>
      </c>
      <c r="W299" s="36">
        <f>'normal case'!AC298</f>
        <v>0</v>
      </c>
      <c r="X299" s="36">
        <f>'normal case'!AD298</f>
        <v>0</v>
      </c>
      <c r="Y299" s="44">
        <f ca="1">IF(controls!$B$33=1,E299-($J$4-'main page'!$K$27*2)*(1+('main page'!$K$35/100))^A298,E299-$AG$5)</f>
        <v>-99.9</v>
      </c>
      <c r="Z299" s="44">
        <f ca="1">ABS(M299-(controls!$B$9/100)*100)</f>
        <v>541.75</v>
      </c>
      <c r="AI299" s="36"/>
      <c r="AJ299" s="36"/>
    </row>
    <row r="300" spans="1:36">
      <c r="A300" s="43">
        <v>297</v>
      </c>
      <c r="B300" s="62">
        <f ca="1">IF(controls!$B$6=2,AVERAGE(E296:E299)+B299*W300+hystere!$AG$9,AVERAGE(E296:E299)+B299*W300)</f>
        <v>1.1000000000000001</v>
      </c>
      <c r="C300" s="67">
        <f t="shared" ca="1" si="25"/>
        <v>0</v>
      </c>
      <c r="D300" s="88">
        <f t="shared" ca="1" si="26"/>
        <v>-1</v>
      </c>
      <c r="E300" s="64">
        <f t="shared" ca="1" si="27"/>
        <v>0.1</v>
      </c>
      <c r="F300" s="64">
        <f ca="1">IF('main page'!$K$34=1,hystere!H300,hystere!G300)</f>
        <v>-971.5</v>
      </c>
      <c r="G300" s="78">
        <f ca="1">I300-'main page'!$K$27*hystere!N299</f>
        <v>-971.5</v>
      </c>
      <c r="H300" s="62">
        <f ca="1">J300-'main page'!$K$27*N299</f>
        <v>-971.5</v>
      </c>
      <c r="I300" s="62">
        <f t="shared" ca="1" si="28"/>
        <v>108</v>
      </c>
      <c r="J300" s="62">
        <f t="shared" ca="1" si="29"/>
        <v>108</v>
      </c>
      <c r="M300" s="62">
        <f ca="1">IF(ABS('main page'!$K$29*M299+(1-'main page'!$K$29)*(controls!$B$9/100)*100+'main page'!$K$25*(E300-B300)-M299)&lt;0.0000001,M299,'main page'!$K$29*M299+(1-'main page'!$K$29)*(controls!$B$9/100)*100+'main page'!$K$25*(E300-B300))</f>
        <v>-540.75</v>
      </c>
      <c r="N300" s="62">
        <f ca="1">IF(controls!$B$10=1,N299,O300-'main page'!$K$29*M300-(1-'main page'!$K$29)*controls!$B$9)</f>
        <v>540.75</v>
      </c>
      <c r="O300" s="61">
        <f t="shared" ca="1" si="24"/>
        <v>0</v>
      </c>
      <c r="P300" s="63">
        <f ca="1">IF(controls!$B$10=1,hystere!N300+hystere!M300,hystere!Q300)</f>
        <v>-622.98749999999995</v>
      </c>
      <c r="Q300" s="61">
        <f ca="1">IF('main page'!$Y$53=1,'choose m.p.'!$I$22*100,R300)</f>
        <v>-622.98749999999995</v>
      </c>
      <c r="R300" s="83">
        <f ca="1">'main page'!$K$29*M300+(1-'main page'!$K$29)*controls!$B$9+S300+(('main page'!$K$25*'main page'!$U$13*'main page'!$K$29)/('main page'!$K$27*(1+('main page'!$K$25^2)*'main page'!$U$13)))*(M300-(controls!$B$9/100)*100)</f>
        <v>-622.98749999999995</v>
      </c>
      <c r="S300" s="81">
        <f ca="1">IF(controls!$B$33=1,(J301-E300*X301-B300)/'main page'!$K$27,(I301-E300*X301-B300)/'main page'!$K$27)</f>
        <v>53.45</v>
      </c>
      <c r="U300" s="58">
        <f>IF(controls!$B$6=1,$AG$4*(1+('main page'!$K$35/100))^V300-$AG$4*(1+('main page'!$K$35/100))^V299,$AG$4*(1+('main page'!$G$8/100))*(1+('main page'!$K$35/100))^V300-$AG$4*(1+('main page'!$G$8/100))*(1+('main page'!$K$35/100))^V299)</f>
        <v>0</v>
      </c>
      <c r="V300" s="60">
        <v>292</v>
      </c>
      <c r="W300" s="36">
        <f ca="1">'normal case'!AC299</f>
        <v>0</v>
      </c>
      <c r="X300" s="36">
        <f ca="1">'normal case'!AD299</f>
        <v>0</v>
      </c>
      <c r="Y300" s="44">
        <f ca="1">IF(controls!$B$33=1,E300-($J$4-'main page'!$K$27*2)*(1+('main page'!$K$35/100))^A299,E300-$AG$5)</f>
        <v>-99.9</v>
      </c>
      <c r="Z300" s="44">
        <f ca="1">ABS(M300-(controls!$B$9/100)*100)</f>
        <v>542.75</v>
      </c>
      <c r="AI300" s="36"/>
      <c r="AJ300" s="36"/>
    </row>
    <row r="301" spans="1:36">
      <c r="A301" s="43">
        <v>298</v>
      </c>
      <c r="B301" s="62">
        <f ca="1">IF(controls!$B$6=2,AVERAGE(E297:E300)+B300*W301+hystere!$AG$9,AVERAGE(E297:E300)+B300*W301)</f>
        <v>1.1000000000000001</v>
      </c>
      <c r="C301" s="67">
        <f t="shared" ca="1" si="25"/>
        <v>0</v>
      </c>
      <c r="D301" s="88">
        <f t="shared" ca="1" si="26"/>
        <v>-1</v>
      </c>
      <c r="E301" s="64">
        <f t="shared" ca="1" si="27"/>
        <v>0.1</v>
      </c>
      <c r="F301" s="64">
        <f ca="1">IF('main page'!$K$34=1,hystere!H301,hystere!G301)</f>
        <v>-973.5</v>
      </c>
      <c r="G301" s="78">
        <f ca="1">I301-'main page'!$K$27*hystere!N300</f>
        <v>-973.5</v>
      </c>
      <c r="H301" s="62">
        <f ca="1">J301-'main page'!$K$27*N300</f>
        <v>-973.5</v>
      </c>
      <c r="I301" s="62">
        <f t="shared" ca="1" si="28"/>
        <v>108</v>
      </c>
      <c r="J301" s="62">
        <f t="shared" ca="1" si="29"/>
        <v>108</v>
      </c>
      <c r="M301" s="62">
        <f ca="1">IF(ABS('main page'!$K$29*M300+(1-'main page'!$K$29)*(controls!$B$9/100)*100+'main page'!$K$25*(E301-B301)-M300)&lt;0.0000001,M300,'main page'!$K$29*M300+(1-'main page'!$K$29)*(controls!$B$9/100)*100+'main page'!$K$25*(E301-B301))</f>
        <v>-541.75</v>
      </c>
      <c r="N301" s="62">
        <f ca="1">IF(controls!$B$10=1,N300,O301-'main page'!$K$29*M301-(1-'main page'!$K$29)*controls!$B$9)</f>
        <v>541.75</v>
      </c>
      <c r="O301" s="61">
        <f t="shared" ca="1" si="24"/>
        <v>0</v>
      </c>
      <c r="P301" s="63">
        <f ca="1">IF(controls!$B$10=1,hystere!N301+hystere!M301,hystere!Q301)</f>
        <v>-624.23749999999995</v>
      </c>
      <c r="Q301" s="61">
        <f ca="1">IF('main page'!$Y$53=1,'choose m.p.'!$I$22*100,R301)</f>
        <v>-624.23749999999995</v>
      </c>
      <c r="R301" s="83">
        <f ca="1">'main page'!$K$29*M301+(1-'main page'!$K$29)*controls!$B$9+S301+(('main page'!$K$25*'main page'!$U$13*'main page'!$K$29)/('main page'!$K$27*(1+('main page'!$K$25^2)*'main page'!$U$13)))*(M301-(controls!$B$9/100)*100)</f>
        <v>-624.23749999999995</v>
      </c>
      <c r="S301" s="81">
        <f ca="1">IF(controls!$B$33=1,(J302-E301*X302-B301)/'main page'!$K$27,(I302-E301*X302-B301)/'main page'!$K$27)</f>
        <v>53.45</v>
      </c>
      <c r="U301" s="58">
        <f>IF(controls!$B$6=1,$AG$4*(1+('main page'!$K$35/100))^V301-$AG$4*(1+('main page'!$K$35/100))^V300,$AG$4*(1+('main page'!$G$8/100))*(1+('main page'!$K$35/100))^V301-$AG$4*(1+('main page'!$G$8/100))*(1+('main page'!$K$35/100))^V300)</f>
        <v>0</v>
      </c>
      <c r="V301" s="60">
        <v>293</v>
      </c>
      <c r="W301" s="36">
        <f>'normal case'!AC300</f>
        <v>0</v>
      </c>
      <c r="X301" s="36">
        <f>'normal case'!AD300</f>
        <v>0</v>
      </c>
      <c r="Y301" s="44">
        <f ca="1">IF(controls!$B$33=1,E301-($J$4-'main page'!$K$27*2)*(1+('main page'!$K$35/100))^A300,E301-$AG$5)</f>
        <v>-99.9</v>
      </c>
      <c r="Z301" s="44">
        <f ca="1">ABS(M301-(controls!$B$9/100)*100)</f>
        <v>543.75</v>
      </c>
      <c r="AI301" s="36"/>
      <c r="AJ301" s="36"/>
    </row>
    <row r="302" spans="1:36">
      <c r="A302" s="43">
        <v>299</v>
      </c>
      <c r="B302" s="62">
        <f ca="1">IF(controls!$B$6=2,AVERAGE(E298:E301)+B301*W302+hystere!$AG$9,AVERAGE(E298:E301)+B301*W302)</f>
        <v>1.1000000000000001</v>
      </c>
      <c r="C302" s="67">
        <f t="shared" ca="1" si="25"/>
        <v>0</v>
      </c>
      <c r="D302" s="88">
        <f t="shared" ca="1" si="26"/>
        <v>-1</v>
      </c>
      <c r="E302" s="64">
        <f t="shared" ca="1" si="27"/>
        <v>0.1</v>
      </c>
      <c r="F302" s="64">
        <f ca="1">IF('main page'!$K$34=1,hystere!H302,hystere!G302)</f>
        <v>-975.5</v>
      </c>
      <c r="G302" s="78">
        <f ca="1">I302-'main page'!$K$27*hystere!N301</f>
        <v>-975.5</v>
      </c>
      <c r="H302" s="62">
        <f ca="1">J302-'main page'!$K$27*N301</f>
        <v>-975.5</v>
      </c>
      <c r="I302" s="62">
        <f t="shared" ca="1" si="28"/>
        <v>108</v>
      </c>
      <c r="J302" s="62">
        <f t="shared" ca="1" si="29"/>
        <v>108</v>
      </c>
      <c r="M302" s="62">
        <f ca="1">IF(ABS('main page'!$K$29*M301+(1-'main page'!$K$29)*(controls!$B$9/100)*100+'main page'!$K$25*(E302-B302)-M301)&lt;0.0000001,M301,'main page'!$K$29*M301+(1-'main page'!$K$29)*(controls!$B$9/100)*100+'main page'!$K$25*(E302-B302))</f>
        <v>-542.75</v>
      </c>
      <c r="N302" s="62">
        <f ca="1">IF(controls!$B$10=1,N301,O302-'main page'!$K$29*M302-(1-'main page'!$K$29)*controls!$B$9)</f>
        <v>542.75</v>
      </c>
      <c r="O302" s="61">
        <f t="shared" ca="1" si="24"/>
        <v>0</v>
      </c>
      <c r="P302" s="63">
        <f ca="1">IF(controls!$B$10=1,hystere!N302+hystere!M302,hystere!Q302)</f>
        <v>-625.48749999999995</v>
      </c>
      <c r="Q302" s="61">
        <f ca="1">IF('main page'!$Y$53=1,'choose m.p.'!$I$22*100,R302)</f>
        <v>-625.48749999999995</v>
      </c>
      <c r="R302" s="83">
        <f ca="1">'main page'!$K$29*M302+(1-'main page'!$K$29)*controls!$B$9+S302+(('main page'!$K$25*'main page'!$U$13*'main page'!$K$29)/('main page'!$K$27*(1+('main page'!$K$25^2)*'main page'!$U$13)))*(M302-(controls!$B$9/100)*100)</f>
        <v>-625.48749999999995</v>
      </c>
      <c r="S302" s="81">
        <f ca="1">IF(controls!$B$33=1,(J303-E302*X303-B302)/'main page'!$K$27,(I303-E302*X303-B302)/'main page'!$K$27)</f>
        <v>53.45</v>
      </c>
      <c r="U302" s="58">
        <f>IF(controls!$B$6=1,$AG$4*(1+('main page'!$K$35/100))^V302-$AG$4*(1+('main page'!$K$35/100))^V301,$AG$4*(1+('main page'!$G$8/100))*(1+('main page'!$K$35/100))^V302-$AG$4*(1+('main page'!$G$8/100))*(1+('main page'!$K$35/100))^V301)</f>
        <v>0</v>
      </c>
      <c r="V302" s="60">
        <v>294</v>
      </c>
      <c r="W302" s="36">
        <f>'normal case'!AC301</f>
        <v>0</v>
      </c>
      <c r="X302" s="36">
        <f>'normal case'!AD301</f>
        <v>0</v>
      </c>
      <c r="Y302" s="44">
        <f ca="1">IF(controls!$B$33=1,E302-($J$4-'main page'!$K$27*2)*(1+('main page'!$K$35/100))^A301,E302-$AG$5)</f>
        <v>-99.9</v>
      </c>
      <c r="Z302" s="44">
        <f ca="1">ABS(M302-(controls!$B$9/100)*100)</f>
        <v>544.75</v>
      </c>
      <c r="AI302" s="36"/>
      <c r="AJ302" s="36"/>
    </row>
    <row r="303" spans="1:36">
      <c r="A303" s="43">
        <v>300</v>
      </c>
      <c r="B303" s="62">
        <f ca="1">IF(controls!$B$6=2,AVERAGE(E299:E302)+B302*W303+hystere!$AG$9,AVERAGE(E299:E302)+B302*W303)</f>
        <v>1.1000000000000001</v>
      </c>
      <c r="C303" s="67">
        <f t="shared" ca="1" si="25"/>
        <v>0</v>
      </c>
      <c r="D303" s="88">
        <f t="shared" ca="1" si="26"/>
        <v>-1</v>
      </c>
      <c r="E303" s="64">
        <f t="shared" ca="1" si="27"/>
        <v>0.1</v>
      </c>
      <c r="F303" s="64">
        <f ca="1">IF('main page'!$K$34=1,hystere!H303,hystere!G303)</f>
        <v>-977.5</v>
      </c>
      <c r="G303" s="78">
        <f ca="1">I303-'main page'!$K$27*hystere!N302</f>
        <v>-977.5</v>
      </c>
      <c r="H303" s="62">
        <f ca="1">J303-'main page'!$K$27*N302</f>
        <v>-977.5</v>
      </c>
      <c r="I303" s="62">
        <f t="shared" ca="1" si="28"/>
        <v>108</v>
      </c>
      <c r="J303" s="62">
        <f t="shared" ca="1" si="29"/>
        <v>108</v>
      </c>
      <c r="M303" s="62">
        <f ca="1">IF(ABS('main page'!$K$29*M302+(1-'main page'!$K$29)*(controls!$B$9/100)*100+'main page'!$K$25*(E303-B303)-M302)&lt;0.0000001,M302,'main page'!$K$29*M302+(1-'main page'!$K$29)*(controls!$B$9/100)*100+'main page'!$K$25*(E303-B303))</f>
        <v>-543.75</v>
      </c>
      <c r="N303" s="62">
        <f ca="1">IF(controls!$B$10=1,N302,O303-'main page'!$K$29*M303-(1-'main page'!$K$29)*controls!$B$9)</f>
        <v>543.75</v>
      </c>
      <c r="O303" s="61">
        <f t="shared" ca="1" si="24"/>
        <v>0</v>
      </c>
      <c r="P303" s="63">
        <f ca="1">IF(controls!$B$10=1,hystere!N303+hystere!M303,hystere!Q303)</f>
        <v>-626.73749999999995</v>
      </c>
      <c r="Q303" s="61">
        <f ca="1">IF('main page'!$Y$53=1,'choose m.p.'!$I$22*100,R303)</f>
        <v>-626.73749999999995</v>
      </c>
      <c r="R303" s="83">
        <f ca="1">'main page'!$K$29*M303+(1-'main page'!$K$29)*controls!$B$9+S303+(('main page'!$K$25*'main page'!$U$13*'main page'!$K$29)/('main page'!$K$27*(1+('main page'!$K$25^2)*'main page'!$U$13)))*(M303-(controls!$B$9/100)*100)</f>
        <v>-626.73749999999995</v>
      </c>
      <c r="S303" s="81">
        <f ca="1">IF(controls!$B$33=1,(J304-E303*X304-B303)/'main page'!$K$27,(I304-E303*X304-B303)/'main page'!$K$27)</f>
        <v>53.45</v>
      </c>
      <c r="U303" s="58">
        <f>IF(controls!$B$6=1,$AG$4*(1+('main page'!$K$35/100))^V303-$AG$4*(1+('main page'!$K$35/100))^V302,$AG$4*(1+('main page'!$G$8/100))*(1+('main page'!$K$35/100))^V303-$AG$4*(1+('main page'!$G$8/100))*(1+('main page'!$K$35/100))^V302)</f>
        <v>0</v>
      </c>
      <c r="V303" s="60">
        <v>295</v>
      </c>
      <c r="W303" s="36">
        <f ca="1">'normal case'!AC302</f>
        <v>0</v>
      </c>
      <c r="X303" s="36">
        <f ca="1">'normal case'!AD302</f>
        <v>0</v>
      </c>
      <c r="Y303" s="44">
        <f ca="1">IF(controls!$B$33=1,E303-($J$4-'main page'!$K$27*2)*(1+('main page'!$K$35/100))^A302,E303-$AG$5)</f>
        <v>-99.9</v>
      </c>
      <c r="Z303" s="44">
        <f ca="1">ABS(M303-(controls!$B$9/100)*100)</f>
        <v>545.75</v>
      </c>
      <c r="AI303" s="36"/>
      <c r="AJ303" s="36"/>
    </row>
    <row r="304" spans="1:36">
      <c r="A304" s="43">
        <v>301</v>
      </c>
      <c r="B304" s="62">
        <f ca="1">IF(controls!$B$6=2,AVERAGE(E300:E303)+B303*W304+hystere!$AG$9,AVERAGE(E300:E303)+B303*W304)</f>
        <v>1.1000000000000001</v>
      </c>
      <c r="C304" s="67">
        <f t="shared" ca="1" si="25"/>
        <v>0</v>
      </c>
      <c r="D304" s="88">
        <f t="shared" ca="1" si="26"/>
        <v>-1</v>
      </c>
      <c r="E304" s="64">
        <f t="shared" ca="1" si="27"/>
        <v>0.1</v>
      </c>
      <c r="F304" s="64">
        <f ca="1">IF('main page'!$K$34=1,hystere!H304,hystere!G304)</f>
        <v>-979.5</v>
      </c>
      <c r="G304" s="78">
        <f ca="1">I304-'main page'!$K$27*hystere!N303</f>
        <v>-979.5</v>
      </c>
      <c r="H304" s="62">
        <f ca="1">J304-'main page'!$K$27*N303</f>
        <v>-979.5</v>
      </c>
      <c r="I304" s="62">
        <f t="shared" ca="1" si="28"/>
        <v>108</v>
      </c>
      <c r="J304" s="62">
        <f t="shared" ca="1" si="29"/>
        <v>108</v>
      </c>
      <c r="M304" s="62">
        <f ca="1">IF(ABS('main page'!$K$29*M303+(1-'main page'!$K$29)*(controls!$B$9/100)*100+'main page'!$K$25*(E304-B304)-M303)&lt;0.0000001,M303,'main page'!$K$29*M303+(1-'main page'!$K$29)*(controls!$B$9/100)*100+'main page'!$K$25*(E304-B304))</f>
        <v>-544.75</v>
      </c>
      <c r="N304" s="62">
        <f ca="1">IF(controls!$B$10=1,N303,O304-'main page'!$K$29*M304-(1-'main page'!$K$29)*controls!$B$9)</f>
        <v>544.75</v>
      </c>
      <c r="O304" s="61">
        <f t="shared" ca="1" si="24"/>
        <v>0</v>
      </c>
      <c r="P304" s="63">
        <f ca="1">IF(controls!$B$10=1,hystere!N304+hystere!M304,hystere!Q304)</f>
        <v>-627.98749999999995</v>
      </c>
      <c r="Q304" s="61">
        <f ca="1">IF('main page'!$Y$53=1,'choose m.p.'!$I$22*100,R304)</f>
        <v>-627.98749999999995</v>
      </c>
      <c r="R304" s="83">
        <f ca="1">'main page'!$K$29*M304+(1-'main page'!$K$29)*controls!$B$9+S304+(('main page'!$K$25*'main page'!$U$13*'main page'!$K$29)/('main page'!$K$27*(1+('main page'!$K$25^2)*'main page'!$U$13)))*(M304-(controls!$B$9/100)*100)</f>
        <v>-627.98749999999995</v>
      </c>
      <c r="S304" s="81">
        <f ca="1">IF(controls!$B$33=1,(J305-E304*X305-B304)/'main page'!$K$27,(I305-E304*X305-B304)/'main page'!$K$27)</f>
        <v>53.45</v>
      </c>
      <c r="U304" s="58">
        <f>IF(controls!$B$6=1,$AG$4*(1+('main page'!$K$35/100))^V304-$AG$4*(1+('main page'!$K$35/100))^V303,$AG$4*(1+('main page'!$G$8/100))*(1+('main page'!$K$35/100))^V304-$AG$4*(1+('main page'!$G$8/100))*(1+('main page'!$K$35/100))^V303)</f>
        <v>0</v>
      </c>
      <c r="V304" s="60">
        <v>296</v>
      </c>
      <c r="W304" s="36">
        <f>'normal case'!AC303</f>
        <v>0</v>
      </c>
      <c r="X304" s="36">
        <f>'normal case'!AD303</f>
        <v>0</v>
      </c>
      <c r="Y304" s="44">
        <f ca="1">IF(controls!$B$33=1,E304-($J$4-'main page'!$K$27*2)*(1+('main page'!$K$35/100))^A303,E304-$AG$5)</f>
        <v>-99.9</v>
      </c>
      <c r="Z304" s="44">
        <f ca="1">ABS(M304-(controls!$B$9/100)*100)</f>
        <v>546.75</v>
      </c>
      <c r="AI304" s="36"/>
      <c r="AJ304" s="36"/>
    </row>
    <row r="305" spans="1:36">
      <c r="A305" s="43">
        <v>302</v>
      </c>
      <c r="B305" s="62">
        <f ca="1">IF(controls!$B$6=2,AVERAGE(E301:E304)+B304*W305+hystere!$AG$9,AVERAGE(E301:E304)+B304*W305)</f>
        <v>1.1000000000000001</v>
      </c>
      <c r="C305" s="67">
        <f t="shared" ca="1" si="25"/>
        <v>0</v>
      </c>
      <c r="D305" s="88">
        <f t="shared" ca="1" si="26"/>
        <v>-1</v>
      </c>
      <c r="E305" s="64">
        <f t="shared" ca="1" si="27"/>
        <v>0.1</v>
      </c>
      <c r="F305" s="64">
        <f ca="1">IF('main page'!$K$34=1,hystere!H305,hystere!G305)</f>
        <v>-981.5</v>
      </c>
      <c r="G305" s="78">
        <f ca="1">I305-'main page'!$K$27*hystere!N304</f>
        <v>-981.5</v>
      </c>
      <c r="H305" s="62">
        <f ca="1">J305-'main page'!$K$27*N304</f>
        <v>-981.5</v>
      </c>
      <c r="I305" s="62">
        <f t="shared" ca="1" si="28"/>
        <v>108</v>
      </c>
      <c r="J305" s="62">
        <f t="shared" ca="1" si="29"/>
        <v>108</v>
      </c>
      <c r="M305" s="62">
        <f ca="1">IF(ABS('main page'!$K$29*M304+(1-'main page'!$K$29)*(controls!$B$9/100)*100+'main page'!$K$25*(E305-B305)-M304)&lt;0.0000001,M304,'main page'!$K$29*M304+(1-'main page'!$K$29)*(controls!$B$9/100)*100+'main page'!$K$25*(E305-B305))</f>
        <v>-545.75</v>
      </c>
      <c r="N305" s="62">
        <f ca="1">IF(controls!$B$10=1,N304,O305-'main page'!$K$29*M305-(1-'main page'!$K$29)*controls!$B$9)</f>
        <v>545.75</v>
      </c>
      <c r="O305" s="61">
        <f t="shared" ca="1" si="24"/>
        <v>0</v>
      </c>
      <c r="P305" s="63">
        <f ca="1">IF(controls!$B$10=1,hystere!N305+hystere!M305,hystere!Q305)</f>
        <v>-629.23749999999995</v>
      </c>
      <c r="Q305" s="61">
        <f ca="1">IF('main page'!$Y$53=1,'choose m.p.'!$I$22*100,R305)</f>
        <v>-629.23749999999995</v>
      </c>
      <c r="R305" s="83">
        <f ca="1">'main page'!$K$29*M305+(1-'main page'!$K$29)*controls!$B$9+S305+(('main page'!$K$25*'main page'!$U$13*'main page'!$K$29)/('main page'!$K$27*(1+('main page'!$K$25^2)*'main page'!$U$13)))*(M305-(controls!$B$9/100)*100)</f>
        <v>-629.23749999999995</v>
      </c>
      <c r="S305" s="81">
        <f ca="1">IF(controls!$B$33=1,(J306-E305*X306-B305)/'main page'!$K$27,(I306-E305*X306-B305)/'main page'!$K$27)</f>
        <v>53.45</v>
      </c>
      <c r="U305" s="58">
        <f>IF(controls!$B$6=1,$AG$4*(1+('main page'!$K$35/100))^V305-$AG$4*(1+('main page'!$K$35/100))^V304,$AG$4*(1+('main page'!$G$8/100))*(1+('main page'!$K$35/100))^V305-$AG$4*(1+('main page'!$G$8/100))*(1+('main page'!$K$35/100))^V304)</f>
        <v>0</v>
      </c>
      <c r="V305" s="60">
        <v>297</v>
      </c>
      <c r="W305" s="36">
        <f>'normal case'!AC304</f>
        <v>0</v>
      </c>
      <c r="X305" s="36">
        <f>'normal case'!AD304</f>
        <v>0</v>
      </c>
      <c r="Y305" s="44">
        <f ca="1">IF(controls!$B$33=1,E305-($J$4-'main page'!$K$27*2)*(1+('main page'!$K$35/100))^A304,E305-$AG$5)</f>
        <v>-99.9</v>
      </c>
      <c r="Z305" s="44">
        <f ca="1">ABS(M305-(controls!$B$9/100)*100)</f>
        <v>547.75</v>
      </c>
      <c r="AI305" s="36"/>
      <c r="AJ305" s="36"/>
    </row>
    <row r="306" spans="1:36">
      <c r="A306" s="43">
        <v>303</v>
      </c>
      <c r="B306" s="62">
        <f ca="1">IF(controls!$B$6=2,AVERAGE(E302:E305)+B305*W306+hystere!$AG$9,AVERAGE(E302:E305)+B305*W306)</f>
        <v>1.1000000000000001</v>
      </c>
      <c r="C306" s="67">
        <f t="shared" ca="1" si="25"/>
        <v>0</v>
      </c>
      <c r="D306" s="88">
        <f t="shared" ca="1" si="26"/>
        <v>-1</v>
      </c>
      <c r="E306" s="64">
        <f t="shared" ca="1" si="27"/>
        <v>0.1</v>
      </c>
      <c r="F306" s="64">
        <f ca="1">IF('main page'!$K$34=1,hystere!H306,hystere!G306)</f>
        <v>-983.5</v>
      </c>
      <c r="G306" s="78">
        <f ca="1">I306-'main page'!$K$27*hystere!N305</f>
        <v>-983.5</v>
      </c>
      <c r="H306" s="62">
        <f ca="1">J306-'main page'!$K$27*N305</f>
        <v>-983.5</v>
      </c>
      <c r="I306" s="62">
        <f t="shared" ca="1" si="28"/>
        <v>108</v>
      </c>
      <c r="J306" s="62">
        <f t="shared" ca="1" si="29"/>
        <v>108</v>
      </c>
      <c r="M306" s="62">
        <f ca="1">IF(ABS('main page'!$K$29*M305+(1-'main page'!$K$29)*(controls!$B$9/100)*100+'main page'!$K$25*(E306-B306)-M305)&lt;0.0000001,M305,'main page'!$K$29*M305+(1-'main page'!$K$29)*(controls!$B$9/100)*100+'main page'!$K$25*(E306-B306))</f>
        <v>-546.75</v>
      </c>
      <c r="N306" s="62">
        <f ca="1">IF(controls!$B$10=1,N305,O306-'main page'!$K$29*M306-(1-'main page'!$K$29)*controls!$B$9)</f>
        <v>546.75</v>
      </c>
      <c r="O306" s="61">
        <f t="shared" ca="1" si="24"/>
        <v>0</v>
      </c>
      <c r="P306" s="63">
        <f ca="1">IF(controls!$B$10=1,hystere!N306+hystere!M306,hystere!Q306)</f>
        <v>-630.48749999999995</v>
      </c>
      <c r="Q306" s="61">
        <f ca="1">IF('main page'!$Y$53=1,'choose m.p.'!$I$22*100,R306)</f>
        <v>-630.48749999999995</v>
      </c>
      <c r="R306" s="83">
        <f ca="1">'main page'!$K$29*M306+(1-'main page'!$K$29)*controls!$B$9+S306+(('main page'!$K$25*'main page'!$U$13*'main page'!$K$29)/('main page'!$K$27*(1+('main page'!$K$25^2)*'main page'!$U$13)))*(M306-(controls!$B$9/100)*100)</f>
        <v>-630.48749999999995</v>
      </c>
      <c r="S306" s="81">
        <f ca="1">IF(controls!$B$33=1,(J307-E306*X307-B306)/'main page'!$K$27,(I307-E306*X307-B306)/'main page'!$K$27)</f>
        <v>53.45</v>
      </c>
      <c r="U306" s="58">
        <f>IF(controls!$B$6=1,$AG$4*(1+('main page'!$K$35/100))^V306-$AG$4*(1+('main page'!$K$35/100))^V305,$AG$4*(1+('main page'!$G$8/100))*(1+('main page'!$K$35/100))^V306-$AG$4*(1+('main page'!$G$8/100))*(1+('main page'!$K$35/100))^V305)</f>
        <v>0</v>
      </c>
      <c r="V306" s="60">
        <v>298</v>
      </c>
      <c r="W306" s="36">
        <f ca="1">'normal case'!AC305</f>
        <v>0</v>
      </c>
      <c r="X306" s="36">
        <f ca="1">'normal case'!AD305</f>
        <v>0</v>
      </c>
      <c r="Y306" s="44">
        <f ca="1">IF(controls!$B$33=1,E306-($J$4-'main page'!$K$27*2)*(1+('main page'!$K$35/100))^A305,E306-$AG$5)</f>
        <v>-99.9</v>
      </c>
      <c r="Z306" s="44">
        <f ca="1">ABS(M306-(controls!$B$9/100)*100)</f>
        <v>548.75</v>
      </c>
      <c r="AI306" s="36"/>
      <c r="AJ306" s="36"/>
    </row>
    <row r="307" spans="1:36">
      <c r="A307" s="43">
        <v>304</v>
      </c>
      <c r="B307" s="62">
        <f ca="1">IF(controls!$B$6=2,AVERAGE(E303:E306)+B306*W307+hystere!$AG$9,AVERAGE(E303:E306)+B306*W307)</f>
        <v>1.1000000000000001</v>
      </c>
      <c r="C307" s="67">
        <f t="shared" ca="1" si="25"/>
        <v>0</v>
      </c>
      <c r="D307" s="88">
        <f t="shared" ca="1" si="26"/>
        <v>-1</v>
      </c>
      <c r="E307" s="64">
        <f t="shared" ca="1" si="27"/>
        <v>0.1</v>
      </c>
      <c r="F307" s="64">
        <f ca="1">IF('main page'!$K$34=1,hystere!H307,hystere!G307)</f>
        <v>-985.5</v>
      </c>
      <c r="G307" s="78">
        <f ca="1">I307-'main page'!$K$27*hystere!N306</f>
        <v>-985.5</v>
      </c>
      <c r="H307" s="62">
        <f ca="1">J307-'main page'!$K$27*N306</f>
        <v>-985.5</v>
      </c>
      <c r="I307" s="62">
        <f t="shared" ca="1" si="28"/>
        <v>108</v>
      </c>
      <c r="J307" s="62">
        <f t="shared" ca="1" si="29"/>
        <v>108</v>
      </c>
      <c r="M307" s="62">
        <f ca="1">IF(ABS('main page'!$K$29*M306+(1-'main page'!$K$29)*(controls!$B$9/100)*100+'main page'!$K$25*(E307-B307)-M306)&lt;0.0000001,M306,'main page'!$K$29*M306+(1-'main page'!$K$29)*(controls!$B$9/100)*100+'main page'!$K$25*(E307-B307))</f>
        <v>-547.75</v>
      </c>
      <c r="N307" s="62">
        <f ca="1">IF(controls!$B$10=1,N306,O307-'main page'!$K$29*M307-(1-'main page'!$K$29)*controls!$B$9)</f>
        <v>547.75</v>
      </c>
      <c r="O307" s="61">
        <f t="shared" ca="1" si="24"/>
        <v>0</v>
      </c>
      <c r="P307" s="63">
        <f ca="1">IF(controls!$B$10=1,hystere!N307+hystere!M307,hystere!Q307)</f>
        <v>-631.73749999999995</v>
      </c>
      <c r="Q307" s="61">
        <f ca="1">IF('main page'!$Y$53=1,'choose m.p.'!$I$22*100,R307)</f>
        <v>-631.73749999999995</v>
      </c>
      <c r="R307" s="83">
        <f ca="1">'main page'!$K$29*M307+(1-'main page'!$K$29)*controls!$B$9+S307+(('main page'!$K$25*'main page'!$U$13*'main page'!$K$29)/('main page'!$K$27*(1+('main page'!$K$25^2)*'main page'!$U$13)))*(M307-(controls!$B$9/100)*100)</f>
        <v>-631.73749999999995</v>
      </c>
      <c r="S307" s="81">
        <f ca="1">IF(controls!$B$33=1,(J308-E307*X308-B307)/'main page'!$K$27,(I308-E307*X308-B307)/'main page'!$K$27)</f>
        <v>53.45</v>
      </c>
      <c r="U307" s="58">
        <f>IF(controls!$B$6=1,$AG$4*(1+('main page'!$K$35/100))^V307-$AG$4*(1+('main page'!$K$35/100))^V306,$AG$4*(1+('main page'!$G$8/100))*(1+('main page'!$K$35/100))^V307-$AG$4*(1+('main page'!$G$8/100))*(1+('main page'!$K$35/100))^V306)</f>
        <v>0</v>
      </c>
      <c r="V307" s="60">
        <v>299</v>
      </c>
      <c r="W307" s="36">
        <f>'normal case'!AC306</f>
        <v>0</v>
      </c>
      <c r="X307" s="36">
        <f>'normal case'!AD306</f>
        <v>0</v>
      </c>
      <c r="Y307" s="44">
        <f ca="1">IF(controls!$B$33=1,E307-($J$4-'main page'!$K$27*2)*(1+('main page'!$K$35/100))^A306,E307-$AG$5)</f>
        <v>-99.9</v>
      </c>
      <c r="Z307" s="44">
        <f ca="1">ABS(M307-(controls!$B$9/100)*100)</f>
        <v>549.75</v>
      </c>
      <c r="AI307" s="36"/>
      <c r="AJ307" s="36"/>
    </row>
    <row r="308" spans="1:36">
      <c r="A308" s="43">
        <v>305</v>
      </c>
      <c r="B308" s="62">
        <f ca="1">IF(controls!$B$6=2,AVERAGE(E304:E307)+B307*W308+hystere!$AG$9,AVERAGE(E304:E307)+B307*W308)</f>
        <v>1.1000000000000001</v>
      </c>
      <c r="C308" s="67">
        <f t="shared" ca="1" si="25"/>
        <v>0</v>
      </c>
      <c r="D308" s="88">
        <f t="shared" ca="1" si="26"/>
        <v>-1</v>
      </c>
      <c r="E308" s="64">
        <f t="shared" ca="1" si="27"/>
        <v>0.1</v>
      </c>
      <c r="F308" s="64">
        <f ca="1">IF('main page'!$K$34=1,hystere!H308,hystere!G308)</f>
        <v>-987.5</v>
      </c>
      <c r="G308" s="78">
        <f ca="1">I308-'main page'!$K$27*hystere!N307</f>
        <v>-987.5</v>
      </c>
      <c r="H308" s="62">
        <f ca="1">J308-'main page'!$K$27*N307</f>
        <v>-987.5</v>
      </c>
      <c r="I308" s="62">
        <f t="shared" ca="1" si="28"/>
        <v>108</v>
      </c>
      <c r="J308" s="62">
        <f t="shared" ca="1" si="29"/>
        <v>108</v>
      </c>
      <c r="M308" s="62">
        <f ca="1">IF(ABS('main page'!$K$29*M307+(1-'main page'!$K$29)*(controls!$B$9/100)*100+'main page'!$K$25*(E308-B308)-M307)&lt;0.0000001,M307,'main page'!$K$29*M307+(1-'main page'!$K$29)*(controls!$B$9/100)*100+'main page'!$K$25*(E308-B308))</f>
        <v>-548.75</v>
      </c>
      <c r="N308" s="62">
        <f ca="1">IF(controls!$B$10=1,N307,O308-'main page'!$K$29*M308-(1-'main page'!$K$29)*controls!$B$9)</f>
        <v>548.75</v>
      </c>
      <c r="O308" s="61">
        <f t="shared" ca="1" si="24"/>
        <v>0</v>
      </c>
      <c r="P308" s="63">
        <f ca="1">IF(controls!$B$10=1,hystere!N308+hystere!M308,hystere!Q308)</f>
        <v>-632.98749999999995</v>
      </c>
      <c r="Q308" s="61">
        <f ca="1">IF('main page'!$Y$53=1,'choose m.p.'!$I$22*100,R308)</f>
        <v>-632.98749999999995</v>
      </c>
      <c r="R308" s="83">
        <f ca="1">'main page'!$K$29*M308+(1-'main page'!$K$29)*controls!$B$9+S308+(('main page'!$K$25*'main page'!$U$13*'main page'!$K$29)/('main page'!$K$27*(1+('main page'!$K$25^2)*'main page'!$U$13)))*(M308-(controls!$B$9/100)*100)</f>
        <v>-632.98749999999995</v>
      </c>
      <c r="S308" s="81">
        <f ca="1">IF(controls!$B$33=1,(J309-E308*X309-B308)/'main page'!$K$27,(I309-E308*X309-B308)/'main page'!$K$27)</f>
        <v>53.45</v>
      </c>
      <c r="U308" s="58">
        <f>IF(controls!$B$6=1,$AG$4*(1+('main page'!$K$35/100))^V308-$AG$4*(1+('main page'!$K$35/100))^V307,$AG$4*(1+('main page'!$G$8/100))*(1+('main page'!$K$35/100))^V308-$AG$4*(1+('main page'!$G$8/100))*(1+('main page'!$K$35/100))^V307)</f>
        <v>0</v>
      </c>
      <c r="V308" s="60">
        <v>300</v>
      </c>
      <c r="W308" s="36">
        <f>'normal case'!AC307</f>
        <v>0</v>
      </c>
      <c r="X308" s="36">
        <f>'normal case'!AD307</f>
        <v>0</v>
      </c>
      <c r="Y308" s="44">
        <f ca="1">IF(controls!$B$33=1,E308-($J$4-'main page'!$K$27*2)*(1+('main page'!$K$35/100))^A307,E308-$AG$5)</f>
        <v>-99.9</v>
      </c>
      <c r="Z308" s="44">
        <f ca="1">ABS(M308-(controls!$B$9/100)*100)</f>
        <v>550.75</v>
      </c>
      <c r="AI308" s="36"/>
      <c r="AJ308" s="36"/>
    </row>
    <row r="309" spans="1:36">
      <c r="A309" s="43">
        <v>306</v>
      </c>
      <c r="B309" s="62">
        <f ca="1">IF(controls!$B$6=2,AVERAGE(E305:E308)+B308*W309+hystere!$AG$9,AVERAGE(E305:E308)+B308*W309)</f>
        <v>1.1000000000000001</v>
      </c>
      <c r="C309" s="67">
        <f t="shared" ca="1" si="25"/>
        <v>0</v>
      </c>
      <c r="D309" s="88">
        <f t="shared" ca="1" si="26"/>
        <v>-1</v>
      </c>
      <c r="E309" s="64">
        <f t="shared" ca="1" si="27"/>
        <v>0.1</v>
      </c>
      <c r="F309" s="64">
        <f ca="1">IF('main page'!$K$34=1,hystere!H309,hystere!G309)</f>
        <v>-989.5</v>
      </c>
      <c r="G309" s="78">
        <f ca="1">I309-'main page'!$K$27*hystere!N308</f>
        <v>-989.5</v>
      </c>
      <c r="H309" s="62">
        <f ca="1">J309-'main page'!$K$27*N308</f>
        <v>-989.5</v>
      </c>
      <c r="I309" s="62">
        <f t="shared" ca="1" si="28"/>
        <v>108</v>
      </c>
      <c r="J309" s="62">
        <f t="shared" ca="1" si="29"/>
        <v>108</v>
      </c>
      <c r="M309" s="62">
        <f ca="1">IF(ABS('main page'!$K$29*M308+(1-'main page'!$K$29)*(controls!$B$9/100)*100+'main page'!$K$25*(E309-B309)-M308)&lt;0.0000001,M308,'main page'!$K$29*M308+(1-'main page'!$K$29)*(controls!$B$9/100)*100+'main page'!$K$25*(E309-B309))</f>
        <v>-549.75</v>
      </c>
      <c r="N309" s="62">
        <f ca="1">IF(controls!$B$10=1,N308,O309-'main page'!$K$29*M309-(1-'main page'!$K$29)*controls!$B$9)</f>
        <v>549.75</v>
      </c>
      <c r="O309" s="61">
        <f t="shared" ca="1" si="24"/>
        <v>0</v>
      </c>
      <c r="P309" s="63">
        <f ca="1">IF(controls!$B$10=1,hystere!N309+hystere!M309,hystere!Q309)</f>
        <v>-634.23749999999995</v>
      </c>
      <c r="Q309" s="61">
        <f ca="1">IF('main page'!$Y$53=1,'choose m.p.'!$I$22*100,R309)</f>
        <v>-634.23749999999995</v>
      </c>
      <c r="R309" s="83">
        <f ca="1">'main page'!$K$29*M309+(1-'main page'!$K$29)*controls!$B$9+S309+(('main page'!$K$25*'main page'!$U$13*'main page'!$K$29)/('main page'!$K$27*(1+('main page'!$K$25^2)*'main page'!$U$13)))*(M309-(controls!$B$9/100)*100)</f>
        <v>-634.23749999999995</v>
      </c>
      <c r="S309" s="81">
        <f ca="1">IF(controls!$B$33=1,(J310-E309*X310-B309)/'main page'!$K$27,(I310-E309*X310-B309)/'main page'!$K$27)</f>
        <v>53.45</v>
      </c>
      <c r="U309" s="58">
        <f>IF(controls!$B$6=1,$AG$4*(1+('main page'!$K$35/100))^V309-$AG$4*(1+('main page'!$K$35/100))^V308,$AG$4*(1+('main page'!$G$8/100))*(1+('main page'!$K$35/100))^V309-$AG$4*(1+('main page'!$G$8/100))*(1+('main page'!$K$35/100))^V308)</f>
        <v>0</v>
      </c>
      <c r="V309" s="60">
        <v>301</v>
      </c>
      <c r="W309" s="36">
        <f ca="1">'normal case'!AC308</f>
        <v>0</v>
      </c>
      <c r="X309" s="36">
        <f ca="1">'normal case'!AD308</f>
        <v>0</v>
      </c>
      <c r="Y309" s="44">
        <f ca="1">IF(controls!$B$33=1,E309-($J$4-'main page'!$K$27*2)*(1+('main page'!$K$35/100))^A308,E309-$AG$5)</f>
        <v>-99.9</v>
      </c>
      <c r="Z309" s="44">
        <f ca="1">ABS(M309-(controls!$B$9/100)*100)</f>
        <v>551.75</v>
      </c>
      <c r="AI309" s="36"/>
      <c r="AJ309" s="36"/>
    </row>
    <row r="310" spans="1:36">
      <c r="A310" s="43">
        <v>307</v>
      </c>
      <c r="B310" s="62">
        <f ca="1">IF(controls!$B$6=2,AVERAGE(E306:E309)+B309*W310+hystere!$AG$9,AVERAGE(E306:E309)+B309*W310)</f>
        <v>1.1000000000000001</v>
      </c>
      <c r="C310" s="67">
        <f t="shared" ca="1" si="25"/>
        <v>0</v>
      </c>
      <c r="D310" s="88">
        <f t="shared" ca="1" si="26"/>
        <v>-1</v>
      </c>
      <c r="E310" s="64">
        <f t="shared" ca="1" si="27"/>
        <v>0.1</v>
      </c>
      <c r="F310" s="64">
        <f ca="1">IF('main page'!$K$34=1,hystere!H310,hystere!G310)</f>
        <v>-991.5</v>
      </c>
      <c r="G310" s="78">
        <f ca="1">I310-'main page'!$K$27*hystere!N309</f>
        <v>-991.5</v>
      </c>
      <c r="H310" s="62">
        <f ca="1">J310-'main page'!$K$27*N309</f>
        <v>-991.5</v>
      </c>
      <c r="I310" s="62">
        <f t="shared" ca="1" si="28"/>
        <v>108</v>
      </c>
      <c r="J310" s="62">
        <f t="shared" ca="1" si="29"/>
        <v>108</v>
      </c>
      <c r="M310" s="62">
        <f ca="1">IF(ABS('main page'!$K$29*M309+(1-'main page'!$K$29)*(controls!$B$9/100)*100+'main page'!$K$25*(E310-B310)-M309)&lt;0.0000001,M309,'main page'!$K$29*M309+(1-'main page'!$K$29)*(controls!$B$9/100)*100+'main page'!$K$25*(E310-B310))</f>
        <v>-550.75</v>
      </c>
      <c r="N310" s="62">
        <f ca="1">IF(controls!$B$10=1,N309,O310-'main page'!$K$29*M310-(1-'main page'!$K$29)*controls!$B$9)</f>
        <v>550.75</v>
      </c>
      <c r="O310" s="61">
        <f t="shared" ca="1" si="24"/>
        <v>0</v>
      </c>
      <c r="P310" s="63">
        <f ca="1">IF(controls!$B$10=1,hystere!N310+hystere!M310,hystere!Q310)</f>
        <v>-635.48749999999995</v>
      </c>
      <c r="Q310" s="61">
        <f ca="1">IF('main page'!$Y$53=1,'choose m.p.'!$I$22*100,R310)</f>
        <v>-635.48749999999995</v>
      </c>
      <c r="R310" s="83">
        <f ca="1">'main page'!$K$29*M310+(1-'main page'!$K$29)*controls!$B$9+S310+(('main page'!$K$25*'main page'!$U$13*'main page'!$K$29)/('main page'!$K$27*(1+('main page'!$K$25^2)*'main page'!$U$13)))*(M310-(controls!$B$9/100)*100)</f>
        <v>-635.48749999999995</v>
      </c>
      <c r="S310" s="81">
        <f ca="1">IF(controls!$B$33=1,(J311-E310*X311-B310)/'main page'!$K$27,(I311-E310*X311-B310)/'main page'!$K$27)</f>
        <v>53.45</v>
      </c>
      <c r="U310" s="58">
        <f>IF(controls!$B$6=1,$AG$4*(1+('main page'!$K$35/100))^V310-$AG$4*(1+('main page'!$K$35/100))^V309,$AG$4*(1+('main page'!$G$8/100))*(1+('main page'!$K$35/100))^V310-$AG$4*(1+('main page'!$G$8/100))*(1+('main page'!$K$35/100))^V309)</f>
        <v>0</v>
      </c>
      <c r="V310" s="60">
        <v>302</v>
      </c>
      <c r="W310" s="36">
        <f>'normal case'!AC309</f>
        <v>0</v>
      </c>
      <c r="X310" s="36">
        <f>'normal case'!AD309</f>
        <v>0</v>
      </c>
      <c r="Y310" s="44">
        <f ca="1">IF(controls!$B$33=1,E310-($J$4-'main page'!$K$27*2)*(1+('main page'!$K$35/100))^A309,E310-$AG$5)</f>
        <v>-99.9</v>
      </c>
      <c r="Z310" s="44">
        <f ca="1">ABS(M310-(controls!$B$9/100)*100)</f>
        <v>552.75</v>
      </c>
      <c r="AI310" s="36"/>
      <c r="AJ310" s="36"/>
    </row>
    <row r="311" spans="1:36">
      <c r="A311" s="43">
        <v>308</v>
      </c>
      <c r="B311" s="62">
        <f ca="1">IF(controls!$B$6=2,AVERAGE(E307:E310)+B310*W311+hystere!$AG$9,AVERAGE(E307:E310)+B310*W311)</f>
        <v>1.1000000000000001</v>
      </c>
      <c r="C311" s="67">
        <f t="shared" ca="1" si="25"/>
        <v>0</v>
      </c>
      <c r="D311" s="88">
        <f t="shared" ca="1" si="26"/>
        <v>-1</v>
      </c>
      <c r="E311" s="64">
        <f t="shared" ca="1" si="27"/>
        <v>0.1</v>
      </c>
      <c r="F311" s="64">
        <f ca="1">IF('main page'!$K$34=1,hystere!H311,hystere!G311)</f>
        <v>-993.5</v>
      </c>
      <c r="G311" s="78">
        <f ca="1">I311-'main page'!$K$27*hystere!N310</f>
        <v>-993.5</v>
      </c>
      <c r="H311" s="62">
        <f ca="1">J311-'main page'!$K$27*N310</f>
        <v>-993.5</v>
      </c>
      <c r="I311" s="62">
        <f t="shared" ca="1" si="28"/>
        <v>108</v>
      </c>
      <c r="J311" s="62">
        <f t="shared" ca="1" si="29"/>
        <v>108</v>
      </c>
      <c r="M311" s="62">
        <f ca="1">IF(ABS('main page'!$K$29*M310+(1-'main page'!$K$29)*(controls!$B$9/100)*100+'main page'!$K$25*(E311-B311)-M310)&lt;0.0000001,M310,'main page'!$K$29*M310+(1-'main page'!$K$29)*(controls!$B$9/100)*100+'main page'!$K$25*(E311-B311))</f>
        <v>-551.75</v>
      </c>
      <c r="N311" s="62">
        <f ca="1">IF(controls!$B$10=1,N310,O311-'main page'!$K$29*M311-(1-'main page'!$K$29)*controls!$B$9)</f>
        <v>551.75</v>
      </c>
      <c r="O311" s="61">
        <f t="shared" ca="1" si="24"/>
        <v>0</v>
      </c>
      <c r="P311" s="63">
        <f ca="1">IF(controls!$B$10=1,hystere!N311+hystere!M311,hystere!Q311)</f>
        <v>-636.73749999999995</v>
      </c>
      <c r="Q311" s="61">
        <f ca="1">IF('main page'!$Y$53=1,'choose m.p.'!$I$22*100,R311)</f>
        <v>-636.73749999999995</v>
      </c>
      <c r="R311" s="83">
        <f ca="1">'main page'!$K$29*M311+(1-'main page'!$K$29)*controls!$B$9+S311+(('main page'!$K$25*'main page'!$U$13*'main page'!$K$29)/('main page'!$K$27*(1+('main page'!$K$25^2)*'main page'!$U$13)))*(M311-(controls!$B$9/100)*100)</f>
        <v>-636.73749999999995</v>
      </c>
      <c r="S311" s="81">
        <f ca="1">IF(controls!$B$33=1,(J312-E311*X312-B311)/'main page'!$K$27,(I312-E311*X312-B311)/'main page'!$K$27)</f>
        <v>53.45</v>
      </c>
      <c r="U311" s="58">
        <f>IF(controls!$B$6=1,$AG$4*(1+('main page'!$K$35/100))^V311-$AG$4*(1+('main page'!$K$35/100))^V310,$AG$4*(1+('main page'!$G$8/100))*(1+('main page'!$K$35/100))^V311-$AG$4*(1+('main page'!$G$8/100))*(1+('main page'!$K$35/100))^V310)</f>
        <v>0</v>
      </c>
      <c r="V311" s="60">
        <v>303</v>
      </c>
      <c r="W311" s="36">
        <f>'normal case'!AC310</f>
        <v>0</v>
      </c>
      <c r="X311" s="36">
        <f>'normal case'!AD310</f>
        <v>0</v>
      </c>
      <c r="Y311" s="44">
        <f ca="1">IF(controls!$B$33=1,E311-($J$4-'main page'!$K$27*2)*(1+('main page'!$K$35/100))^A310,E311-$AG$5)</f>
        <v>-99.9</v>
      </c>
      <c r="Z311" s="44">
        <f ca="1">ABS(M311-(controls!$B$9/100)*100)</f>
        <v>553.75</v>
      </c>
      <c r="AI311" s="36"/>
      <c r="AJ311" s="36"/>
    </row>
    <row r="312" spans="1:36">
      <c r="A312" s="43">
        <v>309</v>
      </c>
      <c r="B312" s="62">
        <f ca="1">IF(controls!$B$6=2,AVERAGE(E308:E311)+B311*W312+hystere!$AG$9,AVERAGE(E308:E311)+B311*W312)</f>
        <v>1.1000000000000001</v>
      </c>
      <c r="C312" s="67">
        <f t="shared" ca="1" si="25"/>
        <v>0</v>
      </c>
      <c r="D312" s="88">
        <f t="shared" ca="1" si="26"/>
        <v>-1</v>
      </c>
      <c r="E312" s="64">
        <f t="shared" ca="1" si="27"/>
        <v>0.1</v>
      </c>
      <c r="F312" s="64">
        <f ca="1">IF('main page'!$K$34=1,hystere!H312,hystere!G312)</f>
        <v>-995.5</v>
      </c>
      <c r="G312" s="78">
        <f ca="1">I312-'main page'!$K$27*hystere!N311</f>
        <v>-995.5</v>
      </c>
      <c r="H312" s="62">
        <f ca="1">J312-'main page'!$K$27*N311</f>
        <v>-995.5</v>
      </c>
      <c r="I312" s="62">
        <f t="shared" ca="1" si="28"/>
        <v>108</v>
      </c>
      <c r="J312" s="62">
        <f t="shared" ca="1" si="29"/>
        <v>108</v>
      </c>
      <c r="M312" s="62">
        <f ca="1">IF(ABS('main page'!$K$29*M311+(1-'main page'!$K$29)*(controls!$B$9/100)*100+'main page'!$K$25*(E312-B312)-M311)&lt;0.0000001,M311,'main page'!$K$29*M311+(1-'main page'!$K$29)*(controls!$B$9/100)*100+'main page'!$K$25*(E312-B312))</f>
        <v>-552.75</v>
      </c>
      <c r="N312" s="62">
        <f ca="1">IF(controls!$B$10=1,N311,O312-'main page'!$K$29*M312-(1-'main page'!$K$29)*controls!$B$9)</f>
        <v>552.75</v>
      </c>
      <c r="O312" s="61">
        <f t="shared" ca="1" si="24"/>
        <v>0</v>
      </c>
      <c r="P312" s="63">
        <f ca="1">IF(controls!$B$10=1,hystere!N312+hystere!M312,hystere!Q312)</f>
        <v>-637.98749999999995</v>
      </c>
      <c r="Q312" s="61">
        <f ca="1">IF('main page'!$Y$53=1,'choose m.p.'!$I$22*100,R312)</f>
        <v>-637.98749999999995</v>
      </c>
      <c r="R312" s="83">
        <f ca="1">'main page'!$K$29*M312+(1-'main page'!$K$29)*controls!$B$9+S312+(('main page'!$K$25*'main page'!$U$13*'main page'!$K$29)/('main page'!$K$27*(1+('main page'!$K$25^2)*'main page'!$U$13)))*(M312-(controls!$B$9/100)*100)</f>
        <v>-637.98749999999995</v>
      </c>
      <c r="S312" s="81">
        <f ca="1">IF(controls!$B$33=1,(J313-E312*X313-B312)/'main page'!$K$27,(I313-E312*X313-B312)/'main page'!$K$27)</f>
        <v>53.45</v>
      </c>
      <c r="U312" s="58">
        <f>IF(controls!$B$6=1,$AG$4*(1+('main page'!$K$35/100))^V312-$AG$4*(1+('main page'!$K$35/100))^V311,$AG$4*(1+('main page'!$G$8/100))*(1+('main page'!$K$35/100))^V312-$AG$4*(1+('main page'!$G$8/100))*(1+('main page'!$K$35/100))^V311)</f>
        <v>0</v>
      </c>
      <c r="V312" s="60">
        <v>304</v>
      </c>
      <c r="W312" s="36">
        <f ca="1">'normal case'!AC311</f>
        <v>0</v>
      </c>
      <c r="X312" s="36">
        <f ca="1">'normal case'!AD311</f>
        <v>0</v>
      </c>
      <c r="Y312" s="44">
        <f ca="1">IF(controls!$B$33=1,E312-($J$4-'main page'!$K$27*2)*(1+('main page'!$K$35/100))^A311,E312-$AG$5)</f>
        <v>-99.9</v>
      </c>
      <c r="Z312" s="44">
        <f ca="1">ABS(M312-(controls!$B$9/100)*100)</f>
        <v>554.75</v>
      </c>
      <c r="AI312" s="36"/>
      <c r="AJ312" s="36"/>
    </row>
    <row r="313" spans="1:36">
      <c r="A313" s="43">
        <v>310</v>
      </c>
      <c r="B313" s="62">
        <f ca="1">IF(controls!$B$6=2,AVERAGE(E309:E312)+B312*W313+hystere!$AG$9,AVERAGE(E309:E312)+B312*W313)</f>
        <v>1.1000000000000001</v>
      </c>
      <c r="C313" s="67">
        <f t="shared" ca="1" si="25"/>
        <v>0</v>
      </c>
      <c r="D313" s="88">
        <f t="shared" ca="1" si="26"/>
        <v>-1</v>
      </c>
      <c r="E313" s="64">
        <f t="shared" ca="1" si="27"/>
        <v>0.1</v>
      </c>
      <c r="F313" s="64">
        <f ca="1">IF('main page'!$K$34=1,hystere!H313,hystere!G313)</f>
        <v>-997.5</v>
      </c>
      <c r="G313" s="78">
        <f ca="1">I313-'main page'!$K$27*hystere!N312</f>
        <v>-997.5</v>
      </c>
      <c r="H313" s="62">
        <f ca="1">J313-'main page'!$K$27*N312</f>
        <v>-997.5</v>
      </c>
      <c r="I313" s="62">
        <f t="shared" ca="1" si="28"/>
        <v>108</v>
      </c>
      <c r="J313" s="62">
        <f t="shared" ca="1" si="29"/>
        <v>108</v>
      </c>
      <c r="M313" s="62">
        <f ca="1">IF(ABS('main page'!$K$29*M312+(1-'main page'!$K$29)*(controls!$B$9/100)*100+'main page'!$K$25*(E313-B313)-M312)&lt;0.0000001,M312,'main page'!$K$29*M312+(1-'main page'!$K$29)*(controls!$B$9/100)*100+'main page'!$K$25*(E313-B313))</f>
        <v>-553.75</v>
      </c>
      <c r="N313" s="62">
        <f ca="1">IF(controls!$B$10=1,N312,O313-'main page'!$K$29*M313-(1-'main page'!$K$29)*controls!$B$9)</f>
        <v>553.75</v>
      </c>
      <c r="O313" s="61">
        <f t="shared" ca="1" si="24"/>
        <v>0</v>
      </c>
      <c r="P313" s="63">
        <f ca="1">IF(controls!$B$10=1,hystere!N313+hystere!M313,hystere!Q313)</f>
        <v>-639.23749999999995</v>
      </c>
      <c r="Q313" s="61">
        <f ca="1">IF('main page'!$Y$53=1,'choose m.p.'!$I$22*100,R313)</f>
        <v>-639.23749999999995</v>
      </c>
      <c r="R313" s="83">
        <f ca="1">'main page'!$K$29*M313+(1-'main page'!$K$29)*controls!$B$9+S313+(('main page'!$K$25*'main page'!$U$13*'main page'!$K$29)/('main page'!$K$27*(1+('main page'!$K$25^2)*'main page'!$U$13)))*(M313-(controls!$B$9/100)*100)</f>
        <v>-639.23749999999995</v>
      </c>
      <c r="S313" s="81">
        <f ca="1">IF(controls!$B$33=1,(J314-E313*X314-B313)/'main page'!$K$27,(I314-E313*X314-B313)/'main page'!$K$27)</f>
        <v>53.45</v>
      </c>
      <c r="U313" s="58">
        <f>IF(controls!$B$6=1,$AG$4*(1+('main page'!$K$35/100))^V313-$AG$4*(1+('main page'!$K$35/100))^V312,$AG$4*(1+('main page'!$G$8/100))*(1+('main page'!$K$35/100))^V313-$AG$4*(1+('main page'!$G$8/100))*(1+('main page'!$K$35/100))^V312)</f>
        <v>0</v>
      </c>
      <c r="V313" s="60">
        <v>305</v>
      </c>
      <c r="W313" s="36">
        <f>'normal case'!AC312</f>
        <v>0</v>
      </c>
      <c r="X313" s="36">
        <f>'normal case'!AD312</f>
        <v>0</v>
      </c>
      <c r="Y313" s="44">
        <f ca="1">IF(controls!$B$33=1,E313-($J$4-'main page'!$K$27*2)*(1+('main page'!$K$35/100))^A312,E313-$AG$5)</f>
        <v>-99.9</v>
      </c>
      <c r="Z313" s="44">
        <f ca="1">ABS(M313-(controls!$B$9/100)*100)</f>
        <v>555.75</v>
      </c>
      <c r="AI313" s="36"/>
      <c r="AJ313" s="36"/>
    </row>
    <row r="314" spans="1:36">
      <c r="A314" s="43">
        <v>311</v>
      </c>
      <c r="B314" s="62">
        <f ca="1">IF(controls!$B$6=2,AVERAGE(E310:E313)+B313*W314+hystere!$AG$9,AVERAGE(E310:E313)+B313*W314)</f>
        <v>1.1000000000000001</v>
      </c>
      <c r="C314" s="67">
        <f t="shared" ca="1" si="25"/>
        <v>0</v>
      </c>
      <c r="D314" s="88">
        <f t="shared" ca="1" si="26"/>
        <v>-1</v>
      </c>
      <c r="E314" s="64">
        <f t="shared" ca="1" si="27"/>
        <v>0.1</v>
      </c>
      <c r="F314" s="64">
        <f ca="1">IF('main page'!$K$34=1,hystere!H314,hystere!G314)</f>
        <v>-999.5</v>
      </c>
      <c r="G314" s="78">
        <f ca="1">I314-'main page'!$K$27*hystere!N313</f>
        <v>-999.5</v>
      </c>
      <c r="H314" s="62">
        <f ca="1">J314-'main page'!$K$27*N313</f>
        <v>-999.5</v>
      </c>
      <c r="I314" s="62">
        <f t="shared" ca="1" si="28"/>
        <v>108</v>
      </c>
      <c r="J314" s="62">
        <f t="shared" ca="1" si="29"/>
        <v>108</v>
      </c>
      <c r="M314" s="62">
        <f ca="1">IF(ABS('main page'!$K$29*M313+(1-'main page'!$K$29)*(controls!$B$9/100)*100+'main page'!$K$25*(E314-B314)-M313)&lt;0.0000001,M313,'main page'!$K$29*M313+(1-'main page'!$K$29)*(controls!$B$9/100)*100+'main page'!$K$25*(E314-B314))</f>
        <v>-554.75</v>
      </c>
      <c r="N314" s="62">
        <f ca="1">IF(controls!$B$10=1,N313,O314-'main page'!$K$29*M314-(1-'main page'!$K$29)*controls!$B$9)</f>
        <v>554.75</v>
      </c>
      <c r="O314" s="61">
        <f t="shared" ca="1" si="24"/>
        <v>0</v>
      </c>
      <c r="P314" s="63">
        <f ca="1">IF(controls!$B$10=1,hystere!N314+hystere!M314,hystere!Q314)</f>
        <v>-640.48749999999995</v>
      </c>
      <c r="Q314" s="61">
        <f ca="1">IF('main page'!$Y$53=1,'choose m.p.'!$I$22*100,R314)</f>
        <v>-640.48749999999995</v>
      </c>
      <c r="R314" s="83">
        <f ca="1">'main page'!$K$29*M314+(1-'main page'!$K$29)*controls!$B$9+S314+(('main page'!$K$25*'main page'!$U$13*'main page'!$K$29)/('main page'!$K$27*(1+('main page'!$K$25^2)*'main page'!$U$13)))*(M314-(controls!$B$9/100)*100)</f>
        <v>-640.48749999999995</v>
      </c>
      <c r="S314" s="81">
        <f ca="1">IF(controls!$B$33=1,(J315-E314*X315-B314)/'main page'!$K$27,(I315-E314*X315-B314)/'main page'!$K$27)</f>
        <v>53.45</v>
      </c>
      <c r="U314" s="58">
        <f>IF(controls!$B$6=1,$AG$4*(1+('main page'!$K$35/100))^V314-$AG$4*(1+('main page'!$K$35/100))^V313,$AG$4*(1+('main page'!$G$8/100))*(1+('main page'!$K$35/100))^V314-$AG$4*(1+('main page'!$G$8/100))*(1+('main page'!$K$35/100))^V313)</f>
        <v>0</v>
      </c>
      <c r="V314" s="60">
        <v>306</v>
      </c>
      <c r="W314" s="36">
        <f>'normal case'!AC313</f>
        <v>0</v>
      </c>
      <c r="X314" s="36">
        <f>'normal case'!AD313</f>
        <v>0</v>
      </c>
      <c r="Y314" s="44">
        <f ca="1">IF(controls!$B$33=1,E314-($J$4-'main page'!$K$27*2)*(1+('main page'!$K$35/100))^A313,E314-$AG$5)</f>
        <v>-99.9</v>
      </c>
      <c r="Z314" s="44">
        <f ca="1">ABS(M314-(controls!$B$9/100)*100)</f>
        <v>556.75</v>
      </c>
      <c r="AI314" s="36"/>
      <c r="AJ314" s="36"/>
    </row>
    <row r="315" spans="1:36">
      <c r="A315" s="43">
        <v>312</v>
      </c>
      <c r="B315" s="62">
        <f ca="1">IF(controls!$B$6=2,AVERAGE(E311:E314)+B314*W315+hystere!$AG$9,AVERAGE(E311:E314)+B314*W315)</f>
        <v>1.1000000000000001</v>
      </c>
      <c r="C315" s="67">
        <f t="shared" ca="1" si="25"/>
        <v>0</v>
      </c>
      <c r="D315" s="88">
        <f t="shared" ca="1" si="26"/>
        <v>-1</v>
      </c>
      <c r="E315" s="64">
        <f t="shared" ca="1" si="27"/>
        <v>0.1</v>
      </c>
      <c r="F315" s="64">
        <f ca="1">IF('main page'!$K$34=1,hystere!H315,hystere!G315)</f>
        <v>-1001.5</v>
      </c>
      <c r="G315" s="78">
        <f ca="1">I315-'main page'!$K$27*hystere!N314</f>
        <v>-1001.5</v>
      </c>
      <c r="H315" s="62">
        <f ca="1">J315-'main page'!$K$27*N314</f>
        <v>-1001.5</v>
      </c>
      <c r="I315" s="62">
        <f t="shared" ca="1" si="28"/>
        <v>108</v>
      </c>
      <c r="J315" s="62">
        <f t="shared" ca="1" si="29"/>
        <v>108</v>
      </c>
      <c r="M315" s="62">
        <f ca="1">IF(ABS('main page'!$K$29*M314+(1-'main page'!$K$29)*(controls!$B$9/100)*100+'main page'!$K$25*(E315-B315)-M314)&lt;0.0000001,M314,'main page'!$K$29*M314+(1-'main page'!$K$29)*(controls!$B$9/100)*100+'main page'!$K$25*(E315-B315))</f>
        <v>-555.75</v>
      </c>
      <c r="N315" s="62">
        <f ca="1">IF(controls!$B$10=1,N314,O315-'main page'!$K$29*M315-(1-'main page'!$K$29)*controls!$B$9)</f>
        <v>555.75</v>
      </c>
      <c r="O315" s="61">
        <f t="shared" ca="1" si="24"/>
        <v>0</v>
      </c>
      <c r="P315" s="63">
        <f ca="1">IF(controls!$B$10=1,hystere!N315+hystere!M315,hystere!Q315)</f>
        <v>-641.73749999999995</v>
      </c>
      <c r="Q315" s="61">
        <f ca="1">IF('main page'!$Y$53=1,'choose m.p.'!$I$22*100,R315)</f>
        <v>-641.73749999999995</v>
      </c>
      <c r="R315" s="83">
        <f ca="1">'main page'!$K$29*M315+(1-'main page'!$K$29)*controls!$B$9+S315+(('main page'!$K$25*'main page'!$U$13*'main page'!$K$29)/('main page'!$K$27*(1+('main page'!$K$25^2)*'main page'!$U$13)))*(M315-(controls!$B$9/100)*100)</f>
        <v>-641.73749999999995</v>
      </c>
      <c r="S315" s="81">
        <f ca="1">IF(controls!$B$33=1,(J316-E315*X316-B315)/'main page'!$K$27,(I316-E315*X316-B315)/'main page'!$K$27)</f>
        <v>53.45</v>
      </c>
      <c r="U315" s="58">
        <f>IF(controls!$B$6=1,$AG$4*(1+('main page'!$K$35/100))^V315-$AG$4*(1+('main page'!$K$35/100))^V314,$AG$4*(1+('main page'!$G$8/100))*(1+('main page'!$K$35/100))^V315-$AG$4*(1+('main page'!$G$8/100))*(1+('main page'!$K$35/100))^V314)</f>
        <v>0</v>
      </c>
      <c r="V315" s="60">
        <v>307</v>
      </c>
      <c r="W315" s="36">
        <f ca="1">'normal case'!AC314</f>
        <v>0</v>
      </c>
      <c r="X315" s="36">
        <f ca="1">'normal case'!AD314</f>
        <v>0</v>
      </c>
      <c r="Y315" s="44">
        <f ca="1">IF(controls!$B$33=1,E315-($J$4-'main page'!$K$27*2)*(1+('main page'!$K$35/100))^A314,E315-$AG$5)</f>
        <v>-99.9</v>
      </c>
      <c r="Z315" s="44">
        <f ca="1">ABS(M315-(controls!$B$9/100)*100)</f>
        <v>557.75</v>
      </c>
      <c r="AI315" s="36"/>
      <c r="AJ315" s="36"/>
    </row>
    <row r="316" spans="1:36">
      <c r="A316" s="43">
        <v>313</v>
      </c>
      <c r="B316" s="62">
        <f ca="1">IF(controls!$B$6=2,AVERAGE(E312:E315)+B315*W316+hystere!$AG$9,AVERAGE(E312:E315)+B315*W316)</f>
        <v>1.1000000000000001</v>
      </c>
      <c r="C316" s="67">
        <f t="shared" ca="1" si="25"/>
        <v>0</v>
      </c>
      <c r="D316" s="88">
        <f t="shared" ca="1" si="26"/>
        <v>-1</v>
      </c>
      <c r="E316" s="64">
        <f t="shared" ca="1" si="27"/>
        <v>0.1</v>
      </c>
      <c r="F316" s="64">
        <f ca="1">IF('main page'!$K$34=1,hystere!H316,hystere!G316)</f>
        <v>-1003.5</v>
      </c>
      <c r="G316" s="78">
        <f ca="1">I316-'main page'!$K$27*hystere!N315</f>
        <v>-1003.5</v>
      </c>
      <c r="H316" s="62">
        <f ca="1">J316-'main page'!$K$27*N315</f>
        <v>-1003.5</v>
      </c>
      <c r="I316" s="62">
        <f t="shared" ca="1" si="28"/>
        <v>108</v>
      </c>
      <c r="J316" s="62">
        <f t="shared" ca="1" si="29"/>
        <v>108</v>
      </c>
      <c r="M316" s="62">
        <f ca="1">IF(ABS('main page'!$K$29*M315+(1-'main page'!$K$29)*(controls!$B$9/100)*100+'main page'!$K$25*(E316-B316)-M315)&lt;0.0000001,M315,'main page'!$K$29*M315+(1-'main page'!$K$29)*(controls!$B$9/100)*100+'main page'!$K$25*(E316-B316))</f>
        <v>-556.75</v>
      </c>
      <c r="N316" s="62">
        <f ca="1">IF(controls!$B$10=1,N315,O316-'main page'!$K$29*M316-(1-'main page'!$K$29)*controls!$B$9)</f>
        <v>556.75</v>
      </c>
      <c r="O316" s="61">
        <f t="shared" ca="1" si="24"/>
        <v>0</v>
      </c>
      <c r="P316" s="63">
        <f ca="1">IF(controls!$B$10=1,hystere!N316+hystere!M316,hystere!Q316)</f>
        <v>-642.98749999999995</v>
      </c>
      <c r="Q316" s="61">
        <f ca="1">IF('main page'!$Y$53=1,'choose m.p.'!$I$22*100,R316)</f>
        <v>-642.98749999999995</v>
      </c>
      <c r="R316" s="83">
        <f ca="1">'main page'!$K$29*M316+(1-'main page'!$K$29)*controls!$B$9+S316+(('main page'!$K$25*'main page'!$U$13*'main page'!$K$29)/('main page'!$K$27*(1+('main page'!$K$25^2)*'main page'!$U$13)))*(M316-(controls!$B$9/100)*100)</f>
        <v>-642.98749999999995</v>
      </c>
      <c r="S316" s="81">
        <f ca="1">IF(controls!$B$33=1,(J317-E316*X317-B316)/'main page'!$K$27,(I317-E316*X317-B316)/'main page'!$K$27)</f>
        <v>53.45</v>
      </c>
      <c r="U316" s="58">
        <f>IF(controls!$B$6=1,$AG$4*(1+('main page'!$K$35/100))^V316-$AG$4*(1+('main page'!$K$35/100))^V315,$AG$4*(1+('main page'!$G$8/100))*(1+('main page'!$K$35/100))^V316-$AG$4*(1+('main page'!$G$8/100))*(1+('main page'!$K$35/100))^V315)</f>
        <v>0</v>
      </c>
      <c r="V316" s="60">
        <v>308</v>
      </c>
      <c r="W316" s="36">
        <f>'normal case'!AC315</f>
        <v>0</v>
      </c>
      <c r="X316" s="36">
        <f>'normal case'!AD315</f>
        <v>0</v>
      </c>
      <c r="Y316" s="44">
        <f ca="1">IF(controls!$B$33=1,E316-($J$4-'main page'!$K$27*2)*(1+('main page'!$K$35/100))^A315,E316-$AG$5)</f>
        <v>-99.9</v>
      </c>
      <c r="Z316" s="44">
        <f ca="1">ABS(M316-(controls!$B$9/100)*100)</f>
        <v>558.75</v>
      </c>
      <c r="AI316" s="36"/>
      <c r="AJ316" s="36"/>
    </row>
    <row r="317" spans="1:36">
      <c r="A317" s="43">
        <v>314</v>
      </c>
      <c r="B317" s="62">
        <f ca="1">IF(controls!$B$6=2,AVERAGE(E313:E316)+B316*W317+hystere!$AG$9,AVERAGE(E313:E316)+B316*W317)</f>
        <v>1.1000000000000001</v>
      </c>
      <c r="C317" s="67">
        <f t="shared" ca="1" si="25"/>
        <v>0</v>
      </c>
      <c r="D317" s="88">
        <f t="shared" ca="1" si="26"/>
        <v>-1</v>
      </c>
      <c r="E317" s="64">
        <f t="shared" ca="1" si="27"/>
        <v>0.1</v>
      </c>
      <c r="F317" s="64">
        <f ca="1">IF('main page'!$K$34=1,hystere!H317,hystere!G317)</f>
        <v>-1005.5</v>
      </c>
      <c r="G317" s="78">
        <f ca="1">I317-'main page'!$K$27*hystere!N316</f>
        <v>-1005.5</v>
      </c>
      <c r="H317" s="62">
        <f ca="1">J317-'main page'!$K$27*N316</f>
        <v>-1005.5</v>
      </c>
      <c r="I317" s="62">
        <f t="shared" ca="1" si="28"/>
        <v>108</v>
      </c>
      <c r="J317" s="62">
        <f t="shared" ca="1" si="29"/>
        <v>108</v>
      </c>
      <c r="M317" s="62">
        <f ca="1">IF(ABS('main page'!$K$29*M316+(1-'main page'!$K$29)*(controls!$B$9/100)*100+'main page'!$K$25*(E317-B317)-M316)&lt;0.0000001,M316,'main page'!$K$29*M316+(1-'main page'!$K$29)*(controls!$B$9/100)*100+'main page'!$K$25*(E317-B317))</f>
        <v>-557.75</v>
      </c>
      <c r="N317" s="62">
        <f ca="1">IF(controls!$B$10=1,N316,O317-'main page'!$K$29*M317-(1-'main page'!$K$29)*controls!$B$9)</f>
        <v>557.75</v>
      </c>
      <c r="O317" s="61">
        <f t="shared" ca="1" si="24"/>
        <v>0</v>
      </c>
      <c r="P317" s="63">
        <f ca="1">IF(controls!$B$10=1,hystere!N317+hystere!M317,hystere!Q317)</f>
        <v>-644.23749999999995</v>
      </c>
      <c r="Q317" s="61">
        <f ca="1">IF('main page'!$Y$53=1,'choose m.p.'!$I$22*100,R317)</f>
        <v>-644.23749999999995</v>
      </c>
      <c r="R317" s="83">
        <f ca="1">'main page'!$K$29*M317+(1-'main page'!$K$29)*controls!$B$9+S317+(('main page'!$K$25*'main page'!$U$13*'main page'!$K$29)/('main page'!$K$27*(1+('main page'!$K$25^2)*'main page'!$U$13)))*(M317-(controls!$B$9/100)*100)</f>
        <v>-644.23749999999995</v>
      </c>
      <c r="S317" s="81">
        <f ca="1">IF(controls!$B$33=1,(J318-E317*X318-B317)/'main page'!$K$27,(I318-E317*X318-B317)/'main page'!$K$27)</f>
        <v>53.45</v>
      </c>
      <c r="U317" s="58">
        <f>IF(controls!$B$6=1,$AG$4*(1+('main page'!$K$35/100))^V317-$AG$4*(1+('main page'!$K$35/100))^V316,$AG$4*(1+('main page'!$G$8/100))*(1+('main page'!$K$35/100))^V317-$AG$4*(1+('main page'!$G$8/100))*(1+('main page'!$K$35/100))^V316)</f>
        <v>0</v>
      </c>
      <c r="V317" s="60">
        <v>309</v>
      </c>
      <c r="W317" s="36">
        <f>'normal case'!AC316</f>
        <v>0</v>
      </c>
      <c r="X317" s="36">
        <f>'normal case'!AD316</f>
        <v>0</v>
      </c>
      <c r="Y317" s="44">
        <f ca="1">IF(controls!$B$33=1,E317-($J$4-'main page'!$K$27*2)*(1+('main page'!$K$35/100))^A316,E317-$AG$5)</f>
        <v>-99.9</v>
      </c>
      <c r="Z317" s="44">
        <f ca="1">ABS(M317-(controls!$B$9/100)*100)</f>
        <v>559.75</v>
      </c>
      <c r="AI317" s="36"/>
      <c r="AJ317" s="36"/>
    </row>
    <row r="318" spans="1:36">
      <c r="A318" s="43">
        <v>315</v>
      </c>
      <c r="B318" s="62">
        <f ca="1">IF(controls!$B$6=2,AVERAGE(E314:E317)+B317*W318+hystere!$AG$9,AVERAGE(E314:E317)+B317*W318)</f>
        <v>1.1000000000000001</v>
      </c>
      <c r="C318" s="67">
        <f t="shared" ca="1" si="25"/>
        <v>0</v>
      </c>
      <c r="D318" s="88">
        <f t="shared" ca="1" si="26"/>
        <v>-1</v>
      </c>
      <c r="E318" s="64">
        <f t="shared" ca="1" si="27"/>
        <v>0.1</v>
      </c>
      <c r="F318" s="64">
        <f ca="1">IF('main page'!$K$34=1,hystere!H318,hystere!G318)</f>
        <v>-1007.5</v>
      </c>
      <c r="G318" s="78">
        <f ca="1">I318-'main page'!$K$27*hystere!N317</f>
        <v>-1007.5</v>
      </c>
      <c r="H318" s="62">
        <f ca="1">J318-'main page'!$K$27*N317</f>
        <v>-1007.5</v>
      </c>
      <c r="I318" s="62">
        <f t="shared" ca="1" si="28"/>
        <v>108</v>
      </c>
      <c r="J318" s="62">
        <f t="shared" ca="1" si="29"/>
        <v>108</v>
      </c>
      <c r="M318" s="62">
        <f ca="1">IF(ABS('main page'!$K$29*M317+(1-'main page'!$K$29)*(controls!$B$9/100)*100+'main page'!$K$25*(E318-B318)-M317)&lt;0.0000001,M317,'main page'!$K$29*M317+(1-'main page'!$K$29)*(controls!$B$9/100)*100+'main page'!$K$25*(E318-B318))</f>
        <v>-558.75</v>
      </c>
      <c r="N318" s="62">
        <f ca="1">IF(controls!$B$10=1,N317,O318-'main page'!$K$29*M318-(1-'main page'!$K$29)*controls!$B$9)</f>
        <v>558.75</v>
      </c>
      <c r="O318" s="61">
        <f t="shared" ca="1" si="24"/>
        <v>0</v>
      </c>
      <c r="P318" s="63">
        <f ca="1">IF(controls!$B$10=1,hystere!N318+hystere!M318,hystere!Q318)</f>
        <v>-645.48749999999995</v>
      </c>
      <c r="Q318" s="61">
        <f ca="1">IF('main page'!$Y$53=1,'choose m.p.'!$I$22*100,R318)</f>
        <v>-645.48749999999995</v>
      </c>
      <c r="R318" s="83">
        <f ca="1">'main page'!$K$29*M318+(1-'main page'!$K$29)*controls!$B$9+S318+(('main page'!$K$25*'main page'!$U$13*'main page'!$K$29)/('main page'!$K$27*(1+('main page'!$K$25^2)*'main page'!$U$13)))*(M318-(controls!$B$9/100)*100)</f>
        <v>-645.48749999999995</v>
      </c>
      <c r="S318" s="81">
        <f ca="1">IF(controls!$B$33=1,(J319-E318*X319-B318)/'main page'!$K$27,(I319-E318*X319-B318)/'main page'!$K$27)</f>
        <v>53.45</v>
      </c>
      <c r="U318" s="58">
        <f>IF(controls!$B$6=1,$AG$4*(1+('main page'!$K$35/100))^V318-$AG$4*(1+('main page'!$K$35/100))^V317,$AG$4*(1+('main page'!$G$8/100))*(1+('main page'!$K$35/100))^V318-$AG$4*(1+('main page'!$G$8/100))*(1+('main page'!$K$35/100))^V317)</f>
        <v>0</v>
      </c>
      <c r="V318" s="60">
        <v>310</v>
      </c>
      <c r="W318" s="36">
        <f ca="1">'normal case'!AC317</f>
        <v>0</v>
      </c>
      <c r="X318" s="36">
        <f ca="1">'normal case'!AD317</f>
        <v>0</v>
      </c>
      <c r="Y318" s="44">
        <f ca="1">IF(controls!$B$33=1,E318-($J$4-'main page'!$K$27*2)*(1+('main page'!$K$35/100))^A317,E318-$AG$5)</f>
        <v>-99.9</v>
      </c>
      <c r="Z318" s="44">
        <f ca="1">ABS(M318-(controls!$B$9/100)*100)</f>
        <v>560.75</v>
      </c>
      <c r="AI318" s="36"/>
      <c r="AJ318" s="36"/>
    </row>
    <row r="319" spans="1:36">
      <c r="A319" s="43">
        <v>316</v>
      </c>
      <c r="B319" s="62">
        <f ca="1">IF(controls!$B$6=2,AVERAGE(E315:E318)+B318*W319+hystere!$AG$9,AVERAGE(E315:E318)+B318*W319)</f>
        <v>1.1000000000000001</v>
      </c>
      <c r="C319" s="67">
        <f t="shared" ca="1" si="25"/>
        <v>0</v>
      </c>
      <c r="D319" s="88">
        <f t="shared" ca="1" si="26"/>
        <v>-1</v>
      </c>
      <c r="E319" s="64">
        <f t="shared" ca="1" si="27"/>
        <v>0.1</v>
      </c>
      <c r="F319" s="64">
        <f ca="1">IF('main page'!$K$34=1,hystere!H319,hystere!G319)</f>
        <v>-1009.5</v>
      </c>
      <c r="G319" s="78">
        <f ca="1">I319-'main page'!$K$27*hystere!N318</f>
        <v>-1009.5</v>
      </c>
      <c r="H319" s="62">
        <f ca="1">J319-'main page'!$K$27*N318</f>
        <v>-1009.5</v>
      </c>
      <c r="I319" s="62">
        <f t="shared" ca="1" si="28"/>
        <v>108</v>
      </c>
      <c r="J319" s="62">
        <f t="shared" ca="1" si="29"/>
        <v>108</v>
      </c>
      <c r="M319" s="62">
        <f ca="1">IF(ABS('main page'!$K$29*M318+(1-'main page'!$K$29)*(controls!$B$9/100)*100+'main page'!$K$25*(E319-B319)-M318)&lt;0.0000001,M318,'main page'!$K$29*M318+(1-'main page'!$K$29)*(controls!$B$9/100)*100+'main page'!$K$25*(E319-B319))</f>
        <v>-559.75</v>
      </c>
      <c r="N319" s="62">
        <f ca="1">IF(controls!$B$10=1,N318,O319-'main page'!$K$29*M319-(1-'main page'!$K$29)*controls!$B$9)</f>
        <v>559.75</v>
      </c>
      <c r="O319" s="61">
        <f t="shared" ca="1" si="24"/>
        <v>0</v>
      </c>
      <c r="P319" s="63">
        <f ca="1">IF(controls!$B$10=1,hystere!N319+hystere!M319,hystere!Q319)</f>
        <v>-646.73749999999995</v>
      </c>
      <c r="Q319" s="61">
        <f ca="1">IF('main page'!$Y$53=1,'choose m.p.'!$I$22*100,R319)</f>
        <v>-646.73749999999995</v>
      </c>
      <c r="R319" s="83">
        <f ca="1">'main page'!$K$29*M319+(1-'main page'!$K$29)*controls!$B$9+S319+(('main page'!$K$25*'main page'!$U$13*'main page'!$K$29)/('main page'!$K$27*(1+('main page'!$K$25^2)*'main page'!$U$13)))*(M319-(controls!$B$9/100)*100)</f>
        <v>-646.73749999999995</v>
      </c>
      <c r="S319" s="81">
        <f ca="1">IF(controls!$B$33=1,(J320-E319*X320-B319)/'main page'!$K$27,(I320-E319*X320-B319)/'main page'!$K$27)</f>
        <v>53.45</v>
      </c>
      <c r="U319" s="58">
        <f>IF(controls!$B$6=1,$AG$4*(1+('main page'!$K$35/100))^V319-$AG$4*(1+('main page'!$K$35/100))^V318,$AG$4*(1+('main page'!$G$8/100))*(1+('main page'!$K$35/100))^V319-$AG$4*(1+('main page'!$G$8/100))*(1+('main page'!$K$35/100))^V318)</f>
        <v>0</v>
      </c>
      <c r="V319" s="60">
        <v>311</v>
      </c>
      <c r="W319" s="36">
        <f>'normal case'!AC318</f>
        <v>0</v>
      </c>
      <c r="X319" s="36">
        <f>'normal case'!AD318</f>
        <v>0</v>
      </c>
      <c r="Y319" s="44">
        <f ca="1">IF(controls!$B$33=1,E319-($J$4-'main page'!$K$27*2)*(1+('main page'!$K$35/100))^A318,E319-$AG$5)</f>
        <v>-99.9</v>
      </c>
      <c r="Z319" s="44">
        <f ca="1">ABS(M319-(controls!$B$9/100)*100)</f>
        <v>561.75</v>
      </c>
      <c r="AI319" s="36"/>
      <c r="AJ319" s="36"/>
    </row>
    <row r="320" spans="1:36">
      <c r="A320" s="43">
        <v>317</v>
      </c>
      <c r="B320" s="62">
        <f ca="1">IF(controls!$B$6=2,AVERAGE(E316:E319)+B319*W320+hystere!$AG$9,AVERAGE(E316:E319)+B319*W320)</f>
        <v>1.1000000000000001</v>
      </c>
      <c r="C320" s="67">
        <f t="shared" ca="1" si="25"/>
        <v>0</v>
      </c>
      <c r="D320" s="88">
        <f t="shared" ca="1" si="26"/>
        <v>-1</v>
      </c>
      <c r="E320" s="64">
        <f t="shared" ca="1" si="27"/>
        <v>0.1</v>
      </c>
      <c r="F320" s="64">
        <f ca="1">IF('main page'!$K$34=1,hystere!H320,hystere!G320)</f>
        <v>-1011.5</v>
      </c>
      <c r="G320" s="78">
        <f ca="1">I320-'main page'!$K$27*hystere!N319</f>
        <v>-1011.5</v>
      </c>
      <c r="H320" s="62">
        <f ca="1">J320-'main page'!$K$27*N319</f>
        <v>-1011.5</v>
      </c>
      <c r="I320" s="62">
        <f t="shared" ca="1" si="28"/>
        <v>108</v>
      </c>
      <c r="J320" s="62">
        <f t="shared" ca="1" si="29"/>
        <v>108</v>
      </c>
      <c r="M320" s="62">
        <f ca="1">IF(ABS('main page'!$K$29*M319+(1-'main page'!$K$29)*(controls!$B$9/100)*100+'main page'!$K$25*(E320-B320)-M319)&lt;0.0000001,M319,'main page'!$K$29*M319+(1-'main page'!$K$29)*(controls!$B$9/100)*100+'main page'!$K$25*(E320-B320))</f>
        <v>-560.75</v>
      </c>
      <c r="N320" s="62">
        <f ca="1">IF(controls!$B$10=1,N319,O320-'main page'!$K$29*M320-(1-'main page'!$K$29)*controls!$B$9)</f>
        <v>560.75</v>
      </c>
      <c r="O320" s="61">
        <f t="shared" ca="1" si="24"/>
        <v>0</v>
      </c>
      <c r="P320" s="63">
        <f ca="1">IF(controls!$B$10=1,hystere!N320+hystere!M320,hystere!Q320)</f>
        <v>-647.98749999999995</v>
      </c>
      <c r="Q320" s="61">
        <f ca="1">IF('main page'!$Y$53=1,'choose m.p.'!$I$22*100,R320)</f>
        <v>-647.98749999999995</v>
      </c>
      <c r="R320" s="83">
        <f ca="1">'main page'!$K$29*M320+(1-'main page'!$K$29)*controls!$B$9+S320+(('main page'!$K$25*'main page'!$U$13*'main page'!$K$29)/('main page'!$K$27*(1+('main page'!$K$25^2)*'main page'!$U$13)))*(M320-(controls!$B$9/100)*100)</f>
        <v>-647.98749999999995</v>
      </c>
      <c r="S320" s="81">
        <f ca="1">IF(controls!$B$33=1,(J321-E320*X321-B320)/'main page'!$K$27,(I321-E320*X321-B320)/'main page'!$K$27)</f>
        <v>53.45</v>
      </c>
      <c r="U320" s="58">
        <f>IF(controls!$B$6=1,$AG$4*(1+('main page'!$K$35/100))^V320-$AG$4*(1+('main page'!$K$35/100))^V319,$AG$4*(1+('main page'!$G$8/100))*(1+('main page'!$K$35/100))^V320-$AG$4*(1+('main page'!$G$8/100))*(1+('main page'!$K$35/100))^V319)</f>
        <v>0</v>
      </c>
      <c r="V320" s="60">
        <v>312</v>
      </c>
      <c r="W320" s="36">
        <f>'normal case'!AC319</f>
        <v>0</v>
      </c>
      <c r="X320" s="36">
        <f>'normal case'!AD319</f>
        <v>0</v>
      </c>
      <c r="Y320" s="44">
        <f ca="1">IF(controls!$B$33=1,E320-($J$4-'main page'!$K$27*2)*(1+('main page'!$K$35/100))^A319,E320-$AG$5)</f>
        <v>-99.9</v>
      </c>
      <c r="Z320" s="44">
        <f ca="1">ABS(M320-(controls!$B$9/100)*100)</f>
        <v>562.75</v>
      </c>
      <c r="AI320" s="36"/>
      <c r="AJ320" s="36"/>
    </row>
    <row r="321" spans="1:36">
      <c r="A321" s="43">
        <v>318</v>
      </c>
      <c r="B321" s="62">
        <f ca="1">IF(controls!$B$6=2,AVERAGE(E317:E320)+B320*W321+hystere!$AG$9,AVERAGE(E317:E320)+B320*W321)</f>
        <v>1.1000000000000001</v>
      </c>
      <c r="C321" s="67">
        <f t="shared" ca="1" si="25"/>
        <v>0</v>
      </c>
      <c r="D321" s="88">
        <f t="shared" ca="1" si="26"/>
        <v>-1</v>
      </c>
      <c r="E321" s="64">
        <f t="shared" ca="1" si="27"/>
        <v>0.1</v>
      </c>
      <c r="F321" s="64">
        <f ca="1">IF('main page'!$K$34=1,hystere!H321,hystere!G321)</f>
        <v>-1013.5</v>
      </c>
      <c r="G321" s="78">
        <f ca="1">I321-'main page'!$K$27*hystere!N320</f>
        <v>-1013.5</v>
      </c>
      <c r="H321" s="62">
        <f ca="1">J321-'main page'!$K$27*N320</f>
        <v>-1013.5</v>
      </c>
      <c r="I321" s="62">
        <f t="shared" ca="1" si="28"/>
        <v>108</v>
      </c>
      <c r="J321" s="62">
        <f t="shared" ca="1" si="29"/>
        <v>108</v>
      </c>
      <c r="M321" s="62">
        <f ca="1">IF(ABS('main page'!$K$29*M320+(1-'main page'!$K$29)*(controls!$B$9/100)*100+'main page'!$K$25*(E321-B321)-M320)&lt;0.0000001,M320,'main page'!$K$29*M320+(1-'main page'!$K$29)*(controls!$B$9/100)*100+'main page'!$K$25*(E321-B321))</f>
        <v>-561.75</v>
      </c>
      <c r="N321" s="62">
        <f ca="1">IF(controls!$B$10=1,N320,O321-'main page'!$K$29*M321-(1-'main page'!$K$29)*controls!$B$9)</f>
        <v>561.75</v>
      </c>
      <c r="O321" s="61">
        <f t="shared" ca="1" si="24"/>
        <v>0</v>
      </c>
      <c r="P321" s="63">
        <f ca="1">IF(controls!$B$10=1,hystere!N321+hystere!M321,hystere!Q321)</f>
        <v>-649.23749999999995</v>
      </c>
      <c r="Q321" s="61">
        <f ca="1">IF('main page'!$Y$53=1,'choose m.p.'!$I$22*100,R321)</f>
        <v>-649.23749999999995</v>
      </c>
      <c r="R321" s="83">
        <f ca="1">'main page'!$K$29*M321+(1-'main page'!$K$29)*controls!$B$9+S321+(('main page'!$K$25*'main page'!$U$13*'main page'!$K$29)/('main page'!$K$27*(1+('main page'!$K$25^2)*'main page'!$U$13)))*(M321-(controls!$B$9/100)*100)</f>
        <v>-649.23749999999995</v>
      </c>
      <c r="S321" s="81">
        <f ca="1">IF(controls!$B$33=1,(J322-E321*X322-B321)/'main page'!$K$27,(I322-E321*X322-B321)/'main page'!$K$27)</f>
        <v>53.45</v>
      </c>
      <c r="U321" s="58">
        <f>IF(controls!$B$6=1,$AG$4*(1+('main page'!$K$35/100))^V321-$AG$4*(1+('main page'!$K$35/100))^V320,$AG$4*(1+('main page'!$G$8/100))*(1+('main page'!$K$35/100))^V321-$AG$4*(1+('main page'!$G$8/100))*(1+('main page'!$K$35/100))^V320)</f>
        <v>0</v>
      </c>
      <c r="V321" s="60">
        <v>313</v>
      </c>
      <c r="W321" s="36">
        <f ca="1">'normal case'!AC320</f>
        <v>0</v>
      </c>
      <c r="X321" s="36">
        <f ca="1">'normal case'!AD320</f>
        <v>0</v>
      </c>
      <c r="Y321" s="44">
        <f ca="1">IF(controls!$B$33=1,E321-($J$4-'main page'!$K$27*2)*(1+('main page'!$K$35/100))^A320,E321-$AG$5)</f>
        <v>-99.9</v>
      </c>
      <c r="Z321" s="44">
        <f ca="1">ABS(M321-(controls!$B$9/100)*100)</f>
        <v>563.75</v>
      </c>
      <c r="AI321" s="36"/>
      <c r="AJ321" s="36"/>
    </row>
    <row r="322" spans="1:36">
      <c r="A322" s="43">
        <v>319</v>
      </c>
      <c r="B322" s="62">
        <f ca="1">IF(controls!$B$6=2,AVERAGE(E318:E321)+B321*W322+hystere!$AG$9,AVERAGE(E318:E321)+B321*W322)</f>
        <v>1.1000000000000001</v>
      </c>
      <c r="C322" s="67">
        <f t="shared" ca="1" si="25"/>
        <v>0</v>
      </c>
      <c r="D322" s="88">
        <f t="shared" ca="1" si="26"/>
        <v>-1</v>
      </c>
      <c r="E322" s="64">
        <f t="shared" ca="1" si="27"/>
        <v>0.1</v>
      </c>
      <c r="F322" s="64">
        <f ca="1">IF('main page'!$K$34=1,hystere!H322,hystere!G322)</f>
        <v>-1015.5</v>
      </c>
      <c r="G322" s="78">
        <f ca="1">I322-'main page'!$K$27*hystere!N321</f>
        <v>-1015.5</v>
      </c>
      <c r="H322" s="62">
        <f ca="1">J322-'main page'!$K$27*N321</f>
        <v>-1015.5</v>
      </c>
      <c r="I322" s="62">
        <f t="shared" ca="1" si="28"/>
        <v>108</v>
      </c>
      <c r="J322" s="62">
        <f t="shared" ca="1" si="29"/>
        <v>108</v>
      </c>
      <c r="M322" s="62">
        <f ca="1">IF(ABS('main page'!$K$29*M321+(1-'main page'!$K$29)*(controls!$B$9/100)*100+'main page'!$K$25*(E322-B322)-M321)&lt;0.0000001,M321,'main page'!$K$29*M321+(1-'main page'!$K$29)*(controls!$B$9/100)*100+'main page'!$K$25*(E322-B322))</f>
        <v>-562.75</v>
      </c>
      <c r="N322" s="62">
        <f ca="1">IF(controls!$B$10=1,N321,O322-'main page'!$K$29*M322-(1-'main page'!$K$29)*controls!$B$9)</f>
        <v>562.75</v>
      </c>
      <c r="O322" s="61">
        <f t="shared" ca="1" si="24"/>
        <v>0</v>
      </c>
      <c r="P322" s="63">
        <f ca="1">IF(controls!$B$10=1,hystere!N322+hystere!M322,hystere!Q322)</f>
        <v>-650.48749999999995</v>
      </c>
      <c r="Q322" s="61">
        <f ca="1">IF('main page'!$Y$53=1,'choose m.p.'!$I$22*100,R322)</f>
        <v>-650.48749999999995</v>
      </c>
      <c r="R322" s="83">
        <f ca="1">'main page'!$K$29*M322+(1-'main page'!$K$29)*controls!$B$9+S322+(('main page'!$K$25*'main page'!$U$13*'main page'!$K$29)/('main page'!$K$27*(1+('main page'!$K$25^2)*'main page'!$U$13)))*(M322-(controls!$B$9/100)*100)</f>
        <v>-650.48749999999995</v>
      </c>
      <c r="S322" s="81">
        <f ca="1">IF(controls!$B$33=1,(J323-E322*X323-B322)/'main page'!$K$27,(I323-E322*X323-B322)/'main page'!$K$27)</f>
        <v>53.45</v>
      </c>
      <c r="U322" s="58">
        <f>IF(controls!$B$6=1,$AG$4*(1+('main page'!$K$35/100))^V322-$AG$4*(1+('main page'!$K$35/100))^V321,$AG$4*(1+('main page'!$G$8/100))*(1+('main page'!$K$35/100))^V322-$AG$4*(1+('main page'!$G$8/100))*(1+('main page'!$K$35/100))^V321)</f>
        <v>0</v>
      </c>
      <c r="V322" s="60">
        <v>314</v>
      </c>
      <c r="W322" s="36">
        <f>'normal case'!AC321</f>
        <v>0</v>
      </c>
      <c r="X322" s="36">
        <f>'normal case'!AD321</f>
        <v>0</v>
      </c>
      <c r="Y322" s="44">
        <f ca="1">IF(controls!$B$33=1,E322-($J$4-'main page'!$K$27*2)*(1+('main page'!$K$35/100))^A321,E322-$AG$5)</f>
        <v>-99.9</v>
      </c>
      <c r="Z322" s="44">
        <f ca="1">ABS(M322-(controls!$B$9/100)*100)</f>
        <v>564.75</v>
      </c>
      <c r="AI322" s="36"/>
      <c r="AJ322" s="36"/>
    </row>
    <row r="323" spans="1:36">
      <c r="A323" s="43">
        <v>320</v>
      </c>
      <c r="B323" s="62">
        <f ca="1">IF(controls!$B$6=2,AVERAGE(E319:E322)+B322*W323+hystere!$AG$9,AVERAGE(E319:E322)+B322*W323)</f>
        <v>1.1000000000000001</v>
      </c>
      <c r="C323" s="67">
        <f t="shared" ca="1" si="25"/>
        <v>0</v>
      </c>
      <c r="D323" s="88">
        <f t="shared" ca="1" si="26"/>
        <v>-1</v>
      </c>
      <c r="E323" s="64">
        <f t="shared" ca="1" si="27"/>
        <v>0.1</v>
      </c>
      <c r="F323" s="64">
        <f ca="1">IF('main page'!$K$34=1,hystere!H323,hystere!G323)</f>
        <v>-1017.5</v>
      </c>
      <c r="G323" s="78">
        <f ca="1">I323-'main page'!$K$27*hystere!N322</f>
        <v>-1017.5</v>
      </c>
      <c r="H323" s="62">
        <f ca="1">J323-'main page'!$K$27*N322</f>
        <v>-1017.5</v>
      </c>
      <c r="I323" s="62">
        <f t="shared" ca="1" si="28"/>
        <v>108</v>
      </c>
      <c r="J323" s="62">
        <f t="shared" ca="1" si="29"/>
        <v>108</v>
      </c>
      <c r="M323" s="62">
        <f ca="1">IF(ABS('main page'!$K$29*M322+(1-'main page'!$K$29)*(controls!$B$9/100)*100+'main page'!$K$25*(E323-B323)-M322)&lt;0.0000001,M322,'main page'!$K$29*M322+(1-'main page'!$K$29)*(controls!$B$9/100)*100+'main page'!$K$25*(E323-B323))</f>
        <v>-563.75</v>
      </c>
      <c r="N323" s="62">
        <f ca="1">IF(controls!$B$10=1,N322,O323-'main page'!$K$29*M323-(1-'main page'!$K$29)*controls!$B$9)</f>
        <v>563.75</v>
      </c>
      <c r="O323" s="61">
        <f t="shared" ca="1" si="24"/>
        <v>0</v>
      </c>
      <c r="P323" s="63">
        <f ca="1">IF(controls!$B$10=1,hystere!N323+hystere!M323,hystere!Q323)</f>
        <v>-651.73749999999995</v>
      </c>
      <c r="Q323" s="61">
        <f ca="1">IF('main page'!$Y$53=1,'choose m.p.'!$I$22*100,R323)</f>
        <v>-651.73749999999995</v>
      </c>
      <c r="R323" s="83">
        <f ca="1">'main page'!$K$29*M323+(1-'main page'!$K$29)*controls!$B$9+S323+(('main page'!$K$25*'main page'!$U$13*'main page'!$K$29)/('main page'!$K$27*(1+('main page'!$K$25^2)*'main page'!$U$13)))*(M323-(controls!$B$9/100)*100)</f>
        <v>-651.73749999999995</v>
      </c>
      <c r="S323" s="81">
        <f ca="1">IF(controls!$B$33=1,(J324-E323*X324-B323)/'main page'!$K$27,(I324-E323*X324-B323)/'main page'!$K$27)</f>
        <v>53.45</v>
      </c>
      <c r="U323" s="58">
        <f>IF(controls!$B$6=1,$AG$4*(1+('main page'!$K$35/100))^V323-$AG$4*(1+('main page'!$K$35/100))^V322,$AG$4*(1+('main page'!$G$8/100))*(1+('main page'!$K$35/100))^V323-$AG$4*(1+('main page'!$G$8/100))*(1+('main page'!$K$35/100))^V322)</f>
        <v>0</v>
      </c>
      <c r="V323" s="60">
        <v>315</v>
      </c>
      <c r="W323" s="36">
        <f>'normal case'!AC322</f>
        <v>0</v>
      </c>
      <c r="X323" s="36">
        <f>'normal case'!AD322</f>
        <v>0</v>
      </c>
      <c r="Y323" s="44">
        <f ca="1">IF(controls!$B$33=1,E323-($J$4-'main page'!$K$27*2)*(1+('main page'!$K$35/100))^A322,E323-$AG$5)</f>
        <v>-99.9</v>
      </c>
      <c r="Z323" s="44">
        <f ca="1">ABS(M323-(controls!$B$9/100)*100)</f>
        <v>565.75</v>
      </c>
      <c r="AI323" s="36"/>
      <c r="AJ323" s="36"/>
    </row>
    <row r="324" spans="1:36">
      <c r="A324" s="43">
        <v>321</v>
      </c>
      <c r="B324" s="62">
        <f ca="1">IF(controls!$B$6=2,AVERAGE(E320:E323)+B323*W324+hystere!$AG$9,AVERAGE(E320:E323)+B323*W324)</f>
        <v>1.1000000000000001</v>
      </c>
      <c r="C324" s="67">
        <f t="shared" ca="1" si="25"/>
        <v>0</v>
      </c>
      <c r="D324" s="88">
        <f t="shared" ca="1" si="26"/>
        <v>-1</v>
      </c>
      <c r="E324" s="64">
        <f t="shared" ca="1" si="27"/>
        <v>0.1</v>
      </c>
      <c r="F324" s="64">
        <f ca="1">IF('main page'!$K$34=1,hystere!H324,hystere!G324)</f>
        <v>-1019.5</v>
      </c>
      <c r="G324" s="78">
        <f ca="1">I324-'main page'!$K$27*hystere!N323</f>
        <v>-1019.5</v>
      </c>
      <c r="H324" s="62">
        <f ca="1">J324-'main page'!$K$27*N323</f>
        <v>-1019.5</v>
      </c>
      <c r="I324" s="62">
        <f t="shared" ca="1" si="28"/>
        <v>108</v>
      </c>
      <c r="J324" s="62">
        <f t="shared" ca="1" si="29"/>
        <v>108</v>
      </c>
      <c r="M324" s="62">
        <f ca="1">IF(ABS('main page'!$K$29*M323+(1-'main page'!$K$29)*(controls!$B$9/100)*100+'main page'!$K$25*(E324-B324)-M323)&lt;0.0000001,M323,'main page'!$K$29*M323+(1-'main page'!$K$29)*(controls!$B$9/100)*100+'main page'!$K$25*(E324-B324))</f>
        <v>-564.75</v>
      </c>
      <c r="N324" s="62">
        <f ca="1">IF(controls!$B$10=1,N323,O324-'main page'!$K$29*M324-(1-'main page'!$K$29)*controls!$B$9)</f>
        <v>564.75</v>
      </c>
      <c r="O324" s="61">
        <f t="shared" ref="O324:O387" ca="1" si="30">IF(P324&lt;0,0,P324)</f>
        <v>0</v>
      </c>
      <c r="P324" s="63">
        <f ca="1">IF(controls!$B$10=1,hystere!N324+hystere!M324,hystere!Q324)</f>
        <v>-652.98749999999995</v>
      </c>
      <c r="Q324" s="61">
        <f ca="1">IF('main page'!$Y$53=1,'choose m.p.'!$I$22*100,R324)</f>
        <v>-652.98749999999995</v>
      </c>
      <c r="R324" s="83">
        <f ca="1">'main page'!$K$29*M324+(1-'main page'!$K$29)*controls!$B$9+S324+(('main page'!$K$25*'main page'!$U$13*'main page'!$K$29)/('main page'!$K$27*(1+('main page'!$K$25^2)*'main page'!$U$13)))*(M324-(controls!$B$9/100)*100)</f>
        <v>-652.98749999999995</v>
      </c>
      <c r="S324" s="81">
        <f ca="1">IF(controls!$B$33=1,(J325-E324*X325-B324)/'main page'!$K$27,(I325-E324*X325-B324)/'main page'!$K$27)</f>
        <v>53.45</v>
      </c>
      <c r="U324" s="58">
        <f>IF(controls!$B$6=1,$AG$4*(1+('main page'!$K$35/100))^V324-$AG$4*(1+('main page'!$K$35/100))^V323,$AG$4*(1+('main page'!$G$8/100))*(1+('main page'!$K$35/100))^V324-$AG$4*(1+('main page'!$G$8/100))*(1+('main page'!$K$35/100))^V323)</f>
        <v>0</v>
      </c>
      <c r="V324" s="60">
        <v>316</v>
      </c>
      <c r="W324" s="36">
        <f ca="1">'normal case'!AC323</f>
        <v>0</v>
      </c>
      <c r="X324" s="36">
        <f ca="1">'normal case'!AD323</f>
        <v>0</v>
      </c>
      <c r="Y324" s="44">
        <f ca="1">IF(controls!$B$33=1,E324-($J$4-'main page'!$K$27*2)*(1+('main page'!$K$35/100))^A323,E324-$AG$5)</f>
        <v>-99.9</v>
      </c>
      <c r="Z324" s="44">
        <f ca="1">ABS(M324-(controls!$B$9/100)*100)</f>
        <v>566.75</v>
      </c>
      <c r="AI324" s="36"/>
      <c r="AJ324" s="36"/>
    </row>
    <row r="325" spans="1:36">
      <c r="A325" s="43">
        <v>322</v>
      </c>
      <c r="B325" s="62">
        <f ca="1">IF(controls!$B$6=2,AVERAGE(E321:E324)+B324*W325+hystere!$AG$9,AVERAGE(E321:E324)+B324*W325)</f>
        <v>1.1000000000000001</v>
      </c>
      <c r="C325" s="67">
        <f t="shared" ref="C325:C388" ca="1" si="31">E325/E324-1</f>
        <v>0</v>
      </c>
      <c r="D325" s="88">
        <f t="shared" ref="D325:D388" ca="1" si="32">E325-B325</f>
        <v>-1</v>
      </c>
      <c r="E325" s="64">
        <f t="shared" ref="E325:E388" ca="1" si="33">IF(F325&gt;0,F325,0.1)</f>
        <v>0.1</v>
      </c>
      <c r="F325" s="64">
        <f ca="1">IF('main page'!$K$34=1,hystere!H325,hystere!G325)</f>
        <v>-1021.5</v>
      </c>
      <c r="G325" s="78">
        <f ca="1">I325-'main page'!$K$27*hystere!N324</f>
        <v>-1021.5</v>
      </c>
      <c r="H325" s="62">
        <f ca="1">J325-'main page'!$K$27*N324</f>
        <v>-1021.5</v>
      </c>
      <c r="I325" s="62">
        <f t="shared" ca="1" si="28"/>
        <v>108</v>
      </c>
      <c r="J325" s="62">
        <f t="shared" ca="1" si="29"/>
        <v>108</v>
      </c>
      <c r="M325" s="62">
        <f ca="1">IF(ABS('main page'!$K$29*M324+(1-'main page'!$K$29)*(controls!$B$9/100)*100+'main page'!$K$25*(E325-B325)-M324)&lt;0.0000001,M324,'main page'!$K$29*M324+(1-'main page'!$K$29)*(controls!$B$9/100)*100+'main page'!$K$25*(E325-B325))</f>
        <v>-565.75</v>
      </c>
      <c r="N325" s="62">
        <f ca="1">IF(controls!$B$10=1,N324,O325-'main page'!$K$29*M325-(1-'main page'!$K$29)*controls!$B$9)</f>
        <v>565.75</v>
      </c>
      <c r="O325" s="61">
        <f t="shared" ca="1" si="30"/>
        <v>0</v>
      </c>
      <c r="P325" s="63">
        <f ca="1">IF(controls!$B$10=1,hystere!N325+hystere!M325,hystere!Q325)</f>
        <v>-654.23749999999995</v>
      </c>
      <c r="Q325" s="61">
        <f ca="1">IF('main page'!$Y$53=1,'choose m.p.'!$I$22*100,R325)</f>
        <v>-654.23749999999995</v>
      </c>
      <c r="R325" s="83">
        <f ca="1">'main page'!$K$29*M325+(1-'main page'!$K$29)*controls!$B$9+S325+(('main page'!$K$25*'main page'!$U$13*'main page'!$K$29)/('main page'!$K$27*(1+('main page'!$K$25^2)*'main page'!$U$13)))*(M325-(controls!$B$9/100)*100)</f>
        <v>-654.23749999999995</v>
      </c>
      <c r="S325" s="81">
        <f ca="1">IF(controls!$B$33=1,(J326-E325*X326-B325)/'main page'!$K$27,(I326-E325*X326-B325)/'main page'!$K$27)</f>
        <v>53.45</v>
      </c>
      <c r="U325" s="58">
        <f>IF(controls!$B$6=1,$AG$4*(1+('main page'!$K$35/100))^V325-$AG$4*(1+('main page'!$K$35/100))^V324,$AG$4*(1+('main page'!$G$8/100))*(1+('main page'!$K$35/100))^V325-$AG$4*(1+('main page'!$G$8/100))*(1+('main page'!$K$35/100))^V324)</f>
        <v>0</v>
      </c>
      <c r="V325" s="60">
        <v>317</v>
      </c>
      <c r="W325" s="36">
        <f>'normal case'!AC324</f>
        <v>0</v>
      </c>
      <c r="X325" s="36">
        <f>'normal case'!AD324</f>
        <v>0</v>
      </c>
      <c r="Y325" s="44">
        <f ca="1">IF(controls!$B$33=1,E325-($J$4-'main page'!$K$27*2)*(1+('main page'!$K$35/100))^A324,E325-$AG$5)</f>
        <v>-99.9</v>
      </c>
      <c r="Z325" s="44">
        <f ca="1">ABS(M325-(controls!$B$9/100)*100)</f>
        <v>567.75</v>
      </c>
      <c r="AI325" s="36"/>
      <c r="AJ325" s="36"/>
    </row>
    <row r="326" spans="1:36">
      <c r="A326" s="43">
        <v>323</v>
      </c>
      <c r="B326" s="62">
        <f ca="1">IF(controls!$B$6=2,AVERAGE(E322:E325)+B325*W326+hystere!$AG$9,AVERAGE(E322:E325)+B325*W326)</f>
        <v>1.1000000000000001</v>
      </c>
      <c r="C326" s="67">
        <f t="shared" ca="1" si="31"/>
        <v>0</v>
      </c>
      <c r="D326" s="88">
        <f t="shared" ca="1" si="32"/>
        <v>-1</v>
      </c>
      <c r="E326" s="64">
        <f t="shared" ca="1" si="33"/>
        <v>0.1</v>
      </c>
      <c r="F326" s="64">
        <f ca="1">IF('main page'!$K$34=1,hystere!H326,hystere!G326)</f>
        <v>-1023.5</v>
      </c>
      <c r="G326" s="78">
        <f ca="1">I326-'main page'!$K$27*hystere!N325</f>
        <v>-1023.5</v>
      </c>
      <c r="H326" s="62">
        <f ca="1">J326-'main page'!$K$27*N325</f>
        <v>-1023.5</v>
      </c>
      <c r="I326" s="62">
        <f t="shared" ca="1" si="28"/>
        <v>108</v>
      </c>
      <c r="J326" s="62">
        <f t="shared" ca="1" si="29"/>
        <v>108</v>
      </c>
      <c r="M326" s="62">
        <f ca="1">IF(ABS('main page'!$K$29*M325+(1-'main page'!$K$29)*(controls!$B$9/100)*100+'main page'!$K$25*(E326-B326)-M325)&lt;0.0000001,M325,'main page'!$K$29*M325+(1-'main page'!$K$29)*(controls!$B$9/100)*100+'main page'!$K$25*(E326-B326))</f>
        <v>-566.75</v>
      </c>
      <c r="N326" s="62">
        <f ca="1">IF(controls!$B$10=1,N325,O326-'main page'!$K$29*M326-(1-'main page'!$K$29)*controls!$B$9)</f>
        <v>566.75</v>
      </c>
      <c r="O326" s="61">
        <f t="shared" ca="1" si="30"/>
        <v>0</v>
      </c>
      <c r="P326" s="63">
        <f ca="1">IF(controls!$B$10=1,hystere!N326+hystere!M326,hystere!Q326)</f>
        <v>-655.48749999999995</v>
      </c>
      <c r="Q326" s="61">
        <f ca="1">IF('main page'!$Y$53=1,'choose m.p.'!$I$22*100,R326)</f>
        <v>-655.48749999999995</v>
      </c>
      <c r="R326" s="83">
        <f ca="1">'main page'!$K$29*M326+(1-'main page'!$K$29)*controls!$B$9+S326+(('main page'!$K$25*'main page'!$U$13*'main page'!$K$29)/('main page'!$K$27*(1+('main page'!$K$25^2)*'main page'!$U$13)))*(M326-(controls!$B$9/100)*100)</f>
        <v>-655.48749999999995</v>
      </c>
      <c r="S326" s="81">
        <f ca="1">IF(controls!$B$33=1,(J327-E326*X327-B326)/'main page'!$K$27,(I327-E326*X327-B326)/'main page'!$K$27)</f>
        <v>53.45</v>
      </c>
      <c r="U326" s="58">
        <f>IF(controls!$B$6=1,$AG$4*(1+('main page'!$K$35/100))^V326-$AG$4*(1+('main page'!$K$35/100))^V325,$AG$4*(1+('main page'!$G$8/100))*(1+('main page'!$K$35/100))^V326-$AG$4*(1+('main page'!$G$8/100))*(1+('main page'!$K$35/100))^V325)</f>
        <v>0</v>
      </c>
      <c r="V326" s="60">
        <v>318</v>
      </c>
      <c r="W326" s="36">
        <f>'normal case'!AC325</f>
        <v>0</v>
      </c>
      <c r="X326" s="36">
        <f>'normal case'!AD325</f>
        <v>0</v>
      </c>
      <c r="Y326" s="44">
        <f ca="1">IF(controls!$B$33=1,E326-($J$4-'main page'!$K$27*2)*(1+('main page'!$K$35/100))^A325,E326-$AG$5)</f>
        <v>-99.9</v>
      </c>
      <c r="Z326" s="44">
        <f ca="1">ABS(M326-(controls!$B$9/100)*100)</f>
        <v>568.75</v>
      </c>
      <c r="AI326" s="36"/>
      <c r="AJ326" s="36"/>
    </row>
    <row r="327" spans="1:36">
      <c r="A327" s="43">
        <v>324</v>
      </c>
      <c r="B327" s="62">
        <f ca="1">IF(controls!$B$6=2,AVERAGE(E323:E326)+B326*W327+hystere!$AG$9,AVERAGE(E323:E326)+B326*W327)</f>
        <v>1.1000000000000001</v>
      </c>
      <c r="C327" s="67">
        <f t="shared" ca="1" si="31"/>
        <v>0</v>
      </c>
      <c r="D327" s="88">
        <f t="shared" ca="1" si="32"/>
        <v>-1</v>
      </c>
      <c r="E327" s="64">
        <f t="shared" ca="1" si="33"/>
        <v>0.1</v>
      </c>
      <c r="F327" s="64">
        <f ca="1">IF('main page'!$K$34=1,hystere!H327,hystere!G327)</f>
        <v>-1025.5</v>
      </c>
      <c r="G327" s="78">
        <f ca="1">I327-'main page'!$K$27*hystere!N326</f>
        <v>-1025.5</v>
      </c>
      <c r="H327" s="62">
        <f ca="1">J327-'main page'!$K$27*N326</f>
        <v>-1025.5</v>
      </c>
      <c r="I327" s="62">
        <f t="shared" ca="1" si="28"/>
        <v>108</v>
      </c>
      <c r="J327" s="62">
        <f t="shared" ca="1" si="29"/>
        <v>108</v>
      </c>
      <c r="M327" s="62">
        <f ca="1">IF(ABS('main page'!$K$29*M326+(1-'main page'!$K$29)*(controls!$B$9/100)*100+'main page'!$K$25*(E327-B327)-M326)&lt;0.0000001,M326,'main page'!$K$29*M326+(1-'main page'!$K$29)*(controls!$B$9/100)*100+'main page'!$K$25*(E327-B327))</f>
        <v>-567.75</v>
      </c>
      <c r="N327" s="62">
        <f ca="1">IF(controls!$B$10=1,N326,O327-'main page'!$K$29*M327-(1-'main page'!$K$29)*controls!$B$9)</f>
        <v>567.75</v>
      </c>
      <c r="O327" s="61">
        <f t="shared" ca="1" si="30"/>
        <v>0</v>
      </c>
      <c r="P327" s="63">
        <f ca="1">IF(controls!$B$10=1,hystere!N327+hystere!M327,hystere!Q327)</f>
        <v>-656.73749999999995</v>
      </c>
      <c r="Q327" s="61">
        <f ca="1">IF('main page'!$Y$53=1,'choose m.p.'!$I$22*100,R327)</f>
        <v>-656.73749999999995</v>
      </c>
      <c r="R327" s="83">
        <f ca="1">'main page'!$K$29*M327+(1-'main page'!$K$29)*controls!$B$9+S327+(('main page'!$K$25*'main page'!$U$13*'main page'!$K$29)/('main page'!$K$27*(1+('main page'!$K$25^2)*'main page'!$U$13)))*(M327-(controls!$B$9/100)*100)</f>
        <v>-656.73749999999995</v>
      </c>
      <c r="S327" s="81">
        <f ca="1">IF(controls!$B$33=1,(J328-E327*X328-B327)/'main page'!$K$27,(I328-E327*X328-B327)/'main page'!$K$27)</f>
        <v>53.45</v>
      </c>
      <c r="U327" s="58">
        <f>IF(controls!$B$6=1,$AG$4*(1+('main page'!$K$35/100))^V327-$AG$4*(1+('main page'!$K$35/100))^V326,$AG$4*(1+('main page'!$G$8/100))*(1+('main page'!$K$35/100))^V327-$AG$4*(1+('main page'!$G$8/100))*(1+('main page'!$K$35/100))^V326)</f>
        <v>0</v>
      </c>
      <c r="V327" s="60">
        <v>319</v>
      </c>
      <c r="W327" s="36">
        <f ca="1">'normal case'!AC326</f>
        <v>0</v>
      </c>
      <c r="X327" s="36">
        <f ca="1">'normal case'!AD326</f>
        <v>0</v>
      </c>
      <c r="Y327" s="44">
        <f ca="1">IF(controls!$B$33=1,E327-($J$4-'main page'!$K$27*2)*(1+('main page'!$K$35/100))^A326,E327-$AG$5)</f>
        <v>-99.9</v>
      </c>
      <c r="Z327" s="44">
        <f ca="1">ABS(M327-(controls!$B$9/100)*100)</f>
        <v>569.75</v>
      </c>
      <c r="AI327" s="36"/>
      <c r="AJ327" s="36"/>
    </row>
    <row r="328" spans="1:36">
      <c r="A328" s="43">
        <v>325</v>
      </c>
      <c r="B328" s="62">
        <f ca="1">IF(controls!$B$6=2,AVERAGE(E324:E327)+B327*W328+hystere!$AG$9,AVERAGE(E324:E327)+B327*W328)</f>
        <v>1.1000000000000001</v>
      </c>
      <c r="C328" s="67">
        <f t="shared" ca="1" si="31"/>
        <v>0</v>
      </c>
      <c r="D328" s="88">
        <f t="shared" ca="1" si="32"/>
        <v>-1</v>
      </c>
      <c r="E328" s="64">
        <f t="shared" ca="1" si="33"/>
        <v>0.1</v>
      </c>
      <c r="F328" s="64">
        <f ca="1">IF('main page'!$K$34=1,hystere!H328,hystere!G328)</f>
        <v>-1027.5</v>
      </c>
      <c r="G328" s="78">
        <f ca="1">I328-'main page'!$K$27*hystere!N327</f>
        <v>-1027.5</v>
      </c>
      <c r="H328" s="62">
        <f ca="1">J328-'main page'!$K$27*N327</f>
        <v>-1027.5</v>
      </c>
      <c r="I328" s="62">
        <f t="shared" ca="1" si="28"/>
        <v>108</v>
      </c>
      <c r="J328" s="62">
        <f t="shared" ca="1" si="29"/>
        <v>108</v>
      </c>
      <c r="M328" s="62">
        <f ca="1">IF(ABS('main page'!$K$29*M327+(1-'main page'!$K$29)*(controls!$B$9/100)*100+'main page'!$K$25*(E328-B328)-M327)&lt;0.0000001,M327,'main page'!$K$29*M327+(1-'main page'!$K$29)*(controls!$B$9/100)*100+'main page'!$K$25*(E328-B328))</f>
        <v>-568.75</v>
      </c>
      <c r="N328" s="62">
        <f ca="1">IF(controls!$B$10=1,N327,O328-'main page'!$K$29*M328-(1-'main page'!$K$29)*controls!$B$9)</f>
        <v>568.75</v>
      </c>
      <c r="O328" s="61">
        <f t="shared" ca="1" si="30"/>
        <v>0</v>
      </c>
      <c r="P328" s="63">
        <f ca="1">IF(controls!$B$10=1,hystere!N328+hystere!M328,hystere!Q328)</f>
        <v>-657.98749999999995</v>
      </c>
      <c r="Q328" s="61">
        <f ca="1">IF('main page'!$Y$53=1,'choose m.p.'!$I$22*100,R328)</f>
        <v>-657.98749999999995</v>
      </c>
      <c r="R328" s="83">
        <f ca="1">'main page'!$K$29*M328+(1-'main page'!$K$29)*controls!$B$9+S328+(('main page'!$K$25*'main page'!$U$13*'main page'!$K$29)/('main page'!$K$27*(1+('main page'!$K$25^2)*'main page'!$U$13)))*(M328-(controls!$B$9/100)*100)</f>
        <v>-657.98749999999995</v>
      </c>
      <c r="S328" s="81">
        <f ca="1">IF(controls!$B$33=1,(J329-E328*X329-B328)/'main page'!$K$27,(I329-E328*X329-B328)/'main page'!$K$27)</f>
        <v>53.45</v>
      </c>
      <c r="U328" s="58">
        <f>IF(controls!$B$6=1,$AG$4*(1+('main page'!$K$35/100))^V328-$AG$4*(1+('main page'!$K$35/100))^V327,$AG$4*(1+('main page'!$G$8/100))*(1+('main page'!$K$35/100))^V328-$AG$4*(1+('main page'!$G$8/100))*(1+('main page'!$K$35/100))^V327)</f>
        <v>0</v>
      </c>
      <c r="V328" s="60">
        <v>320</v>
      </c>
      <c r="W328" s="36">
        <f>'normal case'!AC327</f>
        <v>0</v>
      </c>
      <c r="X328" s="36">
        <f>'normal case'!AD327</f>
        <v>0</v>
      </c>
      <c r="Y328" s="44">
        <f ca="1">IF(controls!$B$33=1,E328-($J$4-'main page'!$K$27*2)*(1+('main page'!$K$35/100))^A327,E328-$AG$5)</f>
        <v>-99.9</v>
      </c>
      <c r="Z328" s="44">
        <f ca="1">ABS(M328-(controls!$B$9/100)*100)</f>
        <v>570.75</v>
      </c>
      <c r="AI328" s="36"/>
      <c r="AJ328" s="36"/>
    </row>
    <row r="329" spans="1:36">
      <c r="A329" s="43">
        <v>326</v>
      </c>
      <c r="B329" s="62">
        <f ca="1">IF(controls!$B$6=2,AVERAGE(E325:E328)+B328*W329+hystere!$AG$9,AVERAGE(E325:E328)+B328*W329)</f>
        <v>1.1000000000000001</v>
      </c>
      <c r="C329" s="67">
        <f t="shared" ca="1" si="31"/>
        <v>0</v>
      </c>
      <c r="D329" s="88">
        <f t="shared" ca="1" si="32"/>
        <v>-1</v>
      </c>
      <c r="E329" s="64">
        <f t="shared" ca="1" si="33"/>
        <v>0.1</v>
      </c>
      <c r="F329" s="64">
        <f ca="1">IF('main page'!$K$34=1,hystere!H329,hystere!G329)</f>
        <v>-1029.5</v>
      </c>
      <c r="G329" s="78">
        <f ca="1">I329-'main page'!$K$27*hystere!N328</f>
        <v>-1029.5</v>
      </c>
      <c r="H329" s="62">
        <f ca="1">J329-'main page'!$K$27*N328</f>
        <v>-1029.5</v>
      </c>
      <c r="I329" s="62">
        <f t="shared" ca="1" si="28"/>
        <v>108</v>
      </c>
      <c r="J329" s="62">
        <f t="shared" ca="1" si="29"/>
        <v>108</v>
      </c>
      <c r="M329" s="62">
        <f ca="1">IF(ABS('main page'!$K$29*M328+(1-'main page'!$K$29)*(controls!$B$9/100)*100+'main page'!$K$25*(E329-B329)-M328)&lt;0.0000001,M328,'main page'!$K$29*M328+(1-'main page'!$K$29)*(controls!$B$9/100)*100+'main page'!$K$25*(E329-B329))</f>
        <v>-569.75</v>
      </c>
      <c r="N329" s="62">
        <f ca="1">IF(controls!$B$10=1,N328,O329-'main page'!$K$29*M329-(1-'main page'!$K$29)*controls!$B$9)</f>
        <v>569.75</v>
      </c>
      <c r="O329" s="61">
        <f t="shared" ca="1" si="30"/>
        <v>0</v>
      </c>
      <c r="P329" s="63">
        <f ca="1">IF(controls!$B$10=1,hystere!N329+hystere!M329,hystere!Q329)</f>
        <v>-659.23749999999995</v>
      </c>
      <c r="Q329" s="61">
        <f ca="1">IF('main page'!$Y$53=1,'choose m.p.'!$I$22*100,R329)</f>
        <v>-659.23749999999995</v>
      </c>
      <c r="R329" s="83">
        <f ca="1">'main page'!$K$29*M329+(1-'main page'!$K$29)*controls!$B$9+S329+(('main page'!$K$25*'main page'!$U$13*'main page'!$K$29)/('main page'!$K$27*(1+('main page'!$K$25^2)*'main page'!$U$13)))*(M329-(controls!$B$9/100)*100)</f>
        <v>-659.23749999999995</v>
      </c>
      <c r="S329" s="81">
        <f ca="1">IF(controls!$B$33=1,(J330-E329*X330-B329)/'main page'!$K$27,(I330-E329*X330-B329)/'main page'!$K$27)</f>
        <v>53.45</v>
      </c>
      <c r="U329" s="58">
        <f>IF(controls!$B$6=1,$AG$4*(1+('main page'!$K$35/100))^V329-$AG$4*(1+('main page'!$K$35/100))^V328,$AG$4*(1+('main page'!$G$8/100))*(1+('main page'!$K$35/100))^V329-$AG$4*(1+('main page'!$G$8/100))*(1+('main page'!$K$35/100))^V328)</f>
        <v>0</v>
      </c>
      <c r="V329" s="60">
        <v>321</v>
      </c>
      <c r="W329" s="36">
        <f>'normal case'!AC328</f>
        <v>0</v>
      </c>
      <c r="X329" s="36">
        <f>'normal case'!AD328</f>
        <v>0</v>
      </c>
      <c r="Y329" s="44">
        <f ca="1">IF(controls!$B$33=1,E329-($J$4-'main page'!$K$27*2)*(1+('main page'!$K$35/100))^A328,E329-$AG$5)</f>
        <v>-99.9</v>
      </c>
      <c r="Z329" s="44">
        <f ca="1">ABS(M329-(controls!$B$9/100)*100)</f>
        <v>571.75</v>
      </c>
      <c r="AI329" s="36"/>
      <c r="AJ329" s="36"/>
    </row>
    <row r="330" spans="1:36">
      <c r="A330" s="43">
        <v>327</v>
      </c>
      <c r="B330" s="62">
        <f ca="1">IF(controls!$B$6=2,AVERAGE(E326:E329)+B329*W330+hystere!$AG$9,AVERAGE(E326:E329)+B329*W330)</f>
        <v>1.1000000000000001</v>
      </c>
      <c r="C330" s="67">
        <f t="shared" ca="1" si="31"/>
        <v>0</v>
      </c>
      <c r="D330" s="88">
        <f t="shared" ca="1" si="32"/>
        <v>-1</v>
      </c>
      <c r="E330" s="64">
        <f t="shared" ca="1" si="33"/>
        <v>0.1</v>
      </c>
      <c r="F330" s="64">
        <f ca="1">IF('main page'!$K$34=1,hystere!H330,hystere!G330)</f>
        <v>-1031.5</v>
      </c>
      <c r="G330" s="78">
        <f ca="1">I330-'main page'!$K$27*hystere!N329</f>
        <v>-1031.5</v>
      </c>
      <c r="H330" s="62">
        <f ca="1">J330-'main page'!$K$27*N329</f>
        <v>-1031.5</v>
      </c>
      <c r="I330" s="62">
        <f t="shared" ca="1" si="28"/>
        <v>108</v>
      </c>
      <c r="J330" s="62">
        <f t="shared" ca="1" si="29"/>
        <v>108</v>
      </c>
      <c r="M330" s="62">
        <f ca="1">IF(ABS('main page'!$K$29*M329+(1-'main page'!$K$29)*(controls!$B$9/100)*100+'main page'!$K$25*(E330-B330)-M329)&lt;0.0000001,M329,'main page'!$K$29*M329+(1-'main page'!$K$29)*(controls!$B$9/100)*100+'main page'!$K$25*(E330-B330))</f>
        <v>-570.75</v>
      </c>
      <c r="N330" s="62">
        <f ca="1">IF(controls!$B$10=1,N329,O330-'main page'!$K$29*M330-(1-'main page'!$K$29)*controls!$B$9)</f>
        <v>570.75</v>
      </c>
      <c r="O330" s="61">
        <f t="shared" ca="1" si="30"/>
        <v>0</v>
      </c>
      <c r="P330" s="63">
        <f ca="1">IF(controls!$B$10=1,hystere!N330+hystere!M330,hystere!Q330)</f>
        <v>-660.48749999999995</v>
      </c>
      <c r="Q330" s="61">
        <f ca="1">IF('main page'!$Y$53=1,'choose m.p.'!$I$22*100,R330)</f>
        <v>-660.48749999999995</v>
      </c>
      <c r="R330" s="83">
        <f ca="1">'main page'!$K$29*M330+(1-'main page'!$K$29)*controls!$B$9+S330+(('main page'!$K$25*'main page'!$U$13*'main page'!$K$29)/('main page'!$K$27*(1+('main page'!$K$25^2)*'main page'!$U$13)))*(M330-(controls!$B$9/100)*100)</f>
        <v>-660.48749999999995</v>
      </c>
      <c r="S330" s="81">
        <f ca="1">IF(controls!$B$33=1,(J331-E330*X331-B330)/'main page'!$K$27,(I331-E330*X331-B330)/'main page'!$K$27)</f>
        <v>53.45</v>
      </c>
      <c r="U330" s="58">
        <f>IF(controls!$B$6=1,$AG$4*(1+('main page'!$K$35/100))^V330-$AG$4*(1+('main page'!$K$35/100))^V329,$AG$4*(1+('main page'!$G$8/100))*(1+('main page'!$K$35/100))^V330-$AG$4*(1+('main page'!$G$8/100))*(1+('main page'!$K$35/100))^V329)</f>
        <v>0</v>
      </c>
      <c r="V330" s="60">
        <v>322</v>
      </c>
      <c r="W330" s="36">
        <f ca="1">'normal case'!AC329</f>
        <v>0</v>
      </c>
      <c r="X330" s="36">
        <f ca="1">'normal case'!AD329</f>
        <v>0</v>
      </c>
      <c r="Y330" s="44">
        <f ca="1">IF(controls!$B$33=1,E330-($J$4-'main page'!$K$27*2)*(1+('main page'!$K$35/100))^A329,E330-$AG$5)</f>
        <v>-99.9</v>
      </c>
      <c r="Z330" s="44">
        <f ca="1">ABS(M330-(controls!$B$9/100)*100)</f>
        <v>572.75</v>
      </c>
      <c r="AI330" s="36"/>
      <c r="AJ330" s="36"/>
    </row>
    <row r="331" spans="1:36">
      <c r="A331" s="43">
        <v>328</v>
      </c>
      <c r="B331" s="62">
        <f ca="1">IF(controls!$B$6=2,AVERAGE(E327:E330)+B330*W331+hystere!$AG$9,AVERAGE(E327:E330)+B330*W331)</f>
        <v>1.1000000000000001</v>
      </c>
      <c r="C331" s="67">
        <f t="shared" ca="1" si="31"/>
        <v>0</v>
      </c>
      <c r="D331" s="88">
        <f t="shared" ca="1" si="32"/>
        <v>-1</v>
      </c>
      <c r="E331" s="64">
        <f t="shared" ca="1" si="33"/>
        <v>0.1</v>
      </c>
      <c r="F331" s="64">
        <f ca="1">IF('main page'!$K$34=1,hystere!H331,hystere!G331)</f>
        <v>-1033.5</v>
      </c>
      <c r="G331" s="78">
        <f ca="1">I331-'main page'!$K$27*hystere!N330</f>
        <v>-1033.5</v>
      </c>
      <c r="H331" s="62">
        <f ca="1">J331-'main page'!$K$27*N330</f>
        <v>-1033.5</v>
      </c>
      <c r="I331" s="62">
        <f t="shared" ca="1" si="28"/>
        <v>108</v>
      </c>
      <c r="J331" s="62">
        <f t="shared" ca="1" si="29"/>
        <v>108</v>
      </c>
      <c r="M331" s="62">
        <f ca="1">IF(ABS('main page'!$K$29*M330+(1-'main page'!$K$29)*(controls!$B$9/100)*100+'main page'!$K$25*(E331-B331)-M330)&lt;0.0000001,M330,'main page'!$K$29*M330+(1-'main page'!$K$29)*(controls!$B$9/100)*100+'main page'!$K$25*(E331-B331))</f>
        <v>-571.75</v>
      </c>
      <c r="N331" s="62">
        <f ca="1">IF(controls!$B$10=1,N330,O331-'main page'!$K$29*M331-(1-'main page'!$K$29)*controls!$B$9)</f>
        <v>571.75</v>
      </c>
      <c r="O331" s="61">
        <f t="shared" ca="1" si="30"/>
        <v>0</v>
      </c>
      <c r="P331" s="63">
        <f ca="1">IF(controls!$B$10=1,hystere!N331+hystere!M331,hystere!Q331)</f>
        <v>-661.73749999999995</v>
      </c>
      <c r="Q331" s="61">
        <f ca="1">IF('main page'!$Y$53=1,'choose m.p.'!$I$22*100,R331)</f>
        <v>-661.73749999999995</v>
      </c>
      <c r="R331" s="83">
        <f ca="1">'main page'!$K$29*M331+(1-'main page'!$K$29)*controls!$B$9+S331+(('main page'!$K$25*'main page'!$U$13*'main page'!$K$29)/('main page'!$K$27*(1+('main page'!$K$25^2)*'main page'!$U$13)))*(M331-(controls!$B$9/100)*100)</f>
        <v>-661.73749999999995</v>
      </c>
      <c r="S331" s="81">
        <f ca="1">IF(controls!$B$33=1,(J332-E331*X332-B331)/'main page'!$K$27,(I332-E331*X332-B331)/'main page'!$K$27)</f>
        <v>53.45</v>
      </c>
      <c r="U331" s="58">
        <f>IF(controls!$B$6=1,$AG$4*(1+('main page'!$K$35/100))^V331-$AG$4*(1+('main page'!$K$35/100))^V330,$AG$4*(1+('main page'!$G$8/100))*(1+('main page'!$K$35/100))^V331-$AG$4*(1+('main page'!$G$8/100))*(1+('main page'!$K$35/100))^V330)</f>
        <v>0</v>
      </c>
      <c r="V331" s="60">
        <v>323</v>
      </c>
      <c r="W331" s="36">
        <f>'normal case'!AC330</f>
        <v>0</v>
      </c>
      <c r="X331" s="36">
        <f>'normal case'!AD330</f>
        <v>0</v>
      </c>
      <c r="Y331" s="44">
        <f ca="1">IF(controls!$B$33=1,E331-($J$4-'main page'!$K$27*2)*(1+('main page'!$K$35/100))^A330,E331-$AG$5)</f>
        <v>-99.9</v>
      </c>
      <c r="Z331" s="44">
        <f ca="1">ABS(M331-(controls!$B$9/100)*100)</f>
        <v>573.75</v>
      </c>
      <c r="AI331" s="36"/>
      <c r="AJ331" s="36"/>
    </row>
    <row r="332" spans="1:36">
      <c r="A332" s="43">
        <v>329</v>
      </c>
      <c r="B332" s="62">
        <f ca="1">IF(controls!$B$6=2,AVERAGE(E328:E331)+B331*W332+hystere!$AG$9,AVERAGE(E328:E331)+B331*W332)</f>
        <v>1.1000000000000001</v>
      </c>
      <c r="C332" s="67">
        <f t="shared" ca="1" si="31"/>
        <v>0</v>
      </c>
      <c r="D332" s="88">
        <f t="shared" ca="1" si="32"/>
        <v>-1</v>
      </c>
      <c r="E332" s="64">
        <f t="shared" ca="1" si="33"/>
        <v>0.1</v>
      </c>
      <c r="F332" s="64">
        <f ca="1">IF('main page'!$K$34=1,hystere!H332,hystere!G332)</f>
        <v>-1035.5</v>
      </c>
      <c r="G332" s="78">
        <f ca="1">I332-'main page'!$K$27*hystere!N331</f>
        <v>-1035.5</v>
      </c>
      <c r="H332" s="62">
        <f ca="1">J332-'main page'!$K$27*N331</f>
        <v>-1035.5</v>
      </c>
      <c r="I332" s="62">
        <f t="shared" ca="1" si="28"/>
        <v>108</v>
      </c>
      <c r="J332" s="62">
        <f t="shared" ca="1" si="29"/>
        <v>108</v>
      </c>
      <c r="M332" s="62">
        <f ca="1">IF(ABS('main page'!$K$29*M331+(1-'main page'!$K$29)*(controls!$B$9/100)*100+'main page'!$K$25*(E332-B332)-M331)&lt;0.0000001,M331,'main page'!$K$29*M331+(1-'main page'!$K$29)*(controls!$B$9/100)*100+'main page'!$K$25*(E332-B332))</f>
        <v>-572.75</v>
      </c>
      <c r="N332" s="62">
        <f ca="1">IF(controls!$B$10=1,N331,O332-'main page'!$K$29*M332-(1-'main page'!$K$29)*controls!$B$9)</f>
        <v>572.75</v>
      </c>
      <c r="O332" s="61">
        <f t="shared" ca="1" si="30"/>
        <v>0</v>
      </c>
      <c r="P332" s="63">
        <f ca="1">IF(controls!$B$10=1,hystere!N332+hystere!M332,hystere!Q332)</f>
        <v>-662.98749999999995</v>
      </c>
      <c r="Q332" s="61">
        <f ca="1">IF('main page'!$Y$53=1,'choose m.p.'!$I$22*100,R332)</f>
        <v>-662.98749999999995</v>
      </c>
      <c r="R332" s="83">
        <f ca="1">'main page'!$K$29*M332+(1-'main page'!$K$29)*controls!$B$9+S332+(('main page'!$K$25*'main page'!$U$13*'main page'!$K$29)/('main page'!$K$27*(1+('main page'!$K$25^2)*'main page'!$U$13)))*(M332-(controls!$B$9/100)*100)</f>
        <v>-662.98749999999995</v>
      </c>
      <c r="S332" s="81">
        <f ca="1">IF(controls!$B$33=1,(J333-E332*X333-B332)/'main page'!$K$27,(I333-E332*X333-B332)/'main page'!$K$27)</f>
        <v>53.45</v>
      </c>
      <c r="U332" s="58">
        <f>IF(controls!$B$6=1,$AG$4*(1+('main page'!$K$35/100))^V332-$AG$4*(1+('main page'!$K$35/100))^V331,$AG$4*(1+('main page'!$G$8/100))*(1+('main page'!$K$35/100))^V332-$AG$4*(1+('main page'!$G$8/100))*(1+('main page'!$K$35/100))^V331)</f>
        <v>0</v>
      </c>
      <c r="V332" s="60">
        <v>324</v>
      </c>
      <c r="W332" s="36">
        <f>'normal case'!AC331</f>
        <v>0</v>
      </c>
      <c r="X332" s="36">
        <f>'normal case'!AD331</f>
        <v>0</v>
      </c>
      <c r="Y332" s="44">
        <f ca="1">IF(controls!$B$33=1,E332-($J$4-'main page'!$K$27*2)*(1+('main page'!$K$35/100))^A331,E332-$AG$5)</f>
        <v>-99.9</v>
      </c>
      <c r="Z332" s="44">
        <f ca="1">ABS(M332-(controls!$B$9/100)*100)</f>
        <v>574.75</v>
      </c>
      <c r="AI332" s="36"/>
      <c r="AJ332" s="36"/>
    </row>
    <row r="333" spans="1:36">
      <c r="A333" s="43">
        <v>330</v>
      </c>
      <c r="B333" s="62">
        <f ca="1">IF(controls!$B$6=2,AVERAGE(E329:E332)+B332*W333+hystere!$AG$9,AVERAGE(E329:E332)+B332*W333)</f>
        <v>1.1000000000000001</v>
      </c>
      <c r="C333" s="67">
        <f t="shared" ca="1" si="31"/>
        <v>0</v>
      </c>
      <c r="D333" s="88">
        <f t="shared" ca="1" si="32"/>
        <v>-1</v>
      </c>
      <c r="E333" s="64">
        <f t="shared" ca="1" si="33"/>
        <v>0.1</v>
      </c>
      <c r="F333" s="64">
        <f ca="1">IF('main page'!$K$34=1,hystere!H333,hystere!G333)</f>
        <v>-1037.5</v>
      </c>
      <c r="G333" s="78">
        <f ca="1">I333-'main page'!$K$27*hystere!N332</f>
        <v>-1037.5</v>
      </c>
      <c r="H333" s="62">
        <f ca="1">J333-'main page'!$K$27*N332</f>
        <v>-1037.5</v>
      </c>
      <c r="I333" s="62">
        <f t="shared" ca="1" si="28"/>
        <v>108</v>
      </c>
      <c r="J333" s="62">
        <f t="shared" ca="1" si="29"/>
        <v>108</v>
      </c>
      <c r="M333" s="62">
        <f ca="1">IF(ABS('main page'!$K$29*M332+(1-'main page'!$K$29)*(controls!$B$9/100)*100+'main page'!$K$25*(E333-B333)-M332)&lt;0.0000001,M332,'main page'!$K$29*M332+(1-'main page'!$K$29)*(controls!$B$9/100)*100+'main page'!$K$25*(E333-B333))</f>
        <v>-573.75</v>
      </c>
      <c r="N333" s="62">
        <f ca="1">IF(controls!$B$10=1,N332,O333-'main page'!$K$29*M333-(1-'main page'!$K$29)*controls!$B$9)</f>
        <v>573.75</v>
      </c>
      <c r="O333" s="61">
        <f t="shared" ca="1" si="30"/>
        <v>0</v>
      </c>
      <c r="P333" s="63">
        <f ca="1">IF(controls!$B$10=1,hystere!N333+hystere!M333,hystere!Q333)</f>
        <v>-664.23749999999995</v>
      </c>
      <c r="Q333" s="61">
        <f ca="1">IF('main page'!$Y$53=1,'choose m.p.'!$I$22*100,R333)</f>
        <v>-664.23749999999995</v>
      </c>
      <c r="R333" s="83">
        <f ca="1">'main page'!$K$29*M333+(1-'main page'!$K$29)*controls!$B$9+S333+(('main page'!$K$25*'main page'!$U$13*'main page'!$K$29)/('main page'!$K$27*(1+('main page'!$K$25^2)*'main page'!$U$13)))*(M333-(controls!$B$9/100)*100)</f>
        <v>-664.23749999999995</v>
      </c>
      <c r="S333" s="81">
        <f ca="1">IF(controls!$B$33=1,(J334-E333*X334-B333)/'main page'!$K$27,(I334-E333*X334-B333)/'main page'!$K$27)</f>
        <v>53.45</v>
      </c>
      <c r="U333" s="58">
        <f>IF(controls!$B$6=1,$AG$4*(1+('main page'!$K$35/100))^V333-$AG$4*(1+('main page'!$K$35/100))^V332,$AG$4*(1+('main page'!$G$8/100))*(1+('main page'!$K$35/100))^V333-$AG$4*(1+('main page'!$G$8/100))*(1+('main page'!$K$35/100))^V332)</f>
        <v>0</v>
      </c>
      <c r="V333" s="60">
        <v>325</v>
      </c>
      <c r="W333" s="36">
        <f ca="1">'normal case'!AC332</f>
        <v>0</v>
      </c>
      <c r="X333" s="36">
        <f ca="1">'normal case'!AD332</f>
        <v>0</v>
      </c>
      <c r="Y333" s="44">
        <f ca="1">IF(controls!$B$33=1,E333-($J$4-'main page'!$K$27*2)*(1+('main page'!$K$35/100))^A332,E333-$AG$5)</f>
        <v>-99.9</v>
      </c>
      <c r="Z333" s="44">
        <f ca="1">ABS(M333-(controls!$B$9/100)*100)</f>
        <v>575.75</v>
      </c>
      <c r="AI333" s="36"/>
      <c r="AJ333" s="36"/>
    </row>
    <row r="334" spans="1:36">
      <c r="A334" s="43">
        <v>331</v>
      </c>
      <c r="B334" s="62">
        <f ca="1">IF(controls!$B$6=2,AVERAGE(E330:E333)+B333*W334+hystere!$AG$9,AVERAGE(E330:E333)+B333*W334)</f>
        <v>1.1000000000000001</v>
      </c>
      <c r="C334" s="67">
        <f t="shared" ca="1" si="31"/>
        <v>0</v>
      </c>
      <c r="D334" s="88">
        <f t="shared" ca="1" si="32"/>
        <v>-1</v>
      </c>
      <c r="E334" s="64">
        <f t="shared" ca="1" si="33"/>
        <v>0.1</v>
      </c>
      <c r="F334" s="64">
        <f ca="1">IF('main page'!$K$34=1,hystere!H334,hystere!G334)</f>
        <v>-1039.5</v>
      </c>
      <c r="G334" s="78">
        <f ca="1">I334-'main page'!$K$27*hystere!N333</f>
        <v>-1039.5</v>
      </c>
      <c r="H334" s="62">
        <f ca="1">J334-'main page'!$K$27*N333</f>
        <v>-1039.5</v>
      </c>
      <c r="I334" s="62">
        <f t="shared" ca="1" si="28"/>
        <v>108</v>
      </c>
      <c r="J334" s="62">
        <f t="shared" ca="1" si="29"/>
        <v>108</v>
      </c>
      <c r="M334" s="62">
        <f ca="1">IF(ABS('main page'!$K$29*M333+(1-'main page'!$K$29)*(controls!$B$9/100)*100+'main page'!$K$25*(E334-B334)-M333)&lt;0.0000001,M333,'main page'!$K$29*M333+(1-'main page'!$K$29)*(controls!$B$9/100)*100+'main page'!$K$25*(E334-B334))</f>
        <v>-574.75</v>
      </c>
      <c r="N334" s="62">
        <f ca="1">IF(controls!$B$10=1,N333,O334-'main page'!$K$29*M334-(1-'main page'!$K$29)*controls!$B$9)</f>
        <v>574.75</v>
      </c>
      <c r="O334" s="61">
        <f t="shared" ca="1" si="30"/>
        <v>0</v>
      </c>
      <c r="P334" s="63">
        <f ca="1">IF(controls!$B$10=1,hystere!N334+hystere!M334,hystere!Q334)</f>
        <v>-665.48749999999995</v>
      </c>
      <c r="Q334" s="61">
        <f ca="1">IF('main page'!$Y$53=1,'choose m.p.'!$I$22*100,R334)</f>
        <v>-665.48749999999995</v>
      </c>
      <c r="R334" s="83">
        <f ca="1">'main page'!$K$29*M334+(1-'main page'!$K$29)*controls!$B$9+S334+(('main page'!$K$25*'main page'!$U$13*'main page'!$K$29)/('main page'!$K$27*(1+('main page'!$K$25^2)*'main page'!$U$13)))*(M334-(controls!$B$9/100)*100)</f>
        <v>-665.48749999999995</v>
      </c>
      <c r="S334" s="81">
        <f ca="1">IF(controls!$B$33=1,(J335-E334*X335-B334)/'main page'!$K$27,(I335-E334*X335-B334)/'main page'!$K$27)</f>
        <v>53.45</v>
      </c>
      <c r="U334" s="58">
        <f>IF(controls!$B$6=1,$AG$4*(1+('main page'!$K$35/100))^V334-$AG$4*(1+('main page'!$K$35/100))^V333,$AG$4*(1+('main page'!$G$8/100))*(1+('main page'!$K$35/100))^V334-$AG$4*(1+('main page'!$G$8/100))*(1+('main page'!$K$35/100))^V333)</f>
        <v>0</v>
      </c>
      <c r="V334" s="60">
        <v>326</v>
      </c>
      <c r="W334" s="36">
        <f>'normal case'!AC333</f>
        <v>0</v>
      </c>
      <c r="X334" s="36">
        <f>'normal case'!AD333</f>
        <v>0</v>
      </c>
      <c r="Y334" s="44">
        <f ca="1">IF(controls!$B$33=1,E334-($J$4-'main page'!$K$27*2)*(1+('main page'!$K$35/100))^A333,E334-$AG$5)</f>
        <v>-99.9</v>
      </c>
      <c r="Z334" s="44">
        <f ca="1">ABS(M334-(controls!$B$9/100)*100)</f>
        <v>576.75</v>
      </c>
      <c r="AI334" s="36"/>
      <c r="AJ334" s="36"/>
    </row>
    <row r="335" spans="1:36">
      <c r="A335" s="43">
        <v>332</v>
      </c>
      <c r="B335" s="62">
        <f ca="1">IF(controls!$B$6=2,AVERAGE(E331:E334)+B334*W335+hystere!$AG$9,AVERAGE(E331:E334)+B334*W335)</f>
        <v>1.1000000000000001</v>
      </c>
      <c r="C335" s="67">
        <f t="shared" ca="1" si="31"/>
        <v>0</v>
      </c>
      <c r="D335" s="88">
        <f t="shared" ca="1" si="32"/>
        <v>-1</v>
      </c>
      <c r="E335" s="64">
        <f t="shared" ca="1" si="33"/>
        <v>0.1</v>
      </c>
      <c r="F335" s="64">
        <f ca="1">IF('main page'!$K$34=1,hystere!H335,hystere!G335)</f>
        <v>-1041.5</v>
      </c>
      <c r="G335" s="78">
        <f ca="1">I335-'main page'!$K$27*hystere!N334</f>
        <v>-1041.5</v>
      </c>
      <c r="H335" s="62">
        <f ca="1">J335-'main page'!$K$27*N334</f>
        <v>-1041.5</v>
      </c>
      <c r="I335" s="62">
        <f t="shared" ca="1" si="28"/>
        <v>108</v>
      </c>
      <c r="J335" s="62">
        <f t="shared" ca="1" si="29"/>
        <v>108</v>
      </c>
      <c r="M335" s="62">
        <f ca="1">IF(ABS('main page'!$K$29*M334+(1-'main page'!$K$29)*(controls!$B$9/100)*100+'main page'!$K$25*(E335-B335)-M334)&lt;0.0000001,M334,'main page'!$K$29*M334+(1-'main page'!$K$29)*(controls!$B$9/100)*100+'main page'!$K$25*(E335-B335))</f>
        <v>-575.75</v>
      </c>
      <c r="N335" s="62">
        <f ca="1">IF(controls!$B$10=1,N334,O335-'main page'!$K$29*M335-(1-'main page'!$K$29)*controls!$B$9)</f>
        <v>575.75</v>
      </c>
      <c r="O335" s="61">
        <f t="shared" ca="1" si="30"/>
        <v>0</v>
      </c>
      <c r="P335" s="63">
        <f ca="1">IF(controls!$B$10=1,hystere!N335+hystere!M335,hystere!Q335)</f>
        <v>-666.73749999999995</v>
      </c>
      <c r="Q335" s="61">
        <f ca="1">IF('main page'!$Y$53=1,'choose m.p.'!$I$22*100,R335)</f>
        <v>-666.73749999999995</v>
      </c>
      <c r="R335" s="83">
        <f ca="1">'main page'!$K$29*M335+(1-'main page'!$K$29)*controls!$B$9+S335+(('main page'!$K$25*'main page'!$U$13*'main page'!$K$29)/('main page'!$K$27*(1+('main page'!$K$25^2)*'main page'!$U$13)))*(M335-(controls!$B$9/100)*100)</f>
        <v>-666.73749999999995</v>
      </c>
      <c r="S335" s="81">
        <f ca="1">IF(controls!$B$33=1,(J336-E335*X336-B335)/'main page'!$K$27,(I336-E335*X336-B335)/'main page'!$K$27)</f>
        <v>53.45</v>
      </c>
      <c r="U335" s="58">
        <f>IF(controls!$B$6=1,$AG$4*(1+('main page'!$K$35/100))^V335-$AG$4*(1+('main page'!$K$35/100))^V334,$AG$4*(1+('main page'!$G$8/100))*(1+('main page'!$K$35/100))^V335-$AG$4*(1+('main page'!$G$8/100))*(1+('main page'!$K$35/100))^V334)</f>
        <v>0</v>
      </c>
      <c r="V335" s="60">
        <v>327</v>
      </c>
      <c r="W335" s="36">
        <f>'normal case'!AC334</f>
        <v>0</v>
      </c>
      <c r="X335" s="36">
        <f>'normal case'!AD334</f>
        <v>0</v>
      </c>
      <c r="Y335" s="44">
        <f ca="1">IF(controls!$B$33=1,E335-($J$4-'main page'!$K$27*2)*(1+('main page'!$K$35/100))^A334,E335-$AG$5)</f>
        <v>-99.9</v>
      </c>
      <c r="Z335" s="44">
        <f ca="1">ABS(M335-(controls!$B$9/100)*100)</f>
        <v>577.75</v>
      </c>
      <c r="AI335" s="36"/>
      <c r="AJ335" s="36"/>
    </row>
    <row r="336" spans="1:36">
      <c r="A336" s="43">
        <v>333</v>
      </c>
      <c r="B336" s="62">
        <f ca="1">IF(controls!$B$6=2,AVERAGE(E332:E335)+B335*W336+hystere!$AG$9,AVERAGE(E332:E335)+B335*W336)</f>
        <v>1.1000000000000001</v>
      </c>
      <c r="C336" s="67">
        <f t="shared" ca="1" si="31"/>
        <v>0</v>
      </c>
      <c r="D336" s="88">
        <f t="shared" ca="1" si="32"/>
        <v>-1</v>
      </c>
      <c r="E336" s="64">
        <f t="shared" ca="1" si="33"/>
        <v>0.1</v>
      </c>
      <c r="F336" s="64">
        <f ca="1">IF('main page'!$K$34=1,hystere!H336,hystere!G336)</f>
        <v>-1043.5</v>
      </c>
      <c r="G336" s="78">
        <f ca="1">I336-'main page'!$K$27*hystere!N335</f>
        <v>-1043.5</v>
      </c>
      <c r="H336" s="62">
        <f ca="1">J336-'main page'!$K$27*N335</f>
        <v>-1043.5</v>
      </c>
      <c r="I336" s="62">
        <f t="shared" ca="1" si="28"/>
        <v>108</v>
      </c>
      <c r="J336" s="62">
        <f t="shared" ca="1" si="29"/>
        <v>108</v>
      </c>
      <c r="M336" s="62">
        <f ca="1">IF(ABS('main page'!$K$29*M335+(1-'main page'!$K$29)*(controls!$B$9/100)*100+'main page'!$K$25*(E336-B336)-M335)&lt;0.0000001,M335,'main page'!$K$29*M335+(1-'main page'!$K$29)*(controls!$B$9/100)*100+'main page'!$K$25*(E336-B336))</f>
        <v>-576.75</v>
      </c>
      <c r="N336" s="62">
        <f ca="1">IF(controls!$B$10=1,N335,O336-'main page'!$K$29*M336-(1-'main page'!$K$29)*controls!$B$9)</f>
        <v>576.75</v>
      </c>
      <c r="O336" s="61">
        <f t="shared" ca="1" si="30"/>
        <v>0</v>
      </c>
      <c r="P336" s="63">
        <f ca="1">IF(controls!$B$10=1,hystere!N336+hystere!M336,hystere!Q336)</f>
        <v>-667.98749999999995</v>
      </c>
      <c r="Q336" s="61">
        <f ca="1">IF('main page'!$Y$53=1,'choose m.p.'!$I$22*100,R336)</f>
        <v>-667.98749999999995</v>
      </c>
      <c r="R336" s="83">
        <f ca="1">'main page'!$K$29*M336+(1-'main page'!$K$29)*controls!$B$9+S336+(('main page'!$K$25*'main page'!$U$13*'main page'!$K$29)/('main page'!$K$27*(1+('main page'!$K$25^2)*'main page'!$U$13)))*(M336-(controls!$B$9/100)*100)</f>
        <v>-667.98749999999995</v>
      </c>
      <c r="S336" s="81">
        <f ca="1">IF(controls!$B$33=1,(J337-E336*X337-B336)/'main page'!$K$27,(I337-E336*X337-B336)/'main page'!$K$27)</f>
        <v>53.45</v>
      </c>
      <c r="U336" s="58">
        <f>IF(controls!$B$6=1,$AG$4*(1+('main page'!$K$35/100))^V336-$AG$4*(1+('main page'!$K$35/100))^V335,$AG$4*(1+('main page'!$G$8/100))*(1+('main page'!$K$35/100))^V336-$AG$4*(1+('main page'!$G$8/100))*(1+('main page'!$K$35/100))^V335)</f>
        <v>0</v>
      </c>
      <c r="V336" s="60">
        <v>328</v>
      </c>
      <c r="W336" s="36">
        <f ca="1">'normal case'!AC335</f>
        <v>0</v>
      </c>
      <c r="X336" s="36">
        <f ca="1">'normal case'!AD335</f>
        <v>0</v>
      </c>
      <c r="Y336" s="44">
        <f ca="1">IF(controls!$B$33=1,E336-($J$4-'main page'!$K$27*2)*(1+('main page'!$K$35/100))^A335,E336-$AG$5)</f>
        <v>-99.9</v>
      </c>
      <c r="Z336" s="44">
        <f ca="1">ABS(M336-(controls!$B$9/100)*100)</f>
        <v>578.75</v>
      </c>
      <c r="AI336" s="36"/>
      <c r="AJ336" s="36"/>
    </row>
    <row r="337" spans="1:36">
      <c r="A337" s="43">
        <v>334</v>
      </c>
      <c r="B337" s="62">
        <f ca="1">IF(controls!$B$6=2,AVERAGE(E333:E336)+B336*W337+hystere!$AG$9,AVERAGE(E333:E336)+B336*W337)</f>
        <v>1.1000000000000001</v>
      </c>
      <c r="C337" s="67">
        <f t="shared" ca="1" si="31"/>
        <v>0</v>
      </c>
      <c r="D337" s="88">
        <f t="shared" ca="1" si="32"/>
        <v>-1</v>
      </c>
      <c r="E337" s="64">
        <f t="shared" ca="1" si="33"/>
        <v>0.1</v>
      </c>
      <c r="F337" s="64">
        <f ca="1">IF('main page'!$K$34=1,hystere!H337,hystere!G337)</f>
        <v>-1045.5</v>
      </c>
      <c r="G337" s="78">
        <f ca="1">I337-'main page'!$K$27*hystere!N336</f>
        <v>-1045.5</v>
      </c>
      <c r="H337" s="62">
        <f ca="1">J337-'main page'!$K$27*N336</f>
        <v>-1045.5</v>
      </c>
      <c r="I337" s="62">
        <f t="shared" ca="1" si="28"/>
        <v>108</v>
      </c>
      <c r="J337" s="62">
        <f t="shared" ca="1" si="29"/>
        <v>108</v>
      </c>
      <c r="M337" s="62">
        <f ca="1">IF(ABS('main page'!$K$29*M336+(1-'main page'!$K$29)*(controls!$B$9/100)*100+'main page'!$K$25*(E337-B337)-M336)&lt;0.0000001,M336,'main page'!$K$29*M336+(1-'main page'!$K$29)*(controls!$B$9/100)*100+'main page'!$K$25*(E337-B337))</f>
        <v>-577.75</v>
      </c>
      <c r="N337" s="62">
        <f ca="1">IF(controls!$B$10=1,N336,O337-'main page'!$K$29*M337-(1-'main page'!$K$29)*controls!$B$9)</f>
        <v>577.75</v>
      </c>
      <c r="O337" s="61">
        <f t="shared" ca="1" si="30"/>
        <v>0</v>
      </c>
      <c r="P337" s="63">
        <f ca="1">IF(controls!$B$10=1,hystere!N337+hystere!M337,hystere!Q337)</f>
        <v>-669.23749999999995</v>
      </c>
      <c r="Q337" s="61">
        <f ca="1">IF('main page'!$Y$53=1,'choose m.p.'!$I$22*100,R337)</f>
        <v>-669.23749999999995</v>
      </c>
      <c r="R337" s="83">
        <f ca="1">'main page'!$K$29*M337+(1-'main page'!$K$29)*controls!$B$9+S337+(('main page'!$K$25*'main page'!$U$13*'main page'!$K$29)/('main page'!$K$27*(1+('main page'!$K$25^2)*'main page'!$U$13)))*(M337-(controls!$B$9/100)*100)</f>
        <v>-669.23749999999995</v>
      </c>
      <c r="S337" s="81">
        <f ca="1">IF(controls!$B$33=1,(J338-E337*X338-B337)/'main page'!$K$27,(I338-E337*X338-B337)/'main page'!$K$27)</f>
        <v>53.45</v>
      </c>
      <c r="U337" s="58">
        <f>IF(controls!$B$6=1,$AG$4*(1+('main page'!$K$35/100))^V337-$AG$4*(1+('main page'!$K$35/100))^V336,$AG$4*(1+('main page'!$G$8/100))*(1+('main page'!$K$35/100))^V337-$AG$4*(1+('main page'!$G$8/100))*(1+('main page'!$K$35/100))^V336)</f>
        <v>0</v>
      </c>
      <c r="V337" s="60">
        <v>329</v>
      </c>
      <c r="W337" s="36">
        <f>'normal case'!AC336</f>
        <v>0</v>
      </c>
      <c r="X337" s="36">
        <f>'normal case'!AD336</f>
        <v>0</v>
      </c>
      <c r="Y337" s="44">
        <f ca="1">IF(controls!$B$33=1,E337-($J$4-'main page'!$K$27*2)*(1+('main page'!$K$35/100))^A336,E337-$AG$5)</f>
        <v>-99.9</v>
      </c>
      <c r="Z337" s="44">
        <f ca="1">ABS(M337-(controls!$B$9/100)*100)</f>
        <v>579.75</v>
      </c>
      <c r="AI337" s="36"/>
      <c r="AJ337" s="36"/>
    </row>
    <row r="338" spans="1:36">
      <c r="A338" s="43">
        <v>335</v>
      </c>
      <c r="B338" s="62">
        <f ca="1">IF(controls!$B$6=2,AVERAGE(E334:E337)+B337*W338+hystere!$AG$9,AVERAGE(E334:E337)+B337*W338)</f>
        <v>1.1000000000000001</v>
      </c>
      <c r="C338" s="67">
        <f t="shared" ca="1" si="31"/>
        <v>0</v>
      </c>
      <c r="D338" s="88">
        <f t="shared" ca="1" si="32"/>
        <v>-1</v>
      </c>
      <c r="E338" s="64">
        <f t="shared" ca="1" si="33"/>
        <v>0.1</v>
      </c>
      <c r="F338" s="64">
        <f ca="1">IF('main page'!$K$34=1,hystere!H338,hystere!G338)</f>
        <v>-1047.5</v>
      </c>
      <c r="G338" s="78">
        <f ca="1">I338-'main page'!$K$27*hystere!N337</f>
        <v>-1047.5</v>
      </c>
      <c r="H338" s="62">
        <f ca="1">J338-'main page'!$K$27*N337</f>
        <v>-1047.5</v>
      </c>
      <c r="I338" s="62">
        <f t="shared" ca="1" si="28"/>
        <v>108</v>
      </c>
      <c r="J338" s="62">
        <f t="shared" ca="1" si="29"/>
        <v>108</v>
      </c>
      <c r="M338" s="62">
        <f ca="1">IF(ABS('main page'!$K$29*M337+(1-'main page'!$K$29)*(controls!$B$9/100)*100+'main page'!$K$25*(E338-B338)-M337)&lt;0.0000001,M337,'main page'!$K$29*M337+(1-'main page'!$K$29)*(controls!$B$9/100)*100+'main page'!$K$25*(E338-B338))</f>
        <v>-578.75</v>
      </c>
      <c r="N338" s="62">
        <f ca="1">IF(controls!$B$10=1,N337,O338-'main page'!$K$29*M338-(1-'main page'!$K$29)*controls!$B$9)</f>
        <v>578.75</v>
      </c>
      <c r="O338" s="61">
        <f t="shared" ca="1" si="30"/>
        <v>0</v>
      </c>
      <c r="P338" s="63">
        <f ca="1">IF(controls!$B$10=1,hystere!N338+hystere!M338,hystere!Q338)</f>
        <v>-670.48749999999995</v>
      </c>
      <c r="Q338" s="61">
        <f ca="1">IF('main page'!$Y$53=1,'choose m.p.'!$I$22*100,R338)</f>
        <v>-670.48749999999995</v>
      </c>
      <c r="R338" s="83">
        <f ca="1">'main page'!$K$29*M338+(1-'main page'!$K$29)*controls!$B$9+S338+(('main page'!$K$25*'main page'!$U$13*'main page'!$K$29)/('main page'!$K$27*(1+('main page'!$K$25^2)*'main page'!$U$13)))*(M338-(controls!$B$9/100)*100)</f>
        <v>-670.48749999999995</v>
      </c>
      <c r="S338" s="81">
        <f ca="1">IF(controls!$B$33=1,(J339-E338*X339-B338)/'main page'!$K$27,(I339-E338*X339-B338)/'main page'!$K$27)</f>
        <v>53.45</v>
      </c>
      <c r="U338" s="58">
        <f>IF(controls!$B$6=1,$AG$4*(1+('main page'!$K$35/100))^V338-$AG$4*(1+('main page'!$K$35/100))^V337,$AG$4*(1+('main page'!$G$8/100))*(1+('main page'!$K$35/100))^V338-$AG$4*(1+('main page'!$G$8/100))*(1+('main page'!$K$35/100))^V337)</f>
        <v>0</v>
      </c>
      <c r="V338" s="60">
        <v>330</v>
      </c>
      <c r="W338" s="36">
        <f>'normal case'!AC337</f>
        <v>0</v>
      </c>
      <c r="X338" s="36">
        <f>'normal case'!AD337</f>
        <v>0</v>
      </c>
      <c r="Y338" s="44">
        <f ca="1">IF(controls!$B$33=1,E338-($J$4-'main page'!$K$27*2)*(1+('main page'!$K$35/100))^A337,E338-$AG$5)</f>
        <v>-99.9</v>
      </c>
      <c r="Z338" s="44">
        <f ca="1">ABS(M338-(controls!$B$9/100)*100)</f>
        <v>580.75</v>
      </c>
      <c r="AI338" s="36"/>
      <c r="AJ338" s="36"/>
    </row>
    <row r="339" spans="1:36">
      <c r="A339" s="43">
        <v>336</v>
      </c>
      <c r="B339" s="62">
        <f ca="1">IF(controls!$B$6=2,AVERAGE(E335:E338)+B338*W339+hystere!$AG$9,AVERAGE(E335:E338)+B338*W339)</f>
        <v>1.1000000000000001</v>
      </c>
      <c r="C339" s="67">
        <f t="shared" ca="1" si="31"/>
        <v>0</v>
      </c>
      <c r="D339" s="88">
        <f t="shared" ca="1" si="32"/>
        <v>-1</v>
      </c>
      <c r="E339" s="64">
        <f t="shared" ca="1" si="33"/>
        <v>0.1</v>
      </c>
      <c r="F339" s="64">
        <f ca="1">IF('main page'!$K$34=1,hystere!H339,hystere!G339)</f>
        <v>-1049.5</v>
      </c>
      <c r="G339" s="78">
        <f ca="1">I339-'main page'!$K$27*hystere!N338</f>
        <v>-1049.5</v>
      </c>
      <c r="H339" s="62">
        <f ca="1">J339-'main page'!$K$27*N338</f>
        <v>-1049.5</v>
      </c>
      <c r="I339" s="62">
        <f t="shared" ca="1" si="28"/>
        <v>108</v>
      </c>
      <c r="J339" s="62">
        <f t="shared" ca="1" si="29"/>
        <v>108</v>
      </c>
      <c r="M339" s="62">
        <f ca="1">IF(ABS('main page'!$K$29*M338+(1-'main page'!$K$29)*(controls!$B$9/100)*100+'main page'!$K$25*(E339-B339)-M338)&lt;0.0000001,M338,'main page'!$K$29*M338+(1-'main page'!$K$29)*(controls!$B$9/100)*100+'main page'!$K$25*(E339-B339))</f>
        <v>-579.75</v>
      </c>
      <c r="N339" s="62">
        <f ca="1">IF(controls!$B$10=1,N338,O339-'main page'!$K$29*M339-(1-'main page'!$K$29)*controls!$B$9)</f>
        <v>579.75</v>
      </c>
      <c r="O339" s="61">
        <f t="shared" ca="1" si="30"/>
        <v>0</v>
      </c>
      <c r="P339" s="63">
        <f ca="1">IF(controls!$B$10=1,hystere!N339+hystere!M339,hystere!Q339)</f>
        <v>-671.73749999999995</v>
      </c>
      <c r="Q339" s="61">
        <f ca="1">IF('main page'!$Y$53=1,'choose m.p.'!$I$22*100,R339)</f>
        <v>-671.73749999999995</v>
      </c>
      <c r="R339" s="83">
        <f ca="1">'main page'!$K$29*M339+(1-'main page'!$K$29)*controls!$B$9+S339+(('main page'!$K$25*'main page'!$U$13*'main page'!$K$29)/('main page'!$K$27*(1+('main page'!$K$25^2)*'main page'!$U$13)))*(M339-(controls!$B$9/100)*100)</f>
        <v>-671.73749999999995</v>
      </c>
      <c r="S339" s="81">
        <f ca="1">IF(controls!$B$33=1,(J340-E339*X340-B339)/'main page'!$K$27,(I340-E339*X340-B339)/'main page'!$K$27)</f>
        <v>53.45</v>
      </c>
      <c r="U339" s="58">
        <f>IF(controls!$B$6=1,$AG$4*(1+('main page'!$K$35/100))^V339-$AG$4*(1+('main page'!$K$35/100))^V338,$AG$4*(1+('main page'!$G$8/100))*(1+('main page'!$K$35/100))^V339-$AG$4*(1+('main page'!$G$8/100))*(1+('main page'!$K$35/100))^V338)</f>
        <v>0</v>
      </c>
      <c r="V339" s="60">
        <v>331</v>
      </c>
      <c r="W339" s="36">
        <f ca="1">'normal case'!AC338</f>
        <v>0</v>
      </c>
      <c r="X339" s="36">
        <f ca="1">'normal case'!AD338</f>
        <v>0</v>
      </c>
      <c r="Y339" s="44">
        <f ca="1">IF(controls!$B$33=1,E339-($J$4-'main page'!$K$27*2)*(1+('main page'!$K$35/100))^A338,E339-$AG$5)</f>
        <v>-99.9</v>
      </c>
      <c r="Z339" s="44">
        <f ca="1">ABS(M339-(controls!$B$9/100)*100)</f>
        <v>581.75</v>
      </c>
      <c r="AI339" s="36"/>
      <c r="AJ339" s="36"/>
    </row>
    <row r="340" spans="1:36">
      <c r="A340" s="43">
        <v>337</v>
      </c>
      <c r="B340" s="62">
        <f ca="1">IF(controls!$B$6=2,AVERAGE(E336:E339)+B339*W340+hystere!$AG$9,AVERAGE(E336:E339)+B339*W340)</f>
        <v>1.1000000000000001</v>
      </c>
      <c r="C340" s="67">
        <f t="shared" ca="1" si="31"/>
        <v>0</v>
      </c>
      <c r="D340" s="88">
        <f t="shared" ca="1" si="32"/>
        <v>-1</v>
      </c>
      <c r="E340" s="64">
        <f t="shared" ca="1" si="33"/>
        <v>0.1</v>
      </c>
      <c r="F340" s="64">
        <f ca="1">IF('main page'!$K$34=1,hystere!H340,hystere!G340)</f>
        <v>-1051.5</v>
      </c>
      <c r="G340" s="78">
        <f ca="1">I340-'main page'!$K$27*hystere!N339</f>
        <v>-1051.5</v>
      </c>
      <c r="H340" s="62">
        <f ca="1">J340-'main page'!$K$27*N339</f>
        <v>-1051.5</v>
      </c>
      <c r="I340" s="62">
        <f t="shared" ca="1" si="28"/>
        <v>108</v>
      </c>
      <c r="J340" s="62">
        <f t="shared" ca="1" si="29"/>
        <v>108</v>
      </c>
      <c r="M340" s="62">
        <f ca="1">IF(ABS('main page'!$K$29*M339+(1-'main page'!$K$29)*(controls!$B$9/100)*100+'main page'!$K$25*(E340-B340)-M339)&lt;0.0000001,M339,'main page'!$K$29*M339+(1-'main page'!$K$29)*(controls!$B$9/100)*100+'main page'!$K$25*(E340-B340))</f>
        <v>-580.75</v>
      </c>
      <c r="N340" s="62">
        <f ca="1">IF(controls!$B$10=1,N339,O340-'main page'!$K$29*M340-(1-'main page'!$K$29)*controls!$B$9)</f>
        <v>580.75</v>
      </c>
      <c r="O340" s="61">
        <f t="shared" ca="1" si="30"/>
        <v>0</v>
      </c>
      <c r="P340" s="63">
        <f ca="1">IF(controls!$B$10=1,hystere!N340+hystere!M340,hystere!Q340)</f>
        <v>-672.98749999999995</v>
      </c>
      <c r="Q340" s="61">
        <f ca="1">IF('main page'!$Y$53=1,'choose m.p.'!$I$22*100,R340)</f>
        <v>-672.98749999999995</v>
      </c>
      <c r="R340" s="83">
        <f ca="1">'main page'!$K$29*M340+(1-'main page'!$K$29)*controls!$B$9+S340+(('main page'!$K$25*'main page'!$U$13*'main page'!$K$29)/('main page'!$K$27*(1+('main page'!$K$25^2)*'main page'!$U$13)))*(M340-(controls!$B$9/100)*100)</f>
        <v>-672.98749999999995</v>
      </c>
      <c r="S340" s="81">
        <f ca="1">IF(controls!$B$33=1,(J341-E340*X341-B340)/'main page'!$K$27,(I341-E340*X341-B340)/'main page'!$K$27)</f>
        <v>53.45</v>
      </c>
      <c r="U340" s="58">
        <f>IF(controls!$B$6=1,$AG$4*(1+('main page'!$K$35/100))^V340-$AG$4*(1+('main page'!$K$35/100))^V339,$AG$4*(1+('main page'!$G$8/100))*(1+('main page'!$K$35/100))^V340-$AG$4*(1+('main page'!$G$8/100))*(1+('main page'!$K$35/100))^V339)</f>
        <v>0</v>
      </c>
      <c r="V340" s="60">
        <v>332</v>
      </c>
      <c r="W340" s="36">
        <f>'normal case'!AC339</f>
        <v>0</v>
      </c>
      <c r="X340" s="36">
        <f>'normal case'!AD339</f>
        <v>0</v>
      </c>
      <c r="Y340" s="44">
        <f ca="1">IF(controls!$B$33=1,E340-($J$4-'main page'!$K$27*2)*(1+('main page'!$K$35/100))^A339,E340-$AG$5)</f>
        <v>-99.9</v>
      </c>
      <c r="Z340" s="44">
        <f ca="1">ABS(M340-(controls!$B$9/100)*100)</f>
        <v>582.75</v>
      </c>
      <c r="AI340" s="36"/>
      <c r="AJ340" s="36"/>
    </row>
    <row r="341" spans="1:36">
      <c r="A341" s="43">
        <v>338</v>
      </c>
      <c r="B341" s="62">
        <f ca="1">IF(controls!$B$6=2,AVERAGE(E337:E340)+B340*W341+hystere!$AG$9,AVERAGE(E337:E340)+B340*W341)</f>
        <v>1.1000000000000001</v>
      </c>
      <c r="C341" s="67">
        <f t="shared" ca="1" si="31"/>
        <v>0</v>
      </c>
      <c r="D341" s="88">
        <f t="shared" ca="1" si="32"/>
        <v>-1</v>
      </c>
      <c r="E341" s="64">
        <f t="shared" ca="1" si="33"/>
        <v>0.1</v>
      </c>
      <c r="F341" s="64">
        <f ca="1">IF('main page'!$K$34=1,hystere!H341,hystere!G341)</f>
        <v>-1053.5</v>
      </c>
      <c r="G341" s="78">
        <f ca="1">I341-'main page'!$K$27*hystere!N340</f>
        <v>-1053.5</v>
      </c>
      <c r="H341" s="62">
        <f ca="1">J341-'main page'!$K$27*N340</f>
        <v>-1053.5</v>
      </c>
      <c r="I341" s="62">
        <f t="shared" ca="1" si="28"/>
        <v>108</v>
      </c>
      <c r="J341" s="62">
        <f t="shared" ca="1" si="29"/>
        <v>108</v>
      </c>
      <c r="M341" s="62">
        <f ca="1">IF(ABS('main page'!$K$29*M340+(1-'main page'!$K$29)*(controls!$B$9/100)*100+'main page'!$K$25*(E341-B341)-M340)&lt;0.0000001,M340,'main page'!$K$29*M340+(1-'main page'!$K$29)*(controls!$B$9/100)*100+'main page'!$K$25*(E341-B341))</f>
        <v>-581.75</v>
      </c>
      <c r="N341" s="62">
        <f ca="1">IF(controls!$B$10=1,N340,O341-'main page'!$K$29*M341-(1-'main page'!$K$29)*controls!$B$9)</f>
        <v>581.75</v>
      </c>
      <c r="O341" s="61">
        <f t="shared" ca="1" si="30"/>
        <v>0</v>
      </c>
      <c r="P341" s="63">
        <f ca="1">IF(controls!$B$10=1,hystere!N341+hystere!M341,hystere!Q341)</f>
        <v>-674.23749999999995</v>
      </c>
      <c r="Q341" s="61">
        <f ca="1">IF('main page'!$Y$53=1,'choose m.p.'!$I$22*100,R341)</f>
        <v>-674.23749999999995</v>
      </c>
      <c r="R341" s="83">
        <f ca="1">'main page'!$K$29*M341+(1-'main page'!$K$29)*controls!$B$9+S341+(('main page'!$K$25*'main page'!$U$13*'main page'!$K$29)/('main page'!$K$27*(1+('main page'!$K$25^2)*'main page'!$U$13)))*(M341-(controls!$B$9/100)*100)</f>
        <v>-674.23749999999995</v>
      </c>
      <c r="S341" s="81">
        <f ca="1">IF(controls!$B$33=1,(J342-E341*X342-B341)/'main page'!$K$27,(I342-E341*X342-B341)/'main page'!$K$27)</f>
        <v>53.45</v>
      </c>
      <c r="U341" s="58">
        <f>IF(controls!$B$6=1,$AG$4*(1+('main page'!$K$35/100))^V341-$AG$4*(1+('main page'!$K$35/100))^V340,$AG$4*(1+('main page'!$G$8/100))*(1+('main page'!$K$35/100))^V341-$AG$4*(1+('main page'!$G$8/100))*(1+('main page'!$K$35/100))^V340)</f>
        <v>0</v>
      </c>
      <c r="V341" s="60">
        <v>333</v>
      </c>
      <c r="W341" s="36">
        <f>'normal case'!AC340</f>
        <v>0</v>
      </c>
      <c r="X341" s="36">
        <f>'normal case'!AD340</f>
        <v>0</v>
      </c>
      <c r="Y341" s="44">
        <f ca="1">IF(controls!$B$33=1,E341-($J$4-'main page'!$K$27*2)*(1+('main page'!$K$35/100))^A340,E341-$AG$5)</f>
        <v>-99.9</v>
      </c>
      <c r="Z341" s="44">
        <f ca="1">ABS(M341-(controls!$B$9/100)*100)</f>
        <v>583.75</v>
      </c>
      <c r="AI341" s="36"/>
      <c r="AJ341" s="36"/>
    </row>
    <row r="342" spans="1:36">
      <c r="A342" s="43">
        <v>339</v>
      </c>
      <c r="B342" s="62">
        <f ca="1">IF(controls!$B$6=2,AVERAGE(E338:E341)+B341*W342+hystere!$AG$9,AVERAGE(E338:E341)+B341*W342)</f>
        <v>1.1000000000000001</v>
      </c>
      <c r="C342" s="67">
        <f t="shared" ca="1" si="31"/>
        <v>0</v>
      </c>
      <c r="D342" s="88">
        <f t="shared" ca="1" si="32"/>
        <v>-1</v>
      </c>
      <c r="E342" s="64">
        <f t="shared" ca="1" si="33"/>
        <v>0.1</v>
      </c>
      <c r="F342" s="64">
        <f ca="1">IF('main page'!$K$34=1,hystere!H342,hystere!G342)</f>
        <v>-1055.5</v>
      </c>
      <c r="G342" s="78">
        <f ca="1">I342-'main page'!$K$27*hystere!N341</f>
        <v>-1055.5</v>
      </c>
      <c r="H342" s="62">
        <f ca="1">J342-'main page'!$K$27*N341</f>
        <v>-1055.5</v>
      </c>
      <c r="I342" s="62">
        <f t="shared" ca="1" si="28"/>
        <v>108</v>
      </c>
      <c r="J342" s="62">
        <f t="shared" ca="1" si="29"/>
        <v>108</v>
      </c>
      <c r="M342" s="62">
        <f ca="1">IF(ABS('main page'!$K$29*M341+(1-'main page'!$K$29)*(controls!$B$9/100)*100+'main page'!$K$25*(E342-B342)-M341)&lt;0.0000001,M341,'main page'!$K$29*M341+(1-'main page'!$K$29)*(controls!$B$9/100)*100+'main page'!$K$25*(E342-B342))</f>
        <v>-582.75</v>
      </c>
      <c r="N342" s="62">
        <f ca="1">IF(controls!$B$10=1,N341,O342-'main page'!$K$29*M342-(1-'main page'!$K$29)*controls!$B$9)</f>
        <v>582.75</v>
      </c>
      <c r="O342" s="61">
        <f t="shared" ca="1" si="30"/>
        <v>0</v>
      </c>
      <c r="P342" s="63">
        <f ca="1">IF(controls!$B$10=1,hystere!N342+hystere!M342,hystere!Q342)</f>
        <v>-675.48749999999995</v>
      </c>
      <c r="Q342" s="61">
        <f ca="1">IF('main page'!$Y$53=1,'choose m.p.'!$I$22*100,R342)</f>
        <v>-675.48749999999995</v>
      </c>
      <c r="R342" s="83">
        <f ca="1">'main page'!$K$29*M342+(1-'main page'!$K$29)*controls!$B$9+S342+(('main page'!$K$25*'main page'!$U$13*'main page'!$K$29)/('main page'!$K$27*(1+('main page'!$K$25^2)*'main page'!$U$13)))*(M342-(controls!$B$9/100)*100)</f>
        <v>-675.48749999999995</v>
      </c>
      <c r="S342" s="81">
        <f ca="1">IF(controls!$B$33=1,(J343-E342*X343-B342)/'main page'!$K$27,(I343-E342*X343-B342)/'main page'!$K$27)</f>
        <v>53.45</v>
      </c>
      <c r="U342" s="58">
        <f>IF(controls!$B$6=1,$AG$4*(1+('main page'!$K$35/100))^V342-$AG$4*(1+('main page'!$K$35/100))^V341,$AG$4*(1+('main page'!$G$8/100))*(1+('main page'!$K$35/100))^V342-$AG$4*(1+('main page'!$G$8/100))*(1+('main page'!$K$35/100))^V341)</f>
        <v>0</v>
      </c>
      <c r="V342" s="60">
        <v>334</v>
      </c>
      <c r="W342" s="36">
        <f ca="1">'normal case'!AC341</f>
        <v>0</v>
      </c>
      <c r="X342" s="36">
        <f ca="1">'normal case'!AD341</f>
        <v>0</v>
      </c>
      <c r="Y342" s="44">
        <f ca="1">IF(controls!$B$33=1,E342-($J$4-'main page'!$K$27*2)*(1+('main page'!$K$35/100))^A341,E342-$AG$5)</f>
        <v>-99.9</v>
      </c>
      <c r="Z342" s="44">
        <f ca="1">ABS(M342-(controls!$B$9/100)*100)</f>
        <v>584.75</v>
      </c>
      <c r="AI342" s="36"/>
      <c r="AJ342" s="36"/>
    </row>
    <row r="343" spans="1:36">
      <c r="A343" s="43">
        <v>340</v>
      </c>
      <c r="B343" s="62">
        <f ca="1">IF(controls!$B$6=2,AVERAGE(E339:E342)+B342*W343+hystere!$AG$9,AVERAGE(E339:E342)+B342*W343)</f>
        <v>1.1000000000000001</v>
      </c>
      <c r="C343" s="67">
        <f t="shared" ca="1" si="31"/>
        <v>0</v>
      </c>
      <c r="D343" s="88">
        <f t="shared" ca="1" si="32"/>
        <v>-1</v>
      </c>
      <c r="E343" s="64">
        <f t="shared" ca="1" si="33"/>
        <v>0.1</v>
      </c>
      <c r="F343" s="64">
        <f ca="1">IF('main page'!$K$34=1,hystere!H343,hystere!G343)</f>
        <v>-1057.5</v>
      </c>
      <c r="G343" s="78">
        <f ca="1">I343-'main page'!$K$27*hystere!N342</f>
        <v>-1057.5</v>
      </c>
      <c r="H343" s="62">
        <f ca="1">J343-'main page'!$K$27*N342</f>
        <v>-1057.5</v>
      </c>
      <c r="I343" s="62">
        <f t="shared" ca="1" si="28"/>
        <v>108</v>
      </c>
      <c r="J343" s="62">
        <f t="shared" ca="1" si="29"/>
        <v>108</v>
      </c>
      <c r="M343" s="62">
        <f ca="1">IF(ABS('main page'!$K$29*M342+(1-'main page'!$K$29)*(controls!$B$9/100)*100+'main page'!$K$25*(E343-B343)-M342)&lt;0.0000001,M342,'main page'!$K$29*M342+(1-'main page'!$K$29)*(controls!$B$9/100)*100+'main page'!$K$25*(E343-B343))</f>
        <v>-583.75</v>
      </c>
      <c r="N343" s="62">
        <f ca="1">IF(controls!$B$10=1,N342,O343-'main page'!$K$29*M343-(1-'main page'!$K$29)*controls!$B$9)</f>
        <v>583.75</v>
      </c>
      <c r="O343" s="61">
        <f t="shared" ca="1" si="30"/>
        <v>0</v>
      </c>
      <c r="P343" s="63">
        <f ca="1">IF(controls!$B$10=1,hystere!N343+hystere!M343,hystere!Q343)</f>
        <v>-676.73749999999995</v>
      </c>
      <c r="Q343" s="61">
        <f ca="1">IF('main page'!$Y$53=1,'choose m.p.'!$I$22*100,R343)</f>
        <v>-676.73749999999995</v>
      </c>
      <c r="R343" s="83">
        <f ca="1">'main page'!$K$29*M343+(1-'main page'!$K$29)*controls!$B$9+S343+(('main page'!$K$25*'main page'!$U$13*'main page'!$K$29)/('main page'!$K$27*(1+('main page'!$K$25^2)*'main page'!$U$13)))*(M343-(controls!$B$9/100)*100)</f>
        <v>-676.73749999999995</v>
      </c>
      <c r="S343" s="81">
        <f ca="1">IF(controls!$B$33=1,(J344-E343*X344-B343)/'main page'!$K$27,(I344-E343*X344-B343)/'main page'!$K$27)</f>
        <v>53.45</v>
      </c>
      <c r="U343" s="58">
        <f>IF(controls!$B$6=1,$AG$4*(1+('main page'!$K$35/100))^V343-$AG$4*(1+('main page'!$K$35/100))^V342,$AG$4*(1+('main page'!$G$8/100))*(1+('main page'!$K$35/100))^V343-$AG$4*(1+('main page'!$G$8/100))*(1+('main page'!$K$35/100))^V342)</f>
        <v>0</v>
      </c>
      <c r="V343" s="60">
        <v>335</v>
      </c>
      <c r="W343" s="36">
        <f>'normal case'!AC342</f>
        <v>0</v>
      </c>
      <c r="X343" s="36">
        <f>'normal case'!AD342</f>
        <v>0</v>
      </c>
      <c r="Y343" s="44">
        <f ca="1">IF(controls!$B$33=1,E343-($J$4-'main page'!$K$27*2)*(1+('main page'!$K$35/100))^A342,E343-$AG$5)</f>
        <v>-99.9</v>
      </c>
      <c r="Z343" s="44">
        <f ca="1">ABS(M343-(controls!$B$9/100)*100)</f>
        <v>585.75</v>
      </c>
      <c r="AI343" s="36"/>
      <c r="AJ343" s="36"/>
    </row>
    <row r="344" spans="1:36">
      <c r="A344" s="43">
        <v>341</v>
      </c>
      <c r="B344" s="62">
        <f ca="1">IF(controls!$B$6=2,AVERAGE(E340:E343)+B343*W344+hystere!$AG$9,AVERAGE(E340:E343)+B343*W344)</f>
        <v>1.1000000000000001</v>
      </c>
      <c r="C344" s="67">
        <f t="shared" ca="1" si="31"/>
        <v>0</v>
      </c>
      <c r="D344" s="88">
        <f t="shared" ca="1" si="32"/>
        <v>-1</v>
      </c>
      <c r="E344" s="64">
        <f t="shared" ca="1" si="33"/>
        <v>0.1</v>
      </c>
      <c r="F344" s="64">
        <f ca="1">IF('main page'!$K$34=1,hystere!H344,hystere!G344)</f>
        <v>-1059.5</v>
      </c>
      <c r="G344" s="78">
        <f ca="1">I344-'main page'!$K$27*hystere!N343</f>
        <v>-1059.5</v>
      </c>
      <c r="H344" s="62">
        <f ca="1">J344-'main page'!$K$27*N343</f>
        <v>-1059.5</v>
      </c>
      <c r="I344" s="62">
        <f t="shared" ca="1" si="28"/>
        <v>108</v>
      </c>
      <c r="J344" s="62">
        <f t="shared" ca="1" si="29"/>
        <v>108</v>
      </c>
      <c r="M344" s="62">
        <f ca="1">IF(ABS('main page'!$K$29*M343+(1-'main page'!$K$29)*(controls!$B$9/100)*100+'main page'!$K$25*(E344-B344)-M343)&lt;0.0000001,M343,'main page'!$K$29*M343+(1-'main page'!$K$29)*(controls!$B$9/100)*100+'main page'!$K$25*(E344-B344))</f>
        <v>-584.75</v>
      </c>
      <c r="N344" s="62">
        <f ca="1">IF(controls!$B$10=1,N343,O344-'main page'!$K$29*M344-(1-'main page'!$K$29)*controls!$B$9)</f>
        <v>584.75</v>
      </c>
      <c r="O344" s="61">
        <f t="shared" ca="1" si="30"/>
        <v>0</v>
      </c>
      <c r="P344" s="63">
        <f ca="1">IF(controls!$B$10=1,hystere!N344+hystere!M344,hystere!Q344)</f>
        <v>-677.98749999999995</v>
      </c>
      <c r="Q344" s="61">
        <f ca="1">IF('main page'!$Y$53=1,'choose m.p.'!$I$22*100,R344)</f>
        <v>-677.98749999999995</v>
      </c>
      <c r="R344" s="83">
        <f ca="1">'main page'!$K$29*M344+(1-'main page'!$K$29)*controls!$B$9+S344+(('main page'!$K$25*'main page'!$U$13*'main page'!$K$29)/('main page'!$K$27*(1+('main page'!$K$25^2)*'main page'!$U$13)))*(M344-(controls!$B$9/100)*100)</f>
        <v>-677.98749999999995</v>
      </c>
      <c r="S344" s="81">
        <f ca="1">IF(controls!$B$33=1,(J345-E344*X345-B344)/'main page'!$K$27,(I345-E344*X345-B344)/'main page'!$K$27)</f>
        <v>53.45</v>
      </c>
      <c r="U344" s="58">
        <f>IF(controls!$B$6=1,$AG$4*(1+('main page'!$K$35/100))^V344-$AG$4*(1+('main page'!$K$35/100))^V343,$AG$4*(1+('main page'!$G$8/100))*(1+('main page'!$K$35/100))^V344-$AG$4*(1+('main page'!$G$8/100))*(1+('main page'!$K$35/100))^V343)</f>
        <v>0</v>
      </c>
      <c r="V344" s="60">
        <v>336</v>
      </c>
      <c r="W344" s="36">
        <f>'normal case'!AC343</f>
        <v>0</v>
      </c>
      <c r="X344" s="36">
        <f>'normal case'!AD343</f>
        <v>0</v>
      </c>
      <c r="Y344" s="44">
        <f ca="1">IF(controls!$B$33=1,E344-($J$4-'main page'!$K$27*2)*(1+('main page'!$K$35/100))^A343,E344-$AG$5)</f>
        <v>-99.9</v>
      </c>
      <c r="Z344" s="44">
        <f ca="1">ABS(M344-(controls!$B$9/100)*100)</f>
        <v>586.75</v>
      </c>
      <c r="AI344" s="36"/>
      <c r="AJ344" s="36"/>
    </row>
    <row r="345" spans="1:36">
      <c r="A345" s="43">
        <v>342</v>
      </c>
      <c r="B345" s="62">
        <f ca="1">IF(controls!$B$6=2,AVERAGE(E341:E344)+B344*W345+hystere!$AG$9,AVERAGE(E341:E344)+B344*W345)</f>
        <v>1.1000000000000001</v>
      </c>
      <c r="C345" s="67">
        <f t="shared" ca="1" si="31"/>
        <v>0</v>
      </c>
      <c r="D345" s="88">
        <f t="shared" ca="1" si="32"/>
        <v>-1</v>
      </c>
      <c r="E345" s="64">
        <f t="shared" ca="1" si="33"/>
        <v>0.1</v>
      </c>
      <c r="F345" s="64">
        <f ca="1">IF('main page'!$K$34=1,hystere!H345,hystere!G345)</f>
        <v>-1061.5</v>
      </c>
      <c r="G345" s="78">
        <f ca="1">I345-'main page'!$K$27*hystere!N344</f>
        <v>-1061.5</v>
      </c>
      <c r="H345" s="62">
        <f ca="1">J345-'main page'!$K$27*N344</f>
        <v>-1061.5</v>
      </c>
      <c r="I345" s="62">
        <f t="shared" ref="I345:I408" ca="1" si="34">I344+E344*X345</f>
        <v>108</v>
      </c>
      <c r="J345" s="62">
        <f t="shared" ref="J345:J408" ca="1" si="35">J344+E344*X345+U345</f>
        <v>108</v>
      </c>
      <c r="M345" s="62">
        <f ca="1">IF(ABS('main page'!$K$29*M344+(1-'main page'!$K$29)*(controls!$B$9/100)*100+'main page'!$K$25*(E345-B345)-M344)&lt;0.0000001,M344,'main page'!$K$29*M344+(1-'main page'!$K$29)*(controls!$B$9/100)*100+'main page'!$K$25*(E345-B345))</f>
        <v>-585.75</v>
      </c>
      <c r="N345" s="62">
        <f ca="1">IF(controls!$B$10=1,N344,O345-'main page'!$K$29*M345-(1-'main page'!$K$29)*controls!$B$9)</f>
        <v>585.75</v>
      </c>
      <c r="O345" s="61">
        <f t="shared" ca="1" si="30"/>
        <v>0</v>
      </c>
      <c r="P345" s="63">
        <f ca="1">IF(controls!$B$10=1,hystere!N345+hystere!M345,hystere!Q345)</f>
        <v>-679.23749999999995</v>
      </c>
      <c r="Q345" s="61">
        <f ca="1">IF('main page'!$Y$53=1,'choose m.p.'!$I$22*100,R345)</f>
        <v>-679.23749999999995</v>
      </c>
      <c r="R345" s="83">
        <f ca="1">'main page'!$K$29*M345+(1-'main page'!$K$29)*controls!$B$9+S345+(('main page'!$K$25*'main page'!$U$13*'main page'!$K$29)/('main page'!$K$27*(1+('main page'!$K$25^2)*'main page'!$U$13)))*(M345-(controls!$B$9/100)*100)</f>
        <v>-679.23749999999995</v>
      </c>
      <c r="S345" s="81">
        <f ca="1">IF(controls!$B$33=1,(J346-E345*X346-B345)/'main page'!$K$27,(I346-E345*X346-B345)/'main page'!$K$27)</f>
        <v>53.45</v>
      </c>
      <c r="U345" s="58">
        <f>IF(controls!$B$6=1,$AG$4*(1+('main page'!$K$35/100))^V345-$AG$4*(1+('main page'!$K$35/100))^V344,$AG$4*(1+('main page'!$G$8/100))*(1+('main page'!$K$35/100))^V345-$AG$4*(1+('main page'!$G$8/100))*(1+('main page'!$K$35/100))^V344)</f>
        <v>0</v>
      </c>
      <c r="V345" s="60">
        <v>337</v>
      </c>
      <c r="W345" s="36">
        <f ca="1">'normal case'!AC344</f>
        <v>0</v>
      </c>
      <c r="X345" s="36">
        <f ca="1">'normal case'!AD344</f>
        <v>0</v>
      </c>
      <c r="Y345" s="44">
        <f ca="1">IF(controls!$B$33=1,E345-($J$4-'main page'!$K$27*2)*(1+('main page'!$K$35/100))^A344,E345-$AG$5)</f>
        <v>-99.9</v>
      </c>
      <c r="Z345" s="44">
        <f ca="1">ABS(M345-(controls!$B$9/100)*100)</f>
        <v>587.75</v>
      </c>
      <c r="AI345" s="36"/>
      <c r="AJ345" s="36"/>
    </row>
    <row r="346" spans="1:36">
      <c r="A346" s="43">
        <v>343</v>
      </c>
      <c r="B346" s="62">
        <f ca="1">IF(controls!$B$6=2,AVERAGE(E342:E345)+B345*W346+hystere!$AG$9,AVERAGE(E342:E345)+B345*W346)</f>
        <v>1.1000000000000001</v>
      </c>
      <c r="C346" s="67">
        <f t="shared" ca="1" si="31"/>
        <v>0</v>
      </c>
      <c r="D346" s="88">
        <f t="shared" ca="1" si="32"/>
        <v>-1</v>
      </c>
      <c r="E346" s="64">
        <f t="shared" ca="1" si="33"/>
        <v>0.1</v>
      </c>
      <c r="F346" s="64">
        <f ca="1">IF('main page'!$K$34=1,hystere!H346,hystere!G346)</f>
        <v>-1063.5</v>
      </c>
      <c r="G346" s="78">
        <f ca="1">I346-'main page'!$K$27*hystere!N345</f>
        <v>-1063.5</v>
      </c>
      <c r="H346" s="62">
        <f ca="1">J346-'main page'!$K$27*N345</f>
        <v>-1063.5</v>
      </c>
      <c r="I346" s="62">
        <f t="shared" ca="1" si="34"/>
        <v>108</v>
      </c>
      <c r="J346" s="62">
        <f t="shared" ca="1" si="35"/>
        <v>108</v>
      </c>
      <c r="M346" s="62">
        <f ca="1">IF(ABS('main page'!$K$29*M345+(1-'main page'!$K$29)*(controls!$B$9/100)*100+'main page'!$K$25*(E346-B346)-M345)&lt;0.0000001,M345,'main page'!$K$29*M345+(1-'main page'!$K$29)*(controls!$B$9/100)*100+'main page'!$K$25*(E346-B346))</f>
        <v>-586.75</v>
      </c>
      <c r="N346" s="62">
        <f ca="1">IF(controls!$B$10=1,N345,O346-'main page'!$K$29*M346-(1-'main page'!$K$29)*controls!$B$9)</f>
        <v>586.75</v>
      </c>
      <c r="O346" s="61">
        <f t="shared" ca="1" si="30"/>
        <v>0</v>
      </c>
      <c r="P346" s="63">
        <f ca="1">IF(controls!$B$10=1,hystere!N346+hystere!M346,hystere!Q346)</f>
        <v>-680.48749999999995</v>
      </c>
      <c r="Q346" s="61">
        <f ca="1">IF('main page'!$Y$53=1,'choose m.p.'!$I$22*100,R346)</f>
        <v>-680.48749999999995</v>
      </c>
      <c r="R346" s="83">
        <f ca="1">'main page'!$K$29*M346+(1-'main page'!$K$29)*controls!$B$9+S346+(('main page'!$K$25*'main page'!$U$13*'main page'!$K$29)/('main page'!$K$27*(1+('main page'!$K$25^2)*'main page'!$U$13)))*(M346-(controls!$B$9/100)*100)</f>
        <v>-680.48749999999995</v>
      </c>
      <c r="S346" s="81">
        <f ca="1">IF(controls!$B$33=1,(J347-E346*X347-B346)/'main page'!$K$27,(I347-E346*X347-B346)/'main page'!$K$27)</f>
        <v>53.45</v>
      </c>
      <c r="U346" s="58">
        <f>IF(controls!$B$6=1,$AG$4*(1+('main page'!$K$35/100))^V346-$AG$4*(1+('main page'!$K$35/100))^V345,$AG$4*(1+('main page'!$G$8/100))*(1+('main page'!$K$35/100))^V346-$AG$4*(1+('main page'!$G$8/100))*(1+('main page'!$K$35/100))^V345)</f>
        <v>0</v>
      </c>
      <c r="V346" s="60">
        <v>338</v>
      </c>
      <c r="W346" s="36">
        <f>'normal case'!AC345</f>
        <v>0</v>
      </c>
      <c r="X346" s="36">
        <f>'normal case'!AD345</f>
        <v>0</v>
      </c>
      <c r="Y346" s="44">
        <f ca="1">IF(controls!$B$33=1,E346-($J$4-'main page'!$K$27*2)*(1+('main page'!$K$35/100))^A345,E346-$AG$5)</f>
        <v>-99.9</v>
      </c>
      <c r="Z346" s="44">
        <f ca="1">ABS(M346-(controls!$B$9/100)*100)</f>
        <v>588.75</v>
      </c>
      <c r="AI346" s="36"/>
      <c r="AJ346" s="36"/>
    </row>
    <row r="347" spans="1:36">
      <c r="A347" s="43">
        <v>344</v>
      </c>
      <c r="B347" s="62">
        <f ca="1">IF(controls!$B$6=2,AVERAGE(E343:E346)+B346*W347+hystere!$AG$9,AVERAGE(E343:E346)+B346*W347)</f>
        <v>1.1000000000000001</v>
      </c>
      <c r="C347" s="67">
        <f t="shared" ca="1" si="31"/>
        <v>0</v>
      </c>
      <c r="D347" s="88">
        <f t="shared" ca="1" si="32"/>
        <v>-1</v>
      </c>
      <c r="E347" s="64">
        <f t="shared" ca="1" si="33"/>
        <v>0.1</v>
      </c>
      <c r="F347" s="64">
        <f ca="1">IF('main page'!$K$34=1,hystere!H347,hystere!G347)</f>
        <v>-1065.5</v>
      </c>
      <c r="G347" s="78">
        <f ca="1">I347-'main page'!$K$27*hystere!N346</f>
        <v>-1065.5</v>
      </c>
      <c r="H347" s="62">
        <f ca="1">J347-'main page'!$K$27*N346</f>
        <v>-1065.5</v>
      </c>
      <c r="I347" s="62">
        <f t="shared" ca="1" si="34"/>
        <v>108</v>
      </c>
      <c r="J347" s="62">
        <f t="shared" ca="1" si="35"/>
        <v>108</v>
      </c>
      <c r="M347" s="62">
        <f ca="1">IF(ABS('main page'!$K$29*M346+(1-'main page'!$K$29)*(controls!$B$9/100)*100+'main page'!$K$25*(E347-B347)-M346)&lt;0.0000001,M346,'main page'!$K$29*M346+(1-'main page'!$K$29)*(controls!$B$9/100)*100+'main page'!$K$25*(E347-B347))</f>
        <v>-587.75</v>
      </c>
      <c r="N347" s="62">
        <f ca="1">IF(controls!$B$10=1,N346,O347-'main page'!$K$29*M347-(1-'main page'!$K$29)*controls!$B$9)</f>
        <v>587.75</v>
      </c>
      <c r="O347" s="61">
        <f t="shared" ca="1" si="30"/>
        <v>0</v>
      </c>
      <c r="P347" s="63">
        <f ca="1">IF(controls!$B$10=1,hystere!N347+hystere!M347,hystere!Q347)</f>
        <v>-681.73749999999995</v>
      </c>
      <c r="Q347" s="61">
        <f ca="1">IF('main page'!$Y$53=1,'choose m.p.'!$I$22*100,R347)</f>
        <v>-681.73749999999995</v>
      </c>
      <c r="R347" s="83">
        <f ca="1">'main page'!$K$29*M347+(1-'main page'!$K$29)*controls!$B$9+S347+(('main page'!$K$25*'main page'!$U$13*'main page'!$K$29)/('main page'!$K$27*(1+('main page'!$K$25^2)*'main page'!$U$13)))*(M347-(controls!$B$9/100)*100)</f>
        <v>-681.73749999999995</v>
      </c>
      <c r="S347" s="81">
        <f ca="1">IF(controls!$B$33=1,(J348-E347*X348-B347)/'main page'!$K$27,(I348-E347*X348-B347)/'main page'!$K$27)</f>
        <v>53.45</v>
      </c>
      <c r="U347" s="58">
        <f>IF(controls!$B$6=1,$AG$4*(1+('main page'!$K$35/100))^V347-$AG$4*(1+('main page'!$K$35/100))^V346,$AG$4*(1+('main page'!$G$8/100))*(1+('main page'!$K$35/100))^V347-$AG$4*(1+('main page'!$G$8/100))*(1+('main page'!$K$35/100))^V346)</f>
        <v>0</v>
      </c>
      <c r="V347" s="60">
        <v>339</v>
      </c>
      <c r="W347" s="36">
        <f>'normal case'!AC346</f>
        <v>0</v>
      </c>
      <c r="X347" s="36">
        <f>'normal case'!AD346</f>
        <v>0</v>
      </c>
      <c r="Y347" s="44">
        <f ca="1">IF(controls!$B$33=1,E347-($J$4-'main page'!$K$27*2)*(1+('main page'!$K$35/100))^A346,E347-$AG$5)</f>
        <v>-99.9</v>
      </c>
      <c r="Z347" s="44">
        <f ca="1">ABS(M347-(controls!$B$9/100)*100)</f>
        <v>589.75</v>
      </c>
      <c r="AI347" s="36"/>
      <c r="AJ347" s="36"/>
    </row>
    <row r="348" spans="1:36">
      <c r="A348" s="43">
        <v>345</v>
      </c>
      <c r="B348" s="62">
        <f ca="1">IF(controls!$B$6=2,AVERAGE(E344:E347)+B347*W348+hystere!$AG$9,AVERAGE(E344:E347)+B347*W348)</f>
        <v>1.1000000000000001</v>
      </c>
      <c r="C348" s="67">
        <f t="shared" ca="1" si="31"/>
        <v>0</v>
      </c>
      <c r="D348" s="88">
        <f t="shared" ca="1" si="32"/>
        <v>-1</v>
      </c>
      <c r="E348" s="64">
        <f t="shared" ca="1" si="33"/>
        <v>0.1</v>
      </c>
      <c r="F348" s="64">
        <f ca="1">IF('main page'!$K$34=1,hystere!H348,hystere!G348)</f>
        <v>-1067.5</v>
      </c>
      <c r="G348" s="78">
        <f ca="1">I348-'main page'!$K$27*hystere!N347</f>
        <v>-1067.5</v>
      </c>
      <c r="H348" s="62">
        <f ca="1">J348-'main page'!$K$27*N347</f>
        <v>-1067.5</v>
      </c>
      <c r="I348" s="62">
        <f t="shared" ca="1" si="34"/>
        <v>108</v>
      </c>
      <c r="J348" s="62">
        <f t="shared" ca="1" si="35"/>
        <v>108</v>
      </c>
      <c r="M348" s="62">
        <f ca="1">IF(ABS('main page'!$K$29*M347+(1-'main page'!$K$29)*(controls!$B$9/100)*100+'main page'!$K$25*(E348-B348)-M347)&lt;0.0000001,M347,'main page'!$K$29*M347+(1-'main page'!$K$29)*(controls!$B$9/100)*100+'main page'!$K$25*(E348-B348))</f>
        <v>-588.75</v>
      </c>
      <c r="N348" s="62">
        <f ca="1">IF(controls!$B$10=1,N347,O348-'main page'!$K$29*M348-(1-'main page'!$K$29)*controls!$B$9)</f>
        <v>588.75</v>
      </c>
      <c r="O348" s="61">
        <f t="shared" ca="1" si="30"/>
        <v>0</v>
      </c>
      <c r="P348" s="63">
        <f ca="1">IF(controls!$B$10=1,hystere!N348+hystere!M348,hystere!Q348)</f>
        <v>-682.98749999999995</v>
      </c>
      <c r="Q348" s="61">
        <f ca="1">IF('main page'!$Y$53=1,'choose m.p.'!$I$22*100,R348)</f>
        <v>-682.98749999999995</v>
      </c>
      <c r="R348" s="83">
        <f ca="1">'main page'!$K$29*M348+(1-'main page'!$K$29)*controls!$B$9+S348+(('main page'!$K$25*'main page'!$U$13*'main page'!$K$29)/('main page'!$K$27*(1+('main page'!$K$25^2)*'main page'!$U$13)))*(M348-(controls!$B$9/100)*100)</f>
        <v>-682.98749999999995</v>
      </c>
      <c r="S348" s="81">
        <f ca="1">IF(controls!$B$33=1,(J349-E348*X349-B348)/'main page'!$K$27,(I349-E348*X349-B348)/'main page'!$K$27)</f>
        <v>53.45</v>
      </c>
      <c r="U348" s="58">
        <f>IF(controls!$B$6=1,$AG$4*(1+('main page'!$K$35/100))^V348-$AG$4*(1+('main page'!$K$35/100))^V347,$AG$4*(1+('main page'!$G$8/100))*(1+('main page'!$K$35/100))^V348-$AG$4*(1+('main page'!$G$8/100))*(1+('main page'!$K$35/100))^V347)</f>
        <v>0</v>
      </c>
      <c r="V348" s="60">
        <v>340</v>
      </c>
      <c r="W348" s="36">
        <f ca="1">'normal case'!AC347</f>
        <v>0</v>
      </c>
      <c r="X348" s="36">
        <f ca="1">'normal case'!AD347</f>
        <v>0</v>
      </c>
      <c r="Y348" s="44">
        <f ca="1">IF(controls!$B$33=1,E348-($J$4-'main page'!$K$27*2)*(1+('main page'!$K$35/100))^A347,E348-$AG$5)</f>
        <v>-99.9</v>
      </c>
      <c r="Z348" s="44">
        <f ca="1">ABS(M348-(controls!$B$9/100)*100)</f>
        <v>590.75</v>
      </c>
      <c r="AI348" s="36"/>
      <c r="AJ348" s="36"/>
    </row>
    <row r="349" spans="1:36">
      <c r="A349" s="43">
        <v>346</v>
      </c>
      <c r="B349" s="62">
        <f ca="1">IF(controls!$B$6=2,AVERAGE(E345:E348)+B348*W349+hystere!$AG$9,AVERAGE(E345:E348)+B348*W349)</f>
        <v>1.1000000000000001</v>
      </c>
      <c r="C349" s="67">
        <f t="shared" ca="1" si="31"/>
        <v>0</v>
      </c>
      <c r="D349" s="88">
        <f t="shared" ca="1" si="32"/>
        <v>-1</v>
      </c>
      <c r="E349" s="64">
        <f t="shared" ca="1" si="33"/>
        <v>0.1</v>
      </c>
      <c r="F349" s="64">
        <f ca="1">IF('main page'!$K$34=1,hystere!H349,hystere!G349)</f>
        <v>-1069.5</v>
      </c>
      <c r="G349" s="78">
        <f ca="1">I349-'main page'!$K$27*hystere!N348</f>
        <v>-1069.5</v>
      </c>
      <c r="H349" s="62">
        <f ca="1">J349-'main page'!$K$27*N348</f>
        <v>-1069.5</v>
      </c>
      <c r="I349" s="62">
        <f t="shared" ca="1" si="34"/>
        <v>108</v>
      </c>
      <c r="J349" s="62">
        <f t="shared" ca="1" si="35"/>
        <v>108</v>
      </c>
      <c r="M349" s="62">
        <f ca="1">IF(ABS('main page'!$K$29*M348+(1-'main page'!$K$29)*(controls!$B$9/100)*100+'main page'!$K$25*(E349-B349)-M348)&lt;0.0000001,M348,'main page'!$K$29*M348+(1-'main page'!$K$29)*(controls!$B$9/100)*100+'main page'!$K$25*(E349-B349))</f>
        <v>-589.75</v>
      </c>
      <c r="N349" s="62">
        <f ca="1">IF(controls!$B$10=1,N348,O349-'main page'!$K$29*M349-(1-'main page'!$K$29)*controls!$B$9)</f>
        <v>589.75</v>
      </c>
      <c r="O349" s="61">
        <f t="shared" ca="1" si="30"/>
        <v>0</v>
      </c>
      <c r="P349" s="63">
        <f ca="1">IF(controls!$B$10=1,hystere!N349+hystere!M349,hystere!Q349)</f>
        <v>-684.23749999999995</v>
      </c>
      <c r="Q349" s="61">
        <f ca="1">IF('main page'!$Y$53=1,'choose m.p.'!$I$22*100,R349)</f>
        <v>-684.23749999999995</v>
      </c>
      <c r="R349" s="83">
        <f ca="1">'main page'!$K$29*M349+(1-'main page'!$K$29)*controls!$B$9+S349+(('main page'!$K$25*'main page'!$U$13*'main page'!$K$29)/('main page'!$K$27*(1+('main page'!$K$25^2)*'main page'!$U$13)))*(M349-(controls!$B$9/100)*100)</f>
        <v>-684.23749999999995</v>
      </c>
      <c r="S349" s="81">
        <f ca="1">IF(controls!$B$33=1,(J350-E349*X350-B349)/'main page'!$K$27,(I350-E349*X350-B349)/'main page'!$K$27)</f>
        <v>53.45</v>
      </c>
      <c r="U349" s="58">
        <f>IF(controls!$B$6=1,$AG$4*(1+('main page'!$K$35/100))^V349-$AG$4*(1+('main page'!$K$35/100))^V348,$AG$4*(1+('main page'!$G$8/100))*(1+('main page'!$K$35/100))^V349-$AG$4*(1+('main page'!$G$8/100))*(1+('main page'!$K$35/100))^V348)</f>
        <v>0</v>
      </c>
      <c r="V349" s="60">
        <v>341</v>
      </c>
      <c r="W349" s="36">
        <f>'normal case'!AC348</f>
        <v>0</v>
      </c>
      <c r="X349" s="36">
        <f>'normal case'!AD348</f>
        <v>0</v>
      </c>
      <c r="Y349" s="44">
        <f ca="1">IF(controls!$B$33=1,E349-($J$4-'main page'!$K$27*2)*(1+('main page'!$K$35/100))^A348,E349-$AG$5)</f>
        <v>-99.9</v>
      </c>
      <c r="Z349" s="44">
        <f ca="1">ABS(M349-(controls!$B$9/100)*100)</f>
        <v>591.75</v>
      </c>
      <c r="AI349" s="36"/>
      <c r="AJ349" s="36"/>
    </row>
    <row r="350" spans="1:36">
      <c r="A350" s="43">
        <v>347</v>
      </c>
      <c r="B350" s="62">
        <f ca="1">IF(controls!$B$6=2,AVERAGE(E346:E349)+B349*W350+hystere!$AG$9,AVERAGE(E346:E349)+B349*W350)</f>
        <v>1.1000000000000001</v>
      </c>
      <c r="C350" s="67">
        <f t="shared" ca="1" si="31"/>
        <v>0</v>
      </c>
      <c r="D350" s="88">
        <f t="shared" ca="1" si="32"/>
        <v>-1</v>
      </c>
      <c r="E350" s="64">
        <f t="shared" ca="1" si="33"/>
        <v>0.1</v>
      </c>
      <c r="F350" s="64">
        <f ca="1">IF('main page'!$K$34=1,hystere!H350,hystere!G350)</f>
        <v>-1071.5</v>
      </c>
      <c r="G350" s="78">
        <f ca="1">I350-'main page'!$K$27*hystere!N349</f>
        <v>-1071.5</v>
      </c>
      <c r="H350" s="62">
        <f ca="1">J350-'main page'!$K$27*N349</f>
        <v>-1071.5</v>
      </c>
      <c r="I350" s="62">
        <f t="shared" ca="1" si="34"/>
        <v>108</v>
      </c>
      <c r="J350" s="62">
        <f t="shared" ca="1" si="35"/>
        <v>108</v>
      </c>
      <c r="M350" s="62">
        <f ca="1">IF(ABS('main page'!$K$29*M349+(1-'main page'!$K$29)*(controls!$B$9/100)*100+'main page'!$K$25*(E350-B350)-M349)&lt;0.0000001,M349,'main page'!$K$29*M349+(1-'main page'!$K$29)*(controls!$B$9/100)*100+'main page'!$K$25*(E350-B350))</f>
        <v>-590.75</v>
      </c>
      <c r="N350" s="62">
        <f ca="1">IF(controls!$B$10=1,N349,O350-'main page'!$K$29*M350-(1-'main page'!$K$29)*controls!$B$9)</f>
        <v>590.75</v>
      </c>
      <c r="O350" s="61">
        <f t="shared" ca="1" si="30"/>
        <v>0</v>
      </c>
      <c r="P350" s="63">
        <f ca="1">IF(controls!$B$10=1,hystere!N350+hystere!M350,hystere!Q350)</f>
        <v>-685.48749999999995</v>
      </c>
      <c r="Q350" s="61">
        <f ca="1">IF('main page'!$Y$53=1,'choose m.p.'!$I$22*100,R350)</f>
        <v>-685.48749999999995</v>
      </c>
      <c r="R350" s="83">
        <f ca="1">'main page'!$K$29*M350+(1-'main page'!$K$29)*controls!$B$9+S350+(('main page'!$K$25*'main page'!$U$13*'main page'!$K$29)/('main page'!$K$27*(1+('main page'!$K$25^2)*'main page'!$U$13)))*(M350-(controls!$B$9/100)*100)</f>
        <v>-685.48749999999995</v>
      </c>
      <c r="S350" s="81">
        <f ca="1">IF(controls!$B$33=1,(J351-E350*X351-B350)/'main page'!$K$27,(I351-E350*X351-B350)/'main page'!$K$27)</f>
        <v>53.45</v>
      </c>
      <c r="U350" s="58">
        <f>IF(controls!$B$6=1,$AG$4*(1+('main page'!$K$35/100))^V350-$AG$4*(1+('main page'!$K$35/100))^V349,$AG$4*(1+('main page'!$G$8/100))*(1+('main page'!$K$35/100))^V350-$AG$4*(1+('main page'!$G$8/100))*(1+('main page'!$K$35/100))^V349)</f>
        <v>0</v>
      </c>
      <c r="V350" s="60">
        <v>342</v>
      </c>
      <c r="W350" s="36">
        <f>'normal case'!AC349</f>
        <v>0</v>
      </c>
      <c r="X350" s="36">
        <f>'normal case'!AD349</f>
        <v>0</v>
      </c>
      <c r="Y350" s="44">
        <f ca="1">IF(controls!$B$33=1,E350-($J$4-'main page'!$K$27*2)*(1+('main page'!$K$35/100))^A349,E350-$AG$5)</f>
        <v>-99.9</v>
      </c>
      <c r="Z350" s="44">
        <f ca="1">ABS(M350-(controls!$B$9/100)*100)</f>
        <v>592.75</v>
      </c>
      <c r="AI350" s="36"/>
      <c r="AJ350" s="36"/>
    </row>
    <row r="351" spans="1:36">
      <c r="A351" s="43">
        <v>348</v>
      </c>
      <c r="B351" s="62">
        <f ca="1">IF(controls!$B$6=2,AVERAGE(E347:E350)+B350*W351+hystere!$AG$9,AVERAGE(E347:E350)+B350*W351)</f>
        <v>1.1000000000000001</v>
      </c>
      <c r="C351" s="67">
        <f t="shared" ca="1" si="31"/>
        <v>0</v>
      </c>
      <c r="D351" s="88">
        <f t="shared" ca="1" si="32"/>
        <v>-1</v>
      </c>
      <c r="E351" s="64">
        <f t="shared" ca="1" si="33"/>
        <v>0.1</v>
      </c>
      <c r="F351" s="64">
        <f ca="1">IF('main page'!$K$34=1,hystere!H351,hystere!G351)</f>
        <v>-1073.5</v>
      </c>
      <c r="G351" s="78">
        <f ca="1">I351-'main page'!$K$27*hystere!N350</f>
        <v>-1073.5</v>
      </c>
      <c r="H351" s="62">
        <f ca="1">J351-'main page'!$K$27*N350</f>
        <v>-1073.5</v>
      </c>
      <c r="I351" s="62">
        <f t="shared" ca="1" si="34"/>
        <v>108</v>
      </c>
      <c r="J351" s="62">
        <f t="shared" ca="1" si="35"/>
        <v>108</v>
      </c>
      <c r="M351" s="62">
        <f ca="1">IF(ABS('main page'!$K$29*M350+(1-'main page'!$K$29)*(controls!$B$9/100)*100+'main page'!$K$25*(E351-B351)-M350)&lt;0.0000001,M350,'main page'!$K$29*M350+(1-'main page'!$K$29)*(controls!$B$9/100)*100+'main page'!$K$25*(E351-B351))</f>
        <v>-591.75</v>
      </c>
      <c r="N351" s="62">
        <f ca="1">IF(controls!$B$10=1,N350,O351-'main page'!$K$29*M351-(1-'main page'!$K$29)*controls!$B$9)</f>
        <v>591.75</v>
      </c>
      <c r="O351" s="61">
        <f t="shared" ca="1" si="30"/>
        <v>0</v>
      </c>
      <c r="P351" s="63">
        <f ca="1">IF(controls!$B$10=1,hystere!N351+hystere!M351,hystere!Q351)</f>
        <v>-686.73749999999995</v>
      </c>
      <c r="Q351" s="61">
        <f ca="1">IF('main page'!$Y$53=1,'choose m.p.'!$I$22*100,R351)</f>
        <v>-686.73749999999995</v>
      </c>
      <c r="R351" s="83">
        <f ca="1">'main page'!$K$29*M351+(1-'main page'!$K$29)*controls!$B$9+S351+(('main page'!$K$25*'main page'!$U$13*'main page'!$K$29)/('main page'!$K$27*(1+('main page'!$K$25^2)*'main page'!$U$13)))*(M351-(controls!$B$9/100)*100)</f>
        <v>-686.73749999999995</v>
      </c>
      <c r="S351" s="81">
        <f ca="1">IF(controls!$B$33=1,(J352-E351*X352-B351)/'main page'!$K$27,(I352-E351*X352-B351)/'main page'!$K$27)</f>
        <v>53.45</v>
      </c>
      <c r="U351" s="58">
        <f>IF(controls!$B$6=1,$AG$4*(1+('main page'!$K$35/100))^V351-$AG$4*(1+('main page'!$K$35/100))^V350,$AG$4*(1+('main page'!$G$8/100))*(1+('main page'!$K$35/100))^V351-$AG$4*(1+('main page'!$G$8/100))*(1+('main page'!$K$35/100))^V350)</f>
        <v>0</v>
      </c>
      <c r="V351" s="60">
        <v>343</v>
      </c>
      <c r="W351" s="36">
        <f ca="1">'normal case'!AC350</f>
        <v>0</v>
      </c>
      <c r="X351" s="36">
        <f ca="1">'normal case'!AD350</f>
        <v>0</v>
      </c>
      <c r="Y351" s="44">
        <f ca="1">IF(controls!$B$33=1,E351-($J$4-'main page'!$K$27*2)*(1+('main page'!$K$35/100))^A350,E351-$AG$5)</f>
        <v>-99.9</v>
      </c>
      <c r="Z351" s="44">
        <f ca="1">ABS(M351-(controls!$B$9/100)*100)</f>
        <v>593.75</v>
      </c>
      <c r="AI351" s="36"/>
      <c r="AJ351" s="36"/>
    </row>
    <row r="352" spans="1:36">
      <c r="A352" s="43">
        <v>349</v>
      </c>
      <c r="B352" s="62">
        <f ca="1">IF(controls!$B$6=2,AVERAGE(E348:E351)+B351*W352+hystere!$AG$9,AVERAGE(E348:E351)+B351*W352)</f>
        <v>1.1000000000000001</v>
      </c>
      <c r="C352" s="67">
        <f t="shared" ca="1" si="31"/>
        <v>0</v>
      </c>
      <c r="D352" s="88">
        <f t="shared" ca="1" si="32"/>
        <v>-1</v>
      </c>
      <c r="E352" s="64">
        <f t="shared" ca="1" si="33"/>
        <v>0.1</v>
      </c>
      <c r="F352" s="64">
        <f ca="1">IF('main page'!$K$34=1,hystere!H352,hystere!G352)</f>
        <v>-1075.5</v>
      </c>
      <c r="G352" s="78">
        <f ca="1">I352-'main page'!$K$27*hystere!N351</f>
        <v>-1075.5</v>
      </c>
      <c r="H352" s="62">
        <f ca="1">J352-'main page'!$K$27*N351</f>
        <v>-1075.5</v>
      </c>
      <c r="I352" s="62">
        <f t="shared" ca="1" si="34"/>
        <v>108</v>
      </c>
      <c r="J352" s="62">
        <f t="shared" ca="1" si="35"/>
        <v>108</v>
      </c>
      <c r="M352" s="62">
        <f ca="1">IF(ABS('main page'!$K$29*M351+(1-'main page'!$K$29)*(controls!$B$9/100)*100+'main page'!$K$25*(E352-B352)-M351)&lt;0.0000001,M351,'main page'!$K$29*M351+(1-'main page'!$K$29)*(controls!$B$9/100)*100+'main page'!$K$25*(E352-B352))</f>
        <v>-592.75</v>
      </c>
      <c r="N352" s="62">
        <f ca="1">IF(controls!$B$10=1,N351,O352-'main page'!$K$29*M352-(1-'main page'!$K$29)*controls!$B$9)</f>
        <v>592.75</v>
      </c>
      <c r="O352" s="61">
        <f t="shared" ca="1" si="30"/>
        <v>0</v>
      </c>
      <c r="P352" s="63">
        <f ca="1">IF(controls!$B$10=1,hystere!N352+hystere!M352,hystere!Q352)</f>
        <v>-687.98749999999995</v>
      </c>
      <c r="Q352" s="61">
        <f ca="1">IF('main page'!$Y$53=1,'choose m.p.'!$I$22*100,R352)</f>
        <v>-687.98749999999995</v>
      </c>
      <c r="R352" s="83">
        <f ca="1">'main page'!$K$29*M352+(1-'main page'!$K$29)*controls!$B$9+S352+(('main page'!$K$25*'main page'!$U$13*'main page'!$K$29)/('main page'!$K$27*(1+('main page'!$K$25^2)*'main page'!$U$13)))*(M352-(controls!$B$9/100)*100)</f>
        <v>-687.98749999999995</v>
      </c>
      <c r="S352" s="81">
        <f ca="1">IF(controls!$B$33=1,(J353-E352*X353-B352)/'main page'!$K$27,(I353-E352*X353-B352)/'main page'!$K$27)</f>
        <v>53.45</v>
      </c>
      <c r="U352" s="58">
        <f>IF(controls!$B$6=1,$AG$4*(1+('main page'!$K$35/100))^V352-$AG$4*(1+('main page'!$K$35/100))^V351,$AG$4*(1+('main page'!$G$8/100))*(1+('main page'!$K$35/100))^V352-$AG$4*(1+('main page'!$G$8/100))*(1+('main page'!$K$35/100))^V351)</f>
        <v>0</v>
      </c>
      <c r="V352" s="60">
        <v>344</v>
      </c>
      <c r="W352" s="36">
        <f>'normal case'!AC351</f>
        <v>0</v>
      </c>
      <c r="X352" s="36">
        <f>'normal case'!AD351</f>
        <v>0</v>
      </c>
      <c r="Y352" s="44">
        <f ca="1">IF(controls!$B$33=1,E352-($J$4-'main page'!$K$27*2)*(1+('main page'!$K$35/100))^A351,E352-$AG$5)</f>
        <v>-99.9</v>
      </c>
      <c r="Z352" s="44">
        <f ca="1">ABS(M352-(controls!$B$9/100)*100)</f>
        <v>594.75</v>
      </c>
      <c r="AI352" s="36"/>
      <c r="AJ352" s="36"/>
    </row>
    <row r="353" spans="1:36">
      <c r="A353" s="43">
        <v>350</v>
      </c>
      <c r="B353" s="62">
        <f ca="1">IF(controls!$B$6=2,AVERAGE(E349:E352)+B352*W353+hystere!$AG$9,AVERAGE(E349:E352)+B352*W353)</f>
        <v>1.1000000000000001</v>
      </c>
      <c r="C353" s="67">
        <f t="shared" ca="1" si="31"/>
        <v>0</v>
      </c>
      <c r="D353" s="88">
        <f t="shared" ca="1" si="32"/>
        <v>-1</v>
      </c>
      <c r="E353" s="64">
        <f t="shared" ca="1" si="33"/>
        <v>0.1</v>
      </c>
      <c r="F353" s="64">
        <f ca="1">IF('main page'!$K$34=1,hystere!H353,hystere!G353)</f>
        <v>-1077.5</v>
      </c>
      <c r="G353" s="78">
        <f ca="1">I353-'main page'!$K$27*hystere!N352</f>
        <v>-1077.5</v>
      </c>
      <c r="H353" s="62">
        <f ca="1">J353-'main page'!$K$27*N352</f>
        <v>-1077.5</v>
      </c>
      <c r="I353" s="62">
        <f t="shared" ca="1" si="34"/>
        <v>108</v>
      </c>
      <c r="J353" s="62">
        <f t="shared" ca="1" si="35"/>
        <v>108</v>
      </c>
      <c r="M353" s="62">
        <f ca="1">IF(ABS('main page'!$K$29*M352+(1-'main page'!$K$29)*(controls!$B$9/100)*100+'main page'!$K$25*(E353-B353)-M352)&lt;0.0000001,M352,'main page'!$K$29*M352+(1-'main page'!$K$29)*(controls!$B$9/100)*100+'main page'!$K$25*(E353-B353))</f>
        <v>-593.75</v>
      </c>
      <c r="N353" s="62">
        <f ca="1">IF(controls!$B$10=1,N352,O353-'main page'!$K$29*M353-(1-'main page'!$K$29)*controls!$B$9)</f>
        <v>593.75</v>
      </c>
      <c r="O353" s="61">
        <f t="shared" ca="1" si="30"/>
        <v>0</v>
      </c>
      <c r="P353" s="63">
        <f ca="1">IF(controls!$B$10=1,hystere!N353+hystere!M353,hystere!Q353)</f>
        <v>-689.23749999999995</v>
      </c>
      <c r="Q353" s="61">
        <f ca="1">IF('main page'!$Y$53=1,'choose m.p.'!$I$22*100,R353)</f>
        <v>-689.23749999999995</v>
      </c>
      <c r="R353" s="83">
        <f ca="1">'main page'!$K$29*M353+(1-'main page'!$K$29)*controls!$B$9+S353+(('main page'!$K$25*'main page'!$U$13*'main page'!$K$29)/('main page'!$K$27*(1+('main page'!$K$25^2)*'main page'!$U$13)))*(M353-(controls!$B$9/100)*100)</f>
        <v>-689.23749999999995</v>
      </c>
      <c r="S353" s="81">
        <f ca="1">IF(controls!$B$33=1,(J354-E353*X354-B353)/'main page'!$K$27,(I354-E353*X354-B353)/'main page'!$K$27)</f>
        <v>53.45</v>
      </c>
      <c r="U353" s="58">
        <f>IF(controls!$B$6=1,$AG$4*(1+('main page'!$K$35/100))^V353-$AG$4*(1+('main page'!$K$35/100))^V352,$AG$4*(1+('main page'!$G$8/100))*(1+('main page'!$K$35/100))^V353-$AG$4*(1+('main page'!$G$8/100))*(1+('main page'!$K$35/100))^V352)</f>
        <v>0</v>
      </c>
      <c r="V353" s="60">
        <v>345</v>
      </c>
      <c r="W353" s="36">
        <f>'normal case'!AC352</f>
        <v>0</v>
      </c>
      <c r="X353" s="36">
        <f>'normal case'!AD352</f>
        <v>0</v>
      </c>
      <c r="Y353" s="44">
        <f ca="1">IF(controls!$B$33=1,E353-($J$4-'main page'!$K$27*2)*(1+('main page'!$K$35/100))^A352,E353-$AG$5)</f>
        <v>-99.9</v>
      </c>
      <c r="Z353" s="44">
        <f ca="1">ABS(M353-(controls!$B$9/100)*100)</f>
        <v>595.75</v>
      </c>
      <c r="AI353" s="36"/>
      <c r="AJ353" s="36"/>
    </row>
    <row r="354" spans="1:36">
      <c r="A354" s="43">
        <v>351</v>
      </c>
      <c r="B354" s="62">
        <f ca="1">IF(controls!$B$6=2,AVERAGE(E350:E353)+B353*W354+hystere!$AG$9,AVERAGE(E350:E353)+B353*W354)</f>
        <v>1.1000000000000001</v>
      </c>
      <c r="C354" s="67">
        <f t="shared" ca="1" si="31"/>
        <v>0</v>
      </c>
      <c r="D354" s="88">
        <f t="shared" ca="1" si="32"/>
        <v>-1</v>
      </c>
      <c r="E354" s="64">
        <f t="shared" ca="1" si="33"/>
        <v>0.1</v>
      </c>
      <c r="F354" s="64">
        <f ca="1">IF('main page'!$K$34=1,hystere!H354,hystere!G354)</f>
        <v>-1079.5</v>
      </c>
      <c r="G354" s="78">
        <f ca="1">I354-'main page'!$K$27*hystere!N353</f>
        <v>-1079.5</v>
      </c>
      <c r="H354" s="62">
        <f ca="1">J354-'main page'!$K$27*N353</f>
        <v>-1079.5</v>
      </c>
      <c r="I354" s="62">
        <f t="shared" ca="1" si="34"/>
        <v>108</v>
      </c>
      <c r="J354" s="62">
        <f t="shared" ca="1" si="35"/>
        <v>108</v>
      </c>
      <c r="M354" s="62">
        <f ca="1">IF(ABS('main page'!$K$29*M353+(1-'main page'!$K$29)*(controls!$B$9/100)*100+'main page'!$K$25*(E354-B354)-M353)&lt;0.0000001,M353,'main page'!$K$29*M353+(1-'main page'!$K$29)*(controls!$B$9/100)*100+'main page'!$K$25*(E354-B354))</f>
        <v>-594.75</v>
      </c>
      <c r="N354" s="62">
        <f ca="1">IF(controls!$B$10=1,N353,O354-'main page'!$K$29*M354-(1-'main page'!$K$29)*controls!$B$9)</f>
        <v>594.75</v>
      </c>
      <c r="O354" s="61">
        <f t="shared" ca="1" si="30"/>
        <v>0</v>
      </c>
      <c r="P354" s="63">
        <f ca="1">IF(controls!$B$10=1,hystere!N354+hystere!M354,hystere!Q354)</f>
        <v>-690.48749999999995</v>
      </c>
      <c r="Q354" s="61">
        <f ca="1">IF('main page'!$Y$53=1,'choose m.p.'!$I$22*100,R354)</f>
        <v>-690.48749999999995</v>
      </c>
      <c r="R354" s="83">
        <f ca="1">'main page'!$K$29*M354+(1-'main page'!$K$29)*controls!$B$9+S354+(('main page'!$K$25*'main page'!$U$13*'main page'!$K$29)/('main page'!$K$27*(1+('main page'!$K$25^2)*'main page'!$U$13)))*(M354-(controls!$B$9/100)*100)</f>
        <v>-690.48749999999995</v>
      </c>
      <c r="S354" s="81">
        <f ca="1">IF(controls!$B$33=1,(J355-E354*X355-B354)/'main page'!$K$27,(I355-E354*X355-B354)/'main page'!$K$27)</f>
        <v>53.45</v>
      </c>
      <c r="U354" s="58">
        <f>IF(controls!$B$6=1,$AG$4*(1+('main page'!$K$35/100))^V354-$AG$4*(1+('main page'!$K$35/100))^V353,$AG$4*(1+('main page'!$G$8/100))*(1+('main page'!$K$35/100))^V354-$AG$4*(1+('main page'!$G$8/100))*(1+('main page'!$K$35/100))^V353)</f>
        <v>0</v>
      </c>
      <c r="V354" s="60">
        <v>346</v>
      </c>
      <c r="W354" s="36">
        <f ca="1">'normal case'!AC353</f>
        <v>0</v>
      </c>
      <c r="X354" s="36">
        <f ca="1">'normal case'!AD353</f>
        <v>0</v>
      </c>
      <c r="Y354" s="44">
        <f ca="1">IF(controls!$B$33=1,E354-($J$4-'main page'!$K$27*2)*(1+('main page'!$K$35/100))^A353,E354-$AG$5)</f>
        <v>-99.9</v>
      </c>
      <c r="Z354" s="44">
        <f ca="1">ABS(M354-(controls!$B$9/100)*100)</f>
        <v>596.75</v>
      </c>
      <c r="AI354" s="36"/>
      <c r="AJ354" s="36"/>
    </row>
    <row r="355" spans="1:36">
      <c r="A355" s="43">
        <v>352</v>
      </c>
      <c r="B355" s="62">
        <f ca="1">IF(controls!$B$6=2,AVERAGE(E351:E354)+B354*W355+hystere!$AG$9,AVERAGE(E351:E354)+B354*W355)</f>
        <v>1.1000000000000001</v>
      </c>
      <c r="C355" s="67">
        <f t="shared" ca="1" si="31"/>
        <v>0</v>
      </c>
      <c r="D355" s="88">
        <f t="shared" ca="1" si="32"/>
        <v>-1</v>
      </c>
      <c r="E355" s="64">
        <f t="shared" ca="1" si="33"/>
        <v>0.1</v>
      </c>
      <c r="F355" s="64">
        <f ca="1">IF('main page'!$K$34=1,hystere!H355,hystere!G355)</f>
        <v>-1081.5</v>
      </c>
      <c r="G355" s="78">
        <f ca="1">I355-'main page'!$K$27*hystere!N354</f>
        <v>-1081.5</v>
      </c>
      <c r="H355" s="62">
        <f ca="1">J355-'main page'!$K$27*N354</f>
        <v>-1081.5</v>
      </c>
      <c r="I355" s="62">
        <f t="shared" ca="1" si="34"/>
        <v>108</v>
      </c>
      <c r="J355" s="62">
        <f t="shared" ca="1" si="35"/>
        <v>108</v>
      </c>
      <c r="M355" s="62">
        <f ca="1">IF(ABS('main page'!$K$29*M354+(1-'main page'!$K$29)*(controls!$B$9/100)*100+'main page'!$K$25*(E355-B355)-M354)&lt;0.0000001,M354,'main page'!$K$29*M354+(1-'main page'!$K$29)*(controls!$B$9/100)*100+'main page'!$K$25*(E355-B355))</f>
        <v>-595.75</v>
      </c>
      <c r="N355" s="62">
        <f ca="1">IF(controls!$B$10=1,N354,O355-'main page'!$K$29*M355-(1-'main page'!$K$29)*controls!$B$9)</f>
        <v>595.75</v>
      </c>
      <c r="O355" s="61">
        <f t="shared" ca="1" si="30"/>
        <v>0</v>
      </c>
      <c r="P355" s="63">
        <f ca="1">IF(controls!$B$10=1,hystere!N355+hystere!M355,hystere!Q355)</f>
        <v>-691.73749999999995</v>
      </c>
      <c r="Q355" s="61">
        <f ca="1">IF('main page'!$Y$53=1,'choose m.p.'!$I$22*100,R355)</f>
        <v>-691.73749999999995</v>
      </c>
      <c r="R355" s="83">
        <f ca="1">'main page'!$K$29*M355+(1-'main page'!$K$29)*controls!$B$9+S355+(('main page'!$K$25*'main page'!$U$13*'main page'!$K$29)/('main page'!$K$27*(1+('main page'!$K$25^2)*'main page'!$U$13)))*(M355-(controls!$B$9/100)*100)</f>
        <v>-691.73749999999995</v>
      </c>
      <c r="S355" s="81">
        <f ca="1">IF(controls!$B$33=1,(J356-E355*X356-B355)/'main page'!$K$27,(I356-E355*X356-B355)/'main page'!$K$27)</f>
        <v>53.45</v>
      </c>
      <c r="U355" s="58">
        <f>IF(controls!$B$6=1,$AG$4*(1+('main page'!$K$35/100))^V355-$AG$4*(1+('main page'!$K$35/100))^V354,$AG$4*(1+('main page'!$G$8/100))*(1+('main page'!$K$35/100))^V355-$AG$4*(1+('main page'!$G$8/100))*(1+('main page'!$K$35/100))^V354)</f>
        <v>0</v>
      </c>
      <c r="V355" s="60">
        <v>347</v>
      </c>
      <c r="W355" s="36">
        <f>'normal case'!AC354</f>
        <v>0</v>
      </c>
      <c r="X355" s="36">
        <f>'normal case'!AD354</f>
        <v>0</v>
      </c>
      <c r="Y355" s="44">
        <f ca="1">IF(controls!$B$33=1,E355-($J$4-'main page'!$K$27*2)*(1+('main page'!$K$35/100))^A354,E355-$AG$5)</f>
        <v>-99.9</v>
      </c>
      <c r="Z355" s="44">
        <f ca="1">ABS(M355-(controls!$B$9/100)*100)</f>
        <v>597.75</v>
      </c>
      <c r="AI355" s="36"/>
      <c r="AJ355" s="36"/>
    </row>
    <row r="356" spans="1:36">
      <c r="A356" s="43">
        <v>353</v>
      </c>
      <c r="B356" s="62">
        <f ca="1">IF(controls!$B$6=2,AVERAGE(E352:E355)+B355*W356+hystere!$AG$9,AVERAGE(E352:E355)+B355*W356)</f>
        <v>1.1000000000000001</v>
      </c>
      <c r="C356" s="67">
        <f t="shared" ca="1" si="31"/>
        <v>0</v>
      </c>
      <c r="D356" s="88">
        <f t="shared" ca="1" si="32"/>
        <v>-1</v>
      </c>
      <c r="E356" s="64">
        <f t="shared" ca="1" si="33"/>
        <v>0.1</v>
      </c>
      <c r="F356" s="64">
        <f ca="1">IF('main page'!$K$34=1,hystere!H356,hystere!G356)</f>
        <v>-1083.5</v>
      </c>
      <c r="G356" s="78">
        <f ca="1">I356-'main page'!$K$27*hystere!N355</f>
        <v>-1083.5</v>
      </c>
      <c r="H356" s="62">
        <f ca="1">J356-'main page'!$K$27*N355</f>
        <v>-1083.5</v>
      </c>
      <c r="I356" s="62">
        <f t="shared" ca="1" si="34"/>
        <v>108</v>
      </c>
      <c r="J356" s="62">
        <f t="shared" ca="1" si="35"/>
        <v>108</v>
      </c>
      <c r="M356" s="62">
        <f ca="1">IF(ABS('main page'!$K$29*M355+(1-'main page'!$K$29)*(controls!$B$9/100)*100+'main page'!$K$25*(E356-B356)-M355)&lt;0.0000001,M355,'main page'!$K$29*M355+(1-'main page'!$K$29)*(controls!$B$9/100)*100+'main page'!$K$25*(E356-B356))</f>
        <v>-596.75</v>
      </c>
      <c r="N356" s="62">
        <f ca="1">IF(controls!$B$10=1,N355,O356-'main page'!$K$29*M356-(1-'main page'!$K$29)*controls!$B$9)</f>
        <v>596.75</v>
      </c>
      <c r="O356" s="61">
        <f t="shared" ca="1" si="30"/>
        <v>0</v>
      </c>
      <c r="P356" s="63">
        <f ca="1">IF(controls!$B$10=1,hystere!N356+hystere!M356,hystere!Q356)</f>
        <v>-692.98749999999995</v>
      </c>
      <c r="Q356" s="61">
        <f ca="1">IF('main page'!$Y$53=1,'choose m.p.'!$I$22*100,R356)</f>
        <v>-692.98749999999995</v>
      </c>
      <c r="R356" s="83">
        <f ca="1">'main page'!$K$29*M356+(1-'main page'!$K$29)*controls!$B$9+S356+(('main page'!$K$25*'main page'!$U$13*'main page'!$K$29)/('main page'!$K$27*(1+('main page'!$K$25^2)*'main page'!$U$13)))*(M356-(controls!$B$9/100)*100)</f>
        <v>-692.98749999999995</v>
      </c>
      <c r="S356" s="81">
        <f ca="1">IF(controls!$B$33=1,(J357-E356*X357-B356)/'main page'!$K$27,(I357-E356*X357-B356)/'main page'!$K$27)</f>
        <v>53.45</v>
      </c>
      <c r="U356" s="58">
        <f>IF(controls!$B$6=1,$AG$4*(1+('main page'!$K$35/100))^V356-$AG$4*(1+('main page'!$K$35/100))^V355,$AG$4*(1+('main page'!$G$8/100))*(1+('main page'!$K$35/100))^V356-$AG$4*(1+('main page'!$G$8/100))*(1+('main page'!$K$35/100))^V355)</f>
        <v>0</v>
      </c>
      <c r="V356" s="60">
        <v>348</v>
      </c>
      <c r="W356" s="36">
        <f>'normal case'!AC355</f>
        <v>0</v>
      </c>
      <c r="X356" s="36">
        <f>'normal case'!AD355</f>
        <v>0</v>
      </c>
      <c r="Y356" s="44">
        <f ca="1">IF(controls!$B$33=1,E356-($J$4-'main page'!$K$27*2)*(1+('main page'!$K$35/100))^A355,E356-$AG$5)</f>
        <v>-99.9</v>
      </c>
      <c r="Z356" s="44">
        <f ca="1">ABS(M356-(controls!$B$9/100)*100)</f>
        <v>598.75</v>
      </c>
      <c r="AI356" s="36"/>
      <c r="AJ356" s="36"/>
    </row>
    <row r="357" spans="1:36">
      <c r="A357" s="43">
        <v>354</v>
      </c>
      <c r="B357" s="62">
        <f ca="1">IF(controls!$B$6=2,AVERAGE(E353:E356)+B356*W357+hystere!$AG$9,AVERAGE(E353:E356)+B356*W357)</f>
        <v>1.1000000000000001</v>
      </c>
      <c r="C357" s="67">
        <f t="shared" ca="1" si="31"/>
        <v>0</v>
      </c>
      <c r="D357" s="88">
        <f t="shared" ca="1" si="32"/>
        <v>-1</v>
      </c>
      <c r="E357" s="64">
        <f t="shared" ca="1" si="33"/>
        <v>0.1</v>
      </c>
      <c r="F357" s="64">
        <f ca="1">IF('main page'!$K$34=1,hystere!H357,hystere!G357)</f>
        <v>-1085.5</v>
      </c>
      <c r="G357" s="78">
        <f ca="1">I357-'main page'!$K$27*hystere!N356</f>
        <v>-1085.5</v>
      </c>
      <c r="H357" s="62">
        <f ca="1">J357-'main page'!$K$27*N356</f>
        <v>-1085.5</v>
      </c>
      <c r="I357" s="62">
        <f t="shared" ca="1" si="34"/>
        <v>108</v>
      </c>
      <c r="J357" s="62">
        <f t="shared" ca="1" si="35"/>
        <v>108</v>
      </c>
      <c r="M357" s="62">
        <f ca="1">IF(ABS('main page'!$K$29*M356+(1-'main page'!$K$29)*(controls!$B$9/100)*100+'main page'!$K$25*(E357-B357)-M356)&lt;0.0000001,M356,'main page'!$K$29*M356+(1-'main page'!$K$29)*(controls!$B$9/100)*100+'main page'!$K$25*(E357-B357))</f>
        <v>-597.75</v>
      </c>
      <c r="N357" s="62">
        <f ca="1">IF(controls!$B$10=1,N356,O357-'main page'!$K$29*M357-(1-'main page'!$K$29)*controls!$B$9)</f>
        <v>597.75</v>
      </c>
      <c r="O357" s="61">
        <f t="shared" ca="1" si="30"/>
        <v>0</v>
      </c>
      <c r="P357" s="63">
        <f ca="1">IF(controls!$B$10=1,hystere!N357+hystere!M357,hystere!Q357)</f>
        <v>-694.23749999999995</v>
      </c>
      <c r="Q357" s="61">
        <f ca="1">IF('main page'!$Y$53=1,'choose m.p.'!$I$22*100,R357)</f>
        <v>-694.23749999999995</v>
      </c>
      <c r="R357" s="83">
        <f ca="1">'main page'!$K$29*M357+(1-'main page'!$K$29)*controls!$B$9+S357+(('main page'!$K$25*'main page'!$U$13*'main page'!$K$29)/('main page'!$K$27*(1+('main page'!$K$25^2)*'main page'!$U$13)))*(M357-(controls!$B$9/100)*100)</f>
        <v>-694.23749999999995</v>
      </c>
      <c r="S357" s="81">
        <f ca="1">IF(controls!$B$33=1,(J358-E357*X358-B357)/'main page'!$K$27,(I358-E357*X358-B357)/'main page'!$K$27)</f>
        <v>53.45</v>
      </c>
      <c r="U357" s="58">
        <f>IF(controls!$B$6=1,$AG$4*(1+('main page'!$K$35/100))^V357-$AG$4*(1+('main page'!$K$35/100))^V356,$AG$4*(1+('main page'!$G$8/100))*(1+('main page'!$K$35/100))^V357-$AG$4*(1+('main page'!$G$8/100))*(1+('main page'!$K$35/100))^V356)</f>
        <v>0</v>
      </c>
      <c r="V357" s="60">
        <v>349</v>
      </c>
      <c r="W357" s="36">
        <f ca="1">'normal case'!AC356</f>
        <v>0</v>
      </c>
      <c r="X357" s="36">
        <f ca="1">'normal case'!AD356</f>
        <v>0</v>
      </c>
      <c r="Y357" s="44">
        <f ca="1">IF(controls!$B$33=1,E357-($J$4-'main page'!$K$27*2)*(1+('main page'!$K$35/100))^A356,E357-$AG$5)</f>
        <v>-99.9</v>
      </c>
      <c r="Z357" s="44">
        <f ca="1">ABS(M357-(controls!$B$9/100)*100)</f>
        <v>599.75</v>
      </c>
      <c r="AI357" s="36"/>
      <c r="AJ357" s="36"/>
    </row>
    <row r="358" spans="1:36">
      <c r="A358" s="43">
        <v>355</v>
      </c>
      <c r="B358" s="62">
        <f ca="1">IF(controls!$B$6=2,AVERAGE(E354:E357)+B357*W358+hystere!$AG$9,AVERAGE(E354:E357)+B357*W358)</f>
        <v>1.1000000000000001</v>
      </c>
      <c r="C358" s="67">
        <f t="shared" ca="1" si="31"/>
        <v>0</v>
      </c>
      <c r="D358" s="88">
        <f t="shared" ca="1" si="32"/>
        <v>-1</v>
      </c>
      <c r="E358" s="64">
        <f t="shared" ca="1" si="33"/>
        <v>0.1</v>
      </c>
      <c r="F358" s="64">
        <f ca="1">IF('main page'!$K$34=1,hystere!H358,hystere!G358)</f>
        <v>-1087.5</v>
      </c>
      <c r="G358" s="78">
        <f ca="1">I358-'main page'!$K$27*hystere!N357</f>
        <v>-1087.5</v>
      </c>
      <c r="H358" s="62">
        <f ca="1">J358-'main page'!$K$27*N357</f>
        <v>-1087.5</v>
      </c>
      <c r="I358" s="62">
        <f t="shared" ca="1" si="34"/>
        <v>108</v>
      </c>
      <c r="J358" s="62">
        <f t="shared" ca="1" si="35"/>
        <v>108</v>
      </c>
      <c r="M358" s="62">
        <f ca="1">IF(ABS('main page'!$K$29*M357+(1-'main page'!$K$29)*(controls!$B$9/100)*100+'main page'!$K$25*(E358-B358)-M357)&lt;0.0000001,M357,'main page'!$K$29*M357+(1-'main page'!$K$29)*(controls!$B$9/100)*100+'main page'!$K$25*(E358-B358))</f>
        <v>-598.75</v>
      </c>
      <c r="N358" s="62">
        <f ca="1">IF(controls!$B$10=1,N357,O358-'main page'!$K$29*M358-(1-'main page'!$K$29)*controls!$B$9)</f>
        <v>598.75</v>
      </c>
      <c r="O358" s="61">
        <f t="shared" ca="1" si="30"/>
        <v>0</v>
      </c>
      <c r="P358" s="63">
        <f ca="1">IF(controls!$B$10=1,hystere!N358+hystere!M358,hystere!Q358)</f>
        <v>-695.48749999999995</v>
      </c>
      <c r="Q358" s="61">
        <f ca="1">IF('main page'!$Y$53=1,'choose m.p.'!$I$22*100,R358)</f>
        <v>-695.48749999999995</v>
      </c>
      <c r="R358" s="83">
        <f ca="1">'main page'!$K$29*M358+(1-'main page'!$K$29)*controls!$B$9+S358+(('main page'!$K$25*'main page'!$U$13*'main page'!$K$29)/('main page'!$K$27*(1+('main page'!$K$25^2)*'main page'!$U$13)))*(M358-(controls!$B$9/100)*100)</f>
        <v>-695.48749999999995</v>
      </c>
      <c r="S358" s="81">
        <f ca="1">IF(controls!$B$33=1,(J359-E358*X359-B358)/'main page'!$K$27,(I359-E358*X359-B358)/'main page'!$K$27)</f>
        <v>53.45</v>
      </c>
      <c r="U358" s="58">
        <f>IF(controls!$B$6=1,$AG$4*(1+('main page'!$K$35/100))^V358-$AG$4*(1+('main page'!$K$35/100))^V357,$AG$4*(1+('main page'!$G$8/100))*(1+('main page'!$K$35/100))^V358-$AG$4*(1+('main page'!$G$8/100))*(1+('main page'!$K$35/100))^V357)</f>
        <v>0</v>
      </c>
      <c r="V358" s="60">
        <v>350</v>
      </c>
      <c r="W358" s="36">
        <f>'normal case'!AC357</f>
        <v>0</v>
      </c>
      <c r="X358" s="36">
        <f>'normal case'!AD357</f>
        <v>0</v>
      </c>
      <c r="Y358" s="44">
        <f ca="1">IF(controls!$B$33=1,E358-($J$4-'main page'!$K$27*2)*(1+('main page'!$K$35/100))^A357,E358-$AG$5)</f>
        <v>-99.9</v>
      </c>
      <c r="Z358" s="44">
        <f ca="1">ABS(M358-(controls!$B$9/100)*100)</f>
        <v>600.75</v>
      </c>
      <c r="AI358" s="36"/>
      <c r="AJ358" s="36"/>
    </row>
    <row r="359" spans="1:36">
      <c r="A359" s="43">
        <v>356</v>
      </c>
      <c r="B359" s="62">
        <f ca="1">IF(controls!$B$6=2,AVERAGE(E355:E358)+B358*W359+hystere!$AG$9,AVERAGE(E355:E358)+B358*W359)</f>
        <v>1.1000000000000001</v>
      </c>
      <c r="C359" s="67">
        <f t="shared" ca="1" si="31"/>
        <v>0</v>
      </c>
      <c r="D359" s="88">
        <f t="shared" ca="1" si="32"/>
        <v>-1</v>
      </c>
      <c r="E359" s="64">
        <f t="shared" ca="1" si="33"/>
        <v>0.1</v>
      </c>
      <c r="F359" s="64">
        <f ca="1">IF('main page'!$K$34=1,hystere!H359,hystere!G359)</f>
        <v>-1089.5</v>
      </c>
      <c r="G359" s="78">
        <f ca="1">I359-'main page'!$K$27*hystere!N358</f>
        <v>-1089.5</v>
      </c>
      <c r="H359" s="62">
        <f ca="1">J359-'main page'!$K$27*N358</f>
        <v>-1089.5</v>
      </c>
      <c r="I359" s="62">
        <f t="shared" ca="1" si="34"/>
        <v>108</v>
      </c>
      <c r="J359" s="62">
        <f t="shared" ca="1" si="35"/>
        <v>108</v>
      </c>
      <c r="M359" s="62">
        <f ca="1">IF(ABS('main page'!$K$29*M358+(1-'main page'!$K$29)*(controls!$B$9/100)*100+'main page'!$K$25*(E359-B359)-M358)&lt;0.0000001,M358,'main page'!$K$29*M358+(1-'main page'!$K$29)*(controls!$B$9/100)*100+'main page'!$K$25*(E359-B359))</f>
        <v>-599.75</v>
      </c>
      <c r="N359" s="62">
        <f ca="1">IF(controls!$B$10=1,N358,O359-'main page'!$K$29*M359-(1-'main page'!$K$29)*controls!$B$9)</f>
        <v>599.75</v>
      </c>
      <c r="O359" s="61">
        <f t="shared" ca="1" si="30"/>
        <v>0</v>
      </c>
      <c r="P359" s="63">
        <f ca="1">IF(controls!$B$10=1,hystere!N359+hystere!M359,hystere!Q359)</f>
        <v>-696.73749999999995</v>
      </c>
      <c r="Q359" s="61">
        <f ca="1">IF('main page'!$Y$53=1,'choose m.p.'!$I$22*100,R359)</f>
        <v>-696.73749999999995</v>
      </c>
      <c r="R359" s="83">
        <f ca="1">'main page'!$K$29*M359+(1-'main page'!$K$29)*controls!$B$9+S359+(('main page'!$K$25*'main page'!$U$13*'main page'!$K$29)/('main page'!$K$27*(1+('main page'!$K$25^2)*'main page'!$U$13)))*(M359-(controls!$B$9/100)*100)</f>
        <v>-696.73749999999995</v>
      </c>
      <c r="S359" s="81">
        <f ca="1">IF(controls!$B$33=1,(J360-E359*X360-B359)/'main page'!$K$27,(I360-E359*X360-B359)/'main page'!$K$27)</f>
        <v>53.45</v>
      </c>
      <c r="U359" s="58">
        <f>IF(controls!$B$6=1,$AG$4*(1+('main page'!$K$35/100))^V359-$AG$4*(1+('main page'!$K$35/100))^V358,$AG$4*(1+('main page'!$G$8/100))*(1+('main page'!$K$35/100))^V359-$AG$4*(1+('main page'!$G$8/100))*(1+('main page'!$K$35/100))^V358)</f>
        <v>0</v>
      </c>
      <c r="V359" s="60">
        <v>351</v>
      </c>
      <c r="W359" s="36">
        <f>'normal case'!AC358</f>
        <v>0</v>
      </c>
      <c r="X359" s="36">
        <f>'normal case'!AD358</f>
        <v>0</v>
      </c>
      <c r="Y359" s="44">
        <f ca="1">IF(controls!$B$33=1,E359-($J$4-'main page'!$K$27*2)*(1+('main page'!$K$35/100))^A358,E359-$AG$5)</f>
        <v>-99.9</v>
      </c>
      <c r="Z359" s="44">
        <f ca="1">ABS(M359-(controls!$B$9/100)*100)</f>
        <v>601.75</v>
      </c>
      <c r="AI359" s="36"/>
      <c r="AJ359" s="36"/>
    </row>
    <row r="360" spans="1:36">
      <c r="A360" s="43">
        <v>357</v>
      </c>
      <c r="B360" s="62">
        <f ca="1">IF(controls!$B$6=2,AVERAGE(E356:E359)+B359*W360+hystere!$AG$9,AVERAGE(E356:E359)+B359*W360)</f>
        <v>1.1000000000000001</v>
      </c>
      <c r="C360" s="67">
        <f t="shared" ca="1" si="31"/>
        <v>0</v>
      </c>
      <c r="D360" s="88">
        <f t="shared" ca="1" si="32"/>
        <v>-1</v>
      </c>
      <c r="E360" s="64">
        <f t="shared" ca="1" si="33"/>
        <v>0.1</v>
      </c>
      <c r="F360" s="64">
        <f ca="1">IF('main page'!$K$34=1,hystere!H360,hystere!G360)</f>
        <v>-1091.5</v>
      </c>
      <c r="G360" s="78">
        <f ca="1">I360-'main page'!$K$27*hystere!N359</f>
        <v>-1091.5</v>
      </c>
      <c r="H360" s="62">
        <f ca="1">J360-'main page'!$K$27*N359</f>
        <v>-1091.5</v>
      </c>
      <c r="I360" s="62">
        <f t="shared" ca="1" si="34"/>
        <v>108</v>
      </c>
      <c r="J360" s="62">
        <f t="shared" ca="1" si="35"/>
        <v>108</v>
      </c>
      <c r="M360" s="62">
        <f ca="1">IF(ABS('main page'!$K$29*M359+(1-'main page'!$K$29)*(controls!$B$9/100)*100+'main page'!$K$25*(E360-B360)-M359)&lt;0.0000001,M359,'main page'!$K$29*M359+(1-'main page'!$K$29)*(controls!$B$9/100)*100+'main page'!$K$25*(E360-B360))</f>
        <v>-600.75</v>
      </c>
      <c r="N360" s="62">
        <f ca="1">IF(controls!$B$10=1,N359,O360-'main page'!$K$29*M360-(1-'main page'!$K$29)*controls!$B$9)</f>
        <v>600.75</v>
      </c>
      <c r="O360" s="61">
        <f t="shared" ca="1" si="30"/>
        <v>0</v>
      </c>
      <c r="P360" s="63">
        <f ca="1">IF(controls!$B$10=1,hystere!N360+hystere!M360,hystere!Q360)</f>
        <v>-697.98749999999995</v>
      </c>
      <c r="Q360" s="61">
        <f ca="1">IF('main page'!$Y$53=1,'choose m.p.'!$I$22*100,R360)</f>
        <v>-697.98749999999995</v>
      </c>
      <c r="R360" s="83">
        <f ca="1">'main page'!$K$29*M360+(1-'main page'!$K$29)*controls!$B$9+S360+(('main page'!$K$25*'main page'!$U$13*'main page'!$K$29)/('main page'!$K$27*(1+('main page'!$K$25^2)*'main page'!$U$13)))*(M360-(controls!$B$9/100)*100)</f>
        <v>-697.98749999999995</v>
      </c>
      <c r="S360" s="81">
        <f ca="1">IF(controls!$B$33=1,(J361-E360*X361-B360)/'main page'!$K$27,(I361-E360*X361-B360)/'main page'!$K$27)</f>
        <v>53.45</v>
      </c>
      <c r="U360" s="58">
        <f>IF(controls!$B$6=1,$AG$4*(1+('main page'!$K$35/100))^V360-$AG$4*(1+('main page'!$K$35/100))^V359,$AG$4*(1+('main page'!$G$8/100))*(1+('main page'!$K$35/100))^V360-$AG$4*(1+('main page'!$G$8/100))*(1+('main page'!$K$35/100))^V359)</f>
        <v>0</v>
      </c>
      <c r="V360" s="60">
        <v>352</v>
      </c>
      <c r="W360" s="36">
        <f ca="1">'normal case'!AC359</f>
        <v>0</v>
      </c>
      <c r="X360" s="36">
        <f ca="1">'normal case'!AD359</f>
        <v>0</v>
      </c>
      <c r="Y360" s="44">
        <f ca="1">IF(controls!$B$33=1,E360-($J$4-'main page'!$K$27*2)*(1+('main page'!$K$35/100))^A359,E360-$AG$5)</f>
        <v>-99.9</v>
      </c>
      <c r="Z360" s="44">
        <f ca="1">ABS(M360-(controls!$B$9/100)*100)</f>
        <v>602.75</v>
      </c>
      <c r="AI360" s="36"/>
      <c r="AJ360" s="36"/>
    </row>
    <row r="361" spans="1:36">
      <c r="A361" s="43">
        <v>358</v>
      </c>
      <c r="B361" s="62">
        <f ca="1">IF(controls!$B$6=2,AVERAGE(E357:E360)+B360*W361+hystere!$AG$9,AVERAGE(E357:E360)+B360*W361)</f>
        <v>1.1000000000000001</v>
      </c>
      <c r="C361" s="67">
        <f t="shared" ca="1" si="31"/>
        <v>0</v>
      </c>
      <c r="D361" s="88">
        <f t="shared" ca="1" si="32"/>
        <v>-1</v>
      </c>
      <c r="E361" s="64">
        <f t="shared" ca="1" si="33"/>
        <v>0.1</v>
      </c>
      <c r="F361" s="64">
        <f ca="1">IF('main page'!$K$34=1,hystere!H361,hystere!G361)</f>
        <v>-1093.5</v>
      </c>
      <c r="G361" s="78">
        <f ca="1">I361-'main page'!$K$27*hystere!N360</f>
        <v>-1093.5</v>
      </c>
      <c r="H361" s="62">
        <f ca="1">J361-'main page'!$K$27*N360</f>
        <v>-1093.5</v>
      </c>
      <c r="I361" s="62">
        <f t="shared" ca="1" si="34"/>
        <v>108</v>
      </c>
      <c r="J361" s="62">
        <f t="shared" ca="1" si="35"/>
        <v>108</v>
      </c>
      <c r="M361" s="62">
        <f ca="1">IF(ABS('main page'!$K$29*M360+(1-'main page'!$K$29)*(controls!$B$9/100)*100+'main page'!$K$25*(E361-B361)-M360)&lt;0.0000001,M360,'main page'!$K$29*M360+(1-'main page'!$K$29)*(controls!$B$9/100)*100+'main page'!$K$25*(E361-B361))</f>
        <v>-601.75</v>
      </c>
      <c r="N361" s="62">
        <f ca="1">IF(controls!$B$10=1,N360,O361-'main page'!$K$29*M361-(1-'main page'!$K$29)*controls!$B$9)</f>
        <v>601.75</v>
      </c>
      <c r="O361" s="61">
        <f t="shared" ca="1" si="30"/>
        <v>0</v>
      </c>
      <c r="P361" s="63">
        <f ca="1">IF(controls!$B$10=1,hystere!N361+hystere!M361,hystere!Q361)</f>
        <v>-699.23749999999995</v>
      </c>
      <c r="Q361" s="61">
        <f ca="1">IF('main page'!$Y$53=1,'choose m.p.'!$I$22*100,R361)</f>
        <v>-699.23749999999995</v>
      </c>
      <c r="R361" s="83">
        <f ca="1">'main page'!$K$29*M361+(1-'main page'!$K$29)*controls!$B$9+S361+(('main page'!$K$25*'main page'!$U$13*'main page'!$K$29)/('main page'!$K$27*(1+('main page'!$K$25^2)*'main page'!$U$13)))*(M361-(controls!$B$9/100)*100)</f>
        <v>-699.23749999999995</v>
      </c>
      <c r="S361" s="81">
        <f ca="1">IF(controls!$B$33=1,(J362-E361*X362-B361)/'main page'!$K$27,(I362-E361*X362-B361)/'main page'!$K$27)</f>
        <v>53.45</v>
      </c>
      <c r="U361" s="58">
        <f>IF(controls!$B$6=1,$AG$4*(1+('main page'!$K$35/100))^V361-$AG$4*(1+('main page'!$K$35/100))^V360,$AG$4*(1+('main page'!$G$8/100))*(1+('main page'!$K$35/100))^V361-$AG$4*(1+('main page'!$G$8/100))*(1+('main page'!$K$35/100))^V360)</f>
        <v>0</v>
      </c>
      <c r="V361" s="60">
        <v>353</v>
      </c>
      <c r="W361" s="36">
        <f>'normal case'!AC360</f>
        <v>0</v>
      </c>
      <c r="X361" s="36">
        <f>'normal case'!AD360</f>
        <v>0</v>
      </c>
      <c r="Y361" s="44">
        <f ca="1">IF(controls!$B$33=1,E361-($J$4-'main page'!$K$27*2)*(1+('main page'!$K$35/100))^A360,E361-$AG$5)</f>
        <v>-99.9</v>
      </c>
      <c r="Z361" s="44">
        <f ca="1">ABS(M361-(controls!$B$9/100)*100)</f>
        <v>603.75</v>
      </c>
      <c r="AI361" s="36"/>
      <c r="AJ361" s="36"/>
    </row>
    <row r="362" spans="1:36">
      <c r="A362" s="43">
        <v>359</v>
      </c>
      <c r="B362" s="62">
        <f ca="1">IF(controls!$B$6=2,AVERAGE(E358:E361)+B361*W362+hystere!$AG$9,AVERAGE(E358:E361)+B361*W362)</f>
        <v>1.1000000000000001</v>
      </c>
      <c r="C362" s="67">
        <f t="shared" ca="1" si="31"/>
        <v>0</v>
      </c>
      <c r="D362" s="88">
        <f t="shared" ca="1" si="32"/>
        <v>-1</v>
      </c>
      <c r="E362" s="64">
        <f t="shared" ca="1" si="33"/>
        <v>0.1</v>
      </c>
      <c r="F362" s="64">
        <f ca="1">IF('main page'!$K$34=1,hystere!H362,hystere!G362)</f>
        <v>-1095.5</v>
      </c>
      <c r="G362" s="78">
        <f ca="1">I362-'main page'!$K$27*hystere!N361</f>
        <v>-1095.5</v>
      </c>
      <c r="H362" s="62">
        <f ca="1">J362-'main page'!$K$27*N361</f>
        <v>-1095.5</v>
      </c>
      <c r="I362" s="62">
        <f t="shared" ca="1" si="34"/>
        <v>108</v>
      </c>
      <c r="J362" s="62">
        <f t="shared" ca="1" si="35"/>
        <v>108</v>
      </c>
      <c r="M362" s="62">
        <f ca="1">IF(ABS('main page'!$K$29*M361+(1-'main page'!$K$29)*(controls!$B$9/100)*100+'main page'!$K$25*(E362-B362)-M361)&lt;0.0000001,M361,'main page'!$K$29*M361+(1-'main page'!$K$29)*(controls!$B$9/100)*100+'main page'!$K$25*(E362-B362))</f>
        <v>-602.75</v>
      </c>
      <c r="N362" s="62">
        <f ca="1">IF(controls!$B$10=1,N361,O362-'main page'!$K$29*M362-(1-'main page'!$K$29)*controls!$B$9)</f>
        <v>602.75</v>
      </c>
      <c r="O362" s="61">
        <f t="shared" ca="1" si="30"/>
        <v>0</v>
      </c>
      <c r="P362" s="63">
        <f ca="1">IF(controls!$B$10=1,hystere!N362+hystere!M362,hystere!Q362)</f>
        <v>-700.48749999999995</v>
      </c>
      <c r="Q362" s="61">
        <f ca="1">IF('main page'!$Y$53=1,'choose m.p.'!$I$22*100,R362)</f>
        <v>-700.48749999999995</v>
      </c>
      <c r="R362" s="83">
        <f ca="1">'main page'!$K$29*M362+(1-'main page'!$K$29)*controls!$B$9+S362+(('main page'!$K$25*'main page'!$U$13*'main page'!$K$29)/('main page'!$K$27*(1+('main page'!$K$25^2)*'main page'!$U$13)))*(M362-(controls!$B$9/100)*100)</f>
        <v>-700.48749999999995</v>
      </c>
      <c r="S362" s="81">
        <f ca="1">IF(controls!$B$33=1,(J363-E362*X363-B362)/'main page'!$K$27,(I363-E362*X363-B362)/'main page'!$K$27)</f>
        <v>53.45</v>
      </c>
      <c r="U362" s="58">
        <f>IF(controls!$B$6=1,$AG$4*(1+('main page'!$K$35/100))^V362-$AG$4*(1+('main page'!$K$35/100))^V361,$AG$4*(1+('main page'!$G$8/100))*(1+('main page'!$K$35/100))^V362-$AG$4*(1+('main page'!$G$8/100))*(1+('main page'!$K$35/100))^V361)</f>
        <v>0</v>
      </c>
      <c r="V362" s="60">
        <v>354</v>
      </c>
      <c r="W362" s="36">
        <f>'normal case'!AC361</f>
        <v>0</v>
      </c>
      <c r="X362" s="36">
        <f>'normal case'!AD361</f>
        <v>0</v>
      </c>
      <c r="Y362" s="44">
        <f ca="1">IF(controls!$B$33=1,E362-($J$4-'main page'!$K$27*2)*(1+('main page'!$K$35/100))^A361,E362-$AG$5)</f>
        <v>-99.9</v>
      </c>
      <c r="Z362" s="44">
        <f ca="1">ABS(M362-(controls!$B$9/100)*100)</f>
        <v>604.75</v>
      </c>
      <c r="AI362" s="36"/>
      <c r="AJ362" s="36"/>
    </row>
    <row r="363" spans="1:36">
      <c r="A363" s="43">
        <v>360</v>
      </c>
      <c r="B363" s="62">
        <f ca="1">IF(controls!$B$6=2,AVERAGE(E359:E362)+B362*W363+hystere!$AG$9,AVERAGE(E359:E362)+B362*W363)</f>
        <v>1.1000000000000001</v>
      </c>
      <c r="C363" s="67">
        <f t="shared" ca="1" si="31"/>
        <v>0</v>
      </c>
      <c r="D363" s="88">
        <f t="shared" ca="1" si="32"/>
        <v>-1</v>
      </c>
      <c r="E363" s="64">
        <f t="shared" ca="1" si="33"/>
        <v>0.1</v>
      </c>
      <c r="F363" s="64">
        <f ca="1">IF('main page'!$K$34=1,hystere!H363,hystere!G363)</f>
        <v>-1097.5</v>
      </c>
      <c r="G363" s="78">
        <f ca="1">I363-'main page'!$K$27*hystere!N362</f>
        <v>-1097.5</v>
      </c>
      <c r="H363" s="62">
        <f ca="1">J363-'main page'!$K$27*N362</f>
        <v>-1097.5</v>
      </c>
      <c r="I363" s="62">
        <f t="shared" ca="1" si="34"/>
        <v>108</v>
      </c>
      <c r="J363" s="62">
        <f t="shared" ca="1" si="35"/>
        <v>108</v>
      </c>
      <c r="M363" s="62">
        <f ca="1">IF(ABS('main page'!$K$29*M362+(1-'main page'!$K$29)*(controls!$B$9/100)*100+'main page'!$K$25*(E363-B363)-M362)&lt;0.0000001,M362,'main page'!$K$29*M362+(1-'main page'!$K$29)*(controls!$B$9/100)*100+'main page'!$K$25*(E363-B363))</f>
        <v>-603.75</v>
      </c>
      <c r="N363" s="62">
        <f ca="1">IF(controls!$B$10=1,N362,O363-'main page'!$K$29*M363-(1-'main page'!$K$29)*controls!$B$9)</f>
        <v>603.75</v>
      </c>
      <c r="O363" s="61">
        <f t="shared" ca="1" si="30"/>
        <v>0</v>
      </c>
      <c r="P363" s="63">
        <f ca="1">IF(controls!$B$10=1,hystere!N363+hystere!M363,hystere!Q363)</f>
        <v>-701.73749999999995</v>
      </c>
      <c r="Q363" s="61">
        <f ca="1">IF('main page'!$Y$53=1,'choose m.p.'!$I$22*100,R363)</f>
        <v>-701.73749999999995</v>
      </c>
      <c r="R363" s="83">
        <f ca="1">'main page'!$K$29*M363+(1-'main page'!$K$29)*controls!$B$9+S363+(('main page'!$K$25*'main page'!$U$13*'main page'!$K$29)/('main page'!$K$27*(1+('main page'!$K$25^2)*'main page'!$U$13)))*(M363-(controls!$B$9/100)*100)</f>
        <v>-701.73749999999995</v>
      </c>
      <c r="S363" s="81">
        <f ca="1">IF(controls!$B$33=1,(J364-E363*X364-B363)/'main page'!$K$27,(I364-E363*X364-B363)/'main page'!$K$27)</f>
        <v>53.45</v>
      </c>
      <c r="U363" s="58">
        <f>IF(controls!$B$6=1,$AG$4*(1+('main page'!$K$35/100))^V363-$AG$4*(1+('main page'!$K$35/100))^V362,$AG$4*(1+('main page'!$G$8/100))*(1+('main page'!$K$35/100))^V363-$AG$4*(1+('main page'!$G$8/100))*(1+('main page'!$K$35/100))^V362)</f>
        <v>0</v>
      </c>
      <c r="V363" s="60">
        <v>355</v>
      </c>
      <c r="W363" s="36">
        <f ca="1">'normal case'!AC362</f>
        <v>0</v>
      </c>
      <c r="X363" s="36">
        <f ca="1">'normal case'!AD362</f>
        <v>0</v>
      </c>
      <c r="Y363" s="44">
        <f ca="1">IF(controls!$B$33=1,E363-($J$4-'main page'!$K$27*2)*(1+('main page'!$K$35/100))^A362,E363-$AG$5)</f>
        <v>-99.9</v>
      </c>
      <c r="Z363" s="44">
        <f ca="1">ABS(M363-(controls!$B$9/100)*100)</f>
        <v>605.75</v>
      </c>
      <c r="AI363" s="36"/>
      <c r="AJ363" s="36"/>
    </row>
    <row r="364" spans="1:36">
      <c r="A364" s="43">
        <v>361</v>
      </c>
      <c r="B364" s="62">
        <f ca="1">IF(controls!$B$6=2,AVERAGE(E360:E363)+B363*W364+hystere!$AG$9,AVERAGE(E360:E363)+B363*W364)</f>
        <v>1.1000000000000001</v>
      </c>
      <c r="C364" s="67">
        <f t="shared" ca="1" si="31"/>
        <v>0</v>
      </c>
      <c r="D364" s="88">
        <f t="shared" ca="1" si="32"/>
        <v>-1</v>
      </c>
      <c r="E364" s="64">
        <f t="shared" ca="1" si="33"/>
        <v>0.1</v>
      </c>
      <c r="F364" s="64">
        <f ca="1">IF('main page'!$K$34=1,hystere!H364,hystere!G364)</f>
        <v>-1099.5</v>
      </c>
      <c r="G364" s="78">
        <f ca="1">I364-'main page'!$K$27*hystere!N363</f>
        <v>-1099.5</v>
      </c>
      <c r="H364" s="62">
        <f ca="1">J364-'main page'!$K$27*N363</f>
        <v>-1099.5</v>
      </c>
      <c r="I364" s="62">
        <f t="shared" ca="1" si="34"/>
        <v>108</v>
      </c>
      <c r="J364" s="62">
        <f t="shared" ca="1" si="35"/>
        <v>108</v>
      </c>
      <c r="M364" s="62">
        <f ca="1">IF(ABS('main page'!$K$29*M363+(1-'main page'!$K$29)*(controls!$B$9/100)*100+'main page'!$K$25*(E364-B364)-M363)&lt;0.0000001,M363,'main page'!$K$29*M363+(1-'main page'!$K$29)*(controls!$B$9/100)*100+'main page'!$K$25*(E364-B364))</f>
        <v>-604.75</v>
      </c>
      <c r="N364" s="62">
        <f ca="1">IF(controls!$B$10=1,N363,O364-'main page'!$K$29*M364-(1-'main page'!$K$29)*controls!$B$9)</f>
        <v>604.75</v>
      </c>
      <c r="O364" s="61">
        <f t="shared" ca="1" si="30"/>
        <v>0</v>
      </c>
      <c r="P364" s="63">
        <f ca="1">IF(controls!$B$10=1,hystere!N364+hystere!M364,hystere!Q364)</f>
        <v>-702.98749999999995</v>
      </c>
      <c r="Q364" s="61">
        <f ca="1">IF('main page'!$Y$53=1,'choose m.p.'!$I$22*100,R364)</f>
        <v>-702.98749999999995</v>
      </c>
      <c r="R364" s="83">
        <f ca="1">'main page'!$K$29*M364+(1-'main page'!$K$29)*controls!$B$9+S364+(('main page'!$K$25*'main page'!$U$13*'main page'!$K$29)/('main page'!$K$27*(1+('main page'!$K$25^2)*'main page'!$U$13)))*(M364-(controls!$B$9/100)*100)</f>
        <v>-702.98749999999995</v>
      </c>
      <c r="S364" s="81">
        <f ca="1">IF(controls!$B$33=1,(J365-E364*X365-B364)/'main page'!$K$27,(I365-E364*X365-B364)/'main page'!$K$27)</f>
        <v>53.45</v>
      </c>
      <c r="U364" s="58">
        <f>IF(controls!$B$6=1,$AG$4*(1+('main page'!$K$35/100))^V364-$AG$4*(1+('main page'!$K$35/100))^V363,$AG$4*(1+('main page'!$G$8/100))*(1+('main page'!$K$35/100))^V364-$AG$4*(1+('main page'!$G$8/100))*(1+('main page'!$K$35/100))^V363)</f>
        <v>0</v>
      </c>
      <c r="V364" s="60">
        <v>356</v>
      </c>
      <c r="W364" s="36">
        <f>'normal case'!AC363</f>
        <v>0</v>
      </c>
      <c r="X364" s="36">
        <f>'normal case'!AD363</f>
        <v>0</v>
      </c>
      <c r="Y364" s="44">
        <f ca="1">IF(controls!$B$33=1,E364-($J$4-'main page'!$K$27*2)*(1+('main page'!$K$35/100))^A363,E364-$AG$5)</f>
        <v>-99.9</v>
      </c>
      <c r="Z364" s="44">
        <f ca="1">ABS(M364-(controls!$B$9/100)*100)</f>
        <v>606.75</v>
      </c>
      <c r="AI364" s="36"/>
      <c r="AJ364" s="36"/>
    </row>
    <row r="365" spans="1:36">
      <c r="A365" s="43">
        <v>362</v>
      </c>
      <c r="B365" s="62">
        <f ca="1">IF(controls!$B$6=2,AVERAGE(E361:E364)+B364*W365+hystere!$AG$9,AVERAGE(E361:E364)+B364*W365)</f>
        <v>1.1000000000000001</v>
      </c>
      <c r="C365" s="67">
        <f t="shared" ca="1" si="31"/>
        <v>0</v>
      </c>
      <c r="D365" s="88">
        <f t="shared" ca="1" si="32"/>
        <v>-1</v>
      </c>
      <c r="E365" s="64">
        <f t="shared" ca="1" si="33"/>
        <v>0.1</v>
      </c>
      <c r="F365" s="64">
        <f ca="1">IF('main page'!$K$34=1,hystere!H365,hystere!G365)</f>
        <v>-1101.5</v>
      </c>
      <c r="G365" s="78">
        <f ca="1">I365-'main page'!$K$27*hystere!N364</f>
        <v>-1101.5</v>
      </c>
      <c r="H365" s="62">
        <f ca="1">J365-'main page'!$K$27*N364</f>
        <v>-1101.5</v>
      </c>
      <c r="I365" s="62">
        <f t="shared" ca="1" si="34"/>
        <v>108</v>
      </c>
      <c r="J365" s="62">
        <f t="shared" ca="1" si="35"/>
        <v>108</v>
      </c>
      <c r="M365" s="62">
        <f ca="1">IF(ABS('main page'!$K$29*M364+(1-'main page'!$K$29)*(controls!$B$9/100)*100+'main page'!$K$25*(E365-B365)-M364)&lt;0.0000001,M364,'main page'!$K$29*M364+(1-'main page'!$K$29)*(controls!$B$9/100)*100+'main page'!$K$25*(E365-B365))</f>
        <v>-605.75</v>
      </c>
      <c r="N365" s="62">
        <f ca="1">IF(controls!$B$10=1,N364,O365-'main page'!$K$29*M365-(1-'main page'!$K$29)*controls!$B$9)</f>
        <v>605.75</v>
      </c>
      <c r="O365" s="61">
        <f t="shared" ca="1" si="30"/>
        <v>0</v>
      </c>
      <c r="P365" s="63">
        <f ca="1">IF(controls!$B$10=1,hystere!N365+hystere!M365,hystere!Q365)</f>
        <v>-704.23749999999995</v>
      </c>
      <c r="Q365" s="61">
        <f ca="1">IF('main page'!$Y$53=1,'choose m.p.'!$I$22*100,R365)</f>
        <v>-704.23749999999995</v>
      </c>
      <c r="R365" s="83">
        <f ca="1">'main page'!$K$29*M365+(1-'main page'!$K$29)*controls!$B$9+S365+(('main page'!$K$25*'main page'!$U$13*'main page'!$K$29)/('main page'!$K$27*(1+('main page'!$K$25^2)*'main page'!$U$13)))*(M365-(controls!$B$9/100)*100)</f>
        <v>-704.23749999999995</v>
      </c>
      <c r="S365" s="81">
        <f ca="1">IF(controls!$B$33=1,(J366-E365*X366-B365)/'main page'!$K$27,(I366-E365*X366-B365)/'main page'!$K$27)</f>
        <v>53.45</v>
      </c>
      <c r="U365" s="58">
        <f>IF(controls!$B$6=1,$AG$4*(1+('main page'!$K$35/100))^V365-$AG$4*(1+('main page'!$K$35/100))^V364,$AG$4*(1+('main page'!$G$8/100))*(1+('main page'!$K$35/100))^V365-$AG$4*(1+('main page'!$G$8/100))*(1+('main page'!$K$35/100))^V364)</f>
        <v>0</v>
      </c>
      <c r="V365" s="60">
        <v>357</v>
      </c>
      <c r="W365" s="36">
        <f>'normal case'!AC364</f>
        <v>0</v>
      </c>
      <c r="X365" s="36">
        <f>'normal case'!AD364</f>
        <v>0</v>
      </c>
      <c r="Y365" s="44">
        <f ca="1">IF(controls!$B$33=1,E365-($J$4-'main page'!$K$27*2)*(1+('main page'!$K$35/100))^A364,E365-$AG$5)</f>
        <v>-99.9</v>
      </c>
      <c r="Z365" s="44">
        <f ca="1">ABS(M365-(controls!$B$9/100)*100)</f>
        <v>607.75</v>
      </c>
      <c r="AI365" s="36"/>
      <c r="AJ365" s="36"/>
    </row>
    <row r="366" spans="1:36">
      <c r="A366" s="43">
        <v>363</v>
      </c>
      <c r="B366" s="62">
        <f ca="1">IF(controls!$B$6=2,AVERAGE(E362:E365)+B365*W366+hystere!$AG$9,AVERAGE(E362:E365)+B365*W366)</f>
        <v>1.1000000000000001</v>
      </c>
      <c r="C366" s="67">
        <f t="shared" ca="1" si="31"/>
        <v>0</v>
      </c>
      <c r="D366" s="88">
        <f t="shared" ca="1" si="32"/>
        <v>-1</v>
      </c>
      <c r="E366" s="64">
        <f t="shared" ca="1" si="33"/>
        <v>0.1</v>
      </c>
      <c r="F366" s="64">
        <f ca="1">IF('main page'!$K$34=1,hystere!H366,hystere!G366)</f>
        <v>-1103.5</v>
      </c>
      <c r="G366" s="78">
        <f ca="1">I366-'main page'!$K$27*hystere!N365</f>
        <v>-1103.5</v>
      </c>
      <c r="H366" s="62">
        <f ca="1">J366-'main page'!$K$27*N365</f>
        <v>-1103.5</v>
      </c>
      <c r="I366" s="62">
        <f t="shared" ca="1" si="34"/>
        <v>108</v>
      </c>
      <c r="J366" s="62">
        <f t="shared" ca="1" si="35"/>
        <v>108</v>
      </c>
      <c r="M366" s="62">
        <f ca="1">IF(ABS('main page'!$K$29*M365+(1-'main page'!$K$29)*(controls!$B$9/100)*100+'main page'!$K$25*(E366-B366)-M365)&lt;0.0000001,M365,'main page'!$K$29*M365+(1-'main page'!$K$29)*(controls!$B$9/100)*100+'main page'!$K$25*(E366-B366))</f>
        <v>-606.75</v>
      </c>
      <c r="N366" s="62">
        <f ca="1">IF(controls!$B$10=1,N365,O366-'main page'!$K$29*M366-(1-'main page'!$K$29)*controls!$B$9)</f>
        <v>606.75</v>
      </c>
      <c r="O366" s="61">
        <f t="shared" ca="1" si="30"/>
        <v>0</v>
      </c>
      <c r="P366" s="63">
        <f ca="1">IF(controls!$B$10=1,hystere!N366+hystere!M366,hystere!Q366)</f>
        <v>-705.48749999999995</v>
      </c>
      <c r="Q366" s="61">
        <f ca="1">IF('main page'!$Y$53=1,'choose m.p.'!$I$22*100,R366)</f>
        <v>-705.48749999999995</v>
      </c>
      <c r="R366" s="83">
        <f ca="1">'main page'!$K$29*M366+(1-'main page'!$K$29)*controls!$B$9+S366+(('main page'!$K$25*'main page'!$U$13*'main page'!$K$29)/('main page'!$K$27*(1+('main page'!$K$25^2)*'main page'!$U$13)))*(M366-(controls!$B$9/100)*100)</f>
        <v>-705.48749999999995</v>
      </c>
      <c r="S366" s="81">
        <f ca="1">IF(controls!$B$33=1,(J367-E366*X367-B366)/'main page'!$K$27,(I367-E366*X367-B366)/'main page'!$K$27)</f>
        <v>53.45</v>
      </c>
      <c r="U366" s="58">
        <f>IF(controls!$B$6=1,$AG$4*(1+('main page'!$K$35/100))^V366-$AG$4*(1+('main page'!$K$35/100))^V365,$AG$4*(1+('main page'!$G$8/100))*(1+('main page'!$K$35/100))^V366-$AG$4*(1+('main page'!$G$8/100))*(1+('main page'!$K$35/100))^V365)</f>
        <v>0</v>
      </c>
      <c r="V366" s="60">
        <v>358</v>
      </c>
      <c r="W366" s="36">
        <f ca="1">'normal case'!AC365</f>
        <v>0</v>
      </c>
      <c r="X366" s="36">
        <f ca="1">'normal case'!AD365</f>
        <v>0</v>
      </c>
      <c r="Y366" s="44">
        <f ca="1">IF(controls!$B$33=1,E366-($J$4-'main page'!$K$27*2)*(1+('main page'!$K$35/100))^A365,E366-$AG$5)</f>
        <v>-99.9</v>
      </c>
      <c r="Z366" s="44">
        <f ca="1">ABS(M366-(controls!$B$9/100)*100)</f>
        <v>608.75</v>
      </c>
      <c r="AI366" s="36"/>
      <c r="AJ366" s="36"/>
    </row>
    <row r="367" spans="1:36">
      <c r="A367" s="43">
        <v>364</v>
      </c>
      <c r="B367" s="62">
        <f ca="1">IF(controls!$B$6=2,AVERAGE(E363:E366)+B366*W367+hystere!$AG$9,AVERAGE(E363:E366)+B366*W367)</f>
        <v>1.1000000000000001</v>
      </c>
      <c r="C367" s="67">
        <f t="shared" ca="1" si="31"/>
        <v>0</v>
      </c>
      <c r="D367" s="88">
        <f t="shared" ca="1" si="32"/>
        <v>-1</v>
      </c>
      <c r="E367" s="64">
        <f t="shared" ca="1" si="33"/>
        <v>0.1</v>
      </c>
      <c r="F367" s="64">
        <f ca="1">IF('main page'!$K$34=1,hystere!H367,hystere!G367)</f>
        <v>-1105.5</v>
      </c>
      <c r="G367" s="78">
        <f ca="1">I367-'main page'!$K$27*hystere!N366</f>
        <v>-1105.5</v>
      </c>
      <c r="H367" s="62">
        <f ca="1">J367-'main page'!$K$27*N366</f>
        <v>-1105.5</v>
      </c>
      <c r="I367" s="62">
        <f t="shared" ca="1" si="34"/>
        <v>108</v>
      </c>
      <c r="J367" s="62">
        <f t="shared" ca="1" si="35"/>
        <v>108</v>
      </c>
      <c r="M367" s="62">
        <f ca="1">IF(ABS('main page'!$K$29*M366+(1-'main page'!$K$29)*(controls!$B$9/100)*100+'main page'!$K$25*(E367-B367)-M366)&lt;0.0000001,M366,'main page'!$K$29*M366+(1-'main page'!$K$29)*(controls!$B$9/100)*100+'main page'!$K$25*(E367-B367))</f>
        <v>-607.75</v>
      </c>
      <c r="N367" s="62">
        <f ca="1">IF(controls!$B$10=1,N366,O367-'main page'!$K$29*M367-(1-'main page'!$K$29)*controls!$B$9)</f>
        <v>607.75</v>
      </c>
      <c r="O367" s="61">
        <f t="shared" ca="1" si="30"/>
        <v>0</v>
      </c>
      <c r="P367" s="63">
        <f ca="1">IF(controls!$B$10=1,hystere!N367+hystere!M367,hystere!Q367)</f>
        <v>-706.73749999999995</v>
      </c>
      <c r="Q367" s="61">
        <f ca="1">IF('main page'!$Y$53=1,'choose m.p.'!$I$22*100,R367)</f>
        <v>-706.73749999999995</v>
      </c>
      <c r="R367" s="83">
        <f ca="1">'main page'!$K$29*M367+(1-'main page'!$K$29)*controls!$B$9+S367+(('main page'!$K$25*'main page'!$U$13*'main page'!$K$29)/('main page'!$K$27*(1+('main page'!$K$25^2)*'main page'!$U$13)))*(M367-(controls!$B$9/100)*100)</f>
        <v>-706.73749999999995</v>
      </c>
      <c r="S367" s="81">
        <f ca="1">IF(controls!$B$33=1,(J368-E367*X368-B367)/'main page'!$K$27,(I368-E367*X368-B367)/'main page'!$K$27)</f>
        <v>53.45</v>
      </c>
      <c r="U367" s="58">
        <f>IF(controls!$B$6=1,$AG$4*(1+('main page'!$K$35/100))^V367-$AG$4*(1+('main page'!$K$35/100))^V366,$AG$4*(1+('main page'!$G$8/100))*(1+('main page'!$K$35/100))^V367-$AG$4*(1+('main page'!$G$8/100))*(1+('main page'!$K$35/100))^V366)</f>
        <v>0</v>
      </c>
      <c r="V367" s="60">
        <v>359</v>
      </c>
      <c r="W367" s="36">
        <f>'normal case'!AC366</f>
        <v>0</v>
      </c>
      <c r="X367" s="36">
        <f>'normal case'!AD366</f>
        <v>0</v>
      </c>
      <c r="Y367" s="44">
        <f ca="1">IF(controls!$B$33=1,E367-($J$4-'main page'!$K$27*2)*(1+('main page'!$K$35/100))^A366,E367-$AG$5)</f>
        <v>-99.9</v>
      </c>
      <c r="Z367" s="44">
        <f ca="1">ABS(M367-(controls!$B$9/100)*100)</f>
        <v>609.75</v>
      </c>
      <c r="AI367" s="36"/>
      <c r="AJ367" s="36"/>
    </row>
    <row r="368" spans="1:36">
      <c r="A368" s="43">
        <v>365</v>
      </c>
      <c r="B368" s="62">
        <f ca="1">IF(controls!$B$6=2,AVERAGE(E364:E367)+B367*W368+hystere!$AG$9,AVERAGE(E364:E367)+B367*W368)</f>
        <v>1.1000000000000001</v>
      </c>
      <c r="C368" s="67">
        <f t="shared" ca="1" si="31"/>
        <v>0</v>
      </c>
      <c r="D368" s="88">
        <f t="shared" ca="1" si="32"/>
        <v>-1</v>
      </c>
      <c r="E368" s="64">
        <f t="shared" ca="1" si="33"/>
        <v>0.1</v>
      </c>
      <c r="F368" s="64">
        <f ca="1">IF('main page'!$K$34=1,hystere!H368,hystere!G368)</f>
        <v>-1107.5</v>
      </c>
      <c r="G368" s="78">
        <f ca="1">I368-'main page'!$K$27*hystere!N367</f>
        <v>-1107.5</v>
      </c>
      <c r="H368" s="62">
        <f ca="1">J368-'main page'!$K$27*N367</f>
        <v>-1107.5</v>
      </c>
      <c r="I368" s="62">
        <f t="shared" ca="1" si="34"/>
        <v>108</v>
      </c>
      <c r="J368" s="62">
        <f t="shared" ca="1" si="35"/>
        <v>108</v>
      </c>
      <c r="M368" s="62">
        <f ca="1">IF(ABS('main page'!$K$29*M367+(1-'main page'!$K$29)*(controls!$B$9/100)*100+'main page'!$K$25*(E368-B368)-M367)&lt;0.0000001,M367,'main page'!$K$29*M367+(1-'main page'!$K$29)*(controls!$B$9/100)*100+'main page'!$K$25*(E368-B368))</f>
        <v>-608.75</v>
      </c>
      <c r="N368" s="62">
        <f ca="1">IF(controls!$B$10=1,N367,O368-'main page'!$K$29*M368-(1-'main page'!$K$29)*controls!$B$9)</f>
        <v>608.75</v>
      </c>
      <c r="O368" s="61">
        <f t="shared" ca="1" si="30"/>
        <v>0</v>
      </c>
      <c r="P368" s="63">
        <f ca="1">IF(controls!$B$10=1,hystere!N368+hystere!M368,hystere!Q368)</f>
        <v>-707.98749999999995</v>
      </c>
      <c r="Q368" s="61">
        <f ca="1">IF('main page'!$Y$53=1,'choose m.p.'!$I$22*100,R368)</f>
        <v>-707.98749999999995</v>
      </c>
      <c r="R368" s="83">
        <f ca="1">'main page'!$K$29*M368+(1-'main page'!$K$29)*controls!$B$9+S368+(('main page'!$K$25*'main page'!$U$13*'main page'!$K$29)/('main page'!$K$27*(1+('main page'!$K$25^2)*'main page'!$U$13)))*(M368-(controls!$B$9/100)*100)</f>
        <v>-707.98749999999995</v>
      </c>
      <c r="S368" s="81">
        <f ca="1">IF(controls!$B$33=1,(J369-E368*X369-B368)/'main page'!$K$27,(I369-E368*X369-B368)/'main page'!$K$27)</f>
        <v>53.45</v>
      </c>
      <c r="U368" s="58">
        <f>IF(controls!$B$6=1,$AG$4*(1+('main page'!$K$35/100))^V368-$AG$4*(1+('main page'!$K$35/100))^V367,$AG$4*(1+('main page'!$G$8/100))*(1+('main page'!$K$35/100))^V368-$AG$4*(1+('main page'!$G$8/100))*(1+('main page'!$K$35/100))^V367)</f>
        <v>0</v>
      </c>
      <c r="V368" s="60">
        <v>360</v>
      </c>
      <c r="W368" s="36">
        <f>'normal case'!AC367</f>
        <v>0</v>
      </c>
      <c r="X368" s="36">
        <f>'normal case'!AD367</f>
        <v>0</v>
      </c>
      <c r="Y368" s="44">
        <f ca="1">IF(controls!$B$33=1,E368-($J$4-'main page'!$K$27*2)*(1+('main page'!$K$35/100))^A367,E368-$AG$5)</f>
        <v>-99.9</v>
      </c>
      <c r="Z368" s="44">
        <f ca="1">ABS(M368-(controls!$B$9/100)*100)</f>
        <v>610.75</v>
      </c>
      <c r="AI368" s="36"/>
      <c r="AJ368" s="36"/>
    </row>
    <row r="369" spans="1:36">
      <c r="A369" s="43">
        <v>366</v>
      </c>
      <c r="B369" s="62">
        <f ca="1">IF(controls!$B$6=2,AVERAGE(E365:E368)+B368*W369+hystere!$AG$9,AVERAGE(E365:E368)+B368*W369)</f>
        <v>1.1000000000000001</v>
      </c>
      <c r="C369" s="67">
        <f t="shared" ca="1" si="31"/>
        <v>0</v>
      </c>
      <c r="D369" s="88">
        <f t="shared" ca="1" si="32"/>
        <v>-1</v>
      </c>
      <c r="E369" s="64">
        <f t="shared" ca="1" si="33"/>
        <v>0.1</v>
      </c>
      <c r="F369" s="64">
        <f ca="1">IF('main page'!$K$34=1,hystere!H369,hystere!G369)</f>
        <v>-1109.5</v>
      </c>
      <c r="G369" s="78">
        <f ca="1">I369-'main page'!$K$27*hystere!N368</f>
        <v>-1109.5</v>
      </c>
      <c r="H369" s="62">
        <f ca="1">J369-'main page'!$K$27*N368</f>
        <v>-1109.5</v>
      </c>
      <c r="I369" s="62">
        <f t="shared" ca="1" si="34"/>
        <v>108</v>
      </c>
      <c r="J369" s="62">
        <f t="shared" ca="1" si="35"/>
        <v>108</v>
      </c>
      <c r="M369" s="62">
        <f ca="1">IF(ABS('main page'!$K$29*M368+(1-'main page'!$K$29)*(controls!$B$9/100)*100+'main page'!$K$25*(E369-B369)-M368)&lt;0.0000001,M368,'main page'!$K$29*M368+(1-'main page'!$K$29)*(controls!$B$9/100)*100+'main page'!$K$25*(E369-B369))</f>
        <v>-609.75</v>
      </c>
      <c r="N369" s="62">
        <f ca="1">IF(controls!$B$10=1,N368,O369-'main page'!$K$29*M369-(1-'main page'!$K$29)*controls!$B$9)</f>
        <v>609.75</v>
      </c>
      <c r="O369" s="61">
        <f t="shared" ca="1" si="30"/>
        <v>0</v>
      </c>
      <c r="P369" s="63">
        <f ca="1">IF(controls!$B$10=1,hystere!N369+hystere!M369,hystere!Q369)</f>
        <v>-709.23749999999995</v>
      </c>
      <c r="Q369" s="61">
        <f ca="1">IF('main page'!$Y$53=1,'choose m.p.'!$I$22*100,R369)</f>
        <v>-709.23749999999995</v>
      </c>
      <c r="R369" s="83">
        <f ca="1">'main page'!$K$29*M369+(1-'main page'!$K$29)*controls!$B$9+S369+(('main page'!$K$25*'main page'!$U$13*'main page'!$K$29)/('main page'!$K$27*(1+('main page'!$K$25^2)*'main page'!$U$13)))*(M369-(controls!$B$9/100)*100)</f>
        <v>-709.23749999999995</v>
      </c>
      <c r="S369" s="81">
        <f ca="1">IF(controls!$B$33=1,(J370-E369*X370-B369)/'main page'!$K$27,(I370-E369*X370-B369)/'main page'!$K$27)</f>
        <v>53.45</v>
      </c>
      <c r="U369" s="58">
        <f>IF(controls!$B$6=1,$AG$4*(1+('main page'!$K$35/100))^V369-$AG$4*(1+('main page'!$K$35/100))^V368,$AG$4*(1+('main page'!$G$8/100))*(1+('main page'!$K$35/100))^V369-$AG$4*(1+('main page'!$G$8/100))*(1+('main page'!$K$35/100))^V368)</f>
        <v>0</v>
      </c>
      <c r="V369" s="60">
        <v>361</v>
      </c>
      <c r="W369" s="36">
        <f ca="1">'normal case'!AC368</f>
        <v>0</v>
      </c>
      <c r="X369" s="36">
        <f ca="1">'normal case'!AD368</f>
        <v>0</v>
      </c>
      <c r="Y369" s="44">
        <f ca="1">IF(controls!$B$33=1,E369-($J$4-'main page'!$K$27*2)*(1+('main page'!$K$35/100))^A368,E369-$AG$5)</f>
        <v>-99.9</v>
      </c>
      <c r="Z369" s="44">
        <f ca="1">ABS(M369-(controls!$B$9/100)*100)</f>
        <v>611.75</v>
      </c>
      <c r="AI369" s="36"/>
      <c r="AJ369" s="36"/>
    </row>
    <row r="370" spans="1:36">
      <c r="A370" s="43">
        <v>367</v>
      </c>
      <c r="B370" s="62">
        <f ca="1">IF(controls!$B$6=2,AVERAGE(E366:E369)+B369*W370+hystere!$AG$9,AVERAGE(E366:E369)+B369*W370)</f>
        <v>1.1000000000000001</v>
      </c>
      <c r="C370" s="67">
        <f t="shared" ca="1" si="31"/>
        <v>0</v>
      </c>
      <c r="D370" s="88">
        <f t="shared" ca="1" si="32"/>
        <v>-1</v>
      </c>
      <c r="E370" s="64">
        <f t="shared" ca="1" si="33"/>
        <v>0.1</v>
      </c>
      <c r="F370" s="64">
        <f ca="1">IF('main page'!$K$34=1,hystere!H370,hystere!G370)</f>
        <v>-1111.5</v>
      </c>
      <c r="G370" s="78">
        <f ca="1">I370-'main page'!$K$27*hystere!N369</f>
        <v>-1111.5</v>
      </c>
      <c r="H370" s="62">
        <f ca="1">J370-'main page'!$K$27*N369</f>
        <v>-1111.5</v>
      </c>
      <c r="I370" s="62">
        <f t="shared" ca="1" si="34"/>
        <v>108</v>
      </c>
      <c r="J370" s="62">
        <f t="shared" ca="1" si="35"/>
        <v>108</v>
      </c>
      <c r="M370" s="62">
        <f ca="1">IF(ABS('main page'!$K$29*M369+(1-'main page'!$K$29)*(controls!$B$9/100)*100+'main page'!$K$25*(E370-B370)-M369)&lt;0.0000001,M369,'main page'!$K$29*M369+(1-'main page'!$K$29)*(controls!$B$9/100)*100+'main page'!$K$25*(E370-B370))</f>
        <v>-610.75</v>
      </c>
      <c r="N370" s="62">
        <f ca="1">IF(controls!$B$10=1,N369,O370-'main page'!$K$29*M370-(1-'main page'!$K$29)*controls!$B$9)</f>
        <v>610.75</v>
      </c>
      <c r="O370" s="61">
        <f t="shared" ca="1" si="30"/>
        <v>0</v>
      </c>
      <c r="P370" s="63">
        <f ca="1">IF(controls!$B$10=1,hystere!N370+hystere!M370,hystere!Q370)</f>
        <v>-710.48749999999995</v>
      </c>
      <c r="Q370" s="61">
        <f ca="1">IF('main page'!$Y$53=1,'choose m.p.'!$I$22*100,R370)</f>
        <v>-710.48749999999995</v>
      </c>
      <c r="R370" s="83">
        <f ca="1">'main page'!$K$29*M370+(1-'main page'!$K$29)*controls!$B$9+S370+(('main page'!$K$25*'main page'!$U$13*'main page'!$K$29)/('main page'!$K$27*(1+('main page'!$K$25^2)*'main page'!$U$13)))*(M370-(controls!$B$9/100)*100)</f>
        <v>-710.48749999999995</v>
      </c>
      <c r="S370" s="81">
        <f ca="1">IF(controls!$B$33=1,(J371-E370*X371-B370)/'main page'!$K$27,(I371-E370*X371-B370)/'main page'!$K$27)</f>
        <v>53.45</v>
      </c>
      <c r="U370" s="58">
        <f>IF(controls!$B$6=1,$AG$4*(1+('main page'!$K$35/100))^V370-$AG$4*(1+('main page'!$K$35/100))^V369,$AG$4*(1+('main page'!$G$8/100))*(1+('main page'!$K$35/100))^V370-$AG$4*(1+('main page'!$G$8/100))*(1+('main page'!$K$35/100))^V369)</f>
        <v>0</v>
      </c>
      <c r="V370" s="60">
        <v>362</v>
      </c>
      <c r="W370" s="36">
        <f>'normal case'!AC369</f>
        <v>0</v>
      </c>
      <c r="X370" s="36">
        <f>'normal case'!AD369</f>
        <v>0</v>
      </c>
      <c r="Y370" s="44">
        <f ca="1">IF(controls!$B$33=1,E370-($J$4-'main page'!$K$27*2)*(1+('main page'!$K$35/100))^A369,E370-$AG$5)</f>
        <v>-99.9</v>
      </c>
      <c r="Z370" s="44">
        <f ca="1">ABS(M370-(controls!$B$9/100)*100)</f>
        <v>612.75</v>
      </c>
      <c r="AI370" s="36"/>
      <c r="AJ370" s="36"/>
    </row>
    <row r="371" spans="1:36">
      <c r="A371" s="43">
        <v>368</v>
      </c>
      <c r="B371" s="62">
        <f ca="1">IF(controls!$B$6=2,AVERAGE(E367:E370)+B370*W371+hystere!$AG$9,AVERAGE(E367:E370)+B370*W371)</f>
        <v>1.1000000000000001</v>
      </c>
      <c r="C371" s="67">
        <f t="shared" ca="1" si="31"/>
        <v>0</v>
      </c>
      <c r="D371" s="88">
        <f t="shared" ca="1" si="32"/>
        <v>-1</v>
      </c>
      <c r="E371" s="64">
        <f t="shared" ca="1" si="33"/>
        <v>0.1</v>
      </c>
      <c r="F371" s="64">
        <f ca="1">IF('main page'!$K$34=1,hystere!H371,hystere!G371)</f>
        <v>-1113.5</v>
      </c>
      <c r="G371" s="78">
        <f ca="1">I371-'main page'!$K$27*hystere!N370</f>
        <v>-1113.5</v>
      </c>
      <c r="H371" s="62">
        <f ca="1">J371-'main page'!$K$27*N370</f>
        <v>-1113.5</v>
      </c>
      <c r="I371" s="62">
        <f t="shared" ca="1" si="34"/>
        <v>108</v>
      </c>
      <c r="J371" s="62">
        <f t="shared" ca="1" si="35"/>
        <v>108</v>
      </c>
      <c r="M371" s="62">
        <f ca="1">IF(ABS('main page'!$K$29*M370+(1-'main page'!$K$29)*(controls!$B$9/100)*100+'main page'!$K$25*(E371-B371)-M370)&lt;0.0000001,M370,'main page'!$K$29*M370+(1-'main page'!$K$29)*(controls!$B$9/100)*100+'main page'!$K$25*(E371-B371))</f>
        <v>-611.75</v>
      </c>
      <c r="N371" s="62">
        <f ca="1">IF(controls!$B$10=1,N370,O371-'main page'!$K$29*M371-(1-'main page'!$K$29)*controls!$B$9)</f>
        <v>611.75</v>
      </c>
      <c r="O371" s="61">
        <f t="shared" ca="1" si="30"/>
        <v>0</v>
      </c>
      <c r="P371" s="63">
        <f ca="1">IF(controls!$B$10=1,hystere!N371+hystere!M371,hystere!Q371)</f>
        <v>-711.73749999999995</v>
      </c>
      <c r="Q371" s="61">
        <f ca="1">IF('main page'!$Y$53=1,'choose m.p.'!$I$22*100,R371)</f>
        <v>-711.73749999999995</v>
      </c>
      <c r="R371" s="83">
        <f ca="1">'main page'!$K$29*M371+(1-'main page'!$K$29)*controls!$B$9+S371+(('main page'!$K$25*'main page'!$U$13*'main page'!$K$29)/('main page'!$K$27*(1+('main page'!$K$25^2)*'main page'!$U$13)))*(M371-(controls!$B$9/100)*100)</f>
        <v>-711.73749999999995</v>
      </c>
      <c r="S371" s="81">
        <f ca="1">IF(controls!$B$33=1,(J372-E371*X372-B371)/'main page'!$K$27,(I372-E371*X372-B371)/'main page'!$K$27)</f>
        <v>53.45</v>
      </c>
      <c r="U371" s="58">
        <f>IF(controls!$B$6=1,$AG$4*(1+('main page'!$K$35/100))^V371-$AG$4*(1+('main page'!$K$35/100))^V370,$AG$4*(1+('main page'!$G$8/100))*(1+('main page'!$K$35/100))^V371-$AG$4*(1+('main page'!$G$8/100))*(1+('main page'!$K$35/100))^V370)</f>
        <v>0</v>
      </c>
      <c r="V371" s="60">
        <v>363</v>
      </c>
      <c r="W371" s="36">
        <f>'normal case'!AC370</f>
        <v>0</v>
      </c>
      <c r="X371" s="36">
        <f>'normal case'!AD370</f>
        <v>0</v>
      </c>
      <c r="Y371" s="44">
        <f ca="1">IF(controls!$B$33=1,E371-($J$4-'main page'!$K$27*2)*(1+('main page'!$K$35/100))^A370,E371-$AG$5)</f>
        <v>-99.9</v>
      </c>
      <c r="Z371" s="44">
        <f ca="1">ABS(M371-(controls!$B$9/100)*100)</f>
        <v>613.75</v>
      </c>
      <c r="AI371" s="36"/>
      <c r="AJ371" s="36"/>
    </row>
    <row r="372" spans="1:36">
      <c r="A372" s="43">
        <v>369</v>
      </c>
      <c r="B372" s="62">
        <f ca="1">IF(controls!$B$6=2,AVERAGE(E368:E371)+B371*W372+hystere!$AG$9,AVERAGE(E368:E371)+B371*W372)</f>
        <v>1.1000000000000001</v>
      </c>
      <c r="C372" s="67">
        <f t="shared" ca="1" si="31"/>
        <v>0</v>
      </c>
      <c r="D372" s="88">
        <f t="shared" ca="1" si="32"/>
        <v>-1</v>
      </c>
      <c r="E372" s="64">
        <f t="shared" ca="1" si="33"/>
        <v>0.1</v>
      </c>
      <c r="F372" s="64">
        <f ca="1">IF('main page'!$K$34=1,hystere!H372,hystere!G372)</f>
        <v>-1115.5</v>
      </c>
      <c r="G372" s="78">
        <f ca="1">I372-'main page'!$K$27*hystere!N371</f>
        <v>-1115.5</v>
      </c>
      <c r="H372" s="62">
        <f ca="1">J372-'main page'!$K$27*N371</f>
        <v>-1115.5</v>
      </c>
      <c r="I372" s="62">
        <f t="shared" ca="1" si="34"/>
        <v>108</v>
      </c>
      <c r="J372" s="62">
        <f t="shared" ca="1" si="35"/>
        <v>108</v>
      </c>
      <c r="M372" s="62">
        <f ca="1">IF(ABS('main page'!$K$29*M371+(1-'main page'!$K$29)*(controls!$B$9/100)*100+'main page'!$K$25*(E372-B372)-M371)&lt;0.0000001,M371,'main page'!$K$29*M371+(1-'main page'!$K$29)*(controls!$B$9/100)*100+'main page'!$K$25*(E372-B372))</f>
        <v>-612.75</v>
      </c>
      <c r="N372" s="62">
        <f ca="1">IF(controls!$B$10=1,N371,O372-'main page'!$K$29*M372-(1-'main page'!$K$29)*controls!$B$9)</f>
        <v>612.75</v>
      </c>
      <c r="O372" s="61">
        <f t="shared" ca="1" si="30"/>
        <v>0</v>
      </c>
      <c r="P372" s="63">
        <f ca="1">IF(controls!$B$10=1,hystere!N372+hystere!M372,hystere!Q372)</f>
        <v>-712.98749999999995</v>
      </c>
      <c r="Q372" s="61">
        <f ca="1">IF('main page'!$Y$53=1,'choose m.p.'!$I$22*100,R372)</f>
        <v>-712.98749999999995</v>
      </c>
      <c r="R372" s="83">
        <f ca="1">'main page'!$K$29*M372+(1-'main page'!$K$29)*controls!$B$9+S372+(('main page'!$K$25*'main page'!$U$13*'main page'!$K$29)/('main page'!$K$27*(1+('main page'!$K$25^2)*'main page'!$U$13)))*(M372-(controls!$B$9/100)*100)</f>
        <v>-712.98749999999995</v>
      </c>
      <c r="S372" s="81">
        <f ca="1">IF(controls!$B$33=1,(J373-E372*X373-B372)/'main page'!$K$27,(I373-E372*X373-B372)/'main page'!$K$27)</f>
        <v>53.45</v>
      </c>
      <c r="U372" s="58">
        <f>IF(controls!$B$6=1,$AG$4*(1+('main page'!$K$35/100))^V372-$AG$4*(1+('main page'!$K$35/100))^V371,$AG$4*(1+('main page'!$G$8/100))*(1+('main page'!$K$35/100))^V372-$AG$4*(1+('main page'!$G$8/100))*(1+('main page'!$K$35/100))^V371)</f>
        <v>0</v>
      </c>
      <c r="V372" s="60">
        <v>364</v>
      </c>
      <c r="W372" s="36">
        <f ca="1">'normal case'!AC371</f>
        <v>0</v>
      </c>
      <c r="X372" s="36">
        <f ca="1">'normal case'!AD371</f>
        <v>0</v>
      </c>
      <c r="Y372" s="44">
        <f ca="1">IF(controls!$B$33=1,E372-($J$4-'main page'!$K$27*2)*(1+('main page'!$K$35/100))^A371,E372-$AG$5)</f>
        <v>-99.9</v>
      </c>
      <c r="Z372" s="44">
        <f ca="1">ABS(M372-(controls!$B$9/100)*100)</f>
        <v>614.75</v>
      </c>
      <c r="AI372" s="36"/>
      <c r="AJ372" s="36"/>
    </row>
    <row r="373" spans="1:36">
      <c r="A373" s="43">
        <v>370</v>
      </c>
      <c r="B373" s="62">
        <f ca="1">IF(controls!$B$6=2,AVERAGE(E369:E372)+B372*W373+hystere!$AG$9,AVERAGE(E369:E372)+B372*W373)</f>
        <v>1.1000000000000001</v>
      </c>
      <c r="C373" s="67">
        <f t="shared" ca="1" si="31"/>
        <v>0</v>
      </c>
      <c r="D373" s="88">
        <f t="shared" ca="1" si="32"/>
        <v>-1</v>
      </c>
      <c r="E373" s="64">
        <f t="shared" ca="1" si="33"/>
        <v>0.1</v>
      </c>
      <c r="F373" s="64">
        <f ca="1">IF('main page'!$K$34=1,hystere!H373,hystere!G373)</f>
        <v>-1117.5</v>
      </c>
      <c r="G373" s="78">
        <f ca="1">I373-'main page'!$K$27*hystere!N372</f>
        <v>-1117.5</v>
      </c>
      <c r="H373" s="62">
        <f ca="1">J373-'main page'!$K$27*N372</f>
        <v>-1117.5</v>
      </c>
      <c r="I373" s="62">
        <f t="shared" ca="1" si="34"/>
        <v>108</v>
      </c>
      <c r="J373" s="62">
        <f t="shared" ca="1" si="35"/>
        <v>108</v>
      </c>
      <c r="M373" s="62">
        <f ca="1">IF(ABS('main page'!$K$29*M372+(1-'main page'!$K$29)*(controls!$B$9/100)*100+'main page'!$K$25*(E373-B373)-M372)&lt;0.0000001,M372,'main page'!$K$29*M372+(1-'main page'!$K$29)*(controls!$B$9/100)*100+'main page'!$K$25*(E373-B373))</f>
        <v>-613.75</v>
      </c>
      <c r="N373" s="62">
        <f ca="1">IF(controls!$B$10=1,N372,O373-'main page'!$K$29*M373-(1-'main page'!$K$29)*controls!$B$9)</f>
        <v>613.75</v>
      </c>
      <c r="O373" s="61">
        <f t="shared" ca="1" si="30"/>
        <v>0</v>
      </c>
      <c r="P373" s="63">
        <f ca="1">IF(controls!$B$10=1,hystere!N373+hystere!M373,hystere!Q373)</f>
        <v>-714.23749999999995</v>
      </c>
      <c r="Q373" s="61">
        <f ca="1">IF('main page'!$Y$53=1,'choose m.p.'!$I$22*100,R373)</f>
        <v>-714.23749999999995</v>
      </c>
      <c r="R373" s="83">
        <f ca="1">'main page'!$K$29*M373+(1-'main page'!$K$29)*controls!$B$9+S373+(('main page'!$K$25*'main page'!$U$13*'main page'!$K$29)/('main page'!$K$27*(1+('main page'!$K$25^2)*'main page'!$U$13)))*(M373-(controls!$B$9/100)*100)</f>
        <v>-714.23749999999995</v>
      </c>
      <c r="S373" s="81">
        <f ca="1">IF(controls!$B$33=1,(J374-E373*X374-B373)/'main page'!$K$27,(I374-E373*X374-B373)/'main page'!$K$27)</f>
        <v>53.45</v>
      </c>
      <c r="U373" s="58">
        <f>IF(controls!$B$6=1,$AG$4*(1+('main page'!$K$35/100))^V373-$AG$4*(1+('main page'!$K$35/100))^V372,$AG$4*(1+('main page'!$G$8/100))*(1+('main page'!$K$35/100))^V373-$AG$4*(1+('main page'!$G$8/100))*(1+('main page'!$K$35/100))^V372)</f>
        <v>0</v>
      </c>
      <c r="V373" s="60">
        <v>365</v>
      </c>
      <c r="W373" s="36">
        <f>'normal case'!AC372</f>
        <v>0</v>
      </c>
      <c r="X373" s="36">
        <f>'normal case'!AD372</f>
        <v>0</v>
      </c>
      <c r="Y373" s="44">
        <f ca="1">IF(controls!$B$33=1,E373-($J$4-'main page'!$K$27*2)*(1+('main page'!$K$35/100))^A372,E373-$AG$5)</f>
        <v>-99.9</v>
      </c>
      <c r="Z373" s="44">
        <f ca="1">ABS(M373-(controls!$B$9/100)*100)</f>
        <v>615.75</v>
      </c>
      <c r="AI373" s="36"/>
      <c r="AJ373" s="36"/>
    </row>
    <row r="374" spans="1:36">
      <c r="A374" s="43">
        <v>371</v>
      </c>
      <c r="B374" s="62">
        <f ca="1">IF(controls!$B$6=2,AVERAGE(E370:E373)+B373*W374+hystere!$AG$9,AVERAGE(E370:E373)+B373*W374)</f>
        <v>1.1000000000000001</v>
      </c>
      <c r="C374" s="67">
        <f t="shared" ca="1" si="31"/>
        <v>0</v>
      </c>
      <c r="D374" s="88">
        <f t="shared" ca="1" si="32"/>
        <v>-1</v>
      </c>
      <c r="E374" s="64">
        <f t="shared" ca="1" si="33"/>
        <v>0.1</v>
      </c>
      <c r="F374" s="64">
        <f ca="1">IF('main page'!$K$34=1,hystere!H374,hystere!G374)</f>
        <v>-1119.5</v>
      </c>
      <c r="G374" s="78">
        <f ca="1">I374-'main page'!$K$27*hystere!N373</f>
        <v>-1119.5</v>
      </c>
      <c r="H374" s="62">
        <f ca="1">J374-'main page'!$K$27*N373</f>
        <v>-1119.5</v>
      </c>
      <c r="I374" s="62">
        <f t="shared" ca="1" si="34"/>
        <v>108</v>
      </c>
      <c r="J374" s="62">
        <f t="shared" ca="1" si="35"/>
        <v>108</v>
      </c>
      <c r="M374" s="62">
        <f ca="1">IF(ABS('main page'!$K$29*M373+(1-'main page'!$K$29)*(controls!$B$9/100)*100+'main page'!$K$25*(E374-B374)-M373)&lt;0.0000001,M373,'main page'!$K$29*M373+(1-'main page'!$K$29)*(controls!$B$9/100)*100+'main page'!$K$25*(E374-B374))</f>
        <v>-614.75</v>
      </c>
      <c r="N374" s="62">
        <f ca="1">IF(controls!$B$10=1,N373,O374-'main page'!$K$29*M374-(1-'main page'!$K$29)*controls!$B$9)</f>
        <v>614.75</v>
      </c>
      <c r="O374" s="61">
        <f t="shared" ca="1" si="30"/>
        <v>0</v>
      </c>
      <c r="P374" s="63">
        <f ca="1">IF(controls!$B$10=1,hystere!N374+hystere!M374,hystere!Q374)</f>
        <v>-715.48749999999995</v>
      </c>
      <c r="Q374" s="61">
        <f ca="1">IF('main page'!$Y$53=1,'choose m.p.'!$I$22*100,R374)</f>
        <v>-715.48749999999995</v>
      </c>
      <c r="R374" s="83">
        <f ca="1">'main page'!$K$29*M374+(1-'main page'!$K$29)*controls!$B$9+S374+(('main page'!$K$25*'main page'!$U$13*'main page'!$K$29)/('main page'!$K$27*(1+('main page'!$K$25^2)*'main page'!$U$13)))*(M374-(controls!$B$9/100)*100)</f>
        <v>-715.48749999999995</v>
      </c>
      <c r="S374" s="81">
        <f ca="1">IF(controls!$B$33=1,(J375-E374*X375-B374)/'main page'!$K$27,(I375-E374*X375-B374)/'main page'!$K$27)</f>
        <v>53.45</v>
      </c>
      <c r="U374" s="58">
        <f>IF(controls!$B$6=1,$AG$4*(1+('main page'!$K$35/100))^V374-$AG$4*(1+('main page'!$K$35/100))^V373,$AG$4*(1+('main page'!$G$8/100))*(1+('main page'!$K$35/100))^V374-$AG$4*(1+('main page'!$G$8/100))*(1+('main page'!$K$35/100))^V373)</f>
        <v>0</v>
      </c>
      <c r="V374" s="60">
        <v>366</v>
      </c>
      <c r="W374" s="36">
        <f>'normal case'!AC373</f>
        <v>0</v>
      </c>
      <c r="X374" s="36">
        <f>'normal case'!AD373</f>
        <v>0</v>
      </c>
      <c r="Y374" s="44">
        <f ca="1">IF(controls!$B$33=1,E374-($J$4-'main page'!$K$27*2)*(1+('main page'!$K$35/100))^A373,E374-$AG$5)</f>
        <v>-99.9</v>
      </c>
      <c r="Z374" s="44">
        <f ca="1">ABS(M374-(controls!$B$9/100)*100)</f>
        <v>616.75</v>
      </c>
      <c r="AI374" s="36"/>
      <c r="AJ374" s="36"/>
    </row>
    <row r="375" spans="1:36">
      <c r="A375" s="43">
        <v>372</v>
      </c>
      <c r="B375" s="62">
        <f ca="1">IF(controls!$B$6=2,AVERAGE(E371:E374)+B374*W375+hystere!$AG$9,AVERAGE(E371:E374)+B374*W375)</f>
        <v>1.1000000000000001</v>
      </c>
      <c r="C375" s="67">
        <f t="shared" ca="1" si="31"/>
        <v>0</v>
      </c>
      <c r="D375" s="88">
        <f t="shared" ca="1" si="32"/>
        <v>-1</v>
      </c>
      <c r="E375" s="64">
        <f t="shared" ca="1" si="33"/>
        <v>0.1</v>
      </c>
      <c r="F375" s="64">
        <f ca="1">IF('main page'!$K$34=1,hystere!H375,hystere!G375)</f>
        <v>-1121.5</v>
      </c>
      <c r="G375" s="78">
        <f ca="1">I375-'main page'!$K$27*hystere!N374</f>
        <v>-1121.5</v>
      </c>
      <c r="H375" s="62">
        <f ca="1">J375-'main page'!$K$27*N374</f>
        <v>-1121.5</v>
      </c>
      <c r="I375" s="62">
        <f t="shared" ca="1" si="34"/>
        <v>108</v>
      </c>
      <c r="J375" s="62">
        <f t="shared" ca="1" si="35"/>
        <v>108</v>
      </c>
      <c r="M375" s="62">
        <f ca="1">IF(ABS('main page'!$K$29*M374+(1-'main page'!$K$29)*(controls!$B$9/100)*100+'main page'!$K$25*(E375-B375)-M374)&lt;0.0000001,M374,'main page'!$K$29*M374+(1-'main page'!$K$29)*(controls!$B$9/100)*100+'main page'!$K$25*(E375-B375))</f>
        <v>-615.75</v>
      </c>
      <c r="N375" s="62">
        <f ca="1">IF(controls!$B$10=1,N374,O375-'main page'!$K$29*M375-(1-'main page'!$K$29)*controls!$B$9)</f>
        <v>615.75</v>
      </c>
      <c r="O375" s="61">
        <f t="shared" ca="1" si="30"/>
        <v>0</v>
      </c>
      <c r="P375" s="63">
        <f ca="1">IF(controls!$B$10=1,hystere!N375+hystere!M375,hystere!Q375)</f>
        <v>-716.73749999999995</v>
      </c>
      <c r="Q375" s="61">
        <f ca="1">IF('main page'!$Y$53=1,'choose m.p.'!$I$22*100,R375)</f>
        <v>-716.73749999999995</v>
      </c>
      <c r="R375" s="83">
        <f ca="1">'main page'!$K$29*M375+(1-'main page'!$K$29)*controls!$B$9+S375+(('main page'!$K$25*'main page'!$U$13*'main page'!$K$29)/('main page'!$K$27*(1+('main page'!$K$25^2)*'main page'!$U$13)))*(M375-(controls!$B$9/100)*100)</f>
        <v>-716.73749999999995</v>
      </c>
      <c r="S375" s="81">
        <f ca="1">IF(controls!$B$33=1,(J376-E375*X376-B375)/'main page'!$K$27,(I376-E375*X376-B375)/'main page'!$K$27)</f>
        <v>53.45</v>
      </c>
      <c r="U375" s="58">
        <f>IF(controls!$B$6=1,$AG$4*(1+('main page'!$K$35/100))^V375-$AG$4*(1+('main page'!$K$35/100))^V374,$AG$4*(1+('main page'!$G$8/100))*(1+('main page'!$K$35/100))^V375-$AG$4*(1+('main page'!$G$8/100))*(1+('main page'!$K$35/100))^V374)</f>
        <v>0</v>
      </c>
      <c r="V375" s="60">
        <v>367</v>
      </c>
      <c r="W375" s="36">
        <f ca="1">'normal case'!AC374</f>
        <v>0</v>
      </c>
      <c r="X375" s="36">
        <f ca="1">'normal case'!AD374</f>
        <v>0</v>
      </c>
      <c r="Y375" s="44">
        <f ca="1">IF(controls!$B$33=1,E375-($J$4-'main page'!$K$27*2)*(1+('main page'!$K$35/100))^A374,E375-$AG$5)</f>
        <v>-99.9</v>
      </c>
      <c r="Z375" s="44">
        <f ca="1">ABS(M375-(controls!$B$9/100)*100)</f>
        <v>617.75</v>
      </c>
      <c r="AI375" s="36"/>
      <c r="AJ375" s="36"/>
    </row>
    <row r="376" spans="1:36">
      <c r="A376" s="43">
        <v>373</v>
      </c>
      <c r="B376" s="62">
        <f ca="1">IF(controls!$B$6=2,AVERAGE(E372:E375)+B375*W376+hystere!$AG$9,AVERAGE(E372:E375)+B375*W376)</f>
        <v>1.1000000000000001</v>
      </c>
      <c r="C376" s="67">
        <f t="shared" ca="1" si="31"/>
        <v>0</v>
      </c>
      <c r="D376" s="88">
        <f t="shared" ca="1" si="32"/>
        <v>-1</v>
      </c>
      <c r="E376" s="64">
        <f t="shared" ca="1" si="33"/>
        <v>0.1</v>
      </c>
      <c r="F376" s="64">
        <f ca="1">IF('main page'!$K$34=1,hystere!H376,hystere!G376)</f>
        <v>-1123.5</v>
      </c>
      <c r="G376" s="78">
        <f ca="1">I376-'main page'!$K$27*hystere!N375</f>
        <v>-1123.5</v>
      </c>
      <c r="H376" s="62">
        <f ca="1">J376-'main page'!$K$27*N375</f>
        <v>-1123.5</v>
      </c>
      <c r="I376" s="62">
        <f t="shared" ca="1" si="34"/>
        <v>108</v>
      </c>
      <c r="J376" s="62">
        <f t="shared" ca="1" si="35"/>
        <v>108</v>
      </c>
      <c r="M376" s="62">
        <f ca="1">IF(ABS('main page'!$K$29*M375+(1-'main page'!$K$29)*(controls!$B$9/100)*100+'main page'!$K$25*(E376-B376)-M375)&lt;0.0000001,M375,'main page'!$K$29*M375+(1-'main page'!$K$29)*(controls!$B$9/100)*100+'main page'!$K$25*(E376-B376))</f>
        <v>-616.75</v>
      </c>
      <c r="N376" s="62">
        <f ca="1">IF(controls!$B$10=1,N375,O376-'main page'!$K$29*M376-(1-'main page'!$K$29)*controls!$B$9)</f>
        <v>616.75</v>
      </c>
      <c r="O376" s="61">
        <f t="shared" ca="1" si="30"/>
        <v>0</v>
      </c>
      <c r="P376" s="63">
        <f ca="1">IF(controls!$B$10=1,hystere!N376+hystere!M376,hystere!Q376)</f>
        <v>-717.98749999999995</v>
      </c>
      <c r="Q376" s="61">
        <f ca="1">IF('main page'!$Y$53=1,'choose m.p.'!$I$22*100,R376)</f>
        <v>-717.98749999999995</v>
      </c>
      <c r="R376" s="83">
        <f ca="1">'main page'!$K$29*M376+(1-'main page'!$K$29)*controls!$B$9+S376+(('main page'!$K$25*'main page'!$U$13*'main page'!$K$29)/('main page'!$K$27*(1+('main page'!$K$25^2)*'main page'!$U$13)))*(M376-(controls!$B$9/100)*100)</f>
        <v>-717.98749999999995</v>
      </c>
      <c r="S376" s="81">
        <f ca="1">IF(controls!$B$33=1,(J377-E376*X377-B376)/'main page'!$K$27,(I377-E376*X377-B376)/'main page'!$K$27)</f>
        <v>53.45</v>
      </c>
      <c r="U376" s="58">
        <f>IF(controls!$B$6=1,$AG$4*(1+('main page'!$K$35/100))^V376-$AG$4*(1+('main page'!$K$35/100))^V375,$AG$4*(1+('main page'!$G$8/100))*(1+('main page'!$K$35/100))^V376-$AG$4*(1+('main page'!$G$8/100))*(1+('main page'!$K$35/100))^V375)</f>
        <v>0</v>
      </c>
      <c r="V376" s="60">
        <v>368</v>
      </c>
      <c r="W376" s="36">
        <f>'normal case'!AC375</f>
        <v>0</v>
      </c>
      <c r="X376" s="36">
        <f>'normal case'!AD375</f>
        <v>0</v>
      </c>
      <c r="Y376" s="44">
        <f ca="1">IF(controls!$B$33=1,E376-($J$4-'main page'!$K$27*2)*(1+('main page'!$K$35/100))^A375,E376-$AG$5)</f>
        <v>-99.9</v>
      </c>
      <c r="Z376" s="44">
        <f ca="1">ABS(M376-(controls!$B$9/100)*100)</f>
        <v>618.75</v>
      </c>
      <c r="AI376" s="36"/>
      <c r="AJ376" s="36"/>
    </row>
    <row r="377" spans="1:36">
      <c r="A377" s="43">
        <v>374</v>
      </c>
      <c r="B377" s="62">
        <f ca="1">IF(controls!$B$6=2,AVERAGE(E373:E376)+B376*W377+hystere!$AG$9,AVERAGE(E373:E376)+B376*W377)</f>
        <v>1.1000000000000001</v>
      </c>
      <c r="C377" s="67">
        <f t="shared" ca="1" si="31"/>
        <v>0</v>
      </c>
      <c r="D377" s="88">
        <f t="shared" ca="1" si="32"/>
        <v>-1</v>
      </c>
      <c r="E377" s="64">
        <f t="shared" ca="1" si="33"/>
        <v>0.1</v>
      </c>
      <c r="F377" s="64">
        <f ca="1">IF('main page'!$K$34=1,hystere!H377,hystere!G377)</f>
        <v>-1125.5</v>
      </c>
      <c r="G377" s="78">
        <f ca="1">I377-'main page'!$K$27*hystere!N376</f>
        <v>-1125.5</v>
      </c>
      <c r="H377" s="62">
        <f ca="1">J377-'main page'!$K$27*N376</f>
        <v>-1125.5</v>
      </c>
      <c r="I377" s="62">
        <f t="shared" ca="1" si="34"/>
        <v>108</v>
      </c>
      <c r="J377" s="62">
        <f t="shared" ca="1" si="35"/>
        <v>108</v>
      </c>
      <c r="M377" s="62">
        <f ca="1">IF(ABS('main page'!$K$29*M376+(1-'main page'!$K$29)*(controls!$B$9/100)*100+'main page'!$K$25*(E377-B377)-M376)&lt;0.0000001,M376,'main page'!$K$29*M376+(1-'main page'!$K$29)*(controls!$B$9/100)*100+'main page'!$K$25*(E377-B377))</f>
        <v>-617.75</v>
      </c>
      <c r="N377" s="62">
        <f ca="1">IF(controls!$B$10=1,N376,O377-'main page'!$K$29*M377-(1-'main page'!$K$29)*controls!$B$9)</f>
        <v>617.75</v>
      </c>
      <c r="O377" s="61">
        <f t="shared" ca="1" si="30"/>
        <v>0</v>
      </c>
      <c r="P377" s="63">
        <f ca="1">IF(controls!$B$10=1,hystere!N377+hystere!M377,hystere!Q377)</f>
        <v>-719.23749999999995</v>
      </c>
      <c r="Q377" s="61">
        <f ca="1">IF('main page'!$Y$53=1,'choose m.p.'!$I$22*100,R377)</f>
        <v>-719.23749999999995</v>
      </c>
      <c r="R377" s="83">
        <f ca="1">'main page'!$K$29*M377+(1-'main page'!$K$29)*controls!$B$9+S377+(('main page'!$K$25*'main page'!$U$13*'main page'!$K$29)/('main page'!$K$27*(1+('main page'!$K$25^2)*'main page'!$U$13)))*(M377-(controls!$B$9/100)*100)</f>
        <v>-719.23749999999995</v>
      </c>
      <c r="S377" s="81">
        <f ca="1">IF(controls!$B$33=1,(J378-E377*X378-B377)/'main page'!$K$27,(I378-E377*X378-B377)/'main page'!$K$27)</f>
        <v>53.45</v>
      </c>
      <c r="U377" s="58">
        <f>IF(controls!$B$6=1,$AG$4*(1+('main page'!$K$35/100))^V377-$AG$4*(1+('main page'!$K$35/100))^V376,$AG$4*(1+('main page'!$G$8/100))*(1+('main page'!$K$35/100))^V377-$AG$4*(1+('main page'!$G$8/100))*(1+('main page'!$K$35/100))^V376)</f>
        <v>0</v>
      </c>
      <c r="V377" s="60">
        <v>369</v>
      </c>
      <c r="W377" s="36">
        <f>'normal case'!AC376</f>
        <v>0</v>
      </c>
      <c r="X377" s="36">
        <f>'normal case'!AD376</f>
        <v>0</v>
      </c>
      <c r="Y377" s="44">
        <f ca="1">IF(controls!$B$33=1,E377-($J$4-'main page'!$K$27*2)*(1+('main page'!$K$35/100))^A376,E377-$AG$5)</f>
        <v>-99.9</v>
      </c>
      <c r="Z377" s="44">
        <f ca="1">ABS(M377-(controls!$B$9/100)*100)</f>
        <v>619.75</v>
      </c>
      <c r="AI377" s="36"/>
      <c r="AJ377" s="36"/>
    </row>
    <row r="378" spans="1:36">
      <c r="A378" s="43">
        <v>375</v>
      </c>
      <c r="B378" s="62">
        <f ca="1">IF(controls!$B$6=2,AVERAGE(E374:E377)+B377*W378+hystere!$AG$9,AVERAGE(E374:E377)+B377*W378)</f>
        <v>1.1000000000000001</v>
      </c>
      <c r="C378" s="67">
        <f t="shared" ca="1" si="31"/>
        <v>0</v>
      </c>
      <c r="D378" s="88">
        <f t="shared" ca="1" si="32"/>
        <v>-1</v>
      </c>
      <c r="E378" s="64">
        <f t="shared" ca="1" si="33"/>
        <v>0.1</v>
      </c>
      <c r="F378" s="64">
        <f ca="1">IF('main page'!$K$34=1,hystere!H378,hystere!G378)</f>
        <v>-1127.5</v>
      </c>
      <c r="G378" s="78">
        <f ca="1">I378-'main page'!$K$27*hystere!N377</f>
        <v>-1127.5</v>
      </c>
      <c r="H378" s="62">
        <f ca="1">J378-'main page'!$K$27*N377</f>
        <v>-1127.5</v>
      </c>
      <c r="I378" s="62">
        <f t="shared" ca="1" si="34"/>
        <v>108</v>
      </c>
      <c r="J378" s="62">
        <f t="shared" ca="1" si="35"/>
        <v>108</v>
      </c>
      <c r="M378" s="62">
        <f ca="1">IF(ABS('main page'!$K$29*M377+(1-'main page'!$K$29)*(controls!$B$9/100)*100+'main page'!$K$25*(E378-B378)-M377)&lt;0.0000001,M377,'main page'!$K$29*M377+(1-'main page'!$K$29)*(controls!$B$9/100)*100+'main page'!$K$25*(E378-B378))</f>
        <v>-618.75</v>
      </c>
      <c r="N378" s="62">
        <f ca="1">IF(controls!$B$10=1,N377,O378-'main page'!$K$29*M378-(1-'main page'!$K$29)*controls!$B$9)</f>
        <v>618.75</v>
      </c>
      <c r="O378" s="61">
        <f t="shared" ca="1" si="30"/>
        <v>0</v>
      </c>
      <c r="P378" s="63">
        <f ca="1">IF(controls!$B$10=1,hystere!N378+hystere!M378,hystere!Q378)</f>
        <v>-720.48749999999995</v>
      </c>
      <c r="Q378" s="61">
        <f ca="1">IF('main page'!$Y$53=1,'choose m.p.'!$I$22*100,R378)</f>
        <v>-720.48749999999995</v>
      </c>
      <c r="R378" s="83">
        <f ca="1">'main page'!$K$29*M378+(1-'main page'!$K$29)*controls!$B$9+S378+(('main page'!$K$25*'main page'!$U$13*'main page'!$K$29)/('main page'!$K$27*(1+('main page'!$K$25^2)*'main page'!$U$13)))*(M378-(controls!$B$9/100)*100)</f>
        <v>-720.48749999999995</v>
      </c>
      <c r="S378" s="81">
        <f ca="1">IF(controls!$B$33=1,(J379-E378*X379-B378)/'main page'!$K$27,(I379-E378*X379-B378)/'main page'!$K$27)</f>
        <v>53.45</v>
      </c>
      <c r="U378" s="58">
        <f>IF(controls!$B$6=1,$AG$4*(1+('main page'!$K$35/100))^V378-$AG$4*(1+('main page'!$K$35/100))^V377,$AG$4*(1+('main page'!$G$8/100))*(1+('main page'!$K$35/100))^V378-$AG$4*(1+('main page'!$G$8/100))*(1+('main page'!$K$35/100))^V377)</f>
        <v>0</v>
      </c>
      <c r="V378" s="60">
        <v>370</v>
      </c>
      <c r="W378" s="36">
        <f ca="1">'normal case'!AC377</f>
        <v>0</v>
      </c>
      <c r="X378" s="36">
        <f ca="1">'normal case'!AD377</f>
        <v>0</v>
      </c>
      <c r="Y378" s="44">
        <f ca="1">IF(controls!$B$33=1,E378-($J$4-'main page'!$K$27*2)*(1+('main page'!$K$35/100))^A377,E378-$AG$5)</f>
        <v>-99.9</v>
      </c>
      <c r="Z378" s="44">
        <f ca="1">ABS(M378-(controls!$B$9/100)*100)</f>
        <v>620.75</v>
      </c>
      <c r="AI378" s="36"/>
      <c r="AJ378" s="36"/>
    </row>
    <row r="379" spans="1:36">
      <c r="A379" s="43">
        <v>376</v>
      </c>
      <c r="B379" s="62">
        <f ca="1">IF(controls!$B$6=2,AVERAGE(E375:E378)+B378*W379+hystere!$AG$9,AVERAGE(E375:E378)+B378*W379)</f>
        <v>1.1000000000000001</v>
      </c>
      <c r="C379" s="67">
        <f t="shared" ca="1" si="31"/>
        <v>0</v>
      </c>
      <c r="D379" s="88">
        <f t="shared" ca="1" si="32"/>
        <v>-1</v>
      </c>
      <c r="E379" s="64">
        <f t="shared" ca="1" si="33"/>
        <v>0.1</v>
      </c>
      <c r="F379" s="64">
        <f ca="1">IF('main page'!$K$34=1,hystere!H379,hystere!G379)</f>
        <v>-1129.5</v>
      </c>
      <c r="G379" s="78">
        <f ca="1">I379-'main page'!$K$27*hystere!N378</f>
        <v>-1129.5</v>
      </c>
      <c r="H379" s="62">
        <f ca="1">J379-'main page'!$K$27*N378</f>
        <v>-1129.5</v>
      </c>
      <c r="I379" s="62">
        <f t="shared" ca="1" si="34"/>
        <v>108</v>
      </c>
      <c r="J379" s="62">
        <f t="shared" ca="1" si="35"/>
        <v>108</v>
      </c>
      <c r="M379" s="62">
        <f ca="1">IF(ABS('main page'!$K$29*M378+(1-'main page'!$K$29)*(controls!$B$9/100)*100+'main page'!$K$25*(E379-B379)-M378)&lt;0.0000001,M378,'main page'!$K$29*M378+(1-'main page'!$K$29)*(controls!$B$9/100)*100+'main page'!$K$25*(E379-B379))</f>
        <v>-619.75</v>
      </c>
      <c r="N379" s="62">
        <f ca="1">IF(controls!$B$10=1,N378,O379-'main page'!$K$29*M379-(1-'main page'!$K$29)*controls!$B$9)</f>
        <v>619.75</v>
      </c>
      <c r="O379" s="61">
        <f t="shared" ca="1" si="30"/>
        <v>0</v>
      </c>
      <c r="P379" s="63">
        <f ca="1">IF(controls!$B$10=1,hystere!N379+hystere!M379,hystere!Q379)</f>
        <v>-721.73749999999995</v>
      </c>
      <c r="Q379" s="61">
        <f ca="1">IF('main page'!$Y$53=1,'choose m.p.'!$I$22*100,R379)</f>
        <v>-721.73749999999995</v>
      </c>
      <c r="R379" s="83">
        <f ca="1">'main page'!$K$29*M379+(1-'main page'!$K$29)*controls!$B$9+S379+(('main page'!$K$25*'main page'!$U$13*'main page'!$K$29)/('main page'!$K$27*(1+('main page'!$K$25^2)*'main page'!$U$13)))*(M379-(controls!$B$9/100)*100)</f>
        <v>-721.73749999999995</v>
      </c>
      <c r="S379" s="81">
        <f ca="1">IF(controls!$B$33=1,(J380-E379*X380-B379)/'main page'!$K$27,(I380-E379*X380-B379)/'main page'!$K$27)</f>
        <v>53.45</v>
      </c>
      <c r="U379" s="58">
        <f>IF(controls!$B$6=1,$AG$4*(1+('main page'!$K$35/100))^V379-$AG$4*(1+('main page'!$K$35/100))^V378,$AG$4*(1+('main page'!$G$8/100))*(1+('main page'!$K$35/100))^V379-$AG$4*(1+('main page'!$G$8/100))*(1+('main page'!$K$35/100))^V378)</f>
        <v>0</v>
      </c>
      <c r="V379" s="60">
        <v>371</v>
      </c>
      <c r="W379" s="36">
        <f>'normal case'!AC378</f>
        <v>0</v>
      </c>
      <c r="X379" s="36">
        <f>'normal case'!AD378</f>
        <v>0</v>
      </c>
      <c r="Y379" s="44">
        <f ca="1">IF(controls!$B$33=1,E379-($J$4-'main page'!$K$27*2)*(1+('main page'!$K$35/100))^A378,E379-$AG$5)</f>
        <v>-99.9</v>
      </c>
      <c r="Z379" s="44">
        <f ca="1">ABS(M379-(controls!$B$9/100)*100)</f>
        <v>621.75</v>
      </c>
      <c r="AI379" s="36"/>
      <c r="AJ379" s="36"/>
    </row>
    <row r="380" spans="1:36">
      <c r="A380" s="43">
        <v>377</v>
      </c>
      <c r="B380" s="62">
        <f ca="1">IF(controls!$B$6=2,AVERAGE(E376:E379)+B379*W380+hystere!$AG$9,AVERAGE(E376:E379)+B379*W380)</f>
        <v>1.1000000000000001</v>
      </c>
      <c r="C380" s="67">
        <f t="shared" ca="1" si="31"/>
        <v>0</v>
      </c>
      <c r="D380" s="88">
        <f t="shared" ca="1" si="32"/>
        <v>-1</v>
      </c>
      <c r="E380" s="64">
        <f t="shared" ca="1" si="33"/>
        <v>0.1</v>
      </c>
      <c r="F380" s="64">
        <f ca="1">IF('main page'!$K$34=1,hystere!H380,hystere!G380)</f>
        <v>-1131.5</v>
      </c>
      <c r="G380" s="78">
        <f ca="1">I380-'main page'!$K$27*hystere!N379</f>
        <v>-1131.5</v>
      </c>
      <c r="H380" s="62">
        <f ca="1">J380-'main page'!$K$27*N379</f>
        <v>-1131.5</v>
      </c>
      <c r="I380" s="62">
        <f t="shared" ca="1" si="34"/>
        <v>108</v>
      </c>
      <c r="J380" s="62">
        <f t="shared" ca="1" si="35"/>
        <v>108</v>
      </c>
      <c r="M380" s="62">
        <f ca="1">IF(ABS('main page'!$K$29*M379+(1-'main page'!$K$29)*(controls!$B$9/100)*100+'main page'!$K$25*(E380-B380)-M379)&lt;0.0000001,M379,'main page'!$K$29*M379+(1-'main page'!$K$29)*(controls!$B$9/100)*100+'main page'!$K$25*(E380-B380))</f>
        <v>-620.75</v>
      </c>
      <c r="N380" s="62">
        <f ca="1">IF(controls!$B$10=1,N379,O380-'main page'!$K$29*M380-(1-'main page'!$K$29)*controls!$B$9)</f>
        <v>620.75</v>
      </c>
      <c r="O380" s="61">
        <f t="shared" ca="1" si="30"/>
        <v>0</v>
      </c>
      <c r="P380" s="63">
        <f ca="1">IF(controls!$B$10=1,hystere!N380+hystere!M380,hystere!Q380)</f>
        <v>-722.98749999999995</v>
      </c>
      <c r="Q380" s="61">
        <f ca="1">IF('main page'!$Y$53=1,'choose m.p.'!$I$22*100,R380)</f>
        <v>-722.98749999999995</v>
      </c>
      <c r="R380" s="83">
        <f ca="1">'main page'!$K$29*M380+(1-'main page'!$K$29)*controls!$B$9+S380+(('main page'!$K$25*'main page'!$U$13*'main page'!$K$29)/('main page'!$K$27*(1+('main page'!$K$25^2)*'main page'!$U$13)))*(M380-(controls!$B$9/100)*100)</f>
        <v>-722.98749999999995</v>
      </c>
      <c r="S380" s="81">
        <f ca="1">IF(controls!$B$33=1,(J381-E380*X381-B380)/'main page'!$K$27,(I381-E380*X381-B380)/'main page'!$K$27)</f>
        <v>53.45</v>
      </c>
      <c r="U380" s="58">
        <f>IF(controls!$B$6=1,$AG$4*(1+('main page'!$K$35/100))^V380-$AG$4*(1+('main page'!$K$35/100))^V379,$AG$4*(1+('main page'!$G$8/100))*(1+('main page'!$K$35/100))^V380-$AG$4*(1+('main page'!$G$8/100))*(1+('main page'!$K$35/100))^V379)</f>
        <v>0</v>
      </c>
      <c r="V380" s="60">
        <v>372</v>
      </c>
      <c r="W380" s="36">
        <f>'normal case'!AC379</f>
        <v>0</v>
      </c>
      <c r="X380" s="36">
        <f>'normal case'!AD379</f>
        <v>0</v>
      </c>
      <c r="Y380" s="44">
        <f ca="1">IF(controls!$B$33=1,E380-($J$4-'main page'!$K$27*2)*(1+('main page'!$K$35/100))^A379,E380-$AG$5)</f>
        <v>-99.9</v>
      </c>
      <c r="Z380" s="44">
        <f ca="1">ABS(M380-(controls!$B$9/100)*100)</f>
        <v>622.75</v>
      </c>
      <c r="AI380" s="36"/>
      <c r="AJ380" s="36"/>
    </row>
    <row r="381" spans="1:36">
      <c r="A381" s="43">
        <v>378</v>
      </c>
      <c r="B381" s="62">
        <f ca="1">IF(controls!$B$6=2,AVERAGE(E377:E380)+B380*W381+hystere!$AG$9,AVERAGE(E377:E380)+B380*W381)</f>
        <v>1.1000000000000001</v>
      </c>
      <c r="C381" s="67">
        <f t="shared" ca="1" si="31"/>
        <v>0</v>
      </c>
      <c r="D381" s="88">
        <f t="shared" ca="1" si="32"/>
        <v>-1</v>
      </c>
      <c r="E381" s="64">
        <f t="shared" ca="1" si="33"/>
        <v>0.1</v>
      </c>
      <c r="F381" s="64">
        <f ca="1">IF('main page'!$K$34=1,hystere!H381,hystere!G381)</f>
        <v>-1133.5</v>
      </c>
      <c r="G381" s="78">
        <f ca="1">I381-'main page'!$K$27*hystere!N380</f>
        <v>-1133.5</v>
      </c>
      <c r="H381" s="62">
        <f ca="1">J381-'main page'!$K$27*N380</f>
        <v>-1133.5</v>
      </c>
      <c r="I381" s="62">
        <f t="shared" ca="1" si="34"/>
        <v>108</v>
      </c>
      <c r="J381" s="62">
        <f t="shared" ca="1" si="35"/>
        <v>108</v>
      </c>
      <c r="M381" s="62">
        <f ca="1">IF(ABS('main page'!$K$29*M380+(1-'main page'!$K$29)*(controls!$B$9/100)*100+'main page'!$K$25*(E381-B381)-M380)&lt;0.0000001,M380,'main page'!$K$29*M380+(1-'main page'!$K$29)*(controls!$B$9/100)*100+'main page'!$K$25*(E381-B381))</f>
        <v>-621.75</v>
      </c>
      <c r="N381" s="62">
        <f ca="1">IF(controls!$B$10=1,N380,O381-'main page'!$K$29*M381-(1-'main page'!$K$29)*controls!$B$9)</f>
        <v>621.75</v>
      </c>
      <c r="O381" s="61">
        <f t="shared" ca="1" si="30"/>
        <v>0</v>
      </c>
      <c r="P381" s="63">
        <f ca="1">IF(controls!$B$10=1,hystere!N381+hystere!M381,hystere!Q381)</f>
        <v>-724.23749999999995</v>
      </c>
      <c r="Q381" s="61">
        <f ca="1">IF('main page'!$Y$53=1,'choose m.p.'!$I$22*100,R381)</f>
        <v>-724.23749999999995</v>
      </c>
      <c r="R381" s="83">
        <f ca="1">'main page'!$K$29*M381+(1-'main page'!$K$29)*controls!$B$9+S381+(('main page'!$K$25*'main page'!$U$13*'main page'!$K$29)/('main page'!$K$27*(1+('main page'!$K$25^2)*'main page'!$U$13)))*(M381-(controls!$B$9/100)*100)</f>
        <v>-724.23749999999995</v>
      </c>
      <c r="S381" s="81">
        <f ca="1">IF(controls!$B$33=1,(J382-E381*X382-B381)/'main page'!$K$27,(I382-E381*X382-B381)/'main page'!$K$27)</f>
        <v>53.45</v>
      </c>
      <c r="U381" s="58">
        <f>IF(controls!$B$6=1,$AG$4*(1+('main page'!$K$35/100))^V381-$AG$4*(1+('main page'!$K$35/100))^V380,$AG$4*(1+('main page'!$G$8/100))*(1+('main page'!$K$35/100))^V381-$AG$4*(1+('main page'!$G$8/100))*(1+('main page'!$K$35/100))^V380)</f>
        <v>0</v>
      </c>
      <c r="V381" s="60">
        <v>373</v>
      </c>
      <c r="W381" s="36">
        <f ca="1">'normal case'!AC380</f>
        <v>0</v>
      </c>
      <c r="X381" s="36">
        <f ca="1">'normal case'!AD380</f>
        <v>0</v>
      </c>
      <c r="Y381" s="44">
        <f ca="1">IF(controls!$B$33=1,E381-($J$4-'main page'!$K$27*2)*(1+('main page'!$K$35/100))^A380,E381-$AG$5)</f>
        <v>-99.9</v>
      </c>
      <c r="Z381" s="44">
        <f ca="1">ABS(M381-(controls!$B$9/100)*100)</f>
        <v>623.75</v>
      </c>
      <c r="AI381" s="36"/>
      <c r="AJ381" s="36"/>
    </row>
    <row r="382" spans="1:36">
      <c r="A382" s="43">
        <v>379</v>
      </c>
      <c r="B382" s="62">
        <f ca="1">IF(controls!$B$6=2,AVERAGE(E378:E381)+B381*W382+hystere!$AG$9,AVERAGE(E378:E381)+B381*W382)</f>
        <v>1.1000000000000001</v>
      </c>
      <c r="C382" s="67">
        <f t="shared" ca="1" si="31"/>
        <v>0</v>
      </c>
      <c r="D382" s="88">
        <f t="shared" ca="1" si="32"/>
        <v>-1</v>
      </c>
      <c r="E382" s="64">
        <f t="shared" ca="1" si="33"/>
        <v>0.1</v>
      </c>
      <c r="F382" s="64">
        <f ca="1">IF('main page'!$K$34=1,hystere!H382,hystere!G382)</f>
        <v>-1135.5</v>
      </c>
      <c r="G382" s="78">
        <f ca="1">I382-'main page'!$K$27*hystere!N381</f>
        <v>-1135.5</v>
      </c>
      <c r="H382" s="62">
        <f ca="1">J382-'main page'!$K$27*N381</f>
        <v>-1135.5</v>
      </c>
      <c r="I382" s="62">
        <f t="shared" ca="1" si="34"/>
        <v>108</v>
      </c>
      <c r="J382" s="62">
        <f t="shared" ca="1" si="35"/>
        <v>108</v>
      </c>
      <c r="M382" s="62">
        <f ca="1">IF(ABS('main page'!$K$29*M381+(1-'main page'!$K$29)*(controls!$B$9/100)*100+'main page'!$K$25*(E382-B382)-M381)&lt;0.0000001,M381,'main page'!$K$29*M381+(1-'main page'!$K$29)*(controls!$B$9/100)*100+'main page'!$K$25*(E382-B382))</f>
        <v>-622.75</v>
      </c>
      <c r="N382" s="62">
        <f ca="1">IF(controls!$B$10=1,N381,O382-'main page'!$K$29*M382-(1-'main page'!$K$29)*controls!$B$9)</f>
        <v>622.75</v>
      </c>
      <c r="O382" s="61">
        <f t="shared" ca="1" si="30"/>
        <v>0</v>
      </c>
      <c r="P382" s="63">
        <f ca="1">IF(controls!$B$10=1,hystere!N382+hystere!M382,hystere!Q382)</f>
        <v>-725.48749999999995</v>
      </c>
      <c r="Q382" s="61">
        <f ca="1">IF('main page'!$Y$53=1,'choose m.p.'!$I$22*100,R382)</f>
        <v>-725.48749999999995</v>
      </c>
      <c r="R382" s="83">
        <f ca="1">'main page'!$K$29*M382+(1-'main page'!$K$29)*controls!$B$9+S382+(('main page'!$K$25*'main page'!$U$13*'main page'!$K$29)/('main page'!$K$27*(1+('main page'!$K$25^2)*'main page'!$U$13)))*(M382-(controls!$B$9/100)*100)</f>
        <v>-725.48749999999995</v>
      </c>
      <c r="S382" s="81">
        <f ca="1">IF(controls!$B$33=1,(J383-E382*X383-B382)/'main page'!$K$27,(I383-E382*X383-B382)/'main page'!$K$27)</f>
        <v>53.45</v>
      </c>
      <c r="U382" s="58">
        <f>IF(controls!$B$6=1,$AG$4*(1+('main page'!$K$35/100))^V382-$AG$4*(1+('main page'!$K$35/100))^V381,$AG$4*(1+('main page'!$G$8/100))*(1+('main page'!$K$35/100))^V382-$AG$4*(1+('main page'!$G$8/100))*(1+('main page'!$K$35/100))^V381)</f>
        <v>0</v>
      </c>
      <c r="V382" s="60">
        <v>374</v>
      </c>
      <c r="W382" s="36">
        <f>'normal case'!AC381</f>
        <v>0</v>
      </c>
      <c r="X382" s="36">
        <f>'normal case'!AD381</f>
        <v>0</v>
      </c>
      <c r="Y382" s="44">
        <f ca="1">IF(controls!$B$33=1,E382-($J$4-'main page'!$K$27*2)*(1+('main page'!$K$35/100))^A381,E382-$AG$5)</f>
        <v>-99.9</v>
      </c>
      <c r="Z382" s="44">
        <f ca="1">ABS(M382-(controls!$B$9/100)*100)</f>
        <v>624.75</v>
      </c>
      <c r="AI382" s="36"/>
      <c r="AJ382" s="36"/>
    </row>
    <row r="383" spans="1:36">
      <c r="A383" s="43">
        <v>380</v>
      </c>
      <c r="B383" s="62">
        <f ca="1">IF(controls!$B$6=2,AVERAGE(E379:E382)+B382*W383+hystere!$AG$9,AVERAGE(E379:E382)+B382*W383)</f>
        <v>1.1000000000000001</v>
      </c>
      <c r="C383" s="67">
        <f t="shared" ca="1" si="31"/>
        <v>0</v>
      </c>
      <c r="D383" s="88">
        <f t="shared" ca="1" si="32"/>
        <v>-1</v>
      </c>
      <c r="E383" s="64">
        <f t="shared" ca="1" si="33"/>
        <v>0.1</v>
      </c>
      <c r="F383" s="64">
        <f ca="1">IF('main page'!$K$34=1,hystere!H383,hystere!G383)</f>
        <v>-1137.5</v>
      </c>
      <c r="G383" s="78">
        <f ca="1">I383-'main page'!$K$27*hystere!N382</f>
        <v>-1137.5</v>
      </c>
      <c r="H383" s="62">
        <f ca="1">J383-'main page'!$K$27*N382</f>
        <v>-1137.5</v>
      </c>
      <c r="I383" s="62">
        <f t="shared" ca="1" si="34"/>
        <v>108</v>
      </c>
      <c r="J383" s="62">
        <f t="shared" ca="1" si="35"/>
        <v>108</v>
      </c>
      <c r="M383" s="62">
        <f ca="1">IF(ABS('main page'!$K$29*M382+(1-'main page'!$K$29)*(controls!$B$9/100)*100+'main page'!$K$25*(E383-B383)-M382)&lt;0.0000001,M382,'main page'!$K$29*M382+(1-'main page'!$K$29)*(controls!$B$9/100)*100+'main page'!$K$25*(E383-B383))</f>
        <v>-623.75</v>
      </c>
      <c r="N383" s="62">
        <f ca="1">IF(controls!$B$10=1,N382,O383-'main page'!$K$29*M383-(1-'main page'!$K$29)*controls!$B$9)</f>
        <v>623.75</v>
      </c>
      <c r="O383" s="61">
        <f t="shared" ca="1" si="30"/>
        <v>0</v>
      </c>
      <c r="P383" s="63">
        <f ca="1">IF(controls!$B$10=1,hystere!N383+hystere!M383,hystere!Q383)</f>
        <v>-726.73749999999995</v>
      </c>
      <c r="Q383" s="61">
        <f ca="1">IF('main page'!$Y$53=1,'choose m.p.'!$I$22*100,R383)</f>
        <v>-726.73749999999995</v>
      </c>
      <c r="R383" s="83">
        <f ca="1">'main page'!$K$29*M383+(1-'main page'!$K$29)*controls!$B$9+S383+(('main page'!$K$25*'main page'!$U$13*'main page'!$K$29)/('main page'!$K$27*(1+('main page'!$K$25^2)*'main page'!$U$13)))*(M383-(controls!$B$9/100)*100)</f>
        <v>-726.73749999999995</v>
      </c>
      <c r="S383" s="81">
        <f ca="1">IF(controls!$B$33=1,(J384-E383*X384-B383)/'main page'!$K$27,(I384-E383*X384-B383)/'main page'!$K$27)</f>
        <v>53.45</v>
      </c>
      <c r="U383" s="58">
        <f>IF(controls!$B$6=1,$AG$4*(1+('main page'!$K$35/100))^V383-$AG$4*(1+('main page'!$K$35/100))^V382,$AG$4*(1+('main page'!$G$8/100))*(1+('main page'!$K$35/100))^V383-$AG$4*(1+('main page'!$G$8/100))*(1+('main page'!$K$35/100))^V382)</f>
        <v>0</v>
      </c>
      <c r="V383" s="60">
        <v>375</v>
      </c>
      <c r="W383" s="36">
        <f>'normal case'!AC382</f>
        <v>0</v>
      </c>
      <c r="X383" s="36">
        <f>'normal case'!AD382</f>
        <v>0</v>
      </c>
      <c r="Y383" s="44">
        <f ca="1">IF(controls!$B$33=1,E383-($J$4-'main page'!$K$27*2)*(1+('main page'!$K$35/100))^A382,E383-$AG$5)</f>
        <v>-99.9</v>
      </c>
      <c r="Z383" s="44">
        <f ca="1">ABS(M383-(controls!$B$9/100)*100)</f>
        <v>625.75</v>
      </c>
      <c r="AI383" s="36"/>
      <c r="AJ383" s="36"/>
    </row>
    <row r="384" spans="1:36">
      <c r="A384" s="43">
        <v>381</v>
      </c>
      <c r="B384" s="62">
        <f ca="1">IF(controls!$B$6=2,AVERAGE(E380:E383)+B383*W384+hystere!$AG$9,AVERAGE(E380:E383)+B383*W384)</f>
        <v>1.1000000000000001</v>
      </c>
      <c r="C384" s="67">
        <f t="shared" ca="1" si="31"/>
        <v>0</v>
      </c>
      <c r="D384" s="88">
        <f t="shared" ca="1" si="32"/>
        <v>-1</v>
      </c>
      <c r="E384" s="64">
        <f t="shared" ca="1" si="33"/>
        <v>0.1</v>
      </c>
      <c r="F384" s="64">
        <f ca="1">IF('main page'!$K$34=1,hystere!H384,hystere!G384)</f>
        <v>-1139.5</v>
      </c>
      <c r="G384" s="78">
        <f ca="1">I384-'main page'!$K$27*hystere!N383</f>
        <v>-1139.5</v>
      </c>
      <c r="H384" s="62">
        <f ca="1">J384-'main page'!$K$27*N383</f>
        <v>-1139.5</v>
      </c>
      <c r="I384" s="62">
        <f t="shared" ca="1" si="34"/>
        <v>108</v>
      </c>
      <c r="J384" s="62">
        <f t="shared" ca="1" si="35"/>
        <v>108</v>
      </c>
      <c r="M384" s="62">
        <f ca="1">IF(ABS('main page'!$K$29*M383+(1-'main page'!$K$29)*(controls!$B$9/100)*100+'main page'!$K$25*(E384-B384)-M383)&lt;0.0000001,M383,'main page'!$K$29*M383+(1-'main page'!$K$29)*(controls!$B$9/100)*100+'main page'!$K$25*(E384-B384))</f>
        <v>-624.75</v>
      </c>
      <c r="N384" s="62">
        <f ca="1">IF(controls!$B$10=1,N383,O384-'main page'!$K$29*M384-(1-'main page'!$K$29)*controls!$B$9)</f>
        <v>624.75</v>
      </c>
      <c r="O384" s="61">
        <f t="shared" ca="1" si="30"/>
        <v>0</v>
      </c>
      <c r="P384" s="63">
        <f ca="1">IF(controls!$B$10=1,hystere!N384+hystere!M384,hystere!Q384)</f>
        <v>-727.98749999999995</v>
      </c>
      <c r="Q384" s="61">
        <f ca="1">IF('main page'!$Y$53=1,'choose m.p.'!$I$22*100,R384)</f>
        <v>-727.98749999999995</v>
      </c>
      <c r="R384" s="83">
        <f ca="1">'main page'!$K$29*M384+(1-'main page'!$K$29)*controls!$B$9+S384+(('main page'!$K$25*'main page'!$U$13*'main page'!$K$29)/('main page'!$K$27*(1+('main page'!$K$25^2)*'main page'!$U$13)))*(M384-(controls!$B$9/100)*100)</f>
        <v>-727.98749999999995</v>
      </c>
      <c r="S384" s="81">
        <f ca="1">IF(controls!$B$33=1,(J385-E384*X385-B384)/'main page'!$K$27,(I385-E384*X385-B384)/'main page'!$K$27)</f>
        <v>53.45</v>
      </c>
      <c r="U384" s="58">
        <f>IF(controls!$B$6=1,$AG$4*(1+('main page'!$K$35/100))^V384-$AG$4*(1+('main page'!$K$35/100))^V383,$AG$4*(1+('main page'!$G$8/100))*(1+('main page'!$K$35/100))^V384-$AG$4*(1+('main page'!$G$8/100))*(1+('main page'!$K$35/100))^V383)</f>
        <v>0</v>
      </c>
      <c r="V384" s="60">
        <v>376</v>
      </c>
      <c r="W384" s="36">
        <f ca="1">'normal case'!AC383</f>
        <v>0</v>
      </c>
      <c r="X384" s="36">
        <f ca="1">'normal case'!AD383</f>
        <v>0</v>
      </c>
      <c r="Y384" s="44">
        <f ca="1">IF(controls!$B$33=1,E384-($J$4-'main page'!$K$27*2)*(1+('main page'!$K$35/100))^A383,E384-$AG$5)</f>
        <v>-99.9</v>
      </c>
      <c r="Z384" s="44">
        <f ca="1">ABS(M384-(controls!$B$9/100)*100)</f>
        <v>626.75</v>
      </c>
      <c r="AI384" s="36"/>
      <c r="AJ384" s="36"/>
    </row>
    <row r="385" spans="1:36">
      <c r="A385" s="43">
        <v>382</v>
      </c>
      <c r="B385" s="62">
        <f ca="1">IF(controls!$B$6=2,AVERAGE(E381:E384)+B384*W385+hystere!$AG$9,AVERAGE(E381:E384)+B384*W385)</f>
        <v>1.1000000000000001</v>
      </c>
      <c r="C385" s="67">
        <f t="shared" ca="1" si="31"/>
        <v>0</v>
      </c>
      <c r="D385" s="88">
        <f t="shared" ca="1" si="32"/>
        <v>-1</v>
      </c>
      <c r="E385" s="64">
        <f t="shared" ca="1" si="33"/>
        <v>0.1</v>
      </c>
      <c r="F385" s="64">
        <f ca="1">IF('main page'!$K$34=1,hystere!H385,hystere!G385)</f>
        <v>-1141.5</v>
      </c>
      <c r="G385" s="78">
        <f ca="1">I385-'main page'!$K$27*hystere!N384</f>
        <v>-1141.5</v>
      </c>
      <c r="H385" s="62">
        <f ca="1">J385-'main page'!$K$27*N384</f>
        <v>-1141.5</v>
      </c>
      <c r="I385" s="62">
        <f t="shared" ca="1" si="34"/>
        <v>108</v>
      </c>
      <c r="J385" s="62">
        <f t="shared" ca="1" si="35"/>
        <v>108</v>
      </c>
      <c r="M385" s="62">
        <f ca="1">IF(ABS('main page'!$K$29*M384+(1-'main page'!$K$29)*(controls!$B$9/100)*100+'main page'!$K$25*(E385-B385)-M384)&lt;0.0000001,M384,'main page'!$K$29*M384+(1-'main page'!$K$29)*(controls!$B$9/100)*100+'main page'!$K$25*(E385-B385))</f>
        <v>-625.75</v>
      </c>
      <c r="N385" s="62">
        <f ca="1">IF(controls!$B$10=1,N384,O385-'main page'!$K$29*M385-(1-'main page'!$K$29)*controls!$B$9)</f>
        <v>625.75</v>
      </c>
      <c r="O385" s="61">
        <f t="shared" ca="1" si="30"/>
        <v>0</v>
      </c>
      <c r="P385" s="63">
        <f ca="1">IF(controls!$B$10=1,hystere!N385+hystere!M385,hystere!Q385)</f>
        <v>-729.23749999999995</v>
      </c>
      <c r="Q385" s="61">
        <f ca="1">IF('main page'!$Y$53=1,'choose m.p.'!$I$22*100,R385)</f>
        <v>-729.23749999999995</v>
      </c>
      <c r="R385" s="83">
        <f ca="1">'main page'!$K$29*M385+(1-'main page'!$K$29)*controls!$B$9+S385+(('main page'!$K$25*'main page'!$U$13*'main page'!$K$29)/('main page'!$K$27*(1+('main page'!$K$25^2)*'main page'!$U$13)))*(M385-(controls!$B$9/100)*100)</f>
        <v>-729.23749999999995</v>
      </c>
      <c r="S385" s="81">
        <f ca="1">IF(controls!$B$33=1,(J386-E385*X386-B385)/'main page'!$K$27,(I386-E385*X386-B385)/'main page'!$K$27)</f>
        <v>53.45</v>
      </c>
      <c r="U385" s="58">
        <f>IF(controls!$B$6=1,$AG$4*(1+('main page'!$K$35/100))^V385-$AG$4*(1+('main page'!$K$35/100))^V384,$AG$4*(1+('main page'!$G$8/100))*(1+('main page'!$K$35/100))^V385-$AG$4*(1+('main page'!$G$8/100))*(1+('main page'!$K$35/100))^V384)</f>
        <v>0</v>
      </c>
      <c r="V385" s="60">
        <v>377</v>
      </c>
      <c r="W385" s="36">
        <f>'normal case'!AC384</f>
        <v>0</v>
      </c>
      <c r="X385" s="36">
        <f>'normal case'!AD384</f>
        <v>0</v>
      </c>
      <c r="Y385" s="44">
        <f ca="1">IF(controls!$B$33=1,E385-($J$4-'main page'!$K$27*2)*(1+('main page'!$K$35/100))^A384,E385-$AG$5)</f>
        <v>-99.9</v>
      </c>
      <c r="Z385" s="44">
        <f ca="1">ABS(M385-(controls!$B$9/100)*100)</f>
        <v>627.75</v>
      </c>
      <c r="AI385" s="36"/>
      <c r="AJ385" s="36"/>
    </row>
    <row r="386" spans="1:36">
      <c r="A386" s="43">
        <v>383</v>
      </c>
      <c r="B386" s="62">
        <f ca="1">IF(controls!$B$6=2,AVERAGE(E382:E385)+B385*W386+hystere!$AG$9,AVERAGE(E382:E385)+B385*W386)</f>
        <v>1.1000000000000001</v>
      </c>
      <c r="C386" s="67">
        <f t="shared" ca="1" si="31"/>
        <v>0</v>
      </c>
      <c r="D386" s="88">
        <f t="shared" ca="1" si="32"/>
        <v>-1</v>
      </c>
      <c r="E386" s="64">
        <f t="shared" ca="1" si="33"/>
        <v>0.1</v>
      </c>
      <c r="F386" s="64">
        <f ca="1">IF('main page'!$K$34=1,hystere!H386,hystere!G386)</f>
        <v>-1143.5</v>
      </c>
      <c r="G386" s="78">
        <f ca="1">I386-'main page'!$K$27*hystere!N385</f>
        <v>-1143.5</v>
      </c>
      <c r="H386" s="62">
        <f ca="1">J386-'main page'!$K$27*N385</f>
        <v>-1143.5</v>
      </c>
      <c r="I386" s="62">
        <f t="shared" ca="1" si="34"/>
        <v>108</v>
      </c>
      <c r="J386" s="62">
        <f t="shared" ca="1" si="35"/>
        <v>108</v>
      </c>
      <c r="M386" s="62">
        <f ca="1">IF(ABS('main page'!$K$29*M385+(1-'main page'!$K$29)*(controls!$B$9/100)*100+'main page'!$K$25*(E386-B386)-M385)&lt;0.0000001,M385,'main page'!$K$29*M385+(1-'main page'!$K$29)*(controls!$B$9/100)*100+'main page'!$K$25*(E386-B386))</f>
        <v>-626.75</v>
      </c>
      <c r="N386" s="62">
        <f ca="1">IF(controls!$B$10=1,N385,O386-'main page'!$K$29*M386-(1-'main page'!$K$29)*controls!$B$9)</f>
        <v>626.75</v>
      </c>
      <c r="O386" s="61">
        <f t="shared" ca="1" si="30"/>
        <v>0</v>
      </c>
      <c r="P386" s="63">
        <f ca="1">IF(controls!$B$10=1,hystere!N386+hystere!M386,hystere!Q386)</f>
        <v>-730.48749999999995</v>
      </c>
      <c r="Q386" s="61">
        <f ca="1">IF('main page'!$Y$53=1,'choose m.p.'!$I$22*100,R386)</f>
        <v>-730.48749999999995</v>
      </c>
      <c r="R386" s="83">
        <f ca="1">'main page'!$K$29*M386+(1-'main page'!$K$29)*controls!$B$9+S386+(('main page'!$K$25*'main page'!$U$13*'main page'!$K$29)/('main page'!$K$27*(1+('main page'!$K$25^2)*'main page'!$U$13)))*(M386-(controls!$B$9/100)*100)</f>
        <v>-730.48749999999995</v>
      </c>
      <c r="S386" s="81">
        <f ca="1">IF(controls!$B$33=1,(J387-E386*X387-B386)/'main page'!$K$27,(I387-E386*X387-B386)/'main page'!$K$27)</f>
        <v>53.45</v>
      </c>
      <c r="U386" s="58">
        <f>IF(controls!$B$6=1,$AG$4*(1+('main page'!$K$35/100))^V386-$AG$4*(1+('main page'!$K$35/100))^V385,$AG$4*(1+('main page'!$G$8/100))*(1+('main page'!$K$35/100))^V386-$AG$4*(1+('main page'!$G$8/100))*(1+('main page'!$K$35/100))^V385)</f>
        <v>0</v>
      </c>
      <c r="V386" s="60">
        <v>378</v>
      </c>
      <c r="W386" s="36">
        <f>'normal case'!AC385</f>
        <v>0</v>
      </c>
      <c r="X386" s="36">
        <f>'normal case'!AD385</f>
        <v>0</v>
      </c>
      <c r="Y386" s="44">
        <f ca="1">IF(controls!$B$33=1,E386-($J$4-'main page'!$K$27*2)*(1+('main page'!$K$35/100))^A385,E386-$AG$5)</f>
        <v>-99.9</v>
      </c>
      <c r="Z386" s="44">
        <f ca="1">ABS(M386-(controls!$B$9/100)*100)</f>
        <v>628.75</v>
      </c>
      <c r="AI386" s="36"/>
      <c r="AJ386" s="36"/>
    </row>
    <row r="387" spans="1:36">
      <c r="A387" s="43">
        <v>384</v>
      </c>
      <c r="B387" s="62">
        <f ca="1">IF(controls!$B$6=2,AVERAGE(E383:E386)+B386*W387+hystere!$AG$9,AVERAGE(E383:E386)+B386*W387)</f>
        <v>1.1000000000000001</v>
      </c>
      <c r="C387" s="67">
        <f t="shared" ca="1" si="31"/>
        <v>0</v>
      </c>
      <c r="D387" s="88">
        <f t="shared" ca="1" si="32"/>
        <v>-1</v>
      </c>
      <c r="E387" s="64">
        <f t="shared" ca="1" si="33"/>
        <v>0.1</v>
      </c>
      <c r="F387" s="64">
        <f ca="1">IF('main page'!$K$34=1,hystere!H387,hystere!G387)</f>
        <v>-1145.5</v>
      </c>
      <c r="G387" s="78">
        <f ca="1">I387-'main page'!$K$27*hystere!N386</f>
        <v>-1145.5</v>
      </c>
      <c r="H387" s="62">
        <f ca="1">J387-'main page'!$K$27*N386</f>
        <v>-1145.5</v>
      </c>
      <c r="I387" s="62">
        <f t="shared" ca="1" si="34"/>
        <v>108</v>
      </c>
      <c r="J387" s="62">
        <f t="shared" ca="1" si="35"/>
        <v>108</v>
      </c>
      <c r="M387" s="62">
        <f ca="1">IF(ABS('main page'!$K$29*M386+(1-'main page'!$K$29)*(controls!$B$9/100)*100+'main page'!$K$25*(E387-B387)-M386)&lt;0.0000001,M386,'main page'!$K$29*M386+(1-'main page'!$K$29)*(controls!$B$9/100)*100+'main page'!$K$25*(E387-B387))</f>
        <v>-627.75</v>
      </c>
      <c r="N387" s="62">
        <f ca="1">IF(controls!$B$10=1,N386,O387-'main page'!$K$29*M387-(1-'main page'!$K$29)*controls!$B$9)</f>
        <v>627.75</v>
      </c>
      <c r="O387" s="61">
        <f t="shared" ca="1" si="30"/>
        <v>0</v>
      </c>
      <c r="P387" s="63">
        <f ca="1">IF(controls!$B$10=1,hystere!N387+hystere!M387,hystere!Q387)</f>
        <v>-731.73749999999995</v>
      </c>
      <c r="Q387" s="61">
        <f ca="1">IF('main page'!$Y$53=1,'choose m.p.'!$I$22*100,R387)</f>
        <v>-731.73749999999995</v>
      </c>
      <c r="R387" s="83">
        <f ca="1">'main page'!$K$29*M387+(1-'main page'!$K$29)*controls!$B$9+S387+(('main page'!$K$25*'main page'!$U$13*'main page'!$K$29)/('main page'!$K$27*(1+('main page'!$K$25^2)*'main page'!$U$13)))*(M387-(controls!$B$9/100)*100)</f>
        <v>-731.73749999999995</v>
      </c>
      <c r="S387" s="81">
        <f ca="1">IF(controls!$B$33=1,(J388-E387*X388-B387)/'main page'!$K$27,(I388-E387*X388-B387)/'main page'!$K$27)</f>
        <v>53.45</v>
      </c>
      <c r="U387" s="58">
        <f>IF(controls!$B$6=1,$AG$4*(1+('main page'!$K$35/100))^V387-$AG$4*(1+('main page'!$K$35/100))^V386,$AG$4*(1+('main page'!$G$8/100))*(1+('main page'!$K$35/100))^V387-$AG$4*(1+('main page'!$G$8/100))*(1+('main page'!$K$35/100))^V386)</f>
        <v>0</v>
      </c>
      <c r="V387" s="60">
        <v>379</v>
      </c>
      <c r="W387" s="36">
        <f ca="1">'normal case'!AC386</f>
        <v>0</v>
      </c>
      <c r="X387" s="36">
        <f ca="1">'normal case'!AD386</f>
        <v>0</v>
      </c>
      <c r="Y387" s="44">
        <f ca="1">IF(controls!$B$33=1,E387-($J$4-'main page'!$K$27*2)*(1+('main page'!$K$35/100))^A386,E387-$AG$5)</f>
        <v>-99.9</v>
      </c>
      <c r="Z387" s="44">
        <f ca="1">ABS(M387-(controls!$B$9/100)*100)</f>
        <v>629.75</v>
      </c>
      <c r="AI387" s="36"/>
      <c r="AJ387" s="36"/>
    </row>
    <row r="388" spans="1:36">
      <c r="A388" s="43">
        <v>385</v>
      </c>
      <c r="B388" s="62">
        <f ca="1">IF(controls!$B$6=2,AVERAGE(E384:E387)+B387*W388+hystere!$AG$9,AVERAGE(E384:E387)+B387*W388)</f>
        <v>1.1000000000000001</v>
      </c>
      <c r="C388" s="67">
        <f t="shared" ca="1" si="31"/>
        <v>0</v>
      </c>
      <c r="D388" s="88">
        <f t="shared" ca="1" si="32"/>
        <v>-1</v>
      </c>
      <c r="E388" s="64">
        <f t="shared" ca="1" si="33"/>
        <v>0.1</v>
      </c>
      <c r="F388" s="64">
        <f ca="1">IF('main page'!$K$34=1,hystere!H388,hystere!G388)</f>
        <v>-1147.5</v>
      </c>
      <c r="G388" s="78">
        <f ca="1">I388-'main page'!$K$27*hystere!N387</f>
        <v>-1147.5</v>
      </c>
      <c r="H388" s="62">
        <f ca="1">J388-'main page'!$K$27*N387</f>
        <v>-1147.5</v>
      </c>
      <c r="I388" s="62">
        <f t="shared" ca="1" si="34"/>
        <v>108</v>
      </c>
      <c r="J388" s="62">
        <f t="shared" ca="1" si="35"/>
        <v>108</v>
      </c>
      <c r="M388" s="62">
        <f ca="1">IF(ABS('main page'!$K$29*M387+(1-'main page'!$K$29)*(controls!$B$9/100)*100+'main page'!$K$25*(E388-B388)-M387)&lt;0.0000001,M387,'main page'!$K$29*M387+(1-'main page'!$K$29)*(controls!$B$9/100)*100+'main page'!$K$25*(E388-B388))</f>
        <v>-628.75</v>
      </c>
      <c r="N388" s="62">
        <f ca="1">IF(controls!$B$10=1,N387,O388-'main page'!$K$29*M388-(1-'main page'!$K$29)*controls!$B$9)</f>
        <v>628.75</v>
      </c>
      <c r="O388" s="61">
        <f t="shared" ref="O388:O451" ca="1" si="36">IF(P388&lt;0,0,P388)</f>
        <v>0</v>
      </c>
      <c r="P388" s="63">
        <f ca="1">IF(controls!$B$10=1,hystere!N388+hystere!M388,hystere!Q388)</f>
        <v>-732.98749999999995</v>
      </c>
      <c r="Q388" s="61">
        <f ca="1">IF('main page'!$Y$53=1,'choose m.p.'!$I$22*100,R388)</f>
        <v>-732.98749999999995</v>
      </c>
      <c r="R388" s="83">
        <f ca="1">'main page'!$K$29*M388+(1-'main page'!$K$29)*controls!$B$9+S388+(('main page'!$K$25*'main page'!$U$13*'main page'!$K$29)/('main page'!$K$27*(1+('main page'!$K$25^2)*'main page'!$U$13)))*(M388-(controls!$B$9/100)*100)</f>
        <v>-732.98749999999995</v>
      </c>
      <c r="S388" s="81">
        <f ca="1">IF(controls!$B$33=1,(J389-E388*X389-B388)/'main page'!$K$27,(I389-E388*X389-B388)/'main page'!$K$27)</f>
        <v>53.45</v>
      </c>
      <c r="U388" s="58">
        <f>IF(controls!$B$6=1,$AG$4*(1+('main page'!$K$35/100))^V388-$AG$4*(1+('main page'!$K$35/100))^V387,$AG$4*(1+('main page'!$G$8/100))*(1+('main page'!$K$35/100))^V388-$AG$4*(1+('main page'!$G$8/100))*(1+('main page'!$K$35/100))^V387)</f>
        <v>0</v>
      </c>
      <c r="V388" s="60">
        <v>380</v>
      </c>
      <c r="W388" s="36">
        <f>'normal case'!AC387</f>
        <v>0</v>
      </c>
      <c r="X388" s="36">
        <f>'normal case'!AD387</f>
        <v>0</v>
      </c>
      <c r="Y388" s="44">
        <f ca="1">IF(controls!$B$33=1,E388-($J$4-'main page'!$K$27*2)*(1+('main page'!$K$35/100))^A387,E388-$AG$5)</f>
        <v>-99.9</v>
      </c>
      <c r="Z388" s="44">
        <f ca="1">ABS(M388-(controls!$B$9/100)*100)</f>
        <v>630.75</v>
      </c>
      <c r="AI388" s="36"/>
      <c r="AJ388" s="36"/>
    </row>
    <row r="389" spans="1:36">
      <c r="A389" s="43">
        <v>386</v>
      </c>
      <c r="B389" s="62">
        <f ca="1">IF(controls!$B$6=2,AVERAGE(E385:E388)+B388*W389+hystere!$AG$9,AVERAGE(E385:E388)+B388*W389)</f>
        <v>1.1000000000000001</v>
      </c>
      <c r="C389" s="67">
        <f t="shared" ref="C389:C452" ca="1" si="37">E389/E388-1</f>
        <v>0</v>
      </c>
      <c r="D389" s="88">
        <f t="shared" ref="D389:D452" ca="1" si="38">E389-B389</f>
        <v>-1</v>
      </c>
      <c r="E389" s="64">
        <f t="shared" ref="E389:E452" ca="1" si="39">IF(F389&gt;0,F389,0.1)</f>
        <v>0.1</v>
      </c>
      <c r="F389" s="64">
        <f ca="1">IF('main page'!$K$34=1,hystere!H389,hystere!G389)</f>
        <v>-1149.5</v>
      </c>
      <c r="G389" s="78">
        <f ca="1">I389-'main page'!$K$27*hystere!N388</f>
        <v>-1149.5</v>
      </c>
      <c r="H389" s="62">
        <f ca="1">J389-'main page'!$K$27*N388</f>
        <v>-1149.5</v>
      </c>
      <c r="I389" s="62">
        <f t="shared" ca="1" si="34"/>
        <v>108</v>
      </c>
      <c r="J389" s="62">
        <f t="shared" ca="1" si="35"/>
        <v>108</v>
      </c>
      <c r="M389" s="62">
        <f ca="1">IF(ABS('main page'!$K$29*M388+(1-'main page'!$K$29)*(controls!$B$9/100)*100+'main page'!$K$25*(E389-B389)-M388)&lt;0.0000001,M388,'main page'!$K$29*M388+(1-'main page'!$K$29)*(controls!$B$9/100)*100+'main page'!$K$25*(E389-B389))</f>
        <v>-629.75</v>
      </c>
      <c r="N389" s="62">
        <f ca="1">IF(controls!$B$10=1,N388,O389-'main page'!$K$29*M389-(1-'main page'!$K$29)*controls!$B$9)</f>
        <v>629.75</v>
      </c>
      <c r="O389" s="61">
        <f t="shared" ca="1" si="36"/>
        <v>0</v>
      </c>
      <c r="P389" s="63">
        <f ca="1">IF(controls!$B$10=1,hystere!N389+hystere!M389,hystere!Q389)</f>
        <v>-734.23749999999995</v>
      </c>
      <c r="Q389" s="61">
        <f ca="1">IF('main page'!$Y$53=1,'choose m.p.'!$I$22*100,R389)</f>
        <v>-734.23749999999995</v>
      </c>
      <c r="R389" s="83">
        <f ca="1">'main page'!$K$29*M389+(1-'main page'!$K$29)*controls!$B$9+S389+(('main page'!$K$25*'main page'!$U$13*'main page'!$K$29)/('main page'!$K$27*(1+('main page'!$K$25^2)*'main page'!$U$13)))*(M389-(controls!$B$9/100)*100)</f>
        <v>-734.23749999999995</v>
      </c>
      <c r="S389" s="81">
        <f ca="1">IF(controls!$B$33=1,(J390-E389*X390-B389)/'main page'!$K$27,(I390-E389*X390-B389)/'main page'!$K$27)</f>
        <v>53.45</v>
      </c>
      <c r="U389" s="58">
        <f>IF(controls!$B$6=1,$AG$4*(1+('main page'!$K$35/100))^V389-$AG$4*(1+('main page'!$K$35/100))^V388,$AG$4*(1+('main page'!$G$8/100))*(1+('main page'!$K$35/100))^V389-$AG$4*(1+('main page'!$G$8/100))*(1+('main page'!$K$35/100))^V388)</f>
        <v>0</v>
      </c>
      <c r="V389" s="60">
        <v>381</v>
      </c>
      <c r="W389" s="36">
        <f>'normal case'!AC388</f>
        <v>0</v>
      </c>
      <c r="X389" s="36">
        <f>'normal case'!AD388</f>
        <v>0</v>
      </c>
      <c r="Y389" s="44">
        <f ca="1">IF(controls!$B$33=1,E389-($J$4-'main page'!$K$27*2)*(1+('main page'!$K$35/100))^A388,E389-$AG$5)</f>
        <v>-99.9</v>
      </c>
      <c r="Z389" s="44">
        <f ca="1">ABS(M389-(controls!$B$9/100)*100)</f>
        <v>631.75</v>
      </c>
      <c r="AI389" s="36"/>
      <c r="AJ389" s="36"/>
    </row>
    <row r="390" spans="1:36">
      <c r="A390" s="43">
        <v>387</v>
      </c>
      <c r="B390" s="62">
        <f ca="1">IF(controls!$B$6=2,AVERAGE(E386:E389)+B389*W390+hystere!$AG$9,AVERAGE(E386:E389)+B389*W390)</f>
        <v>1.1000000000000001</v>
      </c>
      <c r="C390" s="67">
        <f t="shared" ca="1" si="37"/>
        <v>0</v>
      </c>
      <c r="D390" s="88">
        <f t="shared" ca="1" si="38"/>
        <v>-1</v>
      </c>
      <c r="E390" s="64">
        <f t="shared" ca="1" si="39"/>
        <v>0.1</v>
      </c>
      <c r="F390" s="64">
        <f ca="1">IF('main page'!$K$34=1,hystere!H390,hystere!G390)</f>
        <v>-1151.5</v>
      </c>
      <c r="G390" s="78">
        <f ca="1">I390-'main page'!$K$27*hystere!N389</f>
        <v>-1151.5</v>
      </c>
      <c r="H390" s="62">
        <f ca="1">J390-'main page'!$K$27*N389</f>
        <v>-1151.5</v>
      </c>
      <c r="I390" s="62">
        <f t="shared" ca="1" si="34"/>
        <v>108</v>
      </c>
      <c r="J390" s="62">
        <f t="shared" ca="1" si="35"/>
        <v>108</v>
      </c>
      <c r="M390" s="62">
        <f ca="1">IF(ABS('main page'!$K$29*M389+(1-'main page'!$K$29)*(controls!$B$9/100)*100+'main page'!$K$25*(E390-B390)-M389)&lt;0.0000001,M389,'main page'!$K$29*M389+(1-'main page'!$K$29)*(controls!$B$9/100)*100+'main page'!$K$25*(E390-B390))</f>
        <v>-630.75</v>
      </c>
      <c r="N390" s="62">
        <f ca="1">IF(controls!$B$10=1,N389,O390-'main page'!$K$29*M390-(1-'main page'!$K$29)*controls!$B$9)</f>
        <v>630.75</v>
      </c>
      <c r="O390" s="61">
        <f t="shared" ca="1" si="36"/>
        <v>0</v>
      </c>
      <c r="P390" s="63">
        <f ca="1">IF(controls!$B$10=1,hystere!N390+hystere!M390,hystere!Q390)</f>
        <v>-735.48749999999995</v>
      </c>
      <c r="Q390" s="61">
        <f ca="1">IF('main page'!$Y$53=1,'choose m.p.'!$I$22*100,R390)</f>
        <v>-735.48749999999995</v>
      </c>
      <c r="R390" s="83">
        <f ca="1">'main page'!$K$29*M390+(1-'main page'!$K$29)*controls!$B$9+S390+(('main page'!$K$25*'main page'!$U$13*'main page'!$K$29)/('main page'!$K$27*(1+('main page'!$K$25^2)*'main page'!$U$13)))*(M390-(controls!$B$9/100)*100)</f>
        <v>-735.48749999999995</v>
      </c>
      <c r="S390" s="81">
        <f ca="1">IF(controls!$B$33=1,(J391-E390*X391-B390)/'main page'!$K$27,(I391-E390*X391-B390)/'main page'!$K$27)</f>
        <v>53.45</v>
      </c>
      <c r="U390" s="58">
        <f>IF(controls!$B$6=1,$AG$4*(1+('main page'!$K$35/100))^V390-$AG$4*(1+('main page'!$K$35/100))^V389,$AG$4*(1+('main page'!$G$8/100))*(1+('main page'!$K$35/100))^V390-$AG$4*(1+('main page'!$G$8/100))*(1+('main page'!$K$35/100))^V389)</f>
        <v>0</v>
      </c>
      <c r="V390" s="60">
        <v>382</v>
      </c>
      <c r="W390" s="36">
        <f ca="1">'normal case'!AC389</f>
        <v>0</v>
      </c>
      <c r="X390" s="36">
        <f ca="1">'normal case'!AD389</f>
        <v>0</v>
      </c>
      <c r="Y390" s="44">
        <f ca="1">IF(controls!$B$33=1,E390-($J$4-'main page'!$K$27*2)*(1+('main page'!$K$35/100))^A389,E390-$AG$5)</f>
        <v>-99.9</v>
      </c>
      <c r="Z390" s="44">
        <f ca="1">ABS(M390-(controls!$B$9/100)*100)</f>
        <v>632.75</v>
      </c>
      <c r="AI390" s="36"/>
      <c r="AJ390" s="36"/>
    </row>
    <row r="391" spans="1:36">
      <c r="A391" s="43">
        <v>388</v>
      </c>
      <c r="B391" s="62">
        <f ca="1">IF(controls!$B$6=2,AVERAGE(E387:E390)+B390*W391+hystere!$AG$9,AVERAGE(E387:E390)+B390*W391)</f>
        <v>1.1000000000000001</v>
      </c>
      <c r="C391" s="67">
        <f t="shared" ca="1" si="37"/>
        <v>0</v>
      </c>
      <c r="D391" s="88">
        <f t="shared" ca="1" si="38"/>
        <v>-1</v>
      </c>
      <c r="E391" s="64">
        <f t="shared" ca="1" si="39"/>
        <v>0.1</v>
      </c>
      <c r="F391" s="64">
        <f ca="1">IF('main page'!$K$34=1,hystere!H391,hystere!G391)</f>
        <v>-1153.5</v>
      </c>
      <c r="G391" s="78">
        <f ca="1">I391-'main page'!$K$27*hystere!N390</f>
        <v>-1153.5</v>
      </c>
      <c r="H391" s="62">
        <f ca="1">J391-'main page'!$K$27*N390</f>
        <v>-1153.5</v>
      </c>
      <c r="I391" s="62">
        <f t="shared" ca="1" si="34"/>
        <v>108</v>
      </c>
      <c r="J391" s="62">
        <f t="shared" ca="1" si="35"/>
        <v>108</v>
      </c>
      <c r="M391" s="62">
        <f ca="1">IF(ABS('main page'!$K$29*M390+(1-'main page'!$K$29)*(controls!$B$9/100)*100+'main page'!$K$25*(E391-B391)-M390)&lt;0.0000001,M390,'main page'!$K$29*M390+(1-'main page'!$K$29)*(controls!$B$9/100)*100+'main page'!$K$25*(E391-B391))</f>
        <v>-631.75</v>
      </c>
      <c r="N391" s="62">
        <f ca="1">IF(controls!$B$10=1,N390,O391-'main page'!$K$29*M391-(1-'main page'!$K$29)*controls!$B$9)</f>
        <v>631.75</v>
      </c>
      <c r="O391" s="61">
        <f t="shared" ca="1" si="36"/>
        <v>0</v>
      </c>
      <c r="P391" s="63">
        <f ca="1">IF(controls!$B$10=1,hystere!N391+hystere!M391,hystere!Q391)</f>
        <v>-736.73749999999995</v>
      </c>
      <c r="Q391" s="61">
        <f ca="1">IF('main page'!$Y$53=1,'choose m.p.'!$I$22*100,R391)</f>
        <v>-736.73749999999995</v>
      </c>
      <c r="R391" s="83">
        <f ca="1">'main page'!$K$29*M391+(1-'main page'!$K$29)*controls!$B$9+S391+(('main page'!$K$25*'main page'!$U$13*'main page'!$K$29)/('main page'!$K$27*(1+('main page'!$K$25^2)*'main page'!$U$13)))*(M391-(controls!$B$9/100)*100)</f>
        <v>-736.73749999999995</v>
      </c>
      <c r="S391" s="81">
        <f ca="1">IF(controls!$B$33=1,(J392-E391*X392-B391)/'main page'!$K$27,(I392-E391*X392-B391)/'main page'!$K$27)</f>
        <v>53.45</v>
      </c>
      <c r="U391" s="58">
        <f>IF(controls!$B$6=1,$AG$4*(1+('main page'!$K$35/100))^V391-$AG$4*(1+('main page'!$K$35/100))^V390,$AG$4*(1+('main page'!$G$8/100))*(1+('main page'!$K$35/100))^V391-$AG$4*(1+('main page'!$G$8/100))*(1+('main page'!$K$35/100))^V390)</f>
        <v>0</v>
      </c>
      <c r="V391" s="60">
        <v>383</v>
      </c>
      <c r="W391" s="36">
        <f>'normal case'!AC390</f>
        <v>0</v>
      </c>
      <c r="X391" s="36">
        <f>'normal case'!AD390</f>
        <v>0</v>
      </c>
      <c r="Y391" s="44">
        <f ca="1">IF(controls!$B$33=1,E391-($J$4-'main page'!$K$27*2)*(1+('main page'!$K$35/100))^A390,E391-$AG$5)</f>
        <v>-99.9</v>
      </c>
      <c r="Z391" s="44">
        <f ca="1">ABS(M391-(controls!$B$9/100)*100)</f>
        <v>633.75</v>
      </c>
      <c r="AI391" s="36"/>
      <c r="AJ391" s="36"/>
    </row>
    <row r="392" spans="1:36">
      <c r="A392" s="43">
        <v>389</v>
      </c>
      <c r="B392" s="62">
        <f ca="1">IF(controls!$B$6=2,AVERAGE(E388:E391)+B391*W392+hystere!$AG$9,AVERAGE(E388:E391)+B391*W392)</f>
        <v>1.1000000000000001</v>
      </c>
      <c r="C392" s="67">
        <f t="shared" ca="1" si="37"/>
        <v>0</v>
      </c>
      <c r="D392" s="88">
        <f t="shared" ca="1" si="38"/>
        <v>-1</v>
      </c>
      <c r="E392" s="64">
        <f t="shared" ca="1" si="39"/>
        <v>0.1</v>
      </c>
      <c r="F392" s="64">
        <f ca="1">IF('main page'!$K$34=1,hystere!H392,hystere!G392)</f>
        <v>-1155.5</v>
      </c>
      <c r="G392" s="78">
        <f ca="1">I392-'main page'!$K$27*hystere!N391</f>
        <v>-1155.5</v>
      </c>
      <c r="H392" s="62">
        <f ca="1">J392-'main page'!$K$27*N391</f>
        <v>-1155.5</v>
      </c>
      <c r="I392" s="62">
        <f t="shared" ca="1" si="34"/>
        <v>108</v>
      </c>
      <c r="J392" s="62">
        <f t="shared" ca="1" si="35"/>
        <v>108</v>
      </c>
      <c r="M392" s="62">
        <f ca="1">IF(ABS('main page'!$K$29*M391+(1-'main page'!$K$29)*(controls!$B$9/100)*100+'main page'!$K$25*(E392-B392)-M391)&lt;0.0000001,M391,'main page'!$K$29*M391+(1-'main page'!$K$29)*(controls!$B$9/100)*100+'main page'!$K$25*(E392-B392))</f>
        <v>-632.75</v>
      </c>
      <c r="N392" s="62">
        <f ca="1">IF(controls!$B$10=1,N391,O392-'main page'!$K$29*M392-(1-'main page'!$K$29)*controls!$B$9)</f>
        <v>632.75</v>
      </c>
      <c r="O392" s="61">
        <f t="shared" ca="1" si="36"/>
        <v>0</v>
      </c>
      <c r="P392" s="63">
        <f ca="1">IF(controls!$B$10=1,hystere!N392+hystere!M392,hystere!Q392)</f>
        <v>-737.98749999999995</v>
      </c>
      <c r="Q392" s="61">
        <f ca="1">IF('main page'!$Y$53=1,'choose m.p.'!$I$22*100,R392)</f>
        <v>-737.98749999999995</v>
      </c>
      <c r="R392" s="83">
        <f ca="1">'main page'!$K$29*M392+(1-'main page'!$K$29)*controls!$B$9+S392+(('main page'!$K$25*'main page'!$U$13*'main page'!$K$29)/('main page'!$K$27*(1+('main page'!$K$25^2)*'main page'!$U$13)))*(M392-(controls!$B$9/100)*100)</f>
        <v>-737.98749999999995</v>
      </c>
      <c r="S392" s="81">
        <f ca="1">IF(controls!$B$33=1,(J393-E392*X393-B392)/'main page'!$K$27,(I393-E392*X393-B392)/'main page'!$K$27)</f>
        <v>53.45</v>
      </c>
      <c r="U392" s="58">
        <f>IF(controls!$B$6=1,$AG$4*(1+('main page'!$K$35/100))^V392-$AG$4*(1+('main page'!$K$35/100))^V391,$AG$4*(1+('main page'!$G$8/100))*(1+('main page'!$K$35/100))^V392-$AG$4*(1+('main page'!$G$8/100))*(1+('main page'!$K$35/100))^V391)</f>
        <v>0</v>
      </c>
      <c r="V392" s="60">
        <v>384</v>
      </c>
      <c r="W392" s="36">
        <f>'normal case'!AC391</f>
        <v>0</v>
      </c>
      <c r="X392" s="36">
        <f>'normal case'!AD391</f>
        <v>0</v>
      </c>
      <c r="Y392" s="44">
        <f ca="1">IF(controls!$B$33=1,E392-($J$4-'main page'!$K$27*2)*(1+('main page'!$K$35/100))^A391,E392-$AG$5)</f>
        <v>-99.9</v>
      </c>
      <c r="Z392" s="44">
        <f ca="1">ABS(M392-(controls!$B$9/100)*100)</f>
        <v>634.75</v>
      </c>
      <c r="AI392" s="36"/>
      <c r="AJ392" s="36"/>
    </row>
    <row r="393" spans="1:36">
      <c r="A393" s="43">
        <v>390</v>
      </c>
      <c r="B393" s="62">
        <f ca="1">IF(controls!$B$6=2,AVERAGE(E389:E392)+B392*W393+hystere!$AG$9,AVERAGE(E389:E392)+B392*W393)</f>
        <v>1.1000000000000001</v>
      </c>
      <c r="C393" s="67">
        <f t="shared" ca="1" si="37"/>
        <v>0</v>
      </c>
      <c r="D393" s="88">
        <f t="shared" ca="1" si="38"/>
        <v>-1</v>
      </c>
      <c r="E393" s="64">
        <f t="shared" ca="1" si="39"/>
        <v>0.1</v>
      </c>
      <c r="F393" s="64">
        <f ca="1">IF('main page'!$K$34=1,hystere!H393,hystere!G393)</f>
        <v>-1157.5</v>
      </c>
      <c r="G393" s="78">
        <f ca="1">I393-'main page'!$K$27*hystere!N392</f>
        <v>-1157.5</v>
      </c>
      <c r="H393" s="62">
        <f ca="1">J393-'main page'!$K$27*N392</f>
        <v>-1157.5</v>
      </c>
      <c r="I393" s="62">
        <f t="shared" ca="1" si="34"/>
        <v>108</v>
      </c>
      <c r="J393" s="62">
        <f t="shared" ca="1" si="35"/>
        <v>108</v>
      </c>
      <c r="M393" s="62">
        <f ca="1">IF(ABS('main page'!$K$29*M392+(1-'main page'!$K$29)*(controls!$B$9/100)*100+'main page'!$K$25*(E393-B393)-M392)&lt;0.0000001,M392,'main page'!$K$29*M392+(1-'main page'!$K$29)*(controls!$B$9/100)*100+'main page'!$K$25*(E393-B393))</f>
        <v>-633.75</v>
      </c>
      <c r="N393" s="62">
        <f ca="1">IF(controls!$B$10=1,N392,O393-'main page'!$K$29*M393-(1-'main page'!$K$29)*controls!$B$9)</f>
        <v>633.75</v>
      </c>
      <c r="O393" s="61">
        <f t="shared" ca="1" si="36"/>
        <v>0</v>
      </c>
      <c r="P393" s="63">
        <f ca="1">IF(controls!$B$10=1,hystere!N393+hystere!M393,hystere!Q393)</f>
        <v>-739.23749999999995</v>
      </c>
      <c r="Q393" s="61">
        <f ca="1">IF('main page'!$Y$53=1,'choose m.p.'!$I$22*100,R393)</f>
        <v>-739.23749999999995</v>
      </c>
      <c r="R393" s="83">
        <f ca="1">'main page'!$K$29*M393+(1-'main page'!$K$29)*controls!$B$9+S393+(('main page'!$K$25*'main page'!$U$13*'main page'!$K$29)/('main page'!$K$27*(1+('main page'!$K$25^2)*'main page'!$U$13)))*(M393-(controls!$B$9/100)*100)</f>
        <v>-739.23749999999995</v>
      </c>
      <c r="S393" s="81">
        <f ca="1">IF(controls!$B$33=1,(J394-E393*X394-B393)/'main page'!$K$27,(I394-E393*X394-B393)/'main page'!$K$27)</f>
        <v>53.45</v>
      </c>
      <c r="U393" s="58">
        <f>IF(controls!$B$6=1,$AG$4*(1+('main page'!$K$35/100))^V393-$AG$4*(1+('main page'!$K$35/100))^V392,$AG$4*(1+('main page'!$G$8/100))*(1+('main page'!$K$35/100))^V393-$AG$4*(1+('main page'!$G$8/100))*(1+('main page'!$K$35/100))^V392)</f>
        <v>0</v>
      </c>
      <c r="V393" s="60">
        <v>385</v>
      </c>
      <c r="W393" s="36">
        <f ca="1">'normal case'!AC392</f>
        <v>0</v>
      </c>
      <c r="X393" s="36">
        <f ca="1">'normal case'!AD392</f>
        <v>0</v>
      </c>
      <c r="Y393" s="44">
        <f ca="1">IF(controls!$B$33=1,E393-($J$4-'main page'!$K$27*2)*(1+('main page'!$K$35/100))^A392,E393-$AG$5)</f>
        <v>-99.9</v>
      </c>
      <c r="Z393" s="44">
        <f ca="1">ABS(M393-(controls!$B$9/100)*100)</f>
        <v>635.75</v>
      </c>
      <c r="AI393" s="36"/>
      <c r="AJ393" s="36"/>
    </row>
    <row r="394" spans="1:36">
      <c r="A394" s="43">
        <v>391</v>
      </c>
      <c r="B394" s="62">
        <f ca="1">IF(controls!$B$6=2,AVERAGE(E390:E393)+B393*W394+hystere!$AG$9,AVERAGE(E390:E393)+B393*W394)</f>
        <v>1.1000000000000001</v>
      </c>
      <c r="C394" s="67">
        <f t="shared" ca="1" si="37"/>
        <v>0</v>
      </c>
      <c r="D394" s="88">
        <f t="shared" ca="1" si="38"/>
        <v>-1</v>
      </c>
      <c r="E394" s="64">
        <f t="shared" ca="1" si="39"/>
        <v>0.1</v>
      </c>
      <c r="F394" s="64">
        <f ca="1">IF('main page'!$K$34=1,hystere!H394,hystere!G394)</f>
        <v>-1159.5</v>
      </c>
      <c r="G394" s="78">
        <f ca="1">I394-'main page'!$K$27*hystere!N393</f>
        <v>-1159.5</v>
      </c>
      <c r="H394" s="62">
        <f ca="1">J394-'main page'!$K$27*N393</f>
        <v>-1159.5</v>
      </c>
      <c r="I394" s="62">
        <f t="shared" ca="1" si="34"/>
        <v>108</v>
      </c>
      <c r="J394" s="62">
        <f t="shared" ca="1" si="35"/>
        <v>108</v>
      </c>
      <c r="M394" s="62">
        <f ca="1">IF(ABS('main page'!$K$29*M393+(1-'main page'!$K$29)*(controls!$B$9/100)*100+'main page'!$K$25*(E394-B394)-M393)&lt;0.0000001,M393,'main page'!$K$29*M393+(1-'main page'!$K$29)*(controls!$B$9/100)*100+'main page'!$K$25*(E394-B394))</f>
        <v>-634.75</v>
      </c>
      <c r="N394" s="62">
        <f ca="1">IF(controls!$B$10=1,N393,O394-'main page'!$K$29*M394-(1-'main page'!$K$29)*controls!$B$9)</f>
        <v>634.75</v>
      </c>
      <c r="O394" s="61">
        <f t="shared" ca="1" si="36"/>
        <v>0</v>
      </c>
      <c r="P394" s="63">
        <f ca="1">IF(controls!$B$10=1,hystere!N394+hystere!M394,hystere!Q394)</f>
        <v>-740.48749999999995</v>
      </c>
      <c r="Q394" s="61">
        <f ca="1">IF('main page'!$Y$53=1,'choose m.p.'!$I$22*100,R394)</f>
        <v>-740.48749999999995</v>
      </c>
      <c r="R394" s="83">
        <f ca="1">'main page'!$K$29*M394+(1-'main page'!$K$29)*controls!$B$9+S394+(('main page'!$K$25*'main page'!$U$13*'main page'!$K$29)/('main page'!$K$27*(1+('main page'!$K$25^2)*'main page'!$U$13)))*(M394-(controls!$B$9/100)*100)</f>
        <v>-740.48749999999995</v>
      </c>
      <c r="S394" s="81">
        <f ca="1">IF(controls!$B$33=1,(J395-E394*X395-B394)/'main page'!$K$27,(I395-E394*X395-B394)/'main page'!$K$27)</f>
        <v>53.45</v>
      </c>
      <c r="U394" s="58">
        <f>IF(controls!$B$6=1,$AG$4*(1+('main page'!$K$35/100))^V394-$AG$4*(1+('main page'!$K$35/100))^V393,$AG$4*(1+('main page'!$G$8/100))*(1+('main page'!$K$35/100))^V394-$AG$4*(1+('main page'!$G$8/100))*(1+('main page'!$K$35/100))^V393)</f>
        <v>0</v>
      </c>
      <c r="V394" s="60">
        <v>386</v>
      </c>
      <c r="W394" s="36">
        <f>'normal case'!AC393</f>
        <v>0</v>
      </c>
      <c r="X394" s="36">
        <f>'normal case'!AD393</f>
        <v>0</v>
      </c>
      <c r="Y394" s="44">
        <f ca="1">IF(controls!$B$33=1,E394-($J$4-'main page'!$K$27*2)*(1+('main page'!$K$35/100))^A393,E394-$AG$5)</f>
        <v>-99.9</v>
      </c>
      <c r="Z394" s="44">
        <f ca="1">ABS(M394-(controls!$B$9/100)*100)</f>
        <v>636.75</v>
      </c>
      <c r="AI394" s="36"/>
      <c r="AJ394" s="36"/>
    </row>
    <row r="395" spans="1:36">
      <c r="A395" s="43">
        <v>392</v>
      </c>
      <c r="B395" s="62">
        <f ca="1">IF(controls!$B$6=2,AVERAGE(E391:E394)+B394*W395+hystere!$AG$9,AVERAGE(E391:E394)+B394*W395)</f>
        <v>1.1000000000000001</v>
      </c>
      <c r="C395" s="67">
        <f t="shared" ca="1" si="37"/>
        <v>0</v>
      </c>
      <c r="D395" s="88">
        <f t="shared" ca="1" si="38"/>
        <v>-1</v>
      </c>
      <c r="E395" s="64">
        <f t="shared" ca="1" si="39"/>
        <v>0.1</v>
      </c>
      <c r="F395" s="64">
        <f ca="1">IF('main page'!$K$34=1,hystere!H395,hystere!G395)</f>
        <v>-1161.5</v>
      </c>
      <c r="G395" s="78">
        <f ca="1">I395-'main page'!$K$27*hystere!N394</f>
        <v>-1161.5</v>
      </c>
      <c r="H395" s="62">
        <f ca="1">J395-'main page'!$K$27*N394</f>
        <v>-1161.5</v>
      </c>
      <c r="I395" s="62">
        <f t="shared" ca="1" si="34"/>
        <v>108</v>
      </c>
      <c r="J395" s="62">
        <f t="shared" ca="1" si="35"/>
        <v>108</v>
      </c>
      <c r="M395" s="62">
        <f ca="1">IF(ABS('main page'!$K$29*M394+(1-'main page'!$K$29)*(controls!$B$9/100)*100+'main page'!$K$25*(E395-B395)-M394)&lt;0.0000001,M394,'main page'!$K$29*M394+(1-'main page'!$K$29)*(controls!$B$9/100)*100+'main page'!$K$25*(E395-B395))</f>
        <v>-635.75</v>
      </c>
      <c r="N395" s="62">
        <f ca="1">IF(controls!$B$10=1,N394,O395-'main page'!$K$29*M395-(1-'main page'!$K$29)*controls!$B$9)</f>
        <v>635.75</v>
      </c>
      <c r="O395" s="61">
        <f t="shared" ca="1" si="36"/>
        <v>0</v>
      </c>
      <c r="P395" s="63">
        <f ca="1">IF(controls!$B$10=1,hystere!N395+hystere!M395,hystere!Q395)</f>
        <v>-741.73749999999995</v>
      </c>
      <c r="Q395" s="61">
        <f ca="1">IF('main page'!$Y$53=1,'choose m.p.'!$I$22*100,R395)</f>
        <v>-741.73749999999995</v>
      </c>
      <c r="R395" s="83">
        <f ca="1">'main page'!$K$29*M395+(1-'main page'!$K$29)*controls!$B$9+S395+(('main page'!$K$25*'main page'!$U$13*'main page'!$K$29)/('main page'!$K$27*(1+('main page'!$K$25^2)*'main page'!$U$13)))*(M395-(controls!$B$9/100)*100)</f>
        <v>-741.73749999999995</v>
      </c>
      <c r="S395" s="81">
        <f ca="1">IF(controls!$B$33=1,(J396-E395*X396-B395)/'main page'!$K$27,(I396-E395*X396-B395)/'main page'!$K$27)</f>
        <v>53.45</v>
      </c>
      <c r="U395" s="58">
        <f>IF(controls!$B$6=1,$AG$4*(1+('main page'!$K$35/100))^V395-$AG$4*(1+('main page'!$K$35/100))^V394,$AG$4*(1+('main page'!$G$8/100))*(1+('main page'!$K$35/100))^V395-$AG$4*(1+('main page'!$G$8/100))*(1+('main page'!$K$35/100))^V394)</f>
        <v>0</v>
      </c>
      <c r="V395" s="60">
        <v>387</v>
      </c>
      <c r="W395" s="36">
        <f>'normal case'!AC394</f>
        <v>0</v>
      </c>
      <c r="X395" s="36">
        <f>'normal case'!AD394</f>
        <v>0</v>
      </c>
      <c r="Y395" s="44">
        <f ca="1">IF(controls!$B$33=1,E395-($J$4-'main page'!$K$27*2)*(1+('main page'!$K$35/100))^A394,E395-$AG$5)</f>
        <v>-99.9</v>
      </c>
      <c r="Z395" s="44">
        <f ca="1">ABS(M395-(controls!$B$9/100)*100)</f>
        <v>637.75</v>
      </c>
      <c r="AI395" s="36"/>
      <c r="AJ395" s="36"/>
    </row>
    <row r="396" spans="1:36">
      <c r="A396" s="43">
        <v>393</v>
      </c>
      <c r="B396" s="62">
        <f ca="1">IF(controls!$B$6=2,AVERAGE(E392:E395)+B395*W396+hystere!$AG$9,AVERAGE(E392:E395)+B395*W396)</f>
        <v>1.1000000000000001</v>
      </c>
      <c r="C396" s="67">
        <f t="shared" ca="1" si="37"/>
        <v>0</v>
      </c>
      <c r="D396" s="88">
        <f t="shared" ca="1" si="38"/>
        <v>-1</v>
      </c>
      <c r="E396" s="64">
        <f t="shared" ca="1" si="39"/>
        <v>0.1</v>
      </c>
      <c r="F396" s="64">
        <f ca="1">IF('main page'!$K$34=1,hystere!H396,hystere!G396)</f>
        <v>-1163.5</v>
      </c>
      <c r="G396" s="78">
        <f ca="1">I396-'main page'!$K$27*hystere!N395</f>
        <v>-1163.5</v>
      </c>
      <c r="H396" s="62">
        <f ca="1">J396-'main page'!$K$27*N395</f>
        <v>-1163.5</v>
      </c>
      <c r="I396" s="62">
        <f t="shared" ca="1" si="34"/>
        <v>108</v>
      </c>
      <c r="J396" s="62">
        <f t="shared" ca="1" si="35"/>
        <v>108</v>
      </c>
      <c r="M396" s="62">
        <f ca="1">IF(ABS('main page'!$K$29*M395+(1-'main page'!$K$29)*(controls!$B$9/100)*100+'main page'!$K$25*(E396-B396)-M395)&lt;0.0000001,M395,'main page'!$K$29*M395+(1-'main page'!$K$29)*(controls!$B$9/100)*100+'main page'!$K$25*(E396-B396))</f>
        <v>-636.75</v>
      </c>
      <c r="N396" s="62">
        <f ca="1">IF(controls!$B$10=1,N395,O396-'main page'!$K$29*M396-(1-'main page'!$K$29)*controls!$B$9)</f>
        <v>636.75</v>
      </c>
      <c r="O396" s="61">
        <f t="shared" ca="1" si="36"/>
        <v>0</v>
      </c>
      <c r="P396" s="63">
        <f ca="1">IF(controls!$B$10=1,hystere!N396+hystere!M396,hystere!Q396)</f>
        <v>-742.98749999999995</v>
      </c>
      <c r="Q396" s="61">
        <f ca="1">IF('main page'!$Y$53=1,'choose m.p.'!$I$22*100,R396)</f>
        <v>-742.98749999999995</v>
      </c>
      <c r="R396" s="83">
        <f ca="1">'main page'!$K$29*M396+(1-'main page'!$K$29)*controls!$B$9+S396+(('main page'!$K$25*'main page'!$U$13*'main page'!$K$29)/('main page'!$K$27*(1+('main page'!$K$25^2)*'main page'!$U$13)))*(M396-(controls!$B$9/100)*100)</f>
        <v>-742.98749999999995</v>
      </c>
      <c r="S396" s="81">
        <f ca="1">IF(controls!$B$33=1,(J397-E396*X397-B396)/'main page'!$K$27,(I397-E396*X397-B396)/'main page'!$K$27)</f>
        <v>53.45</v>
      </c>
      <c r="U396" s="58">
        <f>IF(controls!$B$6=1,$AG$4*(1+('main page'!$K$35/100))^V396-$AG$4*(1+('main page'!$K$35/100))^V395,$AG$4*(1+('main page'!$G$8/100))*(1+('main page'!$K$35/100))^V396-$AG$4*(1+('main page'!$G$8/100))*(1+('main page'!$K$35/100))^V395)</f>
        <v>0</v>
      </c>
      <c r="V396" s="60">
        <v>388</v>
      </c>
      <c r="W396" s="36">
        <f ca="1">'normal case'!AC395</f>
        <v>0</v>
      </c>
      <c r="X396" s="36">
        <f ca="1">'normal case'!AD395</f>
        <v>0</v>
      </c>
      <c r="Y396" s="44">
        <f ca="1">IF(controls!$B$33=1,E396-($J$4-'main page'!$K$27*2)*(1+('main page'!$K$35/100))^A395,E396-$AG$5)</f>
        <v>-99.9</v>
      </c>
      <c r="Z396" s="44">
        <f ca="1">ABS(M396-(controls!$B$9/100)*100)</f>
        <v>638.75</v>
      </c>
      <c r="AI396" s="36"/>
      <c r="AJ396" s="36"/>
    </row>
    <row r="397" spans="1:36">
      <c r="A397" s="43">
        <v>394</v>
      </c>
      <c r="B397" s="62">
        <f ca="1">IF(controls!$B$6=2,AVERAGE(E393:E396)+B396*W397+hystere!$AG$9,AVERAGE(E393:E396)+B396*W397)</f>
        <v>1.1000000000000001</v>
      </c>
      <c r="C397" s="67">
        <f t="shared" ca="1" si="37"/>
        <v>0</v>
      </c>
      <c r="D397" s="88">
        <f t="shared" ca="1" si="38"/>
        <v>-1</v>
      </c>
      <c r="E397" s="64">
        <f t="shared" ca="1" si="39"/>
        <v>0.1</v>
      </c>
      <c r="F397" s="64">
        <f ca="1">IF('main page'!$K$34=1,hystere!H397,hystere!G397)</f>
        <v>-1165.5</v>
      </c>
      <c r="G397" s="78">
        <f ca="1">I397-'main page'!$K$27*hystere!N396</f>
        <v>-1165.5</v>
      </c>
      <c r="H397" s="62">
        <f ca="1">J397-'main page'!$K$27*N396</f>
        <v>-1165.5</v>
      </c>
      <c r="I397" s="62">
        <f t="shared" ca="1" si="34"/>
        <v>108</v>
      </c>
      <c r="J397" s="62">
        <f t="shared" ca="1" si="35"/>
        <v>108</v>
      </c>
      <c r="M397" s="62">
        <f ca="1">IF(ABS('main page'!$K$29*M396+(1-'main page'!$K$29)*(controls!$B$9/100)*100+'main page'!$K$25*(E397-B397)-M396)&lt;0.0000001,M396,'main page'!$K$29*M396+(1-'main page'!$K$29)*(controls!$B$9/100)*100+'main page'!$K$25*(E397-B397))</f>
        <v>-637.75</v>
      </c>
      <c r="N397" s="62">
        <f ca="1">IF(controls!$B$10=1,N396,O397-'main page'!$K$29*M397-(1-'main page'!$K$29)*controls!$B$9)</f>
        <v>637.75</v>
      </c>
      <c r="O397" s="61">
        <f t="shared" ca="1" si="36"/>
        <v>0</v>
      </c>
      <c r="P397" s="63">
        <f ca="1">IF(controls!$B$10=1,hystere!N397+hystere!M397,hystere!Q397)</f>
        <v>-744.23749999999995</v>
      </c>
      <c r="Q397" s="61">
        <f ca="1">IF('main page'!$Y$53=1,'choose m.p.'!$I$22*100,R397)</f>
        <v>-744.23749999999995</v>
      </c>
      <c r="R397" s="83">
        <f ca="1">'main page'!$K$29*M397+(1-'main page'!$K$29)*controls!$B$9+S397+(('main page'!$K$25*'main page'!$U$13*'main page'!$K$29)/('main page'!$K$27*(1+('main page'!$K$25^2)*'main page'!$U$13)))*(M397-(controls!$B$9/100)*100)</f>
        <v>-744.23749999999995</v>
      </c>
      <c r="S397" s="81">
        <f ca="1">IF(controls!$B$33=1,(J398-E397*X398-B397)/'main page'!$K$27,(I398-E397*X398-B397)/'main page'!$K$27)</f>
        <v>53.45</v>
      </c>
      <c r="U397" s="58">
        <f>IF(controls!$B$6=1,$AG$4*(1+('main page'!$K$35/100))^V397-$AG$4*(1+('main page'!$K$35/100))^V396,$AG$4*(1+('main page'!$G$8/100))*(1+('main page'!$K$35/100))^V397-$AG$4*(1+('main page'!$G$8/100))*(1+('main page'!$K$35/100))^V396)</f>
        <v>0</v>
      </c>
      <c r="V397" s="60">
        <v>389</v>
      </c>
      <c r="W397" s="36">
        <f>'normal case'!AC396</f>
        <v>0</v>
      </c>
      <c r="X397" s="36">
        <f>'normal case'!AD396</f>
        <v>0</v>
      </c>
      <c r="Y397" s="44">
        <f ca="1">IF(controls!$B$33=1,E397-($J$4-'main page'!$K$27*2)*(1+('main page'!$K$35/100))^A396,E397-$AG$5)</f>
        <v>-99.9</v>
      </c>
      <c r="Z397" s="44">
        <f ca="1">ABS(M397-(controls!$B$9/100)*100)</f>
        <v>639.75</v>
      </c>
      <c r="AI397" s="36"/>
      <c r="AJ397" s="36"/>
    </row>
    <row r="398" spans="1:36">
      <c r="A398" s="43">
        <v>395</v>
      </c>
      <c r="B398" s="62">
        <f ca="1">IF(controls!$B$6=2,AVERAGE(E394:E397)+B397*W398+hystere!$AG$9,AVERAGE(E394:E397)+B397*W398)</f>
        <v>1.1000000000000001</v>
      </c>
      <c r="C398" s="67">
        <f t="shared" ca="1" si="37"/>
        <v>0</v>
      </c>
      <c r="D398" s="88">
        <f t="shared" ca="1" si="38"/>
        <v>-1</v>
      </c>
      <c r="E398" s="64">
        <f t="shared" ca="1" si="39"/>
        <v>0.1</v>
      </c>
      <c r="F398" s="64">
        <f ca="1">IF('main page'!$K$34=1,hystere!H398,hystere!G398)</f>
        <v>-1167.5</v>
      </c>
      <c r="G398" s="78">
        <f ca="1">I398-'main page'!$K$27*hystere!N397</f>
        <v>-1167.5</v>
      </c>
      <c r="H398" s="62">
        <f ca="1">J398-'main page'!$K$27*N397</f>
        <v>-1167.5</v>
      </c>
      <c r="I398" s="62">
        <f t="shared" ca="1" si="34"/>
        <v>108</v>
      </c>
      <c r="J398" s="62">
        <f t="shared" ca="1" si="35"/>
        <v>108</v>
      </c>
      <c r="M398" s="62">
        <f ca="1">IF(ABS('main page'!$K$29*M397+(1-'main page'!$K$29)*(controls!$B$9/100)*100+'main page'!$K$25*(E398-B398)-M397)&lt;0.0000001,M397,'main page'!$K$29*M397+(1-'main page'!$K$29)*(controls!$B$9/100)*100+'main page'!$K$25*(E398-B398))</f>
        <v>-638.75</v>
      </c>
      <c r="N398" s="62">
        <f ca="1">IF(controls!$B$10=1,N397,O398-'main page'!$K$29*M398-(1-'main page'!$K$29)*controls!$B$9)</f>
        <v>638.75</v>
      </c>
      <c r="O398" s="61">
        <f t="shared" ca="1" si="36"/>
        <v>0</v>
      </c>
      <c r="P398" s="63">
        <f ca="1">IF(controls!$B$10=1,hystere!N398+hystere!M398,hystere!Q398)</f>
        <v>-745.48749999999995</v>
      </c>
      <c r="Q398" s="61">
        <f ca="1">IF('main page'!$Y$53=1,'choose m.p.'!$I$22*100,R398)</f>
        <v>-745.48749999999995</v>
      </c>
      <c r="R398" s="83">
        <f ca="1">'main page'!$K$29*M398+(1-'main page'!$K$29)*controls!$B$9+S398+(('main page'!$K$25*'main page'!$U$13*'main page'!$K$29)/('main page'!$K$27*(1+('main page'!$K$25^2)*'main page'!$U$13)))*(M398-(controls!$B$9/100)*100)</f>
        <v>-745.48749999999995</v>
      </c>
      <c r="S398" s="81">
        <f ca="1">IF(controls!$B$33=1,(J399-E398*X399-B398)/'main page'!$K$27,(I399-E398*X399-B398)/'main page'!$K$27)</f>
        <v>53.45</v>
      </c>
      <c r="U398" s="58">
        <f>IF(controls!$B$6=1,$AG$4*(1+('main page'!$K$35/100))^V398-$AG$4*(1+('main page'!$K$35/100))^V397,$AG$4*(1+('main page'!$G$8/100))*(1+('main page'!$K$35/100))^V398-$AG$4*(1+('main page'!$G$8/100))*(1+('main page'!$K$35/100))^V397)</f>
        <v>0</v>
      </c>
      <c r="V398" s="60">
        <v>390</v>
      </c>
      <c r="W398" s="36">
        <f>'normal case'!AC397</f>
        <v>0</v>
      </c>
      <c r="X398" s="36">
        <f>'normal case'!AD397</f>
        <v>0</v>
      </c>
      <c r="Y398" s="44">
        <f ca="1">IF(controls!$B$33=1,E398-($J$4-'main page'!$K$27*2)*(1+('main page'!$K$35/100))^A397,E398-$AG$5)</f>
        <v>-99.9</v>
      </c>
      <c r="Z398" s="44">
        <f ca="1">ABS(M398-(controls!$B$9/100)*100)</f>
        <v>640.75</v>
      </c>
      <c r="AI398" s="36"/>
      <c r="AJ398" s="36"/>
    </row>
    <row r="399" spans="1:36">
      <c r="A399" s="43">
        <v>396</v>
      </c>
      <c r="B399" s="62">
        <f ca="1">IF(controls!$B$6=2,AVERAGE(E395:E398)+B398*W399+hystere!$AG$9,AVERAGE(E395:E398)+B398*W399)</f>
        <v>1.1000000000000001</v>
      </c>
      <c r="C399" s="67">
        <f t="shared" ca="1" si="37"/>
        <v>0</v>
      </c>
      <c r="D399" s="88">
        <f t="shared" ca="1" si="38"/>
        <v>-1</v>
      </c>
      <c r="E399" s="64">
        <f t="shared" ca="1" si="39"/>
        <v>0.1</v>
      </c>
      <c r="F399" s="64">
        <f ca="1">IF('main page'!$K$34=1,hystere!H399,hystere!G399)</f>
        <v>-1169.5</v>
      </c>
      <c r="G399" s="78">
        <f ca="1">I399-'main page'!$K$27*hystere!N398</f>
        <v>-1169.5</v>
      </c>
      <c r="H399" s="62">
        <f ca="1">J399-'main page'!$K$27*N398</f>
        <v>-1169.5</v>
      </c>
      <c r="I399" s="62">
        <f t="shared" ca="1" si="34"/>
        <v>108</v>
      </c>
      <c r="J399" s="62">
        <f t="shared" ca="1" si="35"/>
        <v>108</v>
      </c>
      <c r="M399" s="62">
        <f ca="1">IF(ABS('main page'!$K$29*M398+(1-'main page'!$K$29)*(controls!$B$9/100)*100+'main page'!$K$25*(E399-B399)-M398)&lt;0.0000001,M398,'main page'!$K$29*M398+(1-'main page'!$K$29)*(controls!$B$9/100)*100+'main page'!$K$25*(E399-B399))</f>
        <v>-639.75</v>
      </c>
      <c r="N399" s="62">
        <f ca="1">IF(controls!$B$10=1,N398,O399-'main page'!$K$29*M399-(1-'main page'!$K$29)*controls!$B$9)</f>
        <v>639.75</v>
      </c>
      <c r="O399" s="61">
        <f t="shared" ca="1" si="36"/>
        <v>0</v>
      </c>
      <c r="P399" s="63">
        <f ca="1">IF(controls!$B$10=1,hystere!N399+hystere!M399,hystere!Q399)</f>
        <v>-746.73749999999995</v>
      </c>
      <c r="Q399" s="61">
        <f ca="1">IF('main page'!$Y$53=1,'choose m.p.'!$I$22*100,R399)</f>
        <v>-746.73749999999995</v>
      </c>
      <c r="R399" s="83">
        <f ca="1">'main page'!$K$29*M399+(1-'main page'!$K$29)*controls!$B$9+S399+(('main page'!$K$25*'main page'!$U$13*'main page'!$K$29)/('main page'!$K$27*(1+('main page'!$K$25^2)*'main page'!$U$13)))*(M399-(controls!$B$9/100)*100)</f>
        <v>-746.73749999999995</v>
      </c>
      <c r="S399" s="81">
        <f ca="1">IF(controls!$B$33=1,(J400-E399*X400-B399)/'main page'!$K$27,(I400-E399*X400-B399)/'main page'!$K$27)</f>
        <v>53.45</v>
      </c>
      <c r="U399" s="58">
        <f>IF(controls!$B$6=1,$AG$4*(1+('main page'!$K$35/100))^V399-$AG$4*(1+('main page'!$K$35/100))^V398,$AG$4*(1+('main page'!$G$8/100))*(1+('main page'!$K$35/100))^V399-$AG$4*(1+('main page'!$G$8/100))*(1+('main page'!$K$35/100))^V398)</f>
        <v>0</v>
      </c>
      <c r="V399" s="60">
        <v>391</v>
      </c>
      <c r="W399" s="36">
        <f ca="1">'normal case'!AC398</f>
        <v>0</v>
      </c>
      <c r="X399" s="36">
        <f ca="1">'normal case'!AD398</f>
        <v>0</v>
      </c>
      <c r="Y399" s="44">
        <f ca="1">IF(controls!$B$33=1,E399-($J$4-'main page'!$K$27*2)*(1+('main page'!$K$35/100))^A398,E399-$AG$5)</f>
        <v>-99.9</v>
      </c>
      <c r="Z399" s="44">
        <f ca="1">ABS(M399-(controls!$B$9/100)*100)</f>
        <v>641.75</v>
      </c>
      <c r="AI399" s="36"/>
      <c r="AJ399" s="36"/>
    </row>
    <row r="400" spans="1:36">
      <c r="A400" s="43">
        <v>397</v>
      </c>
      <c r="B400" s="62">
        <f ca="1">IF(controls!$B$6=2,AVERAGE(E396:E399)+B399*W400+hystere!$AG$9,AVERAGE(E396:E399)+B399*W400)</f>
        <v>1.1000000000000001</v>
      </c>
      <c r="C400" s="67">
        <f t="shared" ca="1" si="37"/>
        <v>0</v>
      </c>
      <c r="D400" s="88">
        <f t="shared" ca="1" si="38"/>
        <v>-1</v>
      </c>
      <c r="E400" s="64">
        <f t="shared" ca="1" si="39"/>
        <v>0.1</v>
      </c>
      <c r="F400" s="64">
        <f ca="1">IF('main page'!$K$34=1,hystere!H400,hystere!G400)</f>
        <v>-1171.5</v>
      </c>
      <c r="G400" s="78">
        <f ca="1">I400-'main page'!$K$27*hystere!N399</f>
        <v>-1171.5</v>
      </c>
      <c r="H400" s="62">
        <f ca="1">J400-'main page'!$K$27*N399</f>
        <v>-1171.5</v>
      </c>
      <c r="I400" s="62">
        <f t="shared" ca="1" si="34"/>
        <v>108</v>
      </c>
      <c r="J400" s="62">
        <f t="shared" ca="1" si="35"/>
        <v>108</v>
      </c>
      <c r="M400" s="62">
        <f ca="1">IF(ABS('main page'!$K$29*M399+(1-'main page'!$K$29)*(controls!$B$9/100)*100+'main page'!$K$25*(E400-B400)-M399)&lt;0.0000001,M399,'main page'!$K$29*M399+(1-'main page'!$K$29)*(controls!$B$9/100)*100+'main page'!$K$25*(E400-B400))</f>
        <v>-640.75</v>
      </c>
      <c r="N400" s="62">
        <f ca="1">IF(controls!$B$10=1,N399,O400-'main page'!$K$29*M400-(1-'main page'!$K$29)*controls!$B$9)</f>
        <v>640.75</v>
      </c>
      <c r="O400" s="61">
        <f t="shared" ca="1" si="36"/>
        <v>0</v>
      </c>
      <c r="P400" s="63">
        <f ca="1">IF(controls!$B$10=1,hystere!N400+hystere!M400,hystere!Q400)</f>
        <v>-747.98749999999995</v>
      </c>
      <c r="Q400" s="61">
        <f ca="1">IF('main page'!$Y$53=1,'choose m.p.'!$I$22*100,R400)</f>
        <v>-747.98749999999995</v>
      </c>
      <c r="R400" s="83">
        <f ca="1">'main page'!$K$29*M400+(1-'main page'!$K$29)*controls!$B$9+S400+(('main page'!$K$25*'main page'!$U$13*'main page'!$K$29)/('main page'!$K$27*(1+('main page'!$K$25^2)*'main page'!$U$13)))*(M400-(controls!$B$9/100)*100)</f>
        <v>-747.98749999999995</v>
      </c>
      <c r="S400" s="81">
        <f ca="1">IF(controls!$B$33=1,(J401-E400*X401-B400)/'main page'!$K$27,(I401-E400*X401-B400)/'main page'!$K$27)</f>
        <v>53.45</v>
      </c>
      <c r="U400" s="58">
        <f>IF(controls!$B$6=1,$AG$4*(1+('main page'!$K$35/100))^V400-$AG$4*(1+('main page'!$K$35/100))^V399,$AG$4*(1+('main page'!$G$8/100))*(1+('main page'!$K$35/100))^V400-$AG$4*(1+('main page'!$G$8/100))*(1+('main page'!$K$35/100))^V399)</f>
        <v>0</v>
      </c>
      <c r="V400" s="60">
        <v>392</v>
      </c>
      <c r="W400" s="36">
        <f>'normal case'!AC399</f>
        <v>0</v>
      </c>
      <c r="X400" s="36">
        <f>'normal case'!AD399</f>
        <v>0</v>
      </c>
      <c r="Y400" s="44">
        <f ca="1">IF(controls!$B$33=1,E400-($J$4-'main page'!$K$27*2)*(1+('main page'!$K$35/100))^A399,E400-$AG$5)</f>
        <v>-99.9</v>
      </c>
      <c r="Z400" s="44">
        <f ca="1">ABS(M400-(controls!$B$9/100)*100)</f>
        <v>642.75</v>
      </c>
      <c r="AI400" s="36"/>
      <c r="AJ400" s="36"/>
    </row>
    <row r="401" spans="1:36">
      <c r="A401" s="43">
        <v>398</v>
      </c>
      <c r="B401" s="62">
        <f ca="1">IF(controls!$B$6=2,AVERAGE(E397:E400)+B400*W401+hystere!$AG$9,AVERAGE(E397:E400)+B400*W401)</f>
        <v>1.1000000000000001</v>
      </c>
      <c r="C401" s="67">
        <f t="shared" ca="1" si="37"/>
        <v>0</v>
      </c>
      <c r="D401" s="88">
        <f t="shared" ca="1" si="38"/>
        <v>-1</v>
      </c>
      <c r="E401" s="64">
        <f t="shared" ca="1" si="39"/>
        <v>0.1</v>
      </c>
      <c r="F401" s="64">
        <f ca="1">IF('main page'!$K$34=1,hystere!H401,hystere!G401)</f>
        <v>-1173.5</v>
      </c>
      <c r="G401" s="78">
        <f ca="1">I401-'main page'!$K$27*hystere!N400</f>
        <v>-1173.5</v>
      </c>
      <c r="H401" s="62">
        <f ca="1">J401-'main page'!$K$27*N400</f>
        <v>-1173.5</v>
      </c>
      <c r="I401" s="62">
        <f t="shared" ca="1" si="34"/>
        <v>108</v>
      </c>
      <c r="J401" s="62">
        <f t="shared" ca="1" si="35"/>
        <v>108</v>
      </c>
      <c r="M401" s="62">
        <f ca="1">IF(ABS('main page'!$K$29*M400+(1-'main page'!$K$29)*(controls!$B$9/100)*100+'main page'!$K$25*(E401-B401)-M400)&lt;0.0000001,M400,'main page'!$K$29*M400+(1-'main page'!$K$29)*(controls!$B$9/100)*100+'main page'!$K$25*(E401-B401))</f>
        <v>-641.75</v>
      </c>
      <c r="N401" s="62">
        <f ca="1">IF(controls!$B$10=1,N400,O401-'main page'!$K$29*M401-(1-'main page'!$K$29)*controls!$B$9)</f>
        <v>641.75</v>
      </c>
      <c r="O401" s="61">
        <f t="shared" ca="1" si="36"/>
        <v>0</v>
      </c>
      <c r="P401" s="63">
        <f ca="1">IF(controls!$B$10=1,hystere!N401+hystere!M401,hystere!Q401)</f>
        <v>-749.23749999999995</v>
      </c>
      <c r="Q401" s="61">
        <f ca="1">IF('main page'!$Y$53=1,'choose m.p.'!$I$22*100,R401)</f>
        <v>-749.23749999999995</v>
      </c>
      <c r="R401" s="83">
        <f ca="1">'main page'!$K$29*M401+(1-'main page'!$K$29)*controls!$B$9+S401+(('main page'!$K$25*'main page'!$U$13*'main page'!$K$29)/('main page'!$K$27*(1+('main page'!$K$25^2)*'main page'!$U$13)))*(M401-(controls!$B$9/100)*100)</f>
        <v>-749.23749999999995</v>
      </c>
      <c r="S401" s="81">
        <f ca="1">IF(controls!$B$33=1,(J402-E401*X402-B401)/'main page'!$K$27,(I402-E401*X402-B401)/'main page'!$K$27)</f>
        <v>53.45</v>
      </c>
      <c r="U401" s="58">
        <f>IF(controls!$B$6=1,$AG$4*(1+('main page'!$K$35/100))^V401-$AG$4*(1+('main page'!$K$35/100))^V400,$AG$4*(1+('main page'!$G$8/100))*(1+('main page'!$K$35/100))^V401-$AG$4*(1+('main page'!$G$8/100))*(1+('main page'!$K$35/100))^V400)</f>
        <v>0</v>
      </c>
      <c r="V401" s="60">
        <v>393</v>
      </c>
      <c r="W401" s="36">
        <f>'normal case'!AC400</f>
        <v>0</v>
      </c>
      <c r="X401" s="36">
        <f>'normal case'!AD400</f>
        <v>0</v>
      </c>
      <c r="Y401" s="44">
        <f ca="1">IF(controls!$B$33=1,E401-($J$4-'main page'!$K$27*2)*(1+('main page'!$K$35/100))^A400,E401-$AG$5)</f>
        <v>-99.9</v>
      </c>
      <c r="Z401" s="44">
        <f ca="1">ABS(M401-(controls!$B$9/100)*100)</f>
        <v>643.75</v>
      </c>
      <c r="AI401" s="36"/>
      <c r="AJ401" s="36"/>
    </row>
    <row r="402" spans="1:36">
      <c r="A402" s="43">
        <v>399</v>
      </c>
      <c r="B402" s="62">
        <f ca="1">IF(controls!$B$6=2,AVERAGE(E398:E401)+B401*W402+hystere!$AG$9,AVERAGE(E398:E401)+B401*W402)</f>
        <v>1.1000000000000001</v>
      </c>
      <c r="C402" s="67">
        <f t="shared" ca="1" si="37"/>
        <v>0</v>
      </c>
      <c r="D402" s="88">
        <f t="shared" ca="1" si="38"/>
        <v>-1</v>
      </c>
      <c r="E402" s="64">
        <f t="shared" ca="1" si="39"/>
        <v>0.1</v>
      </c>
      <c r="F402" s="64">
        <f ca="1">IF('main page'!$K$34=1,hystere!H402,hystere!G402)</f>
        <v>-1175.5</v>
      </c>
      <c r="G402" s="78">
        <f ca="1">I402-'main page'!$K$27*hystere!N401</f>
        <v>-1175.5</v>
      </c>
      <c r="H402" s="62">
        <f ca="1">J402-'main page'!$K$27*N401</f>
        <v>-1175.5</v>
      </c>
      <c r="I402" s="62">
        <f t="shared" ca="1" si="34"/>
        <v>108</v>
      </c>
      <c r="J402" s="62">
        <f t="shared" ca="1" si="35"/>
        <v>108</v>
      </c>
      <c r="M402" s="62">
        <f ca="1">IF(ABS('main page'!$K$29*M401+(1-'main page'!$K$29)*(controls!$B$9/100)*100+'main page'!$K$25*(E402-B402)-M401)&lt;0.0000001,M401,'main page'!$K$29*M401+(1-'main page'!$K$29)*(controls!$B$9/100)*100+'main page'!$K$25*(E402-B402))</f>
        <v>-642.75</v>
      </c>
      <c r="N402" s="62">
        <f ca="1">IF(controls!$B$10=1,N401,O402-'main page'!$K$29*M402-(1-'main page'!$K$29)*controls!$B$9)</f>
        <v>642.75</v>
      </c>
      <c r="O402" s="61">
        <f t="shared" ca="1" si="36"/>
        <v>0</v>
      </c>
      <c r="P402" s="63">
        <f ca="1">IF(controls!$B$10=1,hystere!N402+hystere!M402,hystere!Q402)</f>
        <v>-750.48749999999995</v>
      </c>
      <c r="Q402" s="61">
        <f ca="1">IF('main page'!$Y$53=1,'choose m.p.'!$I$22*100,R402)</f>
        <v>-750.48749999999995</v>
      </c>
      <c r="R402" s="83">
        <f ca="1">'main page'!$K$29*M402+(1-'main page'!$K$29)*controls!$B$9+S402+(('main page'!$K$25*'main page'!$U$13*'main page'!$K$29)/('main page'!$K$27*(1+('main page'!$K$25^2)*'main page'!$U$13)))*(M402-(controls!$B$9/100)*100)</f>
        <v>-750.48749999999995</v>
      </c>
      <c r="S402" s="81">
        <f ca="1">IF(controls!$B$33=1,(J403-E402*X403-B402)/'main page'!$K$27,(I403-E402*X403-B402)/'main page'!$K$27)</f>
        <v>53.45</v>
      </c>
      <c r="U402" s="58">
        <f>IF(controls!$B$6=1,$AG$4*(1+('main page'!$K$35/100))^V402-$AG$4*(1+('main page'!$K$35/100))^V401,$AG$4*(1+('main page'!$G$8/100))*(1+('main page'!$K$35/100))^V402-$AG$4*(1+('main page'!$G$8/100))*(1+('main page'!$K$35/100))^V401)</f>
        <v>0</v>
      </c>
      <c r="V402" s="60">
        <v>394</v>
      </c>
      <c r="W402" s="36">
        <f ca="1">'normal case'!AC401</f>
        <v>0</v>
      </c>
      <c r="X402" s="36">
        <f ca="1">'normal case'!AD401</f>
        <v>0</v>
      </c>
      <c r="Y402" s="44">
        <f ca="1">IF(controls!$B$33=1,E402-($J$4-'main page'!$K$27*2)*(1+('main page'!$K$35/100))^A401,E402-$AG$5)</f>
        <v>-99.9</v>
      </c>
      <c r="Z402" s="44">
        <f ca="1">ABS(M402-(controls!$B$9/100)*100)</f>
        <v>644.75</v>
      </c>
      <c r="AI402" s="36"/>
      <c r="AJ402" s="36"/>
    </row>
    <row r="403" spans="1:36">
      <c r="A403" s="43">
        <v>400</v>
      </c>
      <c r="B403" s="62">
        <f ca="1">IF(controls!$B$6=2,AVERAGE(E399:E402)+B402*W403+hystere!$AG$9,AVERAGE(E399:E402)+B402*W403)</f>
        <v>1.1000000000000001</v>
      </c>
      <c r="C403" s="67">
        <f t="shared" ca="1" si="37"/>
        <v>0</v>
      </c>
      <c r="D403" s="88">
        <f t="shared" ca="1" si="38"/>
        <v>-1</v>
      </c>
      <c r="E403" s="64">
        <f t="shared" ca="1" si="39"/>
        <v>0.1</v>
      </c>
      <c r="F403" s="64">
        <f ca="1">IF('main page'!$K$34=1,hystere!H403,hystere!G403)</f>
        <v>-1177.5</v>
      </c>
      <c r="G403" s="78">
        <f ca="1">I403-'main page'!$K$27*hystere!N402</f>
        <v>-1177.5</v>
      </c>
      <c r="H403" s="62">
        <f ca="1">J403-'main page'!$K$27*N402</f>
        <v>-1177.5</v>
      </c>
      <c r="I403" s="62">
        <f t="shared" ca="1" si="34"/>
        <v>108</v>
      </c>
      <c r="J403" s="62">
        <f t="shared" ca="1" si="35"/>
        <v>108</v>
      </c>
      <c r="M403" s="62">
        <f ca="1">IF(ABS('main page'!$K$29*M402+(1-'main page'!$K$29)*(controls!$B$9/100)*100+'main page'!$K$25*(E403-B403)-M402)&lt;0.0000001,M402,'main page'!$K$29*M402+(1-'main page'!$K$29)*(controls!$B$9/100)*100+'main page'!$K$25*(E403-B403))</f>
        <v>-643.75</v>
      </c>
      <c r="N403" s="62">
        <f ca="1">IF(controls!$B$10=1,N402,O403-'main page'!$K$29*M403-(1-'main page'!$K$29)*controls!$B$9)</f>
        <v>643.75</v>
      </c>
      <c r="O403" s="61">
        <f t="shared" ca="1" si="36"/>
        <v>0</v>
      </c>
      <c r="P403" s="63">
        <f ca="1">IF(controls!$B$10=1,hystere!N403+hystere!M403,hystere!Q403)</f>
        <v>-751.73749999999995</v>
      </c>
      <c r="Q403" s="61">
        <f ca="1">IF('main page'!$Y$53=1,'choose m.p.'!$I$22*100,R403)</f>
        <v>-751.73749999999995</v>
      </c>
      <c r="R403" s="83">
        <f ca="1">'main page'!$K$29*M403+(1-'main page'!$K$29)*controls!$B$9+S403+(('main page'!$K$25*'main page'!$U$13*'main page'!$K$29)/('main page'!$K$27*(1+('main page'!$K$25^2)*'main page'!$U$13)))*(M403-(controls!$B$9/100)*100)</f>
        <v>-751.73749999999995</v>
      </c>
      <c r="S403" s="81">
        <f ca="1">IF(controls!$B$33=1,(J404-E403*X404-B403)/'main page'!$K$27,(I404-E403*X404-B403)/'main page'!$K$27)</f>
        <v>53.45</v>
      </c>
      <c r="U403" s="58">
        <f>IF(controls!$B$6=1,$AG$4*(1+('main page'!$K$35/100))^V403-$AG$4*(1+('main page'!$K$35/100))^V402,$AG$4*(1+('main page'!$G$8/100))*(1+('main page'!$K$35/100))^V403-$AG$4*(1+('main page'!$G$8/100))*(1+('main page'!$K$35/100))^V402)</f>
        <v>0</v>
      </c>
      <c r="V403" s="60">
        <v>395</v>
      </c>
      <c r="W403" s="36">
        <f>'normal case'!AC402</f>
        <v>0</v>
      </c>
      <c r="X403" s="36">
        <f>'normal case'!AD402</f>
        <v>0</v>
      </c>
      <c r="Y403" s="44">
        <f ca="1">IF(controls!$B$33=1,E403-($J$4-'main page'!$K$27*2)*(1+('main page'!$K$35/100))^A402,E403-$AG$5)</f>
        <v>-99.9</v>
      </c>
      <c r="Z403" s="44">
        <f ca="1">ABS(M403-(controls!$B$9/100)*100)</f>
        <v>645.75</v>
      </c>
      <c r="AI403" s="36"/>
      <c r="AJ403" s="36"/>
    </row>
    <row r="404" spans="1:36">
      <c r="A404" s="43">
        <v>401</v>
      </c>
      <c r="B404" s="62">
        <f ca="1">IF(controls!$B$6=2,AVERAGE(E400:E403)+B403*W404+hystere!$AG$9,AVERAGE(E400:E403)+B403*W404)</f>
        <v>1.1000000000000001</v>
      </c>
      <c r="C404" s="67">
        <f t="shared" ca="1" si="37"/>
        <v>0</v>
      </c>
      <c r="D404" s="88">
        <f t="shared" ca="1" si="38"/>
        <v>-1</v>
      </c>
      <c r="E404" s="64">
        <f t="shared" ca="1" si="39"/>
        <v>0.1</v>
      </c>
      <c r="F404" s="64">
        <f ca="1">IF('main page'!$K$34=1,hystere!H404,hystere!G404)</f>
        <v>-1179.5</v>
      </c>
      <c r="G404" s="78">
        <f ca="1">I404-'main page'!$K$27*hystere!N403</f>
        <v>-1179.5</v>
      </c>
      <c r="H404" s="62">
        <f ca="1">J404-'main page'!$K$27*N403</f>
        <v>-1179.5</v>
      </c>
      <c r="I404" s="62">
        <f t="shared" ca="1" si="34"/>
        <v>108</v>
      </c>
      <c r="J404" s="62">
        <f t="shared" ca="1" si="35"/>
        <v>108</v>
      </c>
      <c r="M404" s="62">
        <f ca="1">IF(ABS('main page'!$K$29*M403+(1-'main page'!$K$29)*(controls!$B$9/100)*100+'main page'!$K$25*(E404-B404)-M403)&lt;0.0000001,M403,'main page'!$K$29*M403+(1-'main page'!$K$29)*(controls!$B$9/100)*100+'main page'!$K$25*(E404-B404))</f>
        <v>-644.75</v>
      </c>
      <c r="N404" s="62">
        <f ca="1">IF(controls!$B$10=1,N403,O404-'main page'!$K$29*M404-(1-'main page'!$K$29)*controls!$B$9)</f>
        <v>644.75</v>
      </c>
      <c r="O404" s="61">
        <f t="shared" ca="1" si="36"/>
        <v>0</v>
      </c>
      <c r="P404" s="63">
        <f ca="1">IF(controls!$B$10=1,hystere!N404+hystere!M404,hystere!Q404)</f>
        <v>-752.98749999999995</v>
      </c>
      <c r="Q404" s="61">
        <f ca="1">IF('main page'!$Y$53=1,'choose m.p.'!$I$22*100,R404)</f>
        <v>-752.98749999999995</v>
      </c>
      <c r="R404" s="83">
        <f ca="1">'main page'!$K$29*M404+(1-'main page'!$K$29)*controls!$B$9+S404+(('main page'!$K$25*'main page'!$U$13*'main page'!$K$29)/('main page'!$K$27*(1+('main page'!$K$25^2)*'main page'!$U$13)))*(M404-(controls!$B$9/100)*100)</f>
        <v>-752.98749999999995</v>
      </c>
      <c r="S404" s="81">
        <f ca="1">IF(controls!$B$33=1,(J405-E404*X405-B404)/'main page'!$K$27,(I405-E404*X405-B404)/'main page'!$K$27)</f>
        <v>53.45</v>
      </c>
      <c r="U404" s="58">
        <f>IF(controls!$B$6=1,$AG$4*(1+('main page'!$K$35/100))^V404-$AG$4*(1+('main page'!$K$35/100))^V403,$AG$4*(1+('main page'!$G$8/100))*(1+('main page'!$K$35/100))^V404-$AG$4*(1+('main page'!$G$8/100))*(1+('main page'!$K$35/100))^V403)</f>
        <v>0</v>
      </c>
      <c r="V404" s="60">
        <v>396</v>
      </c>
      <c r="W404" s="36">
        <f>'normal case'!AC403</f>
        <v>0</v>
      </c>
      <c r="X404" s="36">
        <f>'normal case'!AD403</f>
        <v>0</v>
      </c>
      <c r="Y404" s="44">
        <f ca="1">IF(controls!$B$33=1,E404-($J$4-'main page'!$K$27*2)*(1+('main page'!$K$35/100))^A403,E404-$AG$5)</f>
        <v>-99.9</v>
      </c>
      <c r="Z404" s="44">
        <f ca="1">ABS(M404-(controls!$B$9/100)*100)</f>
        <v>646.75</v>
      </c>
      <c r="AI404" s="36"/>
      <c r="AJ404" s="36"/>
    </row>
    <row r="405" spans="1:36">
      <c r="A405" s="43">
        <v>402</v>
      </c>
      <c r="B405" s="62">
        <f ca="1">IF(controls!$B$6=2,AVERAGE(E401:E404)+B404*W405+hystere!$AG$9,AVERAGE(E401:E404)+B404*W405)</f>
        <v>1.1000000000000001</v>
      </c>
      <c r="C405" s="67">
        <f t="shared" ca="1" si="37"/>
        <v>0</v>
      </c>
      <c r="D405" s="88">
        <f t="shared" ca="1" si="38"/>
        <v>-1</v>
      </c>
      <c r="E405" s="64">
        <f t="shared" ca="1" si="39"/>
        <v>0.1</v>
      </c>
      <c r="F405" s="64">
        <f ca="1">IF('main page'!$K$34=1,hystere!H405,hystere!G405)</f>
        <v>-1181.5</v>
      </c>
      <c r="G405" s="78">
        <f ca="1">I405-'main page'!$K$27*hystere!N404</f>
        <v>-1181.5</v>
      </c>
      <c r="H405" s="62">
        <f ca="1">J405-'main page'!$K$27*N404</f>
        <v>-1181.5</v>
      </c>
      <c r="I405" s="62">
        <f t="shared" ca="1" si="34"/>
        <v>108</v>
      </c>
      <c r="J405" s="62">
        <f t="shared" ca="1" si="35"/>
        <v>108</v>
      </c>
      <c r="M405" s="62">
        <f ca="1">IF(ABS('main page'!$K$29*M404+(1-'main page'!$K$29)*(controls!$B$9/100)*100+'main page'!$K$25*(E405-B405)-M404)&lt;0.0000001,M404,'main page'!$K$29*M404+(1-'main page'!$K$29)*(controls!$B$9/100)*100+'main page'!$K$25*(E405-B405))</f>
        <v>-645.75</v>
      </c>
      <c r="N405" s="62">
        <f ca="1">IF(controls!$B$10=1,N404,O405-'main page'!$K$29*M405-(1-'main page'!$K$29)*controls!$B$9)</f>
        <v>645.75</v>
      </c>
      <c r="O405" s="61">
        <f t="shared" ca="1" si="36"/>
        <v>0</v>
      </c>
      <c r="P405" s="63">
        <f ca="1">IF(controls!$B$10=1,hystere!N405+hystere!M405,hystere!Q405)</f>
        <v>-754.23749999999995</v>
      </c>
      <c r="Q405" s="61">
        <f ca="1">IF('main page'!$Y$53=1,'choose m.p.'!$I$22*100,R405)</f>
        <v>-754.23749999999995</v>
      </c>
      <c r="R405" s="83">
        <f ca="1">'main page'!$K$29*M405+(1-'main page'!$K$29)*controls!$B$9+S405+(('main page'!$K$25*'main page'!$U$13*'main page'!$K$29)/('main page'!$K$27*(1+('main page'!$K$25^2)*'main page'!$U$13)))*(M405-(controls!$B$9/100)*100)</f>
        <v>-754.23749999999995</v>
      </c>
      <c r="S405" s="81">
        <f ca="1">IF(controls!$B$33=1,(J406-E405*X406-B405)/'main page'!$K$27,(I406-E405*X406-B405)/'main page'!$K$27)</f>
        <v>53.45</v>
      </c>
      <c r="U405" s="58">
        <f>IF(controls!$B$6=1,$AG$4*(1+('main page'!$K$35/100))^V405-$AG$4*(1+('main page'!$K$35/100))^V404,$AG$4*(1+('main page'!$G$8/100))*(1+('main page'!$K$35/100))^V405-$AG$4*(1+('main page'!$G$8/100))*(1+('main page'!$K$35/100))^V404)</f>
        <v>0</v>
      </c>
      <c r="V405" s="60">
        <v>397</v>
      </c>
      <c r="W405" s="36">
        <f ca="1">'normal case'!AC404</f>
        <v>0</v>
      </c>
      <c r="X405" s="36">
        <f ca="1">'normal case'!AD404</f>
        <v>0</v>
      </c>
      <c r="Y405" s="44">
        <f ca="1">IF(controls!$B$33=1,E405-($J$4-'main page'!$K$27*2)*(1+('main page'!$K$35/100))^A404,E405-$AG$5)</f>
        <v>-99.9</v>
      </c>
      <c r="Z405" s="44">
        <f ca="1">ABS(M405-(controls!$B$9/100)*100)</f>
        <v>647.75</v>
      </c>
      <c r="AI405" s="36"/>
      <c r="AJ405" s="36"/>
    </row>
    <row r="406" spans="1:36">
      <c r="A406" s="43">
        <v>403</v>
      </c>
      <c r="B406" s="62">
        <f ca="1">IF(controls!$B$6=2,AVERAGE(E402:E405)+B405*W406+hystere!$AG$9,AVERAGE(E402:E405)+B405*W406)</f>
        <v>1.1000000000000001</v>
      </c>
      <c r="C406" s="67">
        <f t="shared" ca="1" si="37"/>
        <v>0</v>
      </c>
      <c r="D406" s="88">
        <f t="shared" ca="1" si="38"/>
        <v>-1</v>
      </c>
      <c r="E406" s="64">
        <f t="shared" ca="1" si="39"/>
        <v>0.1</v>
      </c>
      <c r="F406" s="64">
        <f ca="1">IF('main page'!$K$34=1,hystere!H406,hystere!G406)</f>
        <v>-1183.5</v>
      </c>
      <c r="G406" s="78">
        <f ca="1">I406-'main page'!$K$27*hystere!N405</f>
        <v>-1183.5</v>
      </c>
      <c r="H406" s="62">
        <f ca="1">J406-'main page'!$K$27*N405</f>
        <v>-1183.5</v>
      </c>
      <c r="I406" s="62">
        <f t="shared" ca="1" si="34"/>
        <v>108</v>
      </c>
      <c r="J406" s="62">
        <f t="shared" ca="1" si="35"/>
        <v>108</v>
      </c>
      <c r="M406" s="62">
        <f ca="1">IF(ABS('main page'!$K$29*M405+(1-'main page'!$K$29)*(controls!$B$9/100)*100+'main page'!$K$25*(E406-B406)-M405)&lt;0.0000001,M405,'main page'!$K$29*M405+(1-'main page'!$K$29)*(controls!$B$9/100)*100+'main page'!$K$25*(E406-B406))</f>
        <v>-646.75</v>
      </c>
      <c r="N406" s="62">
        <f ca="1">IF(controls!$B$10=1,N405,O406-'main page'!$K$29*M406-(1-'main page'!$K$29)*controls!$B$9)</f>
        <v>646.75</v>
      </c>
      <c r="O406" s="61">
        <f t="shared" ca="1" si="36"/>
        <v>0</v>
      </c>
      <c r="P406" s="63">
        <f ca="1">IF(controls!$B$10=1,hystere!N406+hystere!M406,hystere!Q406)</f>
        <v>-755.48749999999995</v>
      </c>
      <c r="Q406" s="61">
        <f ca="1">IF('main page'!$Y$53=1,'choose m.p.'!$I$22*100,R406)</f>
        <v>-755.48749999999995</v>
      </c>
      <c r="R406" s="83">
        <f ca="1">'main page'!$K$29*M406+(1-'main page'!$K$29)*controls!$B$9+S406+(('main page'!$K$25*'main page'!$U$13*'main page'!$K$29)/('main page'!$K$27*(1+('main page'!$K$25^2)*'main page'!$U$13)))*(M406-(controls!$B$9/100)*100)</f>
        <v>-755.48749999999995</v>
      </c>
      <c r="S406" s="81">
        <f ca="1">IF(controls!$B$33=1,(J407-E406*X407-B406)/'main page'!$K$27,(I407-E406*X407-B406)/'main page'!$K$27)</f>
        <v>53.45</v>
      </c>
      <c r="U406" s="58">
        <f>IF(controls!$B$6=1,$AG$4*(1+('main page'!$K$35/100))^V406-$AG$4*(1+('main page'!$K$35/100))^V405,$AG$4*(1+('main page'!$G$8/100))*(1+('main page'!$K$35/100))^V406-$AG$4*(1+('main page'!$G$8/100))*(1+('main page'!$K$35/100))^V405)</f>
        <v>0</v>
      </c>
      <c r="V406" s="60">
        <v>398</v>
      </c>
      <c r="W406" s="36">
        <f>'normal case'!AC405</f>
        <v>0</v>
      </c>
      <c r="X406" s="36">
        <f>'normal case'!AD405</f>
        <v>0</v>
      </c>
      <c r="Y406" s="44">
        <f ca="1">IF(controls!$B$33=1,E406-($J$4-'main page'!$K$27*2)*(1+('main page'!$K$35/100))^A405,E406-$AG$5)</f>
        <v>-99.9</v>
      </c>
      <c r="Z406" s="44">
        <f ca="1">ABS(M406-(controls!$B$9/100)*100)</f>
        <v>648.75</v>
      </c>
      <c r="AI406" s="36"/>
      <c r="AJ406" s="36"/>
    </row>
    <row r="407" spans="1:36">
      <c r="A407" s="43">
        <v>404</v>
      </c>
      <c r="B407" s="62">
        <f ca="1">IF(controls!$B$6=2,AVERAGE(E403:E406)+B406*W407+hystere!$AG$9,AVERAGE(E403:E406)+B406*W407)</f>
        <v>1.1000000000000001</v>
      </c>
      <c r="C407" s="67">
        <f t="shared" ca="1" si="37"/>
        <v>0</v>
      </c>
      <c r="D407" s="88">
        <f t="shared" ca="1" si="38"/>
        <v>-1</v>
      </c>
      <c r="E407" s="64">
        <f t="shared" ca="1" si="39"/>
        <v>0.1</v>
      </c>
      <c r="F407" s="64">
        <f ca="1">IF('main page'!$K$34=1,hystere!H407,hystere!G407)</f>
        <v>-1185.5</v>
      </c>
      <c r="G407" s="78">
        <f ca="1">I407-'main page'!$K$27*hystere!N406</f>
        <v>-1185.5</v>
      </c>
      <c r="H407" s="62">
        <f ca="1">J407-'main page'!$K$27*N406</f>
        <v>-1185.5</v>
      </c>
      <c r="I407" s="62">
        <f t="shared" ca="1" si="34"/>
        <v>108</v>
      </c>
      <c r="J407" s="62">
        <f t="shared" ca="1" si="35"/>
        <v>108</v>
      </c>
      <c r="M407" s="62">
        <f ca="1">IF(ABS('main page'!$K$29*M406+(1-'main page'!$K$29)*(controls!$B$9/100)*100+'main page'!$K$25*(E407-B407)-M406)&lt;0.0000001,M406,'main page'!$K$29*M406+(1-'main page'!$K$29)*(controls!$B$9/100)*100+'main page'!$K$25*(E407-B407))</f>
        <v>-647.75</v>
      </c>
      <c r="N407" s="62">
        <f ca="1">IF(controls!$B$10=1,N406,O407-'main page'!$K$29*M407-(1-'main page'!$K$29)*controls!$B$9)</f>
        <v>647.75</v>
      </c>
      <c r="O407" s="61">
        <f t="shared" ca="1" si="36"/>
        <v>0</v>
      </c>
      <c r="P407" s="63">
        <f ca="1">IF(controls!$B$10=1,hystere!N407+hystere!M407,hystere!Q407)</f>
        <v>-756.73749999999995</v>
      </c>
      <c r="Q407" s="61">
        <f ca="1">IF('main page'!$Y$53=1,'choose m.p.'!$I$22*100,R407)</f>
        <v>-756.73749999999995</v>
      </c>
      <c r="R407" s="83">
        <f ca="1">'main page'!$K$29*M407+(1-'main page'!$K$29)*controls!$B$9+S407+(('main page'!$K$25*'main page'!$U$13*'main page'!$K$29)/('main page'!$K$27*(1+('main page'!$K$25^2)*'main page'!$U$13)))*(M407-(controls!$B$9/100)*100)</f>
        <v>-756.73749999999995</v>
      </c>
      <c r="S407" s="81">
        <f ca="1">IF(controls!$B$33=1,(J408-E407*X408-B407)/'main page'!$K$27,(I408-E407*X408-B407)/'main page'!$K$27)</f>
        <v>53.45</v>
      </c>
      <c r="U407" s="58">
        <f>IF(controls!$B$6=1,$AG$4*(1+('main page'!$K$35/100))^V407-$AG$4*(1+('main page'!$K$35/100))^V406,$AG$4*(1+('main page'!$G$8/100))*(1+('main page'!$K$35/100))^V407-$AG$4*(1+('main page'!$G$8/100))*(1+('main page'!$K$35/100))^V406)</f>
        <v>0</v>
      </c>
      <c r="V407" s="60">
        <v>399</v>
      </c>
      <c r="W407" s="36">
        <f>'normal case'!AC406</f>
        <v>0</v>
      </c>
      <c r="X407" s="36">
        <f>'normal case'!AD406</f>
        <v>0</v>
      </c>
      <c r="Y407" s="44">
        <f ca="1">IF(controls!$B$33=1,E407-($J$4-'main page'!$K$27*2)*(1+('main page'!$K$35/100))^A406,E407-$AG$5)</f>
        <v>-99.9</v>
      </c>
      <c r="Z407" s="44">
        <f ca="1">ABS(M407-(controls!$B$9/100)*100)</f>
        <v>649.75</v>
      </c>
      <c r="AI407" s="36"/>
      <c r="AJ407" s="36"/>
    </row>
    <row r="408" spans="1:36">
      <c r="A408" s="43">
        <v>405</v>
      </c>
      <c r="B408" s="62">
        <f ca="1">IF(controls!$B$6=2,AVERAGE(E404:E407)+B407*W408+hystere!$AG$9,AVERAGE(E404:E407)+B407*W408)</f>
        <v>1.1000000000000001</v>
      </c>
      <c r="C408" s="67">
        <f t="shared" ca="1" si="37"/>
        <v>0</v>
      </c>
      <c r="D408" s="88">
        <f t="shared" ca="1" si="38"/>
        <v>-1</v>
      </c>
      <c r="E408" s="64">
        <f t="shared" ca="1" si="39"/>
        <v>0.1</v>
      </c>
      <c r="F408" s="64">
        <f ca="1">IF('main page'!$K$34=1,hystere!H408,hystere!G408)</f>
        <v>-1187.5</v>
      </c>
      <c r="G408" s="78">
        <f ca="1">I408-'main page'!$K$27*hystere!N407</f>
        <v>-1187.5</v>
      </c>
      <c r="H408" s="62">
        <f ca="1">J408-'main page'!$K$27*N407</f>
        <v>-1187.5</v>
      </c>
      <c r="I408" s="62">
        <f t="shared" ca="1" si="34"/>
        <v>108</v>
      </c>
      <c r="J408" s="62">
        <f t="shared" ca="1" si="35"/>
        <v>108</v>
      </c>
      <c r="M408" s="62">
        <f ca="1">IF(ABS('main page'!$K$29*M407+(1-'main page'!$K$29)*(controls!$B$9/100)*100+'main page'!$K$25*(E408-B408)-M407)&lt;0.0000001,M407,'main page'!$K$29*M407+(1-'main page'!$K$29)*(controls!$B$9/100)*100+'main page'!$K$25*(E408-B408))</f>
        <v>-648.75</v>
      </c>
      <c r="N408" s="62">
        <f ca="1">IF(controls!$B$10=1,N407,O408-'main page'!$K$29*M408-(1-'main page'!$K$29)*controls!$B$9)</f>
        <v>648.75</v>
      </c>
      <c r="O408" s="61">
        <f t="shared" ca="1" si="36"/>
        <v>0</v>
      </c>
      <c r="P408" s="63">
        <f ca="1">IF(controls!$B$10=1,hystere!N408+hystere!M408,hystere!Q408)</f>
        <v>-757.98749999999995</v>
      </c>
      <c r="Q408" s="61">
        <f ca="1">IF('main page'!$Y$53=1,'choose m.p.'!$I$22*100,R408)</f>
        <v>-757.98749999999995</v>
      </c>
      <c r="R408" s="83">
        <f ca="1">'main page'!$K$29*M408+(1-'main page'!$K$29)*controls!$B$9+S408+(('main page'!$K$25*'main page'!$U$13*'main page'!$K$29)/('main page'!$K$27*(1+('main page'!$K$25^2)*'main page'!$U$13)))*(M408-(controls!$B$9/100)*100)</f>
        <v>-757.98749999999995</v>
      </c>
      <c r="S408" s="81">
        <f ca="1">IF(controls!$B$33=1,(J409-E408*X409-B408)/'main page'!$K$27,(I409-E408*X409-B408)/'main page'!$K$27)</f>
        <v>53.45</v>
      </c>
      <c r="U408" s="58">
        <f>IF(controls!$B$6=1,$AG$4*(1+('main page'!$K$35/100))^V408-$AG$4*(1+('main page'!$K$35/100))^V407,$AG$4*(1+('main page'!$G$8/100))*(1+('main page'!$K$35/100))^V408-$AG$4*(1+('main page'!$G$8/100))*(1+('main page'!$K$35/100))^V407)</f>
        <v>0</v>
      </c>
      <c r="V408" s="60">
        <v>400</v>
      </c>
      <c r="W408" s="36">
        <f ca="1">'normal case'!AC407</f>
        <v>0</v>
      </c>
      <c r="X408" s="36">
        <f ca="1">'normal case'!AD407</f>
        <v>0</v>
      </c>
      <c r="Y408" s="44">
        <f ca="1">IF(controls!$B$33=1,E408-($J$4-'main page'!$K$27*2)*(1+('main page'!$K$35/100))^A407,E408-$AG$5)</f>
        <v>-99.9</v>
      </c>
      <c r="Z408" s="44">
        <f ca="1">ABS(M408-(controls!$B$9/100)*100)</f>
        <v>650.75</v>
      </c>
      <c r="AI408" s="36"/>
      <c r="AJ408" s="36"/>
    </row>
    <row r="409" spans="1:36">
      <c r="A409" s="43">
        <v>406</v>
      </c>
      <c r="B409" s="62">
        <f ca="1">IF(controls!$B$6=2,AVERAGE(E405:E408)+B408*W409+hystere!$AG$9,AVERAGE(E405:E408)+B408*W409)</f>
        <v>1.1000000000000001</v>
      </c>
      <c r="C409" s="67">
        <f t="shared" ca="1" si="37"/>
        <v>0</v>
      </c>
      <c r="D409" s="88">
        <f t="shared" ca="1" si="38"/>
        <v>-1</v>
      </c>
      <c r="E409" s="64">
        <f t="shared" ca="1" si="39"/>
        <v>0.1</v>
      </c>
      <c r="F409" s="64">
        <f ca="1">IF('main page'!$K$34=1,hystere!H409,hystere!G409)</f>
        <v>-1189.5</v>
      </c>
      <c r="G409" s="78">
        <f ca="1">I409-'main page'!$K$27*hystere!N408</f>
        <v>-1189.5</v>
      </c>
      <c r="H409" s="62">
        <f ca="1">J409-'main page'!$K$27*N408</f>
        <v>-1189.5</v>
      </c>
      <c r="I409" s="62">
        <f t="shared" ref="I409:I472" ca="1" si="40">I408+E408*X409</f>
        <v>108</v>
      </c>
      <c r="J409" s="62">
        <f t="shared" ref="J409:J472" ca="1" si="41">J408+E408*X409+U409</f>
        <v>108</v>
      </c>
      <c r="M409" s="62">
        <f ca="1">IF(ABS('main page'!$K$29*M408+(1-'main page'!$K$29)*(controls!$B$9/100)*100+'main page'!$K$25*(E409-B409)-M408)&lt;0.0000001,M408,'main page'!$K$29*M408+(1-'main page'!$K$29)*(controls!$B$9/100)*100+'main page'!$K$25*(E409-B409))</f>
        <v>-649.75</v>
      </c>
      <c r="N409" s="62">
        <f ca="1">IF(controls!$B$10=1,N408,O409-'main page'!$K$29*M409-(1-'main page'!$K$29)*controls!$B$9)</f>
        <v>649.75</v>
      </c>
      <c r="O409" s="61">
        <f t="shared" ca="1" si="36"/>
        <v>0</v>
      </c>
      <c r="P409" s="63">
        <f ca="1">IF(controls!$B$10=1,hystere!N409+hystere!M409,hystere!Q409)</f>
        <v>-759.23749999999995</v>
      </c>
      <c r="Q409" s="61">
        <f ca="1">IF('main page'!$Y$53=1,'choose m.p.'!$I$22*100,R409)</f>
        <v>-759.23749999999995</v>
      </c>
      <c r="R409" s="83">
        <f ca="1">'main page'!$K$29*M409+(1-'main page'!$K$29)*controls!$B$9+S409+(('main page'!$K$25*'main page'!$U$13*'main page'!$K$29)/('main page'!$K$27*(1+('main page'!$K$25^2)*'main page'!$U$13)))*(M409-(controls!$B$9/100)*100)</f>
        <v>-759.23749999999995</v>
      </c>
      <c r="S409" s="81">
        <f ca="1">IF(controls!$B$33=1,(J410-E409*X410-B409)/'main page'!$K$27,(I410-E409*X410-B409)/'main page'!$K$27)</f>
        <v>53.45</v>
      </c>
      <c r="U409" s="58">
        <f>IF(controls!$B$6=1,$AG$4*(1+('main page'!$K$35/100))^V409-$AG$4*(1+('main page'!$K$35/100))^V408,$AG$4*(1+('main page'!$G$8/100))*(1+('main page'!$K$35/100))^V409-$AG$4*(1+('main page'!$G$8/100))*(1+('main page'!$K$35/100))^V408)</f>
        <v>0</v>
      </c>
      <c r="V409" s="60">
        <v>401</v>
      </c>
      <c r="W409" s="36">
        <f>'normal case'!AC408</f>
        <v>0</v>
      </c>
      <c r="X409" s="36">
        <f>'normal case'!AD408</f>
        <v>0</v>
      </c>
      <c r="Y409" s="44">
        <f ca="1">IF(controls!$B$33=1,E409-($J$4-'main page'!$K$27*2)*(1+('main page'!$K$35/100))^A408,E409-$AG$5)</f>
        <v>-99.9</v>
      </c>
      <c r="Z409" s="44">
        <f ca="1">ABS(M409-(controls!$B$9/100)*100)</f>
        <v>651.75</v>
      </c>
      <c r="AI409" s="36"/>
      <c r="AJ409" s="36"/>
    </row>
    <row r="410" spans="1:36">
      <c r="A410" s="43">
        <v>407</v>
      </c>
      <c r="B410" s="62">
        <f ca="1">IF(controls!$B$6=2,AVERAGE(E406:E409)+B409*W410+hystere!$AG$9,AVERAGE(E406:E409)+B409*W410)</f>
        <v>1.1000000000000001</v>
      </c>
      <c r="C410" s="67">
        <f t="shared" ca="1" si="37"/>
        <v>0</v>
      </c>
      <c r="D410" s="88">
        <f t="shared" ca="1" si="38"/>
        <v>-1</v>
      </c>
      <c r="E410" s="64">
        <f t="shared" ca="1" si="39"/>
        <v>0.1</v>
      </c>
      <c r="F410" s="64">
        <f ca="1">IF('main page'!$K$34=1,hystere!H410,hystere!G410)</f>
        <v>-1191.5</v>
      </c>
      <c r="G410" s="78">
        <f ca="1">I410-'main page'!$K$27*hystere!N409</f>
        <v>-1191.5</v>
      </c>
      <c r="H410" s="62">
        <f ca="1">J410-'main page'!$K$27*N409</f>
        <v>-1191.5</v>
      </c>
      <c r="I410" s="62">
        <f t="shared" ca="1" si="40"/>
        <v>108</v>
      </c>
      <c r="J410" s="62">
        <f t="shared" ca="1" si="41"/>
        <v>108</v>
      </c>
      <c r="M410" s="62">
        <f ca="1">IF(ABS('main page'!$K$29*M409+(1-'main page'!$K$29)*(controls!$B$9/100)*100+'main page'!$K$25*(E410-B410)-M409)&lt;0.0000001,M409,'main page'!$K$29*M409+(1-'main page'!$K$29)*(controls!$B$9/100)*100+'main page'!$K$25*(E410-B410))</f>
        <v>-650.75</v>
      </c>
      <c r="N410" s="62">
        <f ca="1">IF(controls!$B$10=1,N409,O410-'main page'!$K$29*M410-(1-'main page'!$K$29)*controls!$B$9)</f>
        <v>650.75</v>
      </c>
      <c r="O410" s="61">
        <f t="shared" ca="1" si="36"/>
        <v>0</v>
      </c>
      <c r="P410" s="63">
        <f ca="1">IF(controls!$B$10=1,hystere!N410+hystere!M410,hystere!Q410)</f>
        <v>-760.48749999999995</v>
      </c>
      <c r="Q410" s="61">
        <f ca="1">IF('main page'!$Y$53=1,'choose m.p.'!$I$22*100,R410)</f>
        <v>-760.48749999999995</v>
      </c>
      <c r="R410" s="83">
        <f ca="1">'main page'!$K$29*M410+(1-'main page'!$K$29)*controls!$B$9+S410+(('main page'!$K$25*'main page'!$U$13*'main page'!$K$29)/('main page'!$K$27*(1+('main page'!$K$25^2)*'main page'!$U$13)))*(M410-(controls!$B$9/100)*100)</f>
        <v>-760.48749999999995</v>
      </c>
      <c r="S410" s="81">
        <f ca="1">IF(controls!$B$33=1,(J411-E410*X411-B410)/'main page'!$K$27,(I411-E410*X411-B410)/'main page'!$K$27)</f>
        <v>53.45</v>
      </c>
      <c r="U410" s="58">
        <f>IF(controls!$B$6=1,$AG$4*(1+('main page'!$K$35/100))^V410-$AG$4*(1+('main page'!$K$35/100))^V409,$AG$4*(1+('main page'!$G$8/100))*(1+('main page'!$K$35/100))^V410-$AG$4*(1+('main page'!$G$8/100))*(1+('main page'!$K$35/100))^V409)</f>
        <v>0</v>
      </c>
      <c r="V410" s="60">
        <v>402</v>
      </c>
      <c r="W410" s="36">
        <f>'normal case'!AC409</f>
        <v>0</v>
      </c>
      <c r="X410" s="36">
        <f>'normal case'!AD409</f>
        <v>0</v>
      </c>
      <c r="Y410" s="44">
        <f ca="1">IF(controls!$B$33=1,E410-($J$4-'main page'!$K$27*2)*(1+('main page'!$K$35/100))^A409,E410-$AG$5)</f>
        <v>-99.9</v>
      </c>
      <c r="Z410" s="44">
        <f ca="1">ABS(M410-(controls!$B$9/100)*100)</f>
        <v>652.75</v>
      </c>
      <c r="AI410" s="36"/>
      <c r="AJ410" s="36"/>
    </row>
    <row r="411" spans="1:36">
      <c r="A411" s="43">
        <v>408</v>
      </c>
      <c r="B411" s="62">
        <f ca="1">IF(controls!$B$6=2,AVERAGE(E407:E410)+B410*W411+hystere!$AG$9,AVERAGE(E407:E410)+B410*W411)</f>
        <v>1.1000000000000001</v>
      </c>
      <c r="C411" s="67">
        <f t="shared" ca="1" si="37"/>
        <v>0</v>
      </c>
      <c r="D411" s="88">
        <f t="shared" ca="1" si="38"/>
        <v>-1</v>
      </c>
      <c r="E411" s="64">
        <f t="shared" ca="1" si="39"/>
        <v>0.1</v>
      </c>
      <c r="F411" s="64">
        <f ca="1">IF('main page'!$K$34=1,hystere!H411,hystere!G411)</f>
        <v>-1193.5</v>
      </c>
      <c r="G411" s="78">
        <f ca="1">I411-'main page'!$K$27*hystere!N410</f>
        <v>-1193.5</v>
      </c>
      <c r="H411" s="62">
        <f ca="1">J411-'main page'!$K$27*N410</f>
        <v>-1193.5</v>
      </c>
      <c r="I411" s="62">
        <f t="shared" ca="1" si="40"/>
        <v>108</v>
      </c>
      <c r="J411" s="62">
        <f t="shared" ca="1" si="41"/>
        <v>108</v>
      </c>
      <c r="M411" s="62">
        <f ca="1">IF(ABS('main page'!$K$29*M410+(1-'main page'!$K$29)*(controls!$B$9/100)*100+'main page'!$K$25*(E411-B411)-M410)&lt;0.0000001,M410,'main page'!$K$29*M410+(1-'main page'!$K$29)*(controls!$B$9/100)*100+'main page'!$K$25*(E411-B411))</f>
        <v>-651.75</v>
      </c>
      <c r="N411" s="62">
        <f ca="1">IF(controls!$B$10=1,N410,O411-'main page'!$K$29*M411-(1-'main page'!$K$29)*controls!$B$9)</f>
        <v>651.75</v>
      </c>
      <c r="O411" s="61">
        <f t="shared" ca="1" si="36"/>
        <v>0</v>
      </c>
      <c r="P411" s="63">
        <f ca="1">IF(controls!$B$10=1,hystere!N411+hystere!M411,hystere!Q411)</f>
        <v>-761.73749999999995</v>
      </c>
      <c r="Q411" s="61">
        <f ca="1">IF('main page'!$Y$53=1,'choose m.p.'!$I$22*100,R411)</f>
        <v>-761.73749999999995</v>
      </c>
      <c r="R411" s="83">
        <f ca="1">'main page'!$K$29*M411+(1-'main page'!$K$29)*controls!$B$9+S411+(('main page'!$K$25*'main page'!$U$13*'main page'!$K$29)/('main page'!$K$27*(1+('main page'!$K$25^2)*'main page'!$U$13)))*(M411-(controls!$B$9/100)*100)</f>
        <v>-761.73749999999995</v>
      </c>
      <c r="S411" s="81">
        <f ca="1">IF(controls!$B$33=1,(J412-E411*X412-B411)/'main page'!$K$27,(I412-E411*X412-B411)/'main page'!$K$27)</f>
        <v>53.45</v>
      </c>
      <c r="U411" s="58">
        <f>IF(controls!$B$6=1,$AG$4*(1+('main page'!$K$35/100))^V411-$AG$4*(1+('main page'!$K$35/100))^V410,$AG$4*(1+('main page'!$G$8/100))*(1+('main page'!$K$35/100))^V411-$AG$4*(1+('main page'!$G$8/100))*(1+('main page'!$K$35/100))^V410)</f>
        <v>0</v>
      </c>
      <c r="V411" s="60">
        <v>403</v>
      </c>
      <c r="W411" s="36">
        <f ca="1">'normal case'!AC410</f>
        <v>0</v>
      </c>
      <c r="X411" s="36">
        <f ca="1">'normal case'!AD410</f>
        <v>0</v>
      </c>
      <c r="Y411" s="44">
        <f ca="1">IF(controls!$B$33=1,E411-($J$4-'main page'!$K$27*2)*(1+('main page'!$K$35/100))^A410,E411-$AG$5)</f>
        <v>-99.9</v>
      </c>
      <c r="Z411" s="44">
        <f ca="1">ABS(M411-(controls!$B$9/100)*100)</f>
        <v>653.75</v>
      </c>
      <c r="AI411" s="36"/>
      <c r="AJ411" s="36"/>
    </row>
    <row r="412" spans="1:36">
      <c r="A412" s="43">
        <v>409</v>
      </c>
      <c r="B412" s="62">
        <f ca="1">IF(controls!$B$6=2,AVERAGE(E408:E411)+B411*W412+hystere!$AG$9,AVERAGE(E408:E411)+B411*W412)</f>
        <v>1.1000000000000001</v>
      </c>
      <c r="C412" s="67">
        <f t="shared" ca="1" si="37"/>
        <v>0</v>
      </c>
      <c r="D412" s="88">
        <f t="shared" ca="1" si="38"/>
        <v>-1</v>
      </c>
      <c r="E412" s="64">
        <f t="shared" ca="1" si="39"/>
        <v>0.1</v>
      </c>
      <c r="F412" s="64">
        <f ca="1">IF('main page'!$K$34=1,hystere!H412,hystere!G412)</f>
        <v>-1195.5</v>
      </c>
      <c r="G412" s="78">
        <f ca="1">I412-'main page'!$K$27*hystere!N411</f>
        <v>-1195.5</v>
      </c>
      <c r="H412" s="62">
        <f ca="1">J412-'main page'!$K$27*N411</f>
        <v>-1195.5</v>
      </c>
      <c r="I412" s="62">
        <f t="shared" ca="1" si="40"/>
        <v>108</v>
      </c>
      <c r="J412" s="62">
        <f t="shared" ca="1" si="41"/>
        <v>108</v>
      </c>
      <c r="M412" s="62">
        <f ca="1">IF(ABS('main page'!$K$29*M411+(1-'main page'!$K$29)*(controls!$B$9/100)*100+'main page'!$K$25*(E412-B412)-M411)&lt;0.0000001,M411,'main page'!$K$29*M411+(1-'main page'!$K$29)*(controls!$B$9/100)*100+'main page'!$K$25*(E412-B412))</f>
        <v>-652.75</v>
      </c>
      <c r="N412" s="62">
        <f ca="1">IF(controls!$B$10=1,N411,O412-'main page'!$K$29*M412-(1-'main page'!$K$29)*controls!$B$9)</f>
        <v>652.75</v>
      </c>
      <c r="O412" s="61">
        <f t="shared" ca="1" si="36"/>
        <v>0</v>
      </c>
      <c r="P412" s="63">
        <f ca="1">IF(controls!$B$10=1,hystere!N412+hystere!M412,hystere!Q412)</f>
        <v>-762.98749999999995</v>
      </c>
      <c r="Q412" s="61">
        <f ca="1">IF('main page'!$Y$53=1,'choose m.p.'!$I$22*100,R412)</f>
        <v>-762.98749999999995</v>
      </c>
      <c r="R412" s="83">
        <f ca="1">'main page'!$K$29*M412+(1-'main page'!$K$29)*controls!$B$9+S412+(('main page'!$K$25*'main page'!$U$13*'main page'!$K$29)/('main page'!$K$27*(1+('main page'!$K$25^2)*'main page'!$U$13)))*(M412-(controls!$B$9/100)*100)</f>
        <v>-762.98749999999995</v>
      </c>
      <c r="S412" s="81">
        <f ca="1">IF(controls!$B$33=1,(J413-E412*X413-B412)/'main page'!$K$27,(I413-E412*X413-B412)/'main page'!$K$27)</f>
        <v>53.45</v>
      </c>
      <c r="U412" s="58">
        <f>IF(controls!$B$6=1,$AG$4*(1+('main page'!$K$35/100))^V412-$AG$4*(1+('main page'!$K$35/100))^V411,$AG$4*(1+('main page'!$G$8/100))*(1+('main page'!$K$35/100))^V412-$AG$4*(1+('main page'!$G$8/100))*(1+('main page'!$K$35/100))^V411)</f>
        <v>0</v>
      </c>
      <c r="V412" s="60">
        <v>404</v>
      </c>
      <c r="W412" s="36">
        <f>'normal case'!AC411</f>
        <v>0</v>
      </c>
      <c r="X412" s="36">
        <f>'normal case'!AD411</f>
        <v>0</v>
      </c>
      <c r="Y412" s="44">
        <f ca="1">IF(controls!$B$33=1,E412-($J$4-'main page'!$K$27*2)*(1+('main page'!$K$35/100))^A411,E412-$AG$5)</f>
        <v>-99.9</v>
      </c>
      <c r="Z412" s="44">
        <f ca="1">ABS(M412-(controls!$B$9/100)*100)</f>
        <v>654.75</v>
      </c>
      <c r="AI412" s="36"/>
      <c r="AJ412" s="36"/>
    </row>
    <row r="413" spans="1:36">
      <c r="A413" s="43">
        <v>410</v>
      </c>
      <c r="B413" s="62">
        <f ca="1">IF(controls!$B$6=2,AVERAGE(E409:E412)+B412*W413+hystere!$AG$9,AVERAGE(E409:E412)+B412*W413)</f>
        <v>1.1000000000000001</v>
      </c>
      <c r="C413" s="67">
        <f t="shared" ca="1" si="37"/>
        <v>0</v>
      </c>
      <c r="D413" s="88">
        <f t="shared" ca="1" si="38"/>
        <v>-1</v>
      </c>
      <c r="E413" s="64">
        <f t="shared" ca="1" si="39"/>
        <v>0.1</v>
      </c>
      <c r="F413" s="64">
        <f ca="1">IF('main page'!$K$34=1,hystere!H413,hystere!G413)</f>
        <v>-1197.5</v>
      </c>
      <c r="G413" s="78">
        <f ca="1">I413-'main page'!$K$27*hystere!N412</f>
        <v>-1197.5</v>
      </c>
      <c r="H413" s="62">
        <f ca="1">J413-'main page'!$K$27*N412</f>
        <v>-1197.5</v>
      </c>
      <c r="I413" s="62">
        <f t="shared" ca="1" si="40"/>
        <v>108</v>
      </c>
      <c r="J413" s="62">
        <f t="shared" ca="1" si="41"/>
        <v>108</v>
      </c>
      <c r="M413" s="62">
        <f ca="1">IF(ABS('main page'!$K$29*M412+(1-'main page'!$K$29)*(controls!$B$9/100)*100+'main page'!$K$25*(E413-B413)-M412)&lt;0.0000001,M412,'main page'!$K$29*M412+(1-'main page'!$K$29)*(controls!$B$9/100)*100+'main page'!$K$25*(E413-B413))</f>
        <v>-653.75</v>
      </c>
      <c r="N413" s="62">
        <f ca="1">IF(controls!$B$10=1,N412,O413-'main page'!$K$29*M413-(1-'main page'!$K$29)*controls!$B$9)</f>
        <v>653.75</v>
      </c>
      <c r="O413" s="61">
        <f t="shared" ca="1" si="36"/>
        <v>0</v>
      </c>
      <c r="P413" s="63">
        <f ca="1">IF(controls!$B$10=1,hystere!N413+hystere!M413,hystere!Q413)</f>
        <v>-764.23749999999995</v>
      </c>
      <c r="Q413" s="61">
        <f ca="1">IF('main page'!$Y$53=1,'choose m.p.'!$I$22*100,R413)</f>
        <v>-764.23749999999995</v>
      </c>
      <c r="R413" s="83">
        <f ca="1">'main page'!$K$29*M413+(1-'main page'!$K$29)*controls!$B$9+S413+(('main page'!$K$25*'main page'!$U$13*'main page'!$K$29)/('main page'!$K$27*(1+('main page'!$K$25^2)*'main page'!$U$13)))*(M413-(controls!$B$9/100)*100)</f>
        <v>-764.23749999999995</v>
      </c>
      <c r="S413" s="81">
        <f ca="1">IF(controls!$B$33=1,(J414-E413*X414-B413)/'main page'!$K$27,(I414-E413*X414-B413)/'main page'!$K$27)</f>
        <v>53.45</v>
      </c>
      <c r="U413" s="58">
        <f>IF(controls!$B$6=1,$AG$4*(1+('main page'!$K$35/100))^V413-$AG$4*(1+('main page'!$K$35/100))^V412,$AG$4*(1+('main page'!$G$8/100))*(1+('main page'!$K$35/100))^V413-$AG$4*(1+('main page'!$G$8/100))*(1+('main page'!$K$35/100))^V412)</f>
        <v>0</v>
      </c>
      <c r="V413" s="60">
        <v>405</v>
      </c>
      <c r="W413" s="36">
        <f>'normal case'!AC412</f>
        <v>0</v>
      </c>
      <c r="X413" s="36">
        <f>'normal case'!AD412</f>
        <v>0</v>
      </c>
      <c r="Y413" s="44">
        <f ca="1">IF(controls!$B$33=1,E413-($J$4-'main page'!$K$27*2)*(1+('main page'!$K$35/100))^A412,E413-$AG$5)</f>
        <v>-99.9</v>
      </c>
      <c r="Z413" s="44">
        <f ca="1">ABS(M413-(controls!$B$9/100)*100)</f>
        <v>655.75</v>
      </c>
      <c r="AI413" s="36"/>
      <c r="AJ413" s="36"/>
    </row>
    <row r="414" spans="1:36">
      <c r="A414" s="43">
        <v>411</v>
      </c>
      <c r="B414" s="62">
        <f ca="1">IF(controls!$B$6=2,AVERAGE(E410:E413)+B413*W414+hystere!$AG$9,AVERAGE(E410:E413)+B413*W414)</f>
        <v>1.1000000000000001</v>
      </c>
      <c r="C414" s="67">
        <f t="shared" ca="1" si="37"/>
        <v>0</v>
      </c>
      <c r="D414" s="88">
        <f t="shared" ca="1" si="38"/>
        <v>-1</v>
      </c>
      <c r="E414" s="64">
        <f t="shared" ca="1" si="39"/>
        <v>0.1</v>
      </c>
      <c r="F414" s="64">
        <f ca="1">IF('main page'!$K$34=1,hystere!H414,hystere!G414)</f>
        <v>-1199.5</v>
      </c>
      <c r="G414" s="78">
        <f ca="1">I414-'main page'!$K$27*hystere!N413</f>
        <v>-1199.5</v>
      </c>
      <c r="H414" s="62">
        <f ca="1">J414-'main page'!$K$27*N413</f>
        <v>-1199.5</v>
      </c>
      <c r="I414" s="62">
        <f t="shared" ca="1" si="40"/>
        <v>108</v>
      </c>
      <c r="J414" s="62">
        <f t="shared" ca="1" si="41"/>
        <v>108</v>
      </c>
      <c r="M414" s="62">
        <f ca="1">IF(ABS('main page'!$K$29*M413+(1-'main page'!$K$29)*(controls!$B$9/100)*100+'main page'!$K$25*(E414-B414)-M413)&lt;0.0000001,M413,'main page'!$K$29*M413+(1-'main page'!$K$29)*(controls!$B$9/100)*100+'main page'!$K$25*(E414-B414))</f>
        <v>-654.75</v>
      </c>
      <c r="N414" s="62">
        <f ca="1">IF(controls!$B$10=1,N413,O414-'main page'!$K$29*M414-(1-'main page'!$K$29)*controls!$B$9)</f>
        <v>654.75</v>
      </c>
      <c r="O414" s="61">
        <f t="shared" ca="1" si="36"/>
        <v>0</v>
      </c>
      <c r="P414" s="63">
        <f ca="1">IF(controls!$B$10=1,hystere!N414+hystere!M414,hystere!Q414)</f>
        <v>-765.48749999999995</v>
      </c>
      <c r="Q414" s="61">
        <f ca="1">IF('main page'!$Y$53=1,'choose m.p.'!$I$22*100,R414)</f>
        <v>-765.48749999999995</v>
      </c>
      <c r="R414" s="83">
        <f ca="1">'main page'!$K$29*M414+(1-'main page'!$K$29)*controls!$B$9+S414+(('main page'!$K$25*'main page'!$U$13*'main page'!$K$29)/('main page'!$K$27*(1+('main page'!$K$25^2)*'main page'!$U$13)))*(M414-(controls!$B$9/100)*100)</f>
        <v>-765.48749999999995</v>
      </c>
      <c r="S414" s="81">
        <f ca="1">IF(controls!$B$33=1,(J415-E414*X415-B414)/'main page'!$K$27,(I415-E414*X415-B414)/'main page'!$K$27)</f>
        <v>53.45</v>
      </c>
      <c r="U414" s="58">
        <f>IF(controls!$B$6=1,$AG$4*(1+('main page'!$K$35/100))^V414-$AG$4*(1+('main page'!$K$35/100))^V413,$AG$4*(1+('main page'!$G$8/100))*(1+('main page'!$K$35/100))^V414-$AG$4*(1+('main page'!$G$8/100))*(1+('main page'!$K$35/100))^V413)</f>
        <v>0</v>
      </c>
      <c r="V414" s="60">
        <v>406</v>
      </c>
      <c r="W414" s="36">
        <f ca="1">'normal case'!AC413</f>
        <v>0</v>
      </c>
      <c r="X414" s="36">
        <f ca="1">'normal case'!AD413</f>
        <v>0</v>
      </c>
      <c r="Y414" s="44">
        <f ca="1">IF(controls!$B$33=1,E414-($J$4-'main page'!$K$27*2)*(1+('main page'!$K$35/100))^A413,E414-$AG$5)</f>
        <v>-99.9</v>
      </c>
      <c r="Z414" s="44">
        <f ca="1">ABS(M414-(controls!$B$9/100)*100)</f>
        <v>656.75</v>
      </c>
      <c r="AI414" s="36"/>
      <c r="AJ414" s="36"/>
    </row>
    <row r="415" spans="1:36">
      <c r="A415" s="43">
        <v>412</v>
      </c>
      <c r="B415" s="62">
        <f ca="1">IF(controls!$B$6=2,AVERAGE(E411:E414)+B414*W415+hystere!$AG$9,AVERAGE(E411:E414)+B414*W415)</f>
        <v>1.1000000000000001</v>
      </c>
      <c r="C415" s="67">
        <f t="shared" ca="1" si="37"/>
        <v>0</v>
      </c>
      <c r="D415" s="88">
        <f t="shared" ca="1" si="38"/>
        <v>-1</v>
      </c>
      <c r="E415" s="64">
        <f t="shared" ca="1" si="39"/>
        <v>0.1</v>
      </c>
      <c r="F415" s="64">
        <f ca="1">IF('main page'!$K$34=1,hystere!H415,hystere!G415)</f>
        <v>-1201.5</v>
      </c>
      <c r="G415" s="78">
        <f ca="1">I415-'main page'!$K$27*hystere!N414</f>
        <v>-1201.5</v>
      </c>
      <c r="H415" s="62">
        <f ca="1">J415-'main page'!$K$27*N414</f>
        <v>-1201.5</v>
      </c>
      <c r="I415" s="62">
        <f t="shared" ca="1" si="40"/>
        <v>108</v>
      </c>
      <c r="J415" s="62">
        <f t="shared" ca="1" si="41"/>
        <v>108</v>
      </c>
      <c r="M415" s="62">
        <f ca="1">IF(ABS('main page'!$K$29*M414+(1-'main page'!$K$29)*(controls!$B$9/100)*100+'main page'!$K$25*(E415-B415)-M414)&lt;0.0000001,M414,'main page'!$K$29*M414+(1-'main page'!$K$29)*(controls!$B$9/100)*100+'main page'!$K$25*(E415-B415))</f>
        <v>-655.75</v>
      </c>
      <c r="N415" s="62">
        <f ca="1">IF(controls!$B$10=1,N414,O415-'main page'!$K$29*M415-(1-'main page'!$K$29)*controls!$B$9)</f>
        <v>655.75</v>
      </c>
      <c r="O415" s="61">
        <f t="shared" ca="1" si="36"/>
        <v>0</v>
      </c>
      <c r="P415" s="63">
        <f ca="1">IF(controls!$B$10=1,hystere!N415+hystere!M415,hystere!Q415)</f>
        <v>-766.73749999999995</v>
      </c>
      <c r="Q415" s="61">
        <f ca="1">IF('main page'!$Y$53=1,'choose m.p.'!$I$22*100,R415)</f>
        <v>-766.73749999999995</v>
      </c>
      <c r="R415" s="83">
        <f ca="1">'main page'!$K$29*M415+(1-'main page'!$K$29)*controls!$B$9+S415+(('main page'!$K$25*'main page'!$U$13*'main page'!$K$29)/('main page'!$K$27*(1+('main page'!$K$25^2)*'main page'!$U$13)))*(M415-(controls!$B$9/100)*100)</f>
        <v>-766.73749999999995</v>
      </c>
      <c r="S415" s="81">
        <f ca="1">IF(controls!$B$33=1,(J416-E415*X416-B415)/'main page'!$K$27,(I416-E415*X416-B415)/'main page'!$K$27)</f>
        <v>53.45</v>
      </c>
      <c r="U415" s="58">
        <f>IF(controls!$B$6=1,$AG$4*(1+('main page'!$K$35/100))^V415-$AG$4*(1+('main page'!$K$35/100))^V414,$AG$4*(1+('main page'!$G$8/100))*(1+('main page'!$K$35/100))^V415-$AG$4*(1+('main page'!$G$8/100))*(1+('main page'!$K$35/100))^V414)</f>
        <v>0</v>
      </c>
      <c r="V415" s="60">
        <v>407</v>
      </c>
      <c r="W415" s="36">
        <f>'normal case'!AC414</f>
        <v>0</v>
      </c>
      <c r="X415" s="36">
        <f>'normal case'!AD414</f>
        <v>0</v>
      </c>
      <c r="Y415" s="44">
        <f ca="1">IF(controls!$B$33=1,E415-($J$4-'main page'!$K$27*2)*(1+('main page'!$K$35/100))^A414,E415-$AG$5)</f>
        <v>-99.9</v>
      </c>
      <c r="Z415" s="44">
        <f ca="1">ABS(M415-(controls!$B$9/100)*100)</f>
        <v>657.75</v>
      </c>
      <c r="AI415" s="36"/>
      <c r="AJ415" s="36"/>
    </row>
    <row r="416" spans="1:36">
      <c r="A416" s="43">
        <v>413</v>
      </c>
      <c r="B416" s="62">
        <f ca="1">IF(controls!$B$6=2,AVERAGE(E412:E415)+B415*W416+hystere!$AG$9,AVERAGE(E412:E415)+B415*W416)</f>
        <v>1.1000000000000001</v>
      </c>
      <c r="C416" s="67">
        <f t="shared" ca="1" si="37"/>
        <v>0</v>
      </c>
      <c r="D416" s="88">
        <f t="shared" ca="1" si="38"/>
        <v>-1</v>
      </c>
      <c r="E416" s="64">
        <f t="shared" ca="1" si="39"/>
        <v>0.1</v>
      </c>
      <c r="F416" s="64">
        <f ca="1">IF('main page'!$K$34=1,hystere!H416,hystere!G416)</f>
        <v>-1203.5</v>
      </c>
      <c r="G416" s="78">
        <f ca="1">I416-'main page'!$K$27*hystere!N415</f>
        <v>-1203.5</v>
      </c>
      <c r="H416" s="62">
        <f ca="1">J416-'main page'!$K$27*N415</f>
        <v>-1203.5</v>
      </c>
      <c r="I416" s="62">
        <f t="shared" ca="1" si="40"/>
        <v>108</v>
      </c>
      <c r="J416" s="62">
        <f t="shared" ca="1" si="41"/>
        <v>108</v>
      </c>
      <c r="M416" s="62">
        <f ca="1">IF(ABS('main page'!$K$29*M415+(1-'main page'!$K$29)*(controls!$B$9/100)*100+'main page'!$K$25*(E416-B416)-M415)&lt;0.0000001,M415,'main page'!$K$29*M415+(1-'main page'!$K$29)*(controls!$B$9/100)*100+'main page'!$K$25*(E416-B416))</f>
        <v>-656.75</v>
      </c>
      <c r="N416" s="62">
        <f ca="1">IF(controls!$B$10=1,N415,O416-'main page'!$K$29*M416-(1-'main page'!$K$29)*controls!$B$9)</f>
        <v>656.75</v>
      </c>
      <c r="O416" s="61">
        <f t="shared" ca="1" si="36"/>
        <v>0</v>
      </c>
      <c r="P416" s="63">
        <f ca="1">IF(controls!$B$10=1,hystere!N416+hystere!M416,hystere!Q416)</f>
        <v>-767.98749999999995</v>
      </c>
      <c r="Q416" s="61">
        <f ca="1">IF('main page'!$Y$53=1,'choose m.p.'!$I$22*100,R416)</f>
        <v>-767.98749999999995</v>
      </c>
      <c r="R416" s="83">
        <f ca="1">'main page'!$K$29*M416+(1-'main page'!$K$29)*controls!$B$9+S416+(('main page'!$K$25*'main page'!$U$13*'main page'!$K$29)/('main page'!$K$27*(1+('main page'!$K$25^2)*'main page'!$U$13)))*(M416-(controls!$B$9/100)*100)</f>
        <v>-767.98749999999995</v>
      </c>
      <c r="S416" s="81">
        <f ca="1">IF(controls!$B$33=1,(J417-E416*X417-B416)/'main page'!$K$27,(I417-E416*X417-B416)/'main page'!$K$27)</f>
        <v>53.45</v>
      </c>
      <c r="U416" s="58">
        <f>IF(controls!$B$6=1,$AG$4*(1+('main page'!$K$35/100))^V416-$AG$4*(1+('main page'!$K$35/100))^V415,$AG$4*(1+('main page'!$G$8/100))*(1+('main page'!$K$35/100))^V416-$AG$4*(1+('main page'!$G$8/100))*(1+('main page'!$K$35/100))^V415)</f>
        <v>0</v>
      </c>
      <c r="V416" s="60">
        <v>408</v>
      </c>
      <c r="W416" s="36">
        <f>'normal case'!AC415</f>
        <v>0</v>
      </c>
      <c r="X416" s="36">
        <f>'normal case'!AD415</f>
        <v>0</v>
      </c>
      <c r="Y416" s="44">
        <f ca="1">IF(controls!$B$33=1,E416-($J$4-'main page'!$K$27*2)*(1+('main page'!$K$35/100))^A415,E416-$AG$5)</f>
        <v>-99.9</v>
      </c>
      <c r="Z416" s="44">
        <f ca="1">ABS(M416-(controls!$B$9/100)*100)</f>
        <v>658.75</v>
      </c>
      <c r="AI416" s="36"/>
      <c r="AJ416" s="36"/>
    </row>
    <row r="417" spans="1:36">
      <c r="A417" s="43">
        <v>414</v>
      </c>
      <c r="B417" s="62">
        <f ca="1">IF(controls!$B$6=2,AVERAGE(E413:E416)+B416*W417+hystere!$AG$9,AVERAGE(E413:E416)+B416*W417)</f>
        <v>1.1000000000000001</v>
      </c>
      <c r="C417" s="67">
        <f t="shared" ca="1" si="37"/>
        <v>0</v>
      </c>
      <c r="D417" s="88">
        <f t="shared" ca="1" si="38"/>
        <v>-1</v>
      </c>
      <c r="E417" s="64">
        <f t="shared" ca="1" si="39"/>
        <v>0.1</v>
      </c>
      <c r="F417" s="64">
        <f ca="1">IF('main page'!$K$34=1,hystere!H417,hystere!G417)</f>
        <v>-1205.5</v>
      </c>
      <c r="G417" s="78">
        <f ca="1">I417-'main page'!$K$27*hystere!N416</f>
        <v>-1205.5</v>
      </c>
      <c r="H417" s="62">
        <f ca="1">J417-'main page'!$K$27*N416</f>
        <v>-1205.5</v>
      </c>
      <c r="I417" s="62">
        <f t="shared" ca="1" si="40"/>
        <v>108</v>
      </c>
      <c r="J417" s="62">
        <f t="shared" ca="1" si="41"/>
        <v>108</v>
      </c>
      <c r="M417" s="62">
        <f ca="1">IF(ABS('main page'!$K$29*M416+(1-'main page'!$K$29)*(controls!$B$9/100)*100+'main page'!$K$25*(E417-B417)-M416)&lt;0.0000001,M416,'main page'!$K$29*M416+(1-'main page'!$K$29)*(controls!$B$9/100)*100+'main page'!$K$25*(E417-B417))</f>
        <v>-657.75</v>
      </c>
      <c r="N417" s="62">
        <f ca="1">IF(controls!$B$10=1,N416,O417-'main page'!$K$29*M417-(1-'main page'!$K$29)*controls!$B$9)</f>
        <v>657.75</v>
      </c>
      <c r="O417" s="61">
        <f t="shared" ca="1" si="36"/>
        <v>0</v>
      </c>
      <c r="P417" s="63">
        <f ca="1">IF(controls!$B$10=1,hystere!N417+hystere!M417,hystere!Q417)</f>
        <v>-769.23749999999995</v>
      </c>
      <c r="Q417" s="61">
        <f ca="1">IF('main page'!$Y$53=1,'choose m.p.'!$I$22*100,R417)</f>
        <v>-769.23749999999995</v>
      </c>
      <c r="R417" s="83">
        <f ca="1">'main page'!$K$29*M417+(1-'main page'!$K$29)*controls!$B$9+S417+(('main page'!$K$25*'main page'!$U$13*'main page'!$K$29)/('main page'!$K$27*(1+('main page'!$K$25^2)*'main page'!$U$13)))*(M417-(controls!$B$9/100)*100)</f>
        <v>-769.23749999999995</v>
      </c>
      <c r="S417" s="81">
        <f ca="1">IF(controls!$B$33=1,(J418-E417*X418-B417)/'main page'!$K$27,(I418-E417*X418-B417)/'main page'!$K$27)</f>
        <v>53.45</v>
      </c>
      <c r="U417" s="58">
        <f>IF(controls!$B$6=1,$AG$4*(1+('main page'!$K$35/100))^V417-$AG$4*(1+('main page'!$K$35/100))^V416,$AG$4*(1+('main page'!$G$8/100))*(1+('main page'!$K$35/100))^V417-$AG$4*(1+('main page'!$G$8/100))*(1+('main page'!$K$35/100))^V416)</f>
        <v>0</v>
      </c>
      <c r="V417" s="60">
        <v>409</v>
      </c>
      <c r="W417" s="36">
        <f ca="1">'normal case'!AC416</f>
        <v>0</v>
      </c>
      <c r="X417" s="36">
        <f ca="1">'normal case'!AD416</f>
        <v>0</v>
      </c>
      <c r="Y417" s="44">
        <f ca="1">IF(controls!$B$33=1,E417-($J$4-'main page'!$K$27*2)*(1+('main page'!$K$35/100))^A416,E417-$AG$5)</f>
        <v>-99.9</v>
      </c>
      <c r="Z417" s="44">
        <f ca="1">ABS(M417-(controls!$B$9/100)*100)</f>
        <v>659.75</v>
      </c>
      <c r="AI417" s="36"/>
      <c r="AJ417" s="36"/>
    </row>
    <row r="418" spans="1:36">
      <c r="A418" s="43">
        <v>415</v>
      </c>
      <c r="B418" s="62">
        <f ca="1">IF(controls!$B$6=2,AVERAGE(E414:E417)+B417*W418+hystere!$AG$9,AVERAGE(E414:E417)+B417*W418)</f>
        <v>1.1000000000000001</v>
      </c>
      <c r="C418" s="67">
        <f t="shared" ca="1" si="37"/>
        <v>0</v>
      </c>
      <c r="D418" s="88">
        <f t="shared" ca="1" si="38"/>
        <v>-1</v>
      </c>
      <c r="E418" s="64">
        <f t="shared" ca="1" si="39"/>
        <v>0.1</v>
      </c>
      <c r="F418" s="64">
        <f ca="1">IF('main page'!$K$34=1,hystere!H418,hystere!G418)</f>
        <v>-1207.5</v>
      </c>
      <c r="G418" s="78">
        <f ca="1">I418-'main page'!$K$27*hystere!N417</f>
        <v>-1207.5</v>
      </c>
      <c r="H418" s="62">
        <f ca="1">J418-'main page'!$K$27*N417</f>
        <v>-1207.5</v>
      </c>
      <c r="I418" s="62">
        <f t="shared" ca="1" si="40"/>
        <v>108</v>
      </c>
      <c r="J418" s="62">
        <f t="shared" ca="1" si="41"/>
        <v>108</v>
      </c>
      <c r="M418" s="62">
        <f ca="1">IF(ABS('main page'!$K$29*M417+(1-'main page'!$K$29)*(controls!$B$9/100)*100+'main page'!$K$25*(E418-B418)-M417)&lt;0.0000001,M417,'main page'!$K$29*M417+(1-'main page'!$K$29)*(controls!$B$9/100)*100+'main page'!$K$25*(E418-B418))</f>
        <v>-658.75</v>
      </c>
      <c r="N418" s="62">
        <f ca="1">IF(controls!$B$10=1,N417,O418-'main page'!$K$29*M418-(1-'main page'!$K$29)*controls!$B$9)</f>
        <v>658.75</v>
      </c>
      <c r="O418" s="61">
        <f t="shared" ca="1" si="36"/>
        <v>0</v>
      </c>
      <c r="P418" s="63">
        <f ca="1">IF(controls!$B$10=1,hystere!N418+hystere!M418,hystere!Q418)</f>
        <v>-770.48749999999995</v>
      </c>
      <c r="Q418" s="61">
        <f ca="1">IF('main page'!$Y$53=1,'choose m.p.'!$I$22*100,R418)</f>
        <v>-770.48749999999995</v>
      </c>
      <c r="R418" s="83">
        <f ca="1">'main page'!$K$29*M418+(1-'main page'!$K$29)*controls!$B$9+S418+(('main page'!$K$25*'main page'!$U$13*'main page'!$K$29)/('main page'!$K$27*(1+('main page'!$K$25^2)*'main page'!$U$13)))*(M418-(controls!$B$9/100)*100)</f>
        <v>-770.48749999999995</v>
      </c>
      <c r="S418" s="81">
        <f ca="1">IF(controls!$B$33=1,(J419-E418*X419-B418)/'main page'!$K$27,(I419-E418*X419-B418)/'main page'!$K$27)</f>
        <v>53.45</v>
      </c>
      <c r="U418" s="58">
        <f>IF(controls!$B$6=1,$AG$4*(1+('main page'!$K$35/100))^V418-$AG$4*(1+('main page'!$K$35/100))^V417,$AG$4*(1+('main page'!$G$8/100))*(1+('main page'!$K$35/100))^V418-$AG$4*(1+('main page'!$G$8/100))*(1+('main page'!$K$35/100))^V417)</f>
        <v>0</v>
      </c>
      <c r="V418" s="60">
        <v>410</v>
      </c>
      <c r="W418" s="36">
        <f>'normal case'!AC417</f>
        <v>0</v>
      </c>
      <c r="X418" s="36">
        <f>'normal case'!AD417</f>
        <v>0</v>
      </c>
      <c r="Y418" s="44">
        <f ca="1">IF(controls!$B$33=1,E418-($J$4-'main page'!$K$27*2)*(1+('main page'!$K$35/100))^A417,E418-$AG$5)</f>
        <v>-99.9</v>
      </c>
      <c r="Z418" s="44">
        <f ca="1">ABS(M418-(controls!$B$9/100)*100)</f>
        <v>660.75</v>
      </c>
      <c r="AI418" s="36"/>
      <c r="AJ418" s="36"/>
    </row>
    <row r="419" spans="1:36">
      <c r="A419" s="43">
        <v>416</v>
      </c>
      <c r="B419" s="62">
        <f ca="1">IF(controls!$B$6=2,AVERAGE(E415:E418)+B418*W419+hystere!$AG$9,AVERAGE(E415:E418)+B418*W419)</f>
        <v>1.1000000000000001</v>
      </c>
      <c r="C419" s="67">
        <f t="shared" ca="1" si="37"/>
        <v>0</v>
      </c>
      <c r="D419" s="88">
        <f t="shared" ca="1" si="38"/>
        <v>-1</v>
      </c>
      <c r="E419" s="64">
        <f t="shared" ca="1" si="39"/>
        <v>0.1</v>
      </c>
      <c r="F419" s="64">
        <f ca="1">IF('main page'!$K$34=1,hystere!H419,hystere!G419)</f>
        <v>-1209.5</v>
      </c>
      <c r="G419" s="78">
        <f ca="1">I419-'main page'!$K$27*hystere!N418</f>
        <v>-1209.5</v>
      </c>
      <c r="H419" s="62">
        <f ca="1">J419-'main page'!$K$27*N418</f>
        <v>-1209.5</v>
      </c>
      <c r="I419" s="62">
        <f t="shared" ca="1" si="40"/>
        <v>108</v>
      </c>
      <c r="J419" s="62">
        <f t="shared" ca="1" si="41"/>
        <v>108</v>
      </c>
      <c r="M419" s="62">
        <f ca="1">IF(ABS('main page'!$K$29*M418+(1-'main page'!$K$29)*(controls!$B$9/100)*100+'main page'!$K$25*(E419-B419)-M418)&lt;0.0000001,M418,'main page'!$K$29*M418+(1-'main page'!$K$29)*(controls!$B$9/100)*100+'main page'!$K$25*(E419-B419))</f>
        <v>-659.75</v>
      </c>
      <c r="N419" s="62">
        <f ca="1">IF(controls!$B$10=1,N418,O419-'main page'!$K$29*M419-(1-'main page'!$K$29)*controls!$B$9)</f>
        <v>659.75</v>
      </c>
      <c r="O419" s="61">
        <f t="shared" ca="1" si="36"/>
        <v>0</v>
      </c>
      <c r="P419" s="63">
        <f ca="1">IF(controls!$B$10=1,hystere!N419+hystere!M419,hystere!Q419)</f>
        <v>-771.73749999999995</v>
      </c>
      <c r="Q419" s="61">
        <f ca="1">IF('main page'!$Y$53=1,'choose m.p.'!$I$22*100,R419)</f>
        <v>-771.73749999999995</v>
      </c>
      <c r="R419" s="83">
        <f ca="1">'main page'!$K$29*M419+(1-'main page'!$K$29)*controls!$B$9+S419+(('main page'!$K$25*'main page'!$U$13*'main page'!$K$29)/('main page'!$K$27*(1+('main page'!$K$25^2)*'main page'!$U$13)))*(M419-(controls!$B$9/100)*100)</f>
        <v>-771.73749999999995</v>
      </c>
      <c r="S419" s="81">
        <f ca="1">IF(controls!$B$33=1,(J420-E419*X420-B419)/'main page'!$K$27,(I420-E419*X420-B419)/'main page'!$K$27)</f>
        <v>53.45</v>
      </c>
      <c r="U419" s="58">
        <f>IF(controls!$B$6=1,$AG$4*(1+('main page'!$K$35/100))^V419-$AG$4*(1+('main page'!$K$35/100))^V418,$AG$4*(1+('main page'!$G$8/100))*(1+('main page'!$K$35/100))^V419-$AG$4*(1+('main page'!$G$8/100))*(1+('main page'!$K$35/100))^V418)</f>
        <v>0</v>
      </c>
      <c r="V419" s="60">
        <v>411</v>
      </c>
      <c r="W419" s="36">
        <f>'normal case'!AC418</f>
        <v>0</v>
      </c>
      <c r="X419" s="36">
        <f>'normal case'!AD418</f>
        <v>0</v>
      </c>
      <c r="Y419" s="44">
        <f ca="1">IF(controls!$B$33=1,E419-($J$4-'main page'!$K$27*2)*(1+('main page'!$K$35/100))^A418,E419-$AG$5)</f>
        <v>-99.9</v>
      </c>
      <c r="Z419" s="44">
        <f ca="1">ABS(M419-(controls!$B$9/100)*100)</f>
        <v>661.75</v>
      </c>
      <c r="AI419" s="36"/>
      <c r="AJ419" s="36"/>
    </row>
    <row r="420" spans="1:36">
      <c r="A420" s="43">
        <v>417</v>
      </c>
      <c r="B420" s="62">
        <f ca="1">IF(controls!$B$6=2,AVERAGE(E416:E419)+B419*W420+hystere!$AG$9,AVERAGE(E416:E419)+B419*W420)</f>
        <v>1.1000000000000001</v>
      </c>
      <c r="C420" s="67">
        <f t="shared" ca="1" si="37"/>
        <v>0</v>
      </c>
      <c r="D420" s="88">
        <f t="shared" ca="1" si="38"/>
        <v>-1</v>
      </c>
      <c r="E420" s="64">
        <f t="shared" ca="1" si="39"/>
        <v>0.1</v>
      </c>
      <c r="F420" s="64">
        <f ca="1">IF('main page'!$K$34=1,hystere!H420,hystere!G420)</f>
        <v>-1211.5</v>
      </c>
      <c r="G420" s="78">
        <f ca="1">I420-'main page'!$K$27*hystere!N419</f>
        <v>-1211.5</v>
      </c>
      <c r="H420" s="62">
        <f ca="1">J420-'main page'!$K$27*N419</f>
        <v>-1211.5</v>
      </c>
      <c r="I420" s="62">
        <f t="shared" ca="1" si="40"/>
        <v>108</v>
      </c>
      <c r="J420" s="62">
        <f t="shared" ca="1" si="41"/>
        <v>108</v>
      </c>
      <c r="M420" s="62">
        <f ca="1">IF(ABS('main page'!$K$29*M419+(1-'main page'!$K$29)*(controls!$B$9/100)*100+'main page'!$K$25*(E420-B420)-M419)&lt;0.0000001,M419,'main page'!$K$29*M419+(1-'main page'!$K$29)*(controls!$B$9/100)*100+'main page'!$K$25*(E420-B420))</f>
        <v>-660.75</v>
      </c>
      <c r="N420" s="62">
        <f ca="1">IF(controls!$B$10=1,N419,O420-'main page'!$K$29*M420-(1-'main page'!$K$29)*controls!$B$9)</f>
        <v>660.75</v>
      </c>
      <c r="O420" s="61">
        <f t="shared" ca="1" si="36"/>
        <v>0</v>
      </c>
      <c r="P420" s="63">
        <f ca="1">IF(controls!$B$10=1,hystere!N420+hystere!M420,hystere!Q420)</f>
        <v>-772.98749999999995</v>
      </c>
      <c r="Q420" s="61">
        <f ca="1">IF('main page'!$Y$53=1,'choose m.p.'!$I$22*100,R420)</f>
        <v>-772.98749999999995</v>
      </c>
      <c r="R420" s="83">
        <f ca="1">'main page'!$K$29*M420+(1-'main page'!$K$29)*controls!$B$9+S420+(('main page'!$K$25*'main page'!$U$13*'main page'!$K$29)/('main page'!$K$27*(1+('main page'!$K$25^2)*'main page'!$U$13)))*(M420-(controls!$B$9/100)*100)</f>
        <v>-772.98749999999995</v>
      </c>
      <c r="S420" s="81">
        <f ca="1">IF(controls!$B$33=1,(J421-E420*X421-B420)/'main page'!$K$27,(I421-E420*X421-B420)/'main page'!$K$27)</f>
        <v>53.45</v>
      </c>
      <c r="U420" s="58">
        <f>IF(controls!$B$6=1,$AG$4*(1+('main page'!$K$35/100))^V420-$AG$4*(1+('main page'!$K$35/100))^V419,$AG$4*(1+('main page'!$G$8/100))*(1+('main page'!$K$35/100))^V420-$AG$4*(1+('main page'!$G$8/100))*(1+('main page'!$K$35/100))^V419)</f>
        <v>0</v>
      </c>
      <c r="V420" s="60">
        <v>412</v>
      </c>
      <c r="W420" s="36">
        <f ca="1">'normal case'!AC419</f>
        <v>0</v>
      </c>
      <c r="X420" s="36">
        <f ca="1">'normal case'!AD419</f>
        <v>0</v>
      </c>
      <c r="Y420" s="44">
        <f ca="1">IF(controls!$B$33=1,E420-($J$4-'main page'!$K$27*2)*(1+('main page'!$K$35/100))^A419,E420-$AG$5)</f>
        <v>-99.9</v>
      </c>
      <c r="Z420" s="44">
        <f ca="1">ABS(M420-(controls!$B$9/100)*100)</f>
        <v>662.75</v>
      </c>
      <c r="AI420" s="36"/>
      <c r="AJ420" s="36"/>
    </row>
    <row r="421" spans="1:36">
      <c r="A421" s="43">
        <v>418</v>
      </c>
      <c r="B421" s="62">
        <f ca="1">IF(controls!$B$6=2,AVERAGE(E417:E420)+B420*W421+hystere!$AG$9,AVERAGE(E417:E420)+B420*W421)</f>
        <v>1.1000000000000001</v>
      </c>
      <c r="C421" s="67">
        <f t="shared" ca="1" si="37"/>
        <v>0</v>
      </c>
      <c r="D421" s="88">
        <f t="shared" ca="1" si="38"/>
        <v>-1</v>
      </c>
      <c r="E421" s="64">
        <f t="shared" ca="1" si="39"/>
        <v>0.1</v>
      </c>
      <c r="F421" s="64">
        <f ca="1">IF('main page'!$K$34=1,hystere!H421,hystere!G421)</f>
        <v>-1213.5</v>
      </c>
      <c r="G421" s="78">
        <f ca="1">I421-'main page'!$K$27*hystere!N420</f>
        <v>-1213.5</v>
      </c>
      <c r="H421" s="62">
        <f ca="1">J421-'main page'!$K$27*N420</f>
        <v>-1213.5</v>
      </c>
      <c r="I421" s="62">
        <f t="shared" ca="1" si="40"/>
        <v>108</v>
      </c>
      <c r="J421" s="62">
        <f t="shared" ca="1" si="41"/>
        <v>108</v>
      </c>
      <c r="M421" s="62">
        <f ca="1">IF(ABS('main page'!$K$29*M420+(1-'main page'!$K$29)*(controls!$B$9/100)*100+'main page'!$K$25*(E421-B421)-M420)&lt;0.0000001,M420,'main page'!$K$29*M420+(1-'main page'!$K$29)*(controls!$B$9/100)*100+'main page'!$K$25*(E421-B421))</f>
        <v>-661.75</v>
      </c>
      <c r="N421" s="62">
        <f ca="1">IF(controls!$B$10=1,N420,O421-'main page'!$K$29*M421-(1-'main page'!$K$29)*controls!$B$9)</f>
        <v>661.75</v>
      </c>
      <c r="O421" s="61">
        <f t="shared" ca="1" si="36"/>
        <v>0</v>
      </c>
      <c r="P421" s="63">
        <f ca="1">IF(controls!$B$10=1,hystere!N421+hystere!M421,hystere!Q421)</f>
        <v>-774.23749999999995</v>
      </c>
      <c r="Q421" s="61">
        <f ca="1">IF('main page'!$Y$53=1,'choose m.p.'!$I$22*100,R421)</f>
        <v>-774.23749999999995</v>
      </c>
      <c r="R421" s="83">
        <f ca="1">'main page'!$K$29*M421+(1-'main page'!$K$29)*controls!$B$9+S421+(('main page'!$K$25*'main page'!$U$13*'main page'!$K$29)/('main page'!$K$27*(1+('main page'!$K$25^2)*'main page'!$U$13)))*(M421-(controls!$B$9/100)*100)</f>
        <v>-774.23749999999995</v>
      </c>
      <c r="S421" s="81">
        <f ca="1">IF(controls!$B$33=1,(J422-E421*X422-B421)/'main page'!$K$27,(I422-E421*X422-B421)/'main page'!$K$27)</f>
        <v>53.45</v>
      </c>
      <c r="U421" s="58">
        <f>IF(controls!$B$6=1,$AG$4*(1+('main page'!$K$35/100))^V421-$AG$4*(1+('main page'!$K$35/100))^V420,$AG$4*(1+('main page'!$G$8/100))*(1+('main page'!$K$35/100))^V421-$AG$4*(1+('main page'!$G$8/100))*(1+('main page'!$K$35/100))^V420)</f>
        <v>0</v>
      </c>
      <c r="V421" s="60">
        <v>413</v>
      </c>
      <c r="W421" s="36">
        <f>'normal case'!AC420</f>
        <v>0</v>
      </c>
      <c r="X421" s="36">
        <f>'normal case'!AD420</f>
        <v>0</v>
      </c>
      <c r="Y421" s="44">
        <f ca="1">IF(controls!$B$33=1,E421-($J$4-'main page'!$K$27*2)*(1+('main page'!$K$35/100))^A420,E421-$AG$5)</f>
        <v>-99.9</v>
      </c>
      <c r="Z421" s="44">
        <f ca="1">ABS(M421-(controls!$B$9/100)*100)</f>
        <v>663.75</v>
      </c>
      <c r="AI421" s="36"/>
      <c r="AJ421" s="36"/>
    </row>
    <row r="422" spans="1:36">
      <c r="A422" s="43">
        <v>419</v>
      </c>
      <c r="B422" s="62">
        <f ca="1">IF(controls!$B$6=2,AVERAGE(E418:E421)+B421*W422+hystere!$AG$9,AVERAGE(E418:E421)+B421*W422)</f>
        <v>1.1000000000000001</v>
      </c>
      <c r="C422" s="67">
        <f t="shared" ca="1" si="37"/>
        <v>0</v>
      </c>
      <c r="D422" s="88">
        <f t="shared" ca="1" si="38"/>
        <v>-1</v>
      </c>
      <c r="E422" s="64">
        <f t="shared" ca="1" si="39"/>
        <v>0.1</v>
      </c>
      <c r="F422" s="64">
        <f ca="1">IF('main page'!$K$34=1,hystere!H422,hystere!G422)</f>
        <v>-1215.5</v>
      </c>
      <c r="G422" s="78">
        <f ca="1">I422-'main page'!$K$27*hystere!N421</f>
        <v>-1215.5</v>
      </c>
      <c r="H422" s="62">
        <f ca="1">J422-'main page'!$K$27*N421</f>
        <v>-1215.5</v>
      </c>
      <c r="I422" s="62">
        <f t="shared" ca="1" si="40"/>
        <v>108</v>
      </c>
      <c r="J422" s="62">
        <f t="shared" ca="1" si="41"/>
        <v>108</v>
      </c>
      <c r="M422" s="62">
        <f ca="1">IF(ABS('main page'!$K$29*M421+(1-'main page'!$K$29)*(controls!$B$9/100)*100+'main page'!$K$25*(E422-B422)-M421)&lt;0.0000001,M421,'main page'!$K$29*M421+(1-'main page'!$K$29)*(controls!$B$9/100)*100+'main page'!$K$25*(E422-B422))</f>
        <v>-662.75</v>
      </c>
      <c r="N422" s="62">
        <f ca="1">IF(controls!$B$10=1,N421,O422-'main page'!$K$29*M422-(1-'main page'!$K$29)*controls!$B$9)</f>
        <v>662.75</v>
      </c>
      <c r="O422" s="61">
        <f t="shared" ca="1" si="36"/>
        <v>0</v>
      </c>
      <c r="P422" s="63">
        <f ca="1">IF(controls!$B$10=1,hystere!N422+hystere!M422,hystere!Q422)</f>
        <v>-775.48749999999995</v>
      </c>
      <c r="Q422" s="61">
        <f ca="1">IF('main page'!$Y$53=1,'choose m.p.'!$I$22*100,R422)</f>
        <v>-775.48749999999995</v>
      </c>
      <c r="R422" s="83">
        <f ca="1">'main page'!$K$29*M422+(1-'main page'!$K$29)*controls!$B$9+S422+(('main page'!$K$25*'main page'!$U$13*'main page'!$K$29)/('main page'!$K$27*(1+('main page'!$K$25^2)*'main page'!$U$13)))*(M422-(controls!$B$9/100)*100)</f>
        <v>-775.48749999999995</v>
      </c>
      <c r="S422" s="81">
        <f ca="1">IF(controls!$B$33=1,(J423-E422*X423-B422)/'main page'!$K$27,(I423-E422*X423-B422)/'main page'!$K$27)</f>
        <v>53.45</v>
      </c>
      <c r="U422" s="58">
        <f>IF(controls!$B$6=1,$AG$4*(1+('main page'!$K$35/100))^V422-$AG$4*(1+('main page'!$K$35/100))^V421,$AG$4*(1+('main page'!$G$8/100))*(1+('main page'!$K$35/100))^V422-$AG$4*(1+('main page'!$G$8/100))*(1+('main page'!$K$35/100))^V421)</f>
        <v>0</v>
      </c>
      <c r="V422" s="60">
        <v>414</v>
      </c>
      <c r="W422" s="36">
        <f>'normal case'!AC421</f>
        <v>0</v>
      </c>
      <c r="X422" s="36">
        <f>'normal case'!AD421</f>
        <v>0</v>
      </c>
      <c r="Y422" s="44">
        <f ca="1">IF(controls!$B$33=1,E422-($J$4-'main page'!$K$27*2)*(1+('main page'!$K$35/100))^A421,E422-$AG$5)</f>
        <v>-99.9</v>
      </c>
      <c r="Z422" s="44">
        <f ca="1">ABS(M422-(controls!$B$9/100)*100)</f>
        <v>664.75</v>
      </c>
      <c r="AI422" s="36"/>
      <c r="AJ422" s="36"/>
    </row>
    <row r="423" spans="1:36">
      <c r="A423" s="43">
        <v>420</v>
      </c>
      <c r="B423" s="62">
        <f ca="1">IF(controls!$B$6=2,AVERAGE(E419:E422)+B422*W423+hystere!$AG$9,AVERAGE(E419:E422)+B422*W423)</f>
        <v>1.1000000000000001</v>
      </c>
      <c r="C423" s="67">
        <f t="shared" ca="1" si="37"/>
        <v>0</v>
      </c>
      <c r="D423" s="88">
        <f t="shared" ca="1" si="38"/>
        <v>-1</v>
      </c>
      <c r="E423" s="64">
        <f t="shared" ca="1" si="39"/>
        <v>0.1</v>
      </c>
      <c r="F423" s="64">
        <f ca="1">IF('main page'!$K$34=1,hystere!H423,hystere!G423)</f>
        <v>-1217.5</v>
      </c>
      <c r="G423" s="78">
        <f ca="1">I423-'main page'!$K$27*hystere!N422</f>
        <v>-1217.5</v>
      </c>
      <c r="H423" s="62">
        <f ca="1">J423-'main page'!$K$27*N422</f>
        <v>-1217.5</v>
      </c>
      <c r="I423" s="62">
        <f t="shared" ca="1" si="40"/>
        <v>108</v>
      </c>
      <c r="J423" s="62">
        <f t="shared" ca="1" si="41"/>
        <v>108</v>
      </c>
      <c r="M423" s="62">
        <f ca="1">IF(ABS('main page'!$K$29*M422+(1-'main page'!$K$29)*(controls!$B$9/100)*100+'main page'!$K$25*(E423-B423)-M422)&lt;0.0000001,M422,'main page'!$K$29*M422+(1-'main page'!$K$29)*(controls!$B$9/100)*100+'main page'!$K$25*(E423-B423))</f>
        <v>-663.75</v>
      </c>
      <c r="N423" s="62">
        <f ca="1">IF(controls!$B$10=1,N422,O423-'main page'!$K$29*M423-(1-'main page'!$K$29)*controls!$B$9)</f>
        <v>663.75</v>
      </c>
      <c r="O423" s="61">
        <f t="shared" ca="1" si="36"/>
        <v>0</v>
      </c>
      <c r="P423" s="63">
        <f ca="1">IF(controls!$B$10=1,hystere!N423+hystere!M423,hystere!Q423)</f>
        <v>-776.73749999999995</v>
      </c>
      <c r="Q423" s="61">
        <f ca="1">IF('main page'!$Y$53=1,'choose m.p.'!$I$22*100,R423)</f>
        <v>-776.73749999999995</v>
      </c>
      <c r="R423" s="83">
        <f ca="1">'main page'!$K$29*M423+(1-'main page'!$K$29)*controls!$B$9+S423+(('main page'!$K$25*'main page'!$U$13*'main page'!$K$29)/('main page'!$K$27*(1+('main page'!$K$25^2)*'main page'!$U$13)))*(M423-(controls!$B$9/100)*100)</f>
        <v>-776.73749999999995</v>
      </c>
      <c r="S423" s="81">
        <f ca="1">IF(controls!$B$33=1,(J424-E423*X424-B423)/'main page'!$K$27,(I424-E423*X424-B423)/'main page'!$K$27)</f>
        <v>53.45</v>
      </c>
      <c r="U423" s="58">
        <f>IF(controls!$B$6=1,$AG$4*(1+('main page'!$K$35/100))^V423-$AG$4*(1+('main page'!$K$35/100))^V422,$AG$4*(1+('main page'!$G$8/100))*(1+('main page'!$K$35/100))^V423-$AG$4*(1+('main page'!$G$8/100))*(1+('main page'!$K$35/100))^V422)</f>
        <v>0</v>
      </c>
      <c r="V423" s="60">
        <v>415</v>
      </c>
      <c r="W423" s="36">
        <f ca="1">'normal case'!AC422</f>
        <v>0</v>
      </c>
      <c r="X423" s="36">
        <f ca="1">'normal case'!AD422</f>
        <v>0</v>
      </c>
      <c r="Y423" s="44">
        <f ca="1">IF(controls!$B$33=1,E423-($J$4-'main page'!$K$27*2)*(1+('main page'!$K$35/100))^A422,E423-$AG$5)</f>
        <v>-99.9</v>
      </c>
      <c r="Z423" s="44">
        <f ca="1">ABS(M423-(controls!$B$9/100)*100)</f>
        <v>665.75</v>
      </c>
      <c r="AI423" s="36"/>
      <c r="AJ423" s="36"/>
    </row>
    <row r="424" spans="1:36">
      <c r="A424" s="43">
        <v>421</v>
      </c>
      <c r="B424" s="62">
        <f ca="1">IF(controls!$B$6=2,AVERAGE(E420:E423)+B423*W424+hystere!$AG$9,AVERAGE(E420:E423)+B423*W424)</f>
        <v>1.1000000000000001</v>
      </c>
      <c r="C424" s="67">
        <f t="shared" ca="1" si="37"/>
        <v>0</v>
      </c>
      <c r="D424" s="88">
        <f t="shared" ca="1" si="38"/>
        <v>-1</v>
      </c>
      <c r="E424" s="64">
        <f t="shared" ca="1" si="39"/>
        <v>0.1</v>
      </c>
      <c r="F424" s="64">
        <f ca="1">IF('main page'!$K$34=1,hystere!H424,hystere!G424)</f>
        <v>-1219.5</v>
      </c>
      <c r="G424" s="78">
        <f ca="1">I424-'main page'!$K$27*hystere!N423</f>
        <v>-1219.5</v>
      </c>
      <c r="H424" s="62">
        <f ca="1">J424-'main page'!$K$27*N423</f>
        <v>-1219.5</v>
      </c>
      <c r="I424" s="62">
        <f t="shared" ca="1" si="40"/>
        <v>108</v>
      </c>
      <c r="J424" s="62">
        <f t="shared" ca="1" si="41"/>
        <v>108</v>
      </c>
      <c r="M424" s="62">
        <f ca="1">IF(ABS('main page'!$K$29*M423+(1-'main page'!$K$29)*(controls!$B$9/100)*100+'main page'!$K$25*(E424-B424)-M423)&lt;0.0000001,M423,'main page'!$K$29*M423+(1-'main page'!$K$29)*(controls!$B$9/100)*100+'main page'!$K$25*(E424-B424))</f>
        <v>-664.75</v>
      </c>
      <c r="N424" s="62">
        <f ca="1">IF(controls!$B$10=1,N423,O424-'main page'!$K$29*M424-(1-'main page'!$K$29)*controls!$B$9)</f>
        <v>664.75</v>
      </c>
      <c r="O424" s="61">
        <f t="shared" ca="1" si="36"/>
        <v>0</v>
      </c>
      <c r="P424" s="63">
        <f ca="1">IF(controls!$B$10=1,hystere!N424+hystere!M424,hystere!Q424)</f>
        <v>-777.98749999999995</v>
      </c>
      <c r="Q424" s="61">
        <f ca="1">IF('main page'!$Y$53=1,'choose m.p.'!$I$22*100,R424)</f>
        <v>-777.98749999999995</v>
      </c>
      <c r="R424" s="83">
        <f ca="1">'main page'!$K$29*M424+(1-'main page'!$K$29)*controls!$B$9+S424+(('main page'!$K$25*'main page'!$U$13*'main page'!$K$29)/('main page'!$K$27*(1+('main page'!$K$25^2)*'main page'!$U$13)))*(M424-(controls!$B$9/100)*100)</f>
        <v>-777.98749999999995</v>
      </c>
      <c r="S424" s="81">
        <f ca="1">IF(controls!$B$33=1,(J425-E424*X425-B424)/'main page'!$K$27,(I425-E424*X425-B424)/'main page'!$K$27)</f>
        <v>53.45</v>
      </c>
      <c r="U424" s="58">
        <f>IF(controls!$B$6=1,$AG$4*(1+('main page'!$K$35/100))^V424-$AG$4*(1+('main page'!$K$35/100))^V423,$AG$4*(1+('main page'!$G$8/100))*(1+('main page'!$K$35/100))^V424-$AG$4*(1+('main page'!$G$8/100))*(1+('main page'!$K$35/100))^V423)</f>
        <v>0</v>
      </c>
      <c r="V424" s="60">
        <v>416</v>
      </c>
      <c r="W424" s="36">
        <f>'normal case'!AC423</f>
        <v>0</v>
      </c>
      <c r="X424" s="36">
        <f>'normal case'!AD423</f>
        <v>0</v>
      </c>
      <c r="Y424" s="44">
        <f ca="1">IF(controls!$B$33=1,E424-($J$4-'main page'!$K$27*2)*(1+('main page'!$K$35/100))^A423,E424-$AG$5)</f>
        <v>-99.9</v>
      </c>
      <c r="Z424" s="44">
        <f ca="1">ABS(M424-(controls!$B$9/100)*100)</f>
        <v>666.75</v>
      </c>
      <c r="AI424" s="36"/>
      <c r="AJ424" s="36"/>
    </row>
    <row r="425" spans="1:36">
      <c r="A425" s="43">
        <v>422</v>
      </c>
      <c r="B425" s="62">
        <f ca="1">IF(controls!$B$6=2,AVERAGE(E421:E424)+B424*W425+hystere!$AG$9,AVERAGE(E421:E424)+B424*W425)</f>
        <v>1.1000000000000001</v>
      </c>
      <c r="C425" s="67">
        <f t="shared" ca="1" si="37"/>
        <v>0</v>
      </c>
      <c r="D425" s="88">
        <f t="shared" ca="1" si="38"/>
        <v>-1</v>
      </c>
      <c r="E425" s="64">
        <f t="shared" ca="1" si="39"/>
        <v>0.1</v>
      </c>
      <c r="F425" s="64">
        <f ca="1">IF('main page'!$K$34=1,hystere!H425,hystere!G425)</f>
        <v>-1221.5</v>
      </c>
      <c r="G425" s="78">
        <f ca="1">I425-'main page'!$K$27*hystere!N424</f>
        <v>-1221.5</v>
      </c>
      <c r="H425" s="62">
        <f ca="1">J425-'main page'!$K$27*N424</f>
        <v>-1221.5</v>
      </c>
      <c r="I425" s="62">
        <f t="shared" ca="1" si="40"/>
        <v>108</v>
      </c>
      <c r="J425" s="62">
        <f t="shared" ca="1" si="41"/>
        <v>108</v>
      </c>
      <c r="M425" s="62">
        <f ca="1">IF(ABS('main page'!$K$29*M424+(1-'main page'!$K$29)*(controls!$B$9/100)*100+'main page'!$K$25*(E425-B425)-M424)&lt;0.0000001,M424,'main page'!$K$29*M424+(1-'main page'!$K$29)*(controls!$B$9/100)*100+'main page'!$K$25*(E425-B425))</f>
        <v>-665.75</v>
      </c>
      <c r="N425" s="62">
        <f ca="1">IF(controls!$B$10=1,N424,O425-'main page'!$K$29*M425-(1-'main page'!$K$29)*controls!$B$9)</f>
        <v>665.75</v>
      </c>
      <c r="O425" s="61">
        <f t="shared" ca="1" si="36"/>
        <v>0</v>
      </c>
      <c r="P425" s="63">
        <f ca="1">IF(controls!$B$10=1,hystere!N425+hystere!M425,hystere!Q425)</f>
        <v>-779.23749999999995</v>
      </c>
      <c r="Q425" s="61">
        <f ca="1">IF('main page'!$Y$53=1,'choose m.p.'!$I$22*100,R425)</f>
        <v>-779.23749999999995</v>
      </c>
      <c r="R425" s="83">
        <f ca="1">'main page'!$K$29*M425+(1-'main page'!$K$29)*controls!$B$9+S425+(('main page'!$K$25*'main page'!$U$13*'main page'!$K$29)/('main page'!$K$27*(1+('main page'!$K$25^2)*'main page'!$U$13)))*(M425-(controls!$B$9/100)*100)</f>
        <v>-779.23749999999995</v>
      </c>
      <c r="S425" s="81">
        <f ca="1">IF(controls!$B$33=1,(J426-E425*X426-B425)/'main page'!$K$27,(I426-E425*X426-B425)/'main page'!$K$27)</f>
        <v>53.45</v>
      </c>
      <c r="U425" s="58">
        <f>IF(controls!$B$6=1,$AG$4*(1+('main page'!$K$35/100))^V425-$AG$4*(1+('main page'!$K$35/100))^V424,$AG$4*(1+('main page'!$G$8/100))*(1+('main page'!$K$35/100))^V425-$AG$4*(1+('main page'!$G$8/100))*(1+('main page'!$K$35/100))^V424)</f>
        <v>0</v>
      </c>
      <c r="V425" s="60">
        <v>417</v>
      </c>
      <c r="W425" s="36">
        <f>'normal case'!AC424</f>
        <v>0</v>
      </c>
      <c r="X425" s="36">
        <f>'normal case'!AD424</f>
        <v>0</v>
      </c>
      <c r="Y425" s="44">
        <f ca="1">IF(controls!$B$33=1,E425-($J$4-'main page'!$K$27*2)*(1+('main page'!$K$35/100))^A424,E425-$AG$5)</f>
        <v>-99.9</v>
      </c>
      <c r="Z425" s="44">
        <f ca="1">ABS(M425-(controls!$B$9/100)*100)</f>
        <v>667.75</v>
      </c>
      <c r="AI425" s="36"/>
      <c r="AJ425" s="36"/>
    </row>
    <row r="426" spans="1:36">
      <c r="A426" s="43">
        <v>423</v>
      </c>
      <c r="B426" s="62">
        <f ca="1">IF(controls!$B$6=2,AVERAGE(E422:E425)+B425*W426+hystere!$AG$9,AVERAGE(E422:E425)+B425*W426)</f>
        <v>1.1000000000000001</v>
      </c>
      <c r="C426" s="67">
        <f t="shared" ca="1" si="37"/>
        <v>0</v>
      </c>
      <c r="D426" s="88">
        <f t="shared" ca="1" si="38"/>
        <v>-1</v>
      </c>
      <c r="E426" s="64">
        <f t="shared" ca="1" si="39"/>
        <v>0.1</v>
      </c>
      <c r="F426" s="64">
        <f ca="1">IF('main page'!$K$34=1,hystere!H426,hystere!G426)</f>
        <v>-1223.5</v>
      </c>
      <c r="G426" s="78">
        <f ca="1">I426-'main page'!$K$27*hystere!N425</f>
        <v>-1223.5</v>
      </c>
      <c r="H426" s="62">
        <f ca="1">J426-'main page'!$K$27*N425</f>
        <v>-1223.5</v>
      </c>
      <c r="I426" s="62">
        <f t="shared" ca="1" si="40"/>
        <v>108</v>
      </c>
      <c r="J426" s="62">
        <f t="shared" ca="1" si="41"/>
        <v>108</v>
      </c>
      <c r="M426" s="62">
        <f ca="1">IF(ABS('main page'!$K$29*M425+(1-'main page'!$K$29)*(controls!$B$9/100)*100+'main page'!$K$25*(E426-B426)-M425)&lt;0.0000001,M425,'main page'!$K$29*M425+(1-'main page'!$K$29)*(controls!$B$9/100)*100+'main page'!$K$25*(E426-B426))</f>
        <v>-666.75</v>
      </c>
      <c r="N426" s="62">
        <f ca="1">IF(controls!$B$10=1,N425,O426-'main page'!$K$29*M426-(1-'main page'!$K$29)*controls!$B$9)</f>
        <v>666.75</v>
      </c>
      <c r="O426" s="61">
        <f t="shared" ca="1" si="36"/>
        <v>0</v>
      </c>
      <c r="P426" s="63">
        <f ca="1">IF(controls!$B$10=1,hystere!N426+hystere!M426,hystere!Q426)</f>
        <v>-780.48749999999995</v>
      </c>
      <c r="Q426" s="61">
        <f ca="1">IF('main page'!$Y$53=1,'choose m.p.'!$I$22*100,R426)</f>
        <v>-780.48749999999995</v>
      </c>
      <c r="R426" s="83">
        <f ca="1">'main page'!$K$29*M426+(1-'main page'!$K$29)*controls!$B$9+S426+(('main page'!$K$25*'main page'!$U$13*'main page'!$K$29)/('main page'!$K$27*(1+('main page'!$K$25^2)*'main page'!$U$13)))*(M426-(controls!$B$9/100)*100)</f>
        <v>-780.48749999999995</v>
      </c>
      <c r="S426" s="81">
        <f ca="1">IF(controls!$B$33=1,(J427-E426*X427-B426)/'main page'!$K$27,(I427-E426*X427-B426)/'main page'!$K$27)</f>
        <v>53.45</v>
      </c>
      <c r="U426" s="58">
        <f>IF(controls!$B$6=1,$AG$4*(1+('main page'!$K$35/100))^V426-$AG$4*(1+('main page'!$K$35/100))^V425,$AG$4*(1+('main page'!$G$8/100))*(1+('main page'!$K$35/100))^V426-$AG$4*(1+('main page'!$G$8/100))*(1+('main page'!$K$35/100))^V425)</f>
        <v>0</v>
      </c>
      <c r="V426" s="60">
        <v>418</v>
      </c>
      <c r="W426" s="36">
        <f ca="1">'normal case'!AC425</f>
        <v>0</v>
      </c>
      <c r="X426" s="36">
        <f ca="1">'normal case'!AD425</f>
        <v>0</v>
      </c>
      <c r="Y426" s="44">
        <f ca="1">IF(controls!$B$33=1,E426-($J$4-'main page'!$K$27*2)*(1+('main page'!$K$35/100))^A425,E426-$AG$5)</f>
        <v>-99.9</v>
      </c>
      <c r="Z426" s="44">
        <f ca="1">ABS(M426-(controls!$B$9/100)*100)</f>
        <v>668.75</v>
      </c>
      <c r="AI426" s="36"/>
      <c r="AJ426" s="36"/>
    </row>
    <row r="427" spans="1:36">
      <c r="A427" s="43">
        <v>424</v>
      </c>
      <c r="B427" s="62">
        <f ca="1">IF(controls!$B$6=2,AVERAGE(E423:E426)+B426*W427+hystere!$AG$9,AVERAGE(E423:E426)+B426*W427)</f>
        <v>1.1000000000000001</v>
      </c>
      <c r="C427" s="67">
        <f t="shared" ca="1" si="37"/>
        <v>0</v>
      </c>
      <c r="D427" s="88">
        <f t="shared" ca="1" si="38"/>
        <v>-1</v>
      </c>
      <c r="E427" s="64">
        <f t="shared" ca="1" si="39"/>
        <v>0.1</v>
      </c>
      <c r="F427" s="64">
        <f ca="1">IF('main page'!$K$34=1,hystere!H427,hystere!G427)</f>
        <v>-1225.5</v>
      </c>
      <c r="G427" s="78">
        <f ca="1">I427-'main page'!$K$27*hystere!N426</f>
        <v>-1225.5</v>
      </c>
      <c r="H427" s="62">
        <f ca="1">J427-'main page'!$K$27*N426</f>
        <v>-1225.5</v>
      </c>
      <c r="I427" s="62">
        <f t="shared" ca="1" si="40"/>
        <v>108</v>
      </c>
      <c r="J427" s="62">
        <f t="shared" ca="1" si="41"/>
        <v>108</v>
      </c>
      <c r="M427" s="62">
        <f ca="1">IF(ABS('main page'!$K$29*M426+(1-'main page'!$K$29)*(controls!$B$9/100)*100+'main page'!$K$25*(E427-B427)-M426)&lt;0.0000001,M426,'main page'!$K$29*M426+(1-'main page'!$K$29)*(controls!$B$9/100)*100+'main page'!$K$25*(E427-B427))</f>
        <v>-667.75</v>
      </c>
      <c r="N427" s="62">
        <f ca="1">IF(controls!$B$10=1,N426,O427-'main page'!$K$29*M427-(1-'main page'!$K$29)*controls!$B$9)</f>
        <v>667.75</v>
      </c>
      <c r="O427" s="61">
        <f t="shared" ca="1" si="36"/>
        <v>0</v>
      </c>
      <c r="P427" s="63">
        <f ca="1">IF(controls!$B$10=1,hystere!N427+hystere!M427,hystere!Q427)</f>
        <v>-781.73749999999995</v>
      </c>
      <c r="Q427" s="61">
        <f ca="1">IF('main page'!$Y$53=1,'choose m.p.'!$I$22*100,R427)</f>
        <v>-781.73749999999995</v>
      </c>
      <c r="R427" s="83">
        <f ca="1">'main page'!$K$29*M427+(1-'main page'!$K$29)*controls!$B$9+S427+(('main page'!$K$25*'main page'!$U$13*'main page'!$K$29)/('main page'!$K$27*(1+('main page'!$K$25^2)*'main page'!$U$13)))*(M427-(controls!$B$9/100)*100)</f>
        <v>-781.73749999999995</v>
      </c>
      <c r="S427" s="81">
        <f ca="1">IF(controls!$B$33=1,(J428-E427*X428-B427)/'main page'!$K$27,(I428-E427*X428-B427)/'main page'!$K$27)</f>
        <v>53.45</v>
      </c>
      <c r="U427" s="58">
        <f>IF(controls!$B$6=1,$AG$4*(1+('main page'!$K$35/100))^V427-$AG$4*(1+('main page'!$K$35/100))^V426,$AG$4*(1+('main page'!$G$8/100))*(1+('main page'!$K$35/100))^V427-$AG$4*(1+('main page'!$G$8/100))*(1+('main page'!$K$35/100))^V426)</f>
        <v>0</v>
      </c>
      <c r="V427" s="60">
        <v>419</v>
      </c>
      <c r="W427" s="36">
        <f>'normal case'!AC426</f>
        <v>0</v>
      </c>
      <c r="X427" s="36">
        <f>'normal case'!AD426</f>
        <v>0</v>
      </c>
      <c r="Y427" s="44">
        <f ca="1">IF(controls!$B$33=1,E427-($J$4-'main page'!$K$27*2)*(1+('main page'!$K$35/100))^A426,E427-$AG$5)</f>
        <v>-99.9</v>
      </c>
      <c r="Z427" s="44">
        <f ca="1">ABS(M427-(controls!$B$9/100)*100)</f>
        <v>669.75</v>
      </c>
      <c r="AI427" s="36"/>
      <c r="AJ427" s="36"/>
    </row>
    <row r="428" spans="1:36">
      <c r="A428" s="43">
        <v>425</v>
      </c>
      <c r="B428" s="62">
        <f ca="1">IF(controls!$B$6=2,AVERAGE(E424:E427)+B427*W428+hystere!$AG$9,AVERAGE(E424:E427)+B427*W428)</f>
        <v>1.1000000000000001</v>
      </c>
      <c r="C428" s="67">
        <f t="shared" ca="1" si="37"/>
        <v>0</v>
      </c>
      <c r="D428" s="88">
        <f t="shared" ca="1" si="38"/>
        <v>-1</v>
      </c>
      <c r="E428" s="64">
        <f t="shared" ca="1" si="39"/>
        <v>0.1</v>
      </c>
      <c r="F428" s="64">
        <f ca="1">IF('main page'!$K$34=1,hystere!H428,hystere!G428)</f>
        <v>-1227.5</v>
      </c>
      <c r="G428" s="78">
        <f ca="1">I428-'main page'!$K$27*hystere!N427</f>
        <v>-1227.5</v>
      </c>
      <c r="H428" s="62">
        <f ca="1">J428-'main page'!$K$27*N427</f>
        <v>-1227.5</v>
      </c>
      <c r="I428" s="62">
        <f t="shared" ca="1" si="40"/>
        <v>108</v>
      </c>
      <c r="J428" s="62">
        <f t="shared" ca="1" si="41"/>
        <v>108</v>
      </c>
      <c r="M428" s="62">
        <f ca="1">IF(ABS('main page'!$K$29*M427+(1-'main page'!$K$29)*(controls!$B$9/100)*100+'main page'!$K$25*(E428-B428)-M427)&lt;0.0000001,M427,'main page'!$K$29*M427+(1-'main page'!$K$29)*(controls!$B$9/100)*100+'main page'!$K$25*(E428-B428))</f>
        <v>-668.75</v>
      </c>
      <c r="N428" s="62">
        <f ca="1">IF(controls!$B$10=1,N427,O428-'main page'!$K$29*M428-(1-'main page'!$K$29)*controls!$B$9)</f>
        <v>668.75</v>
      </c>
      <c r="O428" s="61">
        <f t="shared" ca="1" si="36"/>
        <v>0</v>
      </c>
      <c r="P428" s="63">
        <f ca="1">IF(controls!$B$10=1,hystere!N428+hystere!M428,hystere!Q428)</f>
        <v>-782.98749999999995</v>
      </c>
      <c r="Q428" s="61">
        <f ca="1">IF('main page'!$Y$53=1,'choose m.p.'!$I$22*100,R428)</f>
        <v>-782.98749999999995</v>
      </c>
      <c r="R428" s="83">
        <f ca="1">'main page'!$K$29*M428+(1-'main page'!$K$29)*controls!$B$9+S428+(('main page'!$K$25*'main page'!$U$13*'main page'!$K$29)/('main page'!$K$27*(1+('main page'!$K$25^2)*'main page'!$U$13)))*(M428-(controls!$B$9/100)*100)</f>
        <v>-782.98749999999995</v>
      </c>
      <c r="S428" s="81">
        <f ca="1">IF(controls!$B$33=1,(J429-E428*X429-B428)/'main page'!$K$27,(I429-E428*X429-B428)/'main page'!$K$27)</f>
        <v>53.45</v>
      </c>
      <c r="U428" s="58">
        <f>IF(controls!$B$6=1,$AG$4*(1+('main page'!$K$35/100))^V428-$AG$4*(1+('main page'!$K$35/100))^V427,$AG$4*(1+('main page'!$G$8/100))*(1+('main page'!$K$35/100))^V428-$AG$4*(1+('main page'!$G$8/100))*(1+('main page'!$K$35/100))^V427)</f>
        <v>0</v>
      </c>
      <c r="V428" s="60">
        <v>420</v>
      </c>
      <c r="W428" s="36">
        <f>'normal case'!AC427</f>
        <v>0</v>
      </c>
      <c r="X428" s="36">
        <f>'normal case'!AD427</f>
        <v>0</v>
      </c>
      <c r="Y428" s="44">
        <f ca="1">IF(controls!$B$33=1,E428-($J$4-'main page'!$K$27*2)*(1+('main page'!$K$35/100))^A427,E428-$AG$5)</f>
        <v>-99.9</v>
      </c>
      <c r="Z428" s="44">
        <f ca="1">ABS(M428-(controls!$B$9/100)*100)</f>
        <v>670.75</v>
      </c>
      <c r="AI428" s="36"/>
      <c r="AJ428" s="36"/>
    </row>
    <row r="429" spans="1:36">
      <c r="A429" s="43">
        <v>426</v>
      </c>
      <c r="B429" s="62">
        <f ca="1">IF(controls!$B$6=2,AVERAGE(E425:E428)+B428*W429+hystere!$AG$9,AVERAGE(E425:E428)+B428*W429)</f>
        <v>1.1000000000000001</v>
      </c>
      <c r="C429" s="67">
        <f t="shared" ca="1" si="37"/>
        <v>0</v>
      </c>
      <c r="D429" s="88">
        <f t="shared" ca="1" si="38"/>
        <v>-1</v>
      </c>
      <c r="E429" s="64">
        <f t="shared" ca="1" si="39"/>
        <v>0.1</v>
      </c>
      <c r="F429" s="64">
        <f ca="1">IF('main page'!$K$34=1,hystere!H429,hystere!G429)</f>
        <v>-1229.5</v>
      </c>
      <c r="G429" s="78">
        <f ca="1">I429-'main page'!$K$27*hystere!N428</f>
        <v>-1229.5</v>
      </c>
      <c r="H429" s="62">
        <f ca="1">J429-'main page'!$K$27*N428</f>
        <v>-1229.5</v>
      </c>
      <c r="I429" s="62">
        <f t="shared" ca="1" si="40"/>
        <v>108</v>
      </c>
      <c r="J429" s="62">
        <f t="shared" ca="1" si="41"/>
        <v>108</v>
      </c>
      <c r="M429" s="62">
        <f ca="1">IF(ABS('main page'!$K$29*M428+(1-'main page'!$K$29)*(controls!$B$9/100)*100+'main page'!$K$25*(E429-B429)-M428)&lt;0.0000001,M428,'main page'!$K$29*M428+(1-'main page'!$K$29)*(controls!$B$9/100)*100+'main page'!$K$25*(E429-B429))</f>
        <v>-669.75</v>
      </c>
      <c r="N429" s="62">
        <f ca="1">IF(controls!$B$10=1,N428,O429-'main page'!$K$29*M429-(1-'main page'!$K$29)*controls!$B$9)</f>
        <v>669.75</v>
      </c>
      <c r="O429" s="61">
        <f t="shared" ca="1" si="36"/>
        <v>0</v>
      </c>
      <c r="P429" s="63">
        <f ca="1">IF(controls!$B$10=1,hystere!N429+hystere!M429,hystere!Q429)</f>
        <v>-784.23749999999995</v>
      </c>
      <c r="Q429" s="61">
        <f ca="1">IF('main page'!$Y$53=1,'choose m.p.'!$I$22*100,R429)</f>
        <v>-784.23749999999995</v>
      </c>
      <c r="R429" s="83">
        <f ca="1">'main page'!$K$29*M429+(1-'main page'!$K$29)*controls!$B$9+S429+(('main page'!$K$25*'main page'!$U$13*'main page'!$K$29)/('main page'!$K$27*(1+('main page'!$K$25^2)*'main page'!$U$13)))*(M429-(controls!$B$9/100)*100)</f>
        <v>-784.23749999999995</v>
      </c>
      <c r="S429" s="81">
        <f ca="1">IF(controls!$B$33=1,(J430-E429*X430-B429)/'main page'!$K$27,(I430-E429*X430-B429)/'main page'!$K$27)</f>
        <v>53.45</v>
      </c>
      <c r="U429" s="58">
        <f>IF(controls!$B$6=1,$AG$4*(1+('main page'!$K$35/100))^V429-$AG$4*(1+('main page'!$K$35/100))^V428,$AG$4*(1+('main page'!$G$8/100))*(1+('main page'!$K$35/100))^V429-$AG$4*(1+('main page'!$G$8/100))*(1+('main page'!$K$35/100))^V428)</f>
        <v>0</v>
      </c>
      <c r="V429" s="60">
        <v>421</v>
      </c>
      <c r="W429" s="36">
        <f ca="1">'normal case'!AC428</f>
        <v>0</v>
      </c>
      <c r="X429" s="36">
        <f ca="1">'normal case'!AD428</f>
        <v>0</v>
      </c>
      <c r="Y429" s="44">
        <f ca="1">IF(controls!$B$33=1,E429-($J$4-'main page'!$K$27*2)*(1+('main page'!$K$35/100))^A428,E429-$AG$5)</f>
        <v>-99.9</v>
      </c>
      <c r="Z429" s="44">
        <f ca="1">ABS(M429-(controls!$B$9/100)*100)</f>
        <v>671.75</v>
      </c>
      <c r="AI429" s="36"/>
      <c r="AJ429" s="36"/>
    </row>
    <row r="430" spans="1:36">
      <c r="A430" s="43">
        <v>427</v>
      </c>
      <c r="B430" s="62">
        <f ca="1">IF(controls!$B$6=2,AVERAGE(E426:E429)+B429*W430+hystere!$AG$9,AVERAGE(E426:E429)+B429*W430)</f>
        <v>1.1000000000000001</v>
      </c>
      <c r="C430" s="67">
        <f t="shared" ca="1" si="37"/>
        <v>0</v>
      </c>
      <c r="D430" s="88">
        <f t="shared" ca="1" si="38"/>
        <v>-1</v>
      </c>
      <c r="E430" s="64">
        <f t="shared" ca="1" si="39"/>
        <v>0.1</v>
      </c>
      <c r="F430" s="64">
        <f ca="1">IF('main page'!$K$34=1,hystere!H430,hystere!G430)</f>
        <v>-1231.5</v>
      </c>
      <c r="G430" s="78">
        <f ca="1">I430-'main page'!$K$27*hystere!N429</f>
        <v>-1231.5</v>
      </c>
      <c r="H430" s="62">
        <f ca="1">J430-'main page'!$K$27*N429</f>
        <v>-1231.5</v>
      </c>
      <c r="I430" s="62">
        <f t="shared" ca="1" si="40"/>
        <v>108</v>
      </c>
      <c r="J430" s="62">
        <f t="shared" ca="1" si="41"/>
        <v>108</v>
      </c>
      <c r="M430" s="62">
        <f ca="1">IF(ABS('main page'!$K$29*M429+(1-'main page'!$K$29)*(controls!$B$9/100)*100+'main page'!$K$25*(E430-B430)-M429)&lt;0.0000001,M429,'main page'!$K$29*M429+(1-'main page'!$K$29)*(controls!$B$9/100)*100+'main page'!$K$25*(E430-B430))</f>
        <v>-670.75</v>
      </c>
      <c r="N430" s="62">
        <f ca="1">IF(controls!$B$10=1,N429,O430-'main page'!$K$29*M430-(1-'main page'!$K$29)*controls!$B$9)</f>
        <v>670.75</v>
      </c>
      <c r="O430" s="61">
        <f t="shared" ca="1" si="36"/>
        <v>0</v>
      </c>
      <c r="P430" s="63">
        <f ca="1">IF(controls!$B$10=1,hystere!N430+hystere!M430,hystere!Q430)</f>
        <v>-785.48749999999995</v>
      </c>
      <c r="Q430" s="61">
        <f ca="1">IF('main page'!$Y$53=1,'choose m.p.'!$I$22*100,R430)</f>
        <v>-785.48749999999995</v>
      </c>
      <c r="R430" s="83">
        <f ca="1">'main page'!$K$29*M430+(1-'main page'!$K$29)*controls!$B$9+S430+(('main page'!$K$25*'main page'!$U$13*'main page'!$K$29)/('main page'!$K$27*(1+('main page'!$K$25^2)*'main page'!$U$13)))*(M430-(controls!$B$9/100)*100)</f>
        <v>-785.48749999999995</v>
      </c>
      <c r="S430" s="81">
        <f ca="1">IF(controls!$B$33=1,(J431-E430*X431-B430)/'main page'!$K$27,(I431-E430*X431-B430)/'main page'!$K$27)</f>
        <v>53.45</v>
      </c>
      <c r="U430" s="58">
        <f>IF(controls!$B$6=1,$AG$4*(1+('main page'!$K$35/100))^V430-$AG$4*(1+('main page'!$K$35/100))^V429,$AG$4*(1+('main page'!$G$8/100))*(1+('main page'!$K$35/100))^V430-$AG$4*(1+('main page'!$G$8/100))*(1+('main page'!$K$35/100))^V429)</f>
        <v>0</v>
      </c>
      <c r="V430" s="60">
        <v>422</v>
      </c>
      <c r="W430" s="36">
        <f>'normal case'!AC429</f>
        <v>0</v>
      </c>
      <c r="X430" s="36">
        <f>'normal case'!AD429</f>
        <v>0</v>
      </c>
      <c r="Y430" s="44">
        <f ca="1">IF(controls!$B$33=1,E430-($J$4-'main page'!$K$27*2)*(1+('main page'!$K$35/100))^A429,E430-$AG$5)</f>
        <v>-99.9</v>
      </c>
      <c r="Z430" s="44">
        <f ca="1">ABS(M430-(controls!$B$9/100)*100)</f>
        <v>672.75</v>
      </c>
      <c r="AI430" s="36"/>
      <c r="AJ430" s="36"/>
    </row>
    <row r="431" spans="1:36">
      <c r="A431" s="43">
        <v>428</v>
      </c>
      <c r="B431" s="62">
        <f ca="1">IF(controls!$B$6=2,AVERAGE(E427:E430)+B430*W431+hystere!$AG$9,AVERAGE(E427:E430)+B430*W431)</f>
        <v>1.1000000000000001</v>
      </c>
      <c r="C431" s="67">
        <f t="shared" ca="1" si="37"/>
        <v>0</v>
      </c>
      <c r="D431" s="88">
        <f t="shared" ca="1" si="38"/>
        <v>-1</v>
      </c>
      <c r="E431" s="64">
        <f t="shared" ca="1" si="39"/>
        <v>0.1</v>
      </c>
      <c r="F431" s="64">
        <f ca="1">IF('main page'!$K$34=1,hystere!H431,hystere!G431)</f>
        <v>-1233.5</v>
      </c>
      <c r="G431" s="78">
        <f ca="1">I431-'main page'!$K$27*hystere!N430</f>
        <v>-1233.5</v>
      </c>
      <c r="H431" s="62">
        <f ca="1">J431-'main page'!$K$27*N430</f>
        <v>-1233.5</v>
      </c>
      <c r="I431" s="62">
        <f t="shared" ca="1" si="40"/>
        <v>108</v>
      </c>
      <c r="J431" s="62">
        <f t="shared" ca="1" si="41"/>
        <v>108</v>
      </c>
      <c r="M431" s="62">
        <f ca="1">IF(ABS('main page'!$K$29*M430+(1-'main page'!$K$29)*(controls!$B$9/100)*100+'main page'!$K$25*(E431-B431)-M430)&lt;0.0000001,M430,'main page'!$K$29*M430+(1-'main page'!$K$29)*(controls!$B$9/100)*100+'main page'!$K$25*(E431-B431))</f>
        <v>-671.75</v>
      </c>
      <c r="N431" s="62">
        <f ca="1">IF(controls!$B$10=1,N430,O431-'main page'!$K$29*M431-(1-'main page'!$K$29)*controls!$B$9)</f>
        <v>671.75</v>
      </c>
      <c r="O431" s="61">
        <f t="shared" ca="1" si="36"/>
        <v>0</v>
      </c>
      <c r="P431" s="63">
        <f ca="1">IF(controls!$B$10=1,hystere!N431+hystere!M431,hystere!Q431)</f>
        <v>-786.73749999999995</v>
      </c>
      <c r="Q431" s="61">
        <f ca="1">IF('main page'!$Y$53=1,'choose m.p.'!$I$22*100,R431)</f>
        <v>-786.73749999999995</v>
      </c>
      <c r="R431" s="83">
        <f ca="1">'main page'!$K$29*M431+(1-'main page'!$K$29)*controls!$B$9+S431+(('main page'!$K$25*'main page'!$U$13*'main page'!$K$29)/('main page'!$K$27*(1+('main page'!$K$25^2)*'main page'!$U$13)))*(M431-(controls!$B$9/100)*100)</f>
        <v>-786.73749999999995</v>
      </c>
      <c r="S431" s="81">
        <f ca="1">IF(controls!$B$33=1,(J432-E431*X432-B431)/'main page'!$K$27,(I432-E431*X432-B431)/'main page'!$K$27)</f>
        <v>53.45</v>
      </c>
      <c r="U431" s="58">
        <f>IF(controls!$B$6=1,$AG$4*(1+('main page'!$K$35/100))^V431-$AG$4*(1+('main page'!$K$35/100))^V430,$AG$4*(1+('main page'!$G$8/100))*(1+('main page'!$K$35/100))^V431-$AG$4*(1+('main page'!$G$8/100))*(1+('main page'!$K$35/100))^V430)</f>
        <v>0</v>
      </c>
      <c r="V431" s="60">
        <v>423</v>
      </c>
      <c r="W431" s="36">
        <f>'normal case'!AC430</f>
        <v>0</v>
      </c>
      <c r="X431" s="36">
        <f>'normal case'!AD430</f>
        <v>0</v>
      </c>
      <c r="Y431" s="44">
        <f ca="1">IF(controls!$B$33=1,E431-($J$4-'main page'!$K$27*2)*(1+('main page'!$K$35/100))^A430,E431-$AG$5)</f>
        <v>-99.9</v>
      </c>
      <c r="Z431" s="44">
        <f ca="1">ABS(M431-(controls!$B$9/100)*100)</f>
        <v>673.75</v>
      </c>
      <c r="AI431" s="36"/>
      <c r="AJ431" s="36"/>
    </row>
    <row r="432" spans="1:36">
      <c r="A432" s="43">
        <v>429</v>
      </c>
      <c r="B432" s="62">
        <f ca="1">IF(controls!$B$6=2,AVERAGE(E428:E431)+B431*W432+hystere!$AG$9,AVERAGE(E428:E431)+B431*W432)</f>
        <v>1.1000000000000001</v>
      </c>
      <c r="C432" s="67">
        <f t="shared" ca="1" si="37"/>
        <v>0</v>
      </c>
      <c r="D432" s="88">
        <f t="shared" ca="1" si="38"/>
        <v>-1</v>
      </c>
      <c r="E432" s="64">
        <f t="shared" ca="1" si="39"/>
        <v>0.1</v>
      </c>
      <c r="F432" s="64">
        <f ca="1">IF('main page'!$K$34=1,hystere!H432,hystere!G432)</f>
        <v>-1235.5</v>
      </c>
      <c r="G432" s="78">
        <f ca="1">I432-'main page'!$K$27*hystere!N431</f>
        <v>-1235.5</v>
      </c>
      <c r="H432" s="62">
        <f ca="1">J432-'main page'!$K$27*N431</f>
        <v>-1235.5</v>
      </c>
      <c r="I432" s="62">
        <f t="shared" ca="1" si="40"/>
        <v>108</v>
      </c>
      <c r="J432" s="62">
        <f t="shared" ca="1" si="41"/>
        <v>108</v>
      </c>
      <c r="M432" s="62">
        <f ca="1">IF(ABS('main page'!$K$29*M431+(1-'main page'!$K$29)*(controls!$B$9/100)*100+'main page'!$K$25*(E432-B432)-M431)&lt;0.0000001,M431,'main page'!$K$29*M431+(1-'main page'!$K$29)*(controls!$B$9/100)*100+'main page'!$K$25*(E432-B432))</f>
        <v>-672.75</v>
      </c>
      <c r="N432" s="62">
        <f ca="1">IF(controls!$B$10=1,N431,O432-'main page'!$K$29*M432-(1-'main page'!$K$29)*controls!$B$9)</f>
        <v>672.75</v>
      </c>
      <c r="O432" s="61">
        <f t="shared" ca="1" si="36"/>
        <v>0</v>
      </c>
      <c r="P432" s="63">
        <f ca="1">IF(controls!$B$10=1,hystere!N432+hystere!M432,hystere!Q432)</f>
        <v>-787.98749999999995</v>
      </c>
      <c r="Q432" s="61">
        <f ca="1">IF('main page'!$Y$53=1,'choose m.p.'!$I$22*100,R432)</f>
        <v>-787.98749999999995</v>
      </c>
      <c r="R432" s="83">
        <f ca="1">'main page'!$K$29*M432+(1-'main page'!$K$29)*controls!$B$9+S432+(('main page'!$K$25*'main page'!$U$13*'main page'!$K$29)/('main page'!$K$27*(1+('main page'!$K$25^2)*'main page'!$U$13)))*(M432-(controls!$B$9/100)*100)</f>
        <v>-787.98749999999995</v>
      </c>
      <c r="S432" s="81">
        <f ca="1">IF(controls!$B$33=1,(J433-E432*X433-B432)/'main page'!$K$27,(I433-E432*X433-B432)/'main page'!$K$27)</f>
        <v>53.45</v>
      </c>
      <c r="U432" s="58">
        <f>IF(controls!$B$6=1,$AG$4*(1+('main page'!$K$35/100))^V432-$AG$4*(1+('main page'!$K$35/100))^V431,$AG$4*(1+('main page'!$G$8/100))*(1+('main page'!$K$35/100))^V432-$AG$4*(1+('main page'!$G$8/100))*(1+('main page'!$K$35/100))^V431)</f>
        <v>0</v>
      </c>
      <c r="V432" s="60">
        <v>424</v>
      </c>
      <c r="W432" s="36">
        <f ca="1">'normal case'!AC431</f>
        <v>0</v>
      </c>
      <c r="X432" s="36">
        <f ca="1">'normal case'!AD431</f>
        <v>0</v>
      </c>
      <c r="Y432" s="44">
        <f ca="1">IF(controls!$B$33=1,E432-($J$4-'main page'!$K$27*2)*(1+('main page'!$K$35/100))^A431,E432-$AG$5)</f>
        <v>-99.9</v>
      </c>
      <c r="Z432" s="44">
        <f ca="1">ABS(M432-(controls!$B$9/100)*100)</f>
        <v>674.75</v>
      </c>
      <c r="AI432" s="36"/>
      <c r="AJ432" s="36"/>
    </row>
    <row r="433" spans="1:36">
      <c r="A433" s="43">
        <v>430</v>
      </c>
      <c r="B433" s="62">
        <f ca="1">IF(controls!$B$6=2,AVERAGE(E429:E432)+B432*W433+hystere!$AG$9,AVERAGE(E429:E432)+B432*W433)</f>
        <v>1.1000000000000001</v>
      </c>
      <c r="C433" s="67">
        <f t="shared" ca="1" si="37"/>
        <v>0</v>
      </c>
      <c r="D433" s="88">
        <f t="shared" ca="1" si="38"/>
        <v>-1</v>
      </c>
      <c r="E433" s="64">
        <f t="shared" ca="1" si="39"/>
        <v>0.1</v>
      </c>
      <c r="F433" s="64">
        <f ca="1">IF('main page'!$K$34=1,hystere!H433,hystere!G433)</f>
        <v>-1237.5</v>
      </c>
      <c r="G433" s="78">
        <f ca="1">I433-'main page'!$K$27*hystere!N432</f>
        <v>-1237.5</v>
      </c>
      <c r="H433" s="62">
        <f ca="1">J433-'main page'!$K$27*N432</f>
        <v>-1237.5</v>
      </c>
      <c r="I433" s="62">
        <f t="shared" ca="1" si="40"/>
        <v>108</v>
      </c>
      <c r="J433" s="62">
        <f t="shared" ca="1" si="41"/>
        <v>108</v>
      </c>
      <c r="M433" s="62">
        <f ca="1">IF(ABS('main page'!$K$29*M432+(1-'main page'!$K$29)*(controls!$B$9/100)*100+'main page'!$K$25*(E433-B433)-M432)&lt;0.0000001,M432,'main page'!$K$29*M432+(1-'main page'!$K$29)*(controls!$B$9/100)*100+'main page'!$K$25*(E433-B433))</f>
        <v>-673.75</v>
      </c>
      <c r="N433" s="62">
        <f ca="1">IF(controls!$B$10=1,N432,O433-'main page'!$K$29*M433-(1-'main page'!$K$29)*controls!$B$9)</f>
        <v>673.75</v>
      </c>
      <c r="O433" s="61">
        <f t="shared" ca="1" si="36"/>
        <v>0</v>
      </c>
      <c r="P433" s="63">
        <f ca="1">IF(controls!$B$10=1,hystere!N433+hystere!M433,hystere!Q433)</f>
        <v>-789.23749999999995</v>
      </c>
      <c r="Q433" s="61">
        <f ca="1">IF('main page'!$Y$53=1,'choose m.p.'!$I$22*100,R433)</f>
        <v>-789.23749999999995</v>
      </c>
      <c r="R433" s="83">
        <f ca="1">'main page'!$K$29*M433+(1-'main page'!$K$29)*controls!$B$9+S433+(('main page'!$K$25*'main page'!$U$13*'main page'!$K$29)/('main page'!$K$27*(1+('main page'!$K$25^2)*'main page'!$U$13)))*(M433-(controls!$B$9/100)*100)</f>
        <v>-789.23749999999995</v>
      </c>
      <c r="S433" s="81">
        <f ca="1">IF(controls!$B$33=1,(J434-E433*X434-B433)/'main page'!$K$27,(I434-E433*X434-B433)/'main page'!$K$27)</f>
        <v>53.45</v>
      </c>
      <c r="U433" s="58">
        <f>IF(controls!$B$6=1,$AG$4*(1+('main page'!$K$35/100))^V433-$AG$4*(1+('main page'!$K$35/100))^V432,$AG$4*(1+('main page'!$G$8/100))*(1+('main page'!$K$35/100))^V433-$AG$4*(1+('main page'!$G$8/100))*(1+('main page'!$K$35/100))^V432)</f>
        <v>0</v>
      </c>
      <c r="V433" s="60">
        <v>425</v>
      </c>
      <c r="W433" s="36">
        <f>'normal case'!AC432</f>
        <v>0</v>
      </c>
      <c r="X433" s="36">
        <f>'normal case'!AD432</f>
        <v>0</v>
      </c>
      <c r="Y433" s="44">
        <f ca="1">IF(controls!$B$33=1,E433-($J$4-'main page'!$K$27*2)*(1+('main page'!$K$35/100))^A432,E433-$AG$5)</f>
        <v>-99.9</v>
      </c>
      <c r="Z433" s="44">
        <f ca="1">ABS(M433-(controls!$B$9/100)*100)</f>
        <v>675.75</v>
      </c>
      <c r="AI433" s="36"/>
      <c r="AJ433" s="36"/>
    </row>
    <row r="434" spans="1:36">
      <c r="A434" s="43">
        <v>431</v>
      </c>
      <c r="B434" s="62">
        <f ca="1">IF(controls!$B$6=2,AVERAGE(E430:E433)+B433*W434+hystere!$AG$9,AVERAGE(E430:E433)+B433*W434)</f>
        <v>1.1000000000000001</v>
      </c>
      <c r="C434" s="67">
        <f t="shared" ca="1" si="37"/>
        <v>0</v>
      </c>
      <c r="D434" s="88">
        <f t="shared" ca="1" si="38"/>
        <v>-1</v>
      </c>
      <c r="E434" s="64">
        <f t="shared" ca="1" si="39"/>
        <v>0.1</v>
      </c>
      <c r="F434" s="64">
        <f ca="1">IF('main page'!$K$34=1,hystere!H434,hystere!G434)</f>
        <v>-1239.5</v>
      </c>
      <c r="G434" s="78">
        <f ca="1">I434-'main page'!$K$27*hystere!N433</f>
        <v>-1239.5</v>
      </c>
      <c r="H434" s="62">
        <f ca="1">J434-'main page'!$K$27*N433</f>
        <v>-1239.5</v>
      </c>
      <c r="I434" s="62">
        <f t="shared" ca="1" si="40"/>
        <v>108</v>
      </c>
      <c r="J434" s="62">
        <f t="shared" ca="1" si="41"/>
        <v>108</v>
      </c>
      <c r="M434" s="62">
        <f ca="1">IF(ABS('main page'!$K$29*M433+(1-'main page'!$K$29)*(controls!$B$9/100)*100+'main page'!$K$25*(E434-B434)-M433)&lt;0.0000001,M433,'main page'!$K$29*M433+(1-'main page'!$K$29)*(controls!$B$9/100)*100+'main page'!$K$25*(E434-B434))</f>
        <v>-674.75</v>
      </c>
      <c r="N434" s="62">
        <f ca="1">IF(controls!$B$10=1,N433,O434-'main page'!$K$29*M434-(1-'main page'!$K$29)*controls!$B$9)</f>
        <v>674.75</v>
      </c>
      <c r="O434" s="61">
        <f t="shared" ca="1" si="36"/>
        <v>0</v>
      </c>
      <c r="P434" s="63">
        <f ca="1">IF(controls!$B$10=1,hystere!N434+hystere!M434,hystere!Q434)</f>
        <v>-790.48749999999995</v>
      </c>
      <c r="Q434" s="61">
        <f ca="1">IF('main page'!$Y$53=1,'choose m.p.'!$I$22*100,R434)</f>
        <v>-790.48749999999995</v>
      </c>
      <c r="R434" s="83">
        <f ca="1">'main page'!$K$29*M434+(1-'main page'!$K$29)*controls!$B$9+S434+(('main page'!$K$25*'main page'!$U$13*'main page'!$K$29)/('main page'!$K$27*(1+('main page'!$K$25^2)*'main page'!$U$13)))*(M434-(controls!$B$9/100)*100)</f>
        <v>-790.48749999999995</v>
      </c>
      <c r="S434" s="81">
        <f ca="1">IF(controls!$B$33=1,(J435-E434*X435-B434)/'main page'!$K$27,(I435-E434*X435-B434)/'main page'!$K$27)</f>
        <v>53.45</v>
      </c>
      <c r="U434" s="58">
        <f>IF(controls!$B$6=1,$AG$4*(1+('main page'!$K$35/100))^V434-$AG$4*(1+('main page'!$K$35/100))^V433,$AG$4*(1+('main page'!$G$8/100))*(1+('main page'!$K$35/100))^V434-$AG$4*(1+('main page'!$G$8/100))*(1+('main page'!$K$35/100))^V433)</f>
        <v>0</v>
      </c>
      <c r="V434" s="60">
        <v>426</v>
      </c>
      <c r="W434" s="36">
        <f>'normal case'!AC433</f>
        <v>0</v>
      </c>
      <c r="X434" s="36">
        <f>'normal case'!AD433</f>
        <v>0</v>
      </c>
      <c r="Y434" s="44">
        <f ca="1">IF(controls!$B$33=1,E434-($J$4-'main page'!$K$27*2)*(1+('main page'!$K$35/100))^A433,E434-$AG$5)</f>
        <v>-99.9</v>
      </c>
      <c r="Z434" s="44">
        <f ca="1">ABS(M434-(controls!$B$9/100)*100)</f>
        <v>676.75</v>
      </c>
      <c r="AI434" s="36"/>
      <c r="AJ434" s="36"/>
    </row>
    <row r="435" spans="1:36">
      <c r="A435" s="43">
        <v>432</v>
      </c>
      <c r="B435" s="62">
        <f ca="1">IF(controls!$B$6=2,AVERAGE(E431:E434)+B434*W435+hystere!$AG$9,AVERAGE(E431:E434)+B434*W435)</f>
        <v>1.1000000000000001</v>
      </c>
      <c r="C435" s="67">
        <f t="shared" ca="1" si="37"/>
        <v>0</v>
      </c>
      <c r="D435" s="88">
        <f t="shared" ca="1" si="38"/>
        <v>-1</v>
      </c>
      <c r="E435" s="64">
        <f t="shared" ca="1" si="39"/>
        <v>0.1</v>
      </c>
      <c r="F435" s="64">
        <f ca="1">IF('main page'!$K$34=1,hystere!H435,hystere!G435)</f>
        <v>-1241.5</v>
      </c>
      <c r="G435" s="78">
        <f ca="1">I435-'main page'!$K$27*hystere!N434</f>
        <v>-1241.5</v>
      </c>
      <c r="H435" s="62">
        <f ca="1">J435-'main page'!$K$27*N434</f>
        <v>-1241.5</v>
      </c>
      <c r="I435" s="62">
        <f t="shared" ca="1" si="40"/>
        <v>108</v>
      </c>
      <c r="J435" s="62">
        <f t="shared" ca="1" si="41"/>
        <v>108</v>
      </c>
      <c r="M435" s="62">
        <f ca="1">IF(ABS('main page'!$K$29*M434+(1-'main page'!$K$29)*(controls!$B$9/100)*100+'main page'!$K$25*(E435-B435)-M434)&lt;0.0000001,M434,'main page'!$K$29*M434+(1-'main page'!$K$29)*(controls!$B$9/100)*100+'main page'!$K$25*(E435-B435))</f>
        <v>-675.75</v>
      </c>
      <c r="N435" s="62">
        <f ca="1">IF(controls!$B$10=1,N434,O435-'main page'!$K$29*M435-(1-'main page'!$K$29)*controls!$B$9)</f>
        <v>675.75</v>
      </c>
      <c r="O435" s="61">
        <f t="shared" ca="1" si="36"/>
        <v>0</v>
      </c>
      <c r="P435" s="63">
        <f ca="1">IF(controls!$B$10=1,hystere!N435+hystere!M435,hystere!Q435)</f>
        <v>-791.73749999999995</v>
      </c>
      <c r="Q435" s="61">
        <f ca="1">IF('main page'!$Y$53=1,'choose m.p.'!$I$22*100,R435)</f>
        <v>-791.73749999999995</v>
      </c>
      <c r="R435" s="83">
        <f ca="1">'main page'!$K$29*M435+(1-'main page'!$K$29)*controls!$B$9+S435+(('main page'!$K$25*'main page'!$U$13*'main page'!$K$29)/('main page'!$K$27*(1+('main page'!$K$25^2)*'main page'!$U$13)))*(M435-(controls!$B$9/100)*100)</f>
        <v>-791.73749999999995</v>
      </c>
      <c r="S435" s="81">
        <f ca="1">IF(controls!$B$33=1,(J436-E435*X436-B435)/'main page'!$K$27,(I436-E435*X436-B435)/'main page'!$K$27)</f>
        <v>53.45</v>
      </c>
      <c r="U435" s="58">
        <f>IF(controls!$B$6=1,$AG$4*(1+('main page'!$K$35/100))^V435-$AG$4*(1+('main page'!$K$35/100))^V434,$AG$4*(1+('main page'!$G$8/100))*(1+('main page'!$K$35/100))^V435-$AG$4*(1+('main page'!$G$8/100))*(1+('main page'!$K$35/100))^V434)</f>
        <v>0</v>
      </c>
      <c r="V435" s="60">
        <v>427</v>
      </c>
      <c r="W435" s="36">
        <f ca="1">'normal case'!AC434</f>
        <v>0</v>
      </c>
      <c r="X435" s="36">
        <f ca="1">'normal case'!AD434</f>
        <v>0</v>
      </c>
      <c r="Y435" s="44">
        <f ca="1">IF(controls!$B$33=1,E435-($J$4-'main page'!$K$27*2)*(1+('main page'!$K$35/100))^A434,E435-$AG$5)</f>
        <v>-99.9</v>
      </c>
      <c r="Z435" s="44">
        <f ca="1">ABS(M435-(controls!$B$9/100)*100)</f>
        <v>677.75</v>
      </c>
      <c r="AI435" s="36"/>
      <c r="AJ435" s="36"/>
    </row>
    <row r="436" spans="1:36">
      <c r="A436" s="43">
        <v>433</v>
      </c>
      <c r="B436" s="62">
        <f ca="1">IF(controls!$B$6=2,AVERAGE(E432:E435)+B435*W436+hystere!$AG$9,AVERAGE(E432:E435)+B435*W436)</f>
        <v>1.1000000000000001</v>
      </c>
      <c r="C436" s="67">
        <f t="shared" ca="1" si="37"/>
        <v>0</v>
      </c>
      <c r="D436" s="88">
        <f t="shared" ca="1" si="38"/>
        <v>-1</v>
      </c>
      <c r="E436" s="64">
        <f t="shared" ca="1" si="39"/>
        <v>0.1</v>
      </c>
      <c r="F436" s="64">
        <f ca="1">IF('main page'!$K$34=1,hystere!H436,hystere!G436)</f>
        <v>-1243.5</v>
      </c>
      <c r="G436" s="78">
        <f ca="1">I436-'main page'!$K$27*hystere!N435</f>
        <v>-1243.5</v>
      </c>
      <c r="H436" s="62">
        <f ca="1">J436-'main page'!$K$27*N435</f>
        <v>-1243.5</v>
      </c>
      <c r="I436" s="62">
        <f t="shared" ca="1" si="40"/>
        <v>108</v>
      </c>
      <c r="J436" s="62">
        <f t="shared" ca="1" si="41"/>
        <v>108</v>
      </c>
      <c r="M436" s="62">
        <f ca="1">IF(ABS('main page'!$K$29*M435+(1-'main page'!$K$29)*(controls!$B$9/100)*100+'main page'!$K$25*(E436-B436)-M435)&lt;0.0000001,M435,'main page'!$K$29*M435+(1-'main page'!$K$29)*(controls!$B$9/100)*100+'main page'!$K$25*(E436-B436))</f>
        <v>-676.75</v>
      </c>
      <c r="N436" s="62">
        <f ca="1">IF(controls!$B$10=1,N435,O436-'main page'!$K$29*M436-(1-'main page'!$K$29)*controls!$B$9)</f>
        <v>676.75</v>
      </c>
      <c r="O436" s="61">
        <f t="shared" ca="1" si="36"/>
        <v>0</v>
      </c>
      <c r="P436" s="63">
        <f ca="1">IF(controls!$B$10=1,hystere!N436+hystere!M436,hystere!Q436)</f>
        <v>-792.98749999999995</v>
      </c>
      <c r="Q436" s="61">
        <f ca="1">IF('main page'!$Y$53=1,'choose m.p.'!$I$22*100,R436)</f>
        <v>-792.98749999999995</v>
      </c>
      <c r="R436" s="83">
        <f ca="1">'main page'!$K$29*M436+(1-'main page'!$K$29)*controls!$B$9+S436+(('main page'!$K$25*'main page'!$U$13*'main page'!$K$29)/('main page'!$K$27*(1+('main page'!$K$25^2)*'main page'!$U$13)))*(M436-(controls!$B$9/100)*100)</f>
        <v>-792.98749999999995</v>
      </c>
      <c r="S436" s="81">
        <f ca="1">IF(controls!$B$33=1,(J437-E436*X437-B436)/'main page'!$K$27,(I437-E436*X437-B436)/'main page'!$K$27)</f>
        <v>53.45</v>
      </c>
      <c r="U436" s="58">
        <f>IF(controls!$B$6=1,$AG$4*(1+('main page'!$K$35/100))^V436-$AG$4*(1+('main page'!$K$35/100))^V435,$AG$4*(1+('main page'!$G$8/100))*(1+('main page'!$K$35/100))^V436-$AG$4*(1+('main page'!$G$8/100))*(1+('main page'!$K$35/100))^V435)</f>
        <v>0</v>
      </c>
      <c r="V436" s="60">
        <v>428</v>
      </c>
      <c r="W436" s="36">
        <f>'normal case'!AC435</f>
        <v>0</v>
      </c>
      <c r="X436" s="36">
        <f>'normal case'!AD435</f>
        <v>0</v>
      </c>
      <c r="Y436" s="44">
        <f ca="1">IF(controls!$B$33=1,E436-($J$4-'main page'!$K$27*2)*(1+('main page'!$K$35/100))^A435,E436-$AG$5)</f>
        <v>-99.9</v>
      </c>
      <c r="Z436" s="44">
        <f ca="1">ABS(M436-(controls!$B$9/100)*100)</f>
        <v>678.75</v>
      </c>
      <c r="AI436" s="36"/>
      <c r="AJ436" s="36"/>
    </row>
    <row r="437" spans="1:36">
      <c r="A437" s="43">
        <v>434</v>
      </c>
      <c r="B437" s="62">
        <f ca="1">IF(controls!$B$6=2,AVERAGE(E433:E436)+B436*W437+hystere!$AG$9,AVERAGE(E433:E436)+B436*W437)</f>
        <v>1.1000000000000001</v>
      </c>
      <c r="C437" s="67">
        <f t="shared" ca="1" si="37"/>
        <v>0</v>
      </c>
      <c r="D437" s="88">
        <f t="shared" ca="1" si="38"/>
        <v>-1</v>
      </c>
      <c r="E437" s="64">
        <f t="shared" ca="1" si="39"/>
        <v>0.1</v>
      </c>
      <c r="F437" s="64">
        <f ca="1">IF('main page'!$K$34=1,hystere!H437,hystere!G437)</f>
        <v>-1245.5</v>
      </c>
      <c r="G437" s="78">
        <f ca="1">I437-'main page'!$K$27*hystere!N436</f>
        <v>-1245.5</v>
      </c>
      <c r="H437" s="62">
        <f ca="1">J437-'main page'!$K$27*N436</f>
        <v>-1245.5</v>
      </c>
      <c r="I437" s="62">
        <f t="shared" ca="1" si="40"/>
        <v>108</v>
      </c>
      <c r="J437" s="62">
        <f t="shared" ca="1" si="41"/>
        <v>108</v>
      </c>
      <c r="M437" s="62">
        <f ca="1">IF(ABS('main page'!$K$29*M436+(1-'main page'!$K$29)*(controls!$B$9/100)*100+'main page'!$K$25*(E437-B437)-M436)&lt;0.0000001,M436,'main page'!$K$29*M436+(1-'main page'!$K$29)*(controls!$B$9/100)*100+'main page'!$K$25*(E437-B437))</f>
        <v>-677.75</v>
      </c>
      <c r="N437" s="62">
        <f ca="1">IF(controls!$B$10=1,N436,O437-'main page'!$K$29*M437-(1-'main page'!$K$29)*controls!$B$9)</f>
        <v>677.75</v>
      </c>
      <c r="O437" s="61">
        <f t="shared" ca="1" si="36"/>
        <v>0</v>
      </c>
      <c r="P437" s="63">
        <f ca="1">IF(controls!$B$10=1,hystere!N437+hystere!M437,hystere!Q437)</f>
        <v>-794.23749999999995</v>
      </c>
      <c r="Q437" s="61">
        <f ca="1">IF('main page'!$Y$53=1,'choose m.p.'!$I$22*100,R437)</f>
        <v>-794.23749999999995</v>
      </c>
      <c r="R437" s="83">
        <f ca="1">'main page'!$K$29*M437+(1-'main page'!$K$29)*controls!$B$9+S437+(('main page'!$K$25*'main page'!$U$13*'main page'!$K$29)/('main page'!$K$27*(1+('main page'!$K$25^2)*'main page'!$U$13)))*(M437-(controls!$B$9/100)*100)</f>
        <v>-794.23749999999995</v>
      </c>
      <c r="S437" s="81">
        <f ca="1">IF(controls!$B$33=1,(J438-E437*X438-B437)/'main page'!$K$27,(I438-E437*X438-B437)/'main page'!$K$27)</f>
        <v>53.45</v>
      </c>
      <c r="U437" s="58">
        <f>IF(controls!$B$6=1,$AG$4*(1+('main page'!$K$35/100))^V437-$AG$4*(1+('main page'!$K$35/100))^V436,$AG$4*(1+('main page'!$G$8/100))*(1+('main page'!$K$35/100))^V437-$AG$4*(1+('main page'!$G$8/100))*(1+('main page'!$K$35/100))^V436)</f>
        <v>0</v>
      </c>
      <c r="V437" s="60">
        <v>429</v>
      </c>
      <c r="W437" s="36">
        <f>'normal case'!AC436</f>
        <v>0</v>
      </c>
      <c r="X437" s="36">
        <f>'normal case'!AD436</f>
        <v>0</v>
      </c>
      <c r="Y437" s="44">
        <f ca="1">IF(controls!$B$33=1,E437-($J$4-'main page'!$K$27*2)*(1+('main page'!$K$35/100))^A436,E437-$AG$5)</f>
        <v>-99.9</v>
      </c>
      <c r="Z437" s="44">
        <f ca="1">ABS(M437-(controls!$B$9/100)*100)</f>
        <v>679.75</v>
      </c>
      <c r="AI437" s="36"/>
      <c r="AJ437" s="36"/>
    </row>
    <row r="438" spans="1:36">
      <c r="A438" s="43">
        <v>435</v>
      </c>
      <c r="B438" s="62">
        <f ca="1">IF(controls!$B$6=2,AVERAGE(E434:E437)+B437*W438+hystere!$AG$9,AVERAGE(E434:E437)+B437*W438)</f>
        <v>1.1000000000000001</v>
      </c>
      <c r="C438" s="67">
        <f t="shared" ca="1" si="37"/>
        <v>0</v>
      </c>
      <c r="D438" s="88">
        <f t="shared" ca="1" si="38"/>
        <v>-1</v>
      </c>
      <c r="E438" s="64">
        <f t="shared" ca="1" si="39"/>
        <v>0.1</v>
      </c>
      <c r="F438" s="64">
        <f ca="1">IF('main page'!$K$34=1,hystere!H438,hystere!G438)</f>
        <v>-1247.5</v>
      </c>
      <c r="G438" s="78">
        <f ca="1">I438-'main page'!$K$27*hystere!N437</f>
        <v>-1247.5</v>
      </c>
      <c r="H438" s="62">
        <f ca="1">J438-'main page'!$K$27*N437</f>
        <v>-1247.5</v>
      </c>
      <c r="I438" s="62">
        <f t="shared" ca="1" si="40"/>
        <v>108</v>
      </c>
      <c r="J438" s="62">
        <f t="shared" ca="1" si="41"/>
        <v>108</v>
      </c>
      <c r="M438" s="62">
        <f ca="1">IF(ABS('main page'!$K$29*M437+(1-'main page'!$K$29)*(controls!$B$9/100)*100+'main page'!$K$25*(E438-B438)-M437)&lt;0.0000001,M437,'main page'!$K$29*M437+(1-'main page'!$K$29)*(controls!$B$9/100)*100+'main page'!$K$25*(E438-B438))</f>
        <v>-678.75</v>
      </c>
      <c r="N438" s="62">
        <f ca="1">IF(controls!$B$10=1,N437,O438-'main page'!$K$29*M438-(1-'main page'!$K$29)*controls!$B$9)</f>
        <v>678.75</v>
      </c>
      <c r="O438" s="61">
        <f t="shared" ca="1" si="36"/>
        <v>0</v>
      </c>
      <c r="P438" s="63">
        <f ca="1">IF(controls!$B$10=1,hystere!N438+hystere!M438,hystere!Q438)</f>
        <v>-795.48749999999995</v>
      </c>
      <c r="Q438" s="61">
        <f ca="1">IF('main page'!$Y$53=1,'choose m.p.'!$I$22*100,R438)</f>
        <v>-795.48749999999995</v>
      </c>
      <c r="R438" s="83">
        <f ca="1">'main page'!$K$29*M438+(1-'main page'!$K$29)*controls!$B$9+S438+(('main page'!$K$25*'main page'!$U$13*'main page'!$K$29)/('main page'!$K$27*(1+('main page'!$K$25^2)*'main page'!$U$13)))*(M438-(controls!$B$9/100)*100)</f>
        <v>-795.48749999999995</v>
      </c>
      <c r="S438" s="81">
        <f ca="1">IF(controls!$B$33=1,(J439-E438*X439-B438)/'main page'!$K$27,(I439-E438*X439-B438)/'main page'!$K$27)</f>
        <v>53.45</v>
      </c>
      <c r="U438" s="58">
        <f>IF(controls!$B$6=1,$AG$4*(1+('main page'!$K$35/100))^V438-$AG$4*(1+('main page'!$K$35/100))^V437,$AG$4*(1+('main page'!$G$8/100))*(1+('main page'!$K$35/100))^V438-$AG$4*(1+('main page'!$G$8/100))*(1+('main page'!$K$35/100))^V437)</f>
        <v>0</v>
      </c>
      <c r="V438" s="60">
        <v>430</v>
      </c>
      <c r="W438" s="36">
        <f ca="1">'normal case'!AC437</f>
        <v>0</v>
      </c>
      <c r="X438" s="36">
        <f ca="1">'normal case'!AD437</f>
        <v>0</v>
      </c>
      <c r="Y438" s="44">
        <f ca="1">IF(controls!$B$33=1,E438-($J$4-'main page'!$K$27*2)*(1+('main page'!$K$35/100))^A437,E438-$AG$5)</f>
        <v>-99.9</v>
      </c>
      <c r="Z438" s="44">
        <f ca="1">ABS(M438-(controls!$B$9/100)*100)</f>
        <v>680.75</v>
      </c>
      <c r="AI438" s="36"/>
      <c r="AJ438" s="36"/>
    </row>
    <row r="439" spans="1:36">
      <c r="A439" s="43">
        <v>436</v>
      </c>
      <c r="B439" s="62">
        <f ca="1">IF(controls!$B$6=2,AVERAGE(E435:E438)+B438*W439+hystere!$AG$9,AVERAGE(E435:E438)+B438*W439)</f>
        <v>1.1000000000000001</v>
      </c>
      <c r="C439" s="67">
        <f t="shared" ca="1" si="37"/>
        <v>0</v>
      </c>
      <c r="D439" s="88">
        <f t="shared" ca="1" si="38"/>
        <v>-1</v>
      </c>
      <c r="E439" s="64">
        <f t="shared" ca="1" si="39"/>
        <v>0.1</v>
      </c>
      <c r="F439" s="64">
        <f ca="1">IF('main page'!$K$34=1,hystere!H439,hystere!G439)</f>
        <v>-1249.5</v>
      </c>
      <c r="G439" s="78">
        <f ca="1">I439-'main page'!$K$27*hystere!N438</f>
        <v>-1249.5</v>
      </c>
      <c r="H439" s="62">
        <f ca="1">J439-'main page'!$K$27*N438</f>
        <v>-1249.5</v>
      </c>
      <c r="I439" s="62">
        <f t="shared" ca="1" si="40"/>
        <v>108</v>
      </c>
      <c r="J439" s="62">
        <f t="shared" ca="1" si="41"/>
        <v>108</v>
      </c>
      <c r="M439" s="62">
        <f ca="1">IF(ABS('main page'!$K$29*M438+(1-'main page'!$K$29)*(controls!$B$9/100)*100+'main page'!$K$25*(E439-B439)-M438)&lt;0.0000001,M438,'main page'!$K$29*M438+(1-'main page'!$K$29)*(controls!$B$9/100)*100+'main page'!$K$25*(E439-B439))</f>
        <v>-679.75</v>
      </c>
      <c r="N439" s="62">
        <f ca="1">IF(controls!$B$10=1,N438,O439-'main page'!$K$29*M439-(1-'main page'!$K$29)*controls!$B$9)</f>
        <v>679.75</v>
      </c>
      <c r="O439" s="61">
        <f t="shared" ca="1" si="36"/>
        <v>0</v>
      </c>
      <c r="P439" s="63">
        <f ca="1">IF(controls!$B$10=1,hystere!N439+hystere!M439,hystere!Q439)</f>
        <v>-796.73749999999995</v>
      </c>
      <c r="Q439" s="61">
        <f ca="1">IF('main page'!$Y$53=1,'choose m.p.'!$I$22*100,R439)</f>
        <v>-796.73749999999995</v>
      </c>
      <c r="R439" s="83">
        <f ca="1">'main page'!$K$29*M439+(1-'main page'!$K$29)*controls!$B$9+S439+(('main page'!$K$25*'main page'!$U$13*'main page'!$K$29)/('main page'!$K$27*(1+('main page'!$K$25^2)*'main page'!$U$13)))*(M439-(controls!$B$9/100)*100)</f>
        <v>-796.73749999999995</v>
      </c>
      <c r="S439" s="81">
        <f ca="1">IF(controls!$B$33=1,(J440-E439*X440-B439)/'main page'!$K$27,(I440-E439*X440-B439)/'main page'!$K$27)</f>
        <v>53.45</v>
      </c>
      <c r="U439" s="58">
        <f>IF(controls!$B$6=1,$AG$4*(1+('main page'!$K$35/100))^V439-$AG$4*(1+('main page'!$K$35/100))^V438,$AG$4*(1+('main page'!$G$8/100))*(1+('main page'!$K$35/100))^V439-$AG$4*(1+('main page'!$G$8/100))*(1+('main page'!$K$35/100))^V438)</f>
        <v>0</v>
      </c>
      <c r="V439" s="60">
        <v>431</v>
      </c>
      <c r="W439" s="36">
        <f>'normal case'!AC438</f>
        <v>0</v>
      </c>
      <c r="X439" s="36">
        <f>'normal case'!AD438</f>
        <v>0</v>
      </c>
      <c r="Y439" s="44">
        <f ca="1">IF(controls!$B$33=1,E439-($J$4-'main page'!$K$27*2)*(1+('main page'!$K$35/100))^A438,E439-$AG$5)</f>
        <v>-99.9</v>
      </c>
      <c r="Z439" s="44">
        <f ca="1">ABS(M439-(controls!$B$9/100)*100)</f>
        <v>681.75</v>
      </c>
      <c r="AI439" s="36"/>
      <c r="AJ439" s="36"/>
    </row>
    <row r="440" spans="1:36">
      <c r="A440" s="43">
        <v>437</v>
      </c>
      <c r="B440" s="62">
        <f ca="1">IF(controls!$B$6=2,AVERAGE(E436:E439)+B439*W440+hystere!$AG$9,AVERAGE(E436:E439)+B439*W440)</f>
        <v>1.1000000000000001</v>
      </c>
      <c r="C440" s="67">
        <f t="shared" ca="1" si="37"/>
        <v>0</v>
      </c>
      <c r="D440" s="88">
        <f t="shared" ca="1" si="38"/>
        <v>-1</v>
      </c>
      <c r="E440" s="64">
        <f t="shared" ca="1" si="39"/>
        <v>0.1</v>
      </c>
      <c r="F440" s="64">
        <f ca="1">IF('main page'!$K$34=1,hystere!H440,hystere!G440)</f>
        <v>-1251.5</v>
      </c>
      <c r="G440" s="78">
        <f ca="1">I440-'main page'!$K$27*hystere!N439</f>
        <v>-1251.5</v>
      </c>
      <c r="H440" s="62">
        <f ca="1">J440-'main page'!$K$27*N439</f>
        <v>-1251.5</v>
      </c>
      <c r="I440" s="62">
        <f t="shared" ca="1" si="40"/>
        <v>108</v>
      </c>
      <c r="J440" s="62">
        <f t="shared" ca="1" si="41"/>
        <v>108</v>
      </c>
      <c r="M440" s="62">
        <f ca="1">IF(ABS('main page'!$K$29*M439+(1-'main page'!$K$29)*(controls!$B$9/100)*100+'main page'!$K$25*(E440-B440)-M439)&lt;0.0000001,M439,'main page'!$K$29*M439+(1-'main page'!$K$29)*(controls!$B$9/100)*100+'main page'!$K$25*(E440-B440))</f>
        <v>-680.75</v>
      </c>
      <c r="N440" s="62">
        <f ca="1">IF(controls!$B$10=1,N439,O440-'main page'!$K$29*M440-(1-'main page'!$K$29)*controls!$B$9)</f>
        <v>680.75</v>
      </c>
      <c r="O440" s="61">
        <f t="shared" ca="1" si="36"/>
        <v>0</v>
      </c>
      <c r="P440" s="63">
        <f ca="1">IF(controls!$B$10=1,hystere!N440+hystere!M440,hystere!Q440)</f>
        <v>-797.98749999999995</v>
      </c>
      <c r="Q440" s="61">
        <f ca="1">IF('main page'!$Y$53=1,'choose m.p.'!$I$22*100,R440)</f>
        <v>-797.98749999999995</v>
      </c>
      <c r="R440" s="83">
        <f ca="1">'main page'!$K$29*M440+(1-'main page'!$K$29)*controls!$B$9+S440+(('main page'!$K$25*'main page'!$U$13*'main page'!$K$29)/('main page'!$K$27*(1+('main page'!$K$25^2)*'main page'!$U$13)))*(M440-(controls!$B$9/100)*100)</f>
        <v>-797.98749999999995</v>
      </c>
      <c r="S440" s="81">
        <f ca="1">IF(controls!$B$33=1,(J441-E440*X441-B440)/'main page'!$K$27,(I441-E440*X441-B440)/'main page'!$K$27)</f>
        <v>53.45</v>
      </c>
      <c r="U440" s="58">
        <f>IF(controls!$B$6=1,$AG$4*(1+('main page'!$K$35/100))^V440-$AG$4*(1+('main page'!$K$35/100))^V439,$AG$4*(1+('main page'!$G$8/100))*(1+('main page'!$K$35/100))^V440-$AG$4*(1+('main page'!$G$8/100))*(1+('main page'!$K$35/100))^V439)</f>
        <v>0</v>
      </c>
      <c r="V440" s="60">
        <v>432</v>
      </c>
      <c r="W440" s="36">
        <f>'normal case'!AC439</f>
        <v>0</v>
      </c>
      <c r="X440" s="36">
        <f>'normal case'!AD439</f>
        <v>0</v>
      </c>
      <c r="Y440" s="44">
        <f ca="1">IF(controls!$B$33=1,E440-($J$4-'main page'!$K$27*2)*(1+('main page'!$K$35/100))^A439,E440-$AG$5)</f>
        <v>-99.9</v>
      </c>
      <c r="Z440" s="44">
        <f ca="1">ABS(M440-(controls!$B$9/100)*100)</f>
        <v>682.75</v>
      </c>
      <c r="AI440" s="36"/>
      <c r="AJ440" s="36"/>
    </row>
    <row r="441" spans="1:36">
      <c r="A441" s="43">
        <v>438</v>
      </c>
      <c r="B441" s="62">
        <f ca="1">IF(controls!$B$6=2,AVERAGE(E437:E440)+B440*W441+hystere!$AG$9,AVERAGE(E437:E440)+B440*W441)</f>
        <v>1.1000000000000001</v>
      </c>
      <c r="C441" s="67">
        <f t="shared" ca="1" si="37"/>
        <v>0</v>
      </c>
      <c r="D441" s="88">
        <f t="shared" ca="1" si="38"/>
        <v>-1</v>
      </c>
      <c r="E441" s="64">
        <f t="shared" ca="1" si="39"/>
        <v>0.1</v>
      </c>
      <c r="F441" s="64">
        <f ca="1">IF('main page'!$K$34=1,hystere!H441,hystere!G441)</f>
        <v>-1253.5</v>
      </c>
      <c r="G441" s="78">
        <f ca="1">I441-'main page'!$K$27*hystere!N440</f>
        <v>-1253.5</v>
      </c>
      <c r="H441" s="62">
        <f ca="1">J441-'main page'!$K$27*N440</f>
        <v>-1253.5</v>
      </c>
      <c r="I441" s="62">
        <f t="shared" ca="1" si="40"/>
        <v>108</v>
      </c>
      <c r="J441" s="62">
        <f t="shared" ca="1" si="41"/>
        <v>108</v>
      </c>
      <c r="M441" s="62">
        <f ca="1">IF(ABS('main page'!$K$29*M440+(1-'main page'!$K$29)*(controls!$B$9/100)*100+'main page'!$K$25*(E441-B441)-M440)&lt;0.0000001,M440,'main page'!$K$29*M440+(1-'main page'!$K$29)*(controls!$B$9/100)*100+'main page'!$K$25*(E441-B441))</f>
        <v>-681.75</v>
      </c>
      <c r="N441" s="62">
        <f ca="1">IF(controls!$B$10=1,N440,O441-'main page'!$K$29*M441-(1-'main page'!$K$29)*controls!$B$9)</f>
        <v>681.75</v>
      </c>
      <c r="O441" s="61">
        <f t="shared" ca="1" si="36"/>
        <v>0</v>
      </c>
      <c r="P441" s="63">
        <f ca="1">IF(controls!$B$10=1,hystere!N441+hystere!M441,hystere!Q441)</f>
        <v>-799.23749999999995</v>
      </c>
      <c r="Q441" s="61">
        <f ca="1">IF('main page'!$Y$53=1,'choose m.p.'!$I$22*100,R441)</f>
        <v>-799.23749999999995</v>
      </c>
      <c r="R441" s="83">
        <f ca="1">'main page'!$K$29*M441+(1-'main page'!$K$29)*controls!$B$9+S441+(('main page'!$K$25*'main page'!$U$13*'main page'!$K$29)/('main page'!$K$27*(1+('main page'!$K$25^2)*'main page'!$U$13)))*(M441-(controls!$B$9/100)*100)</f>
        <v>-799.23749999999995</v>
      </c>
      <c r="S441" s="81">
        <f ca="1">IF(controls!$B$33=1,(J442-E441*X442-B441)/'main page'!$K$27,(I442-E441*X442-B441)/'main page'!$K$27)</f>
        <v>53.45</v>
      </c>
      <c r="U441" s="58">
        <f>IF(controls!$B$6=1,$AG$4*(1+('main page'!$K$35/100))^V441-$AG$4*(1+('main page'!$K$35/100))^V440,$AG$4*(1+('main page'!$G$8/100))*(1+('main page'!$K$35/100))^V441-$AG$4*(1+('main page'!$G$8/100))*(1+('main page'!$K$35/100))^V440)</f>
        <v>0</v>
      </c>
      <c r="V441" s="60">
        <v>433</v>
      </c>
      <c r="W441" s="36">
        <f ca="1">'normal case'!AC440</f>
        <v>0</v>
      </c>
      <c r="X441" s="36">
        <f ca="1">'normal case'!AD440</f>
        <v>0</v>
      </c>
      <c r="Y441" s="44">
        <f ca="1">IF(controls!$B$33=1,E441-($J$4-'main page'!$K$27*2)*(1+('main page'!$K$35/100))^A440,E441-$AG$5)</f>
        <v>-99.9</v>
      </c>
      <c r="Z441" s="44">
        <f ca="1">ABS(M441-(controls!$B$9/100)*100)</f>
        <v>683.75</v>
      </c>
      <c r="AI441" s="36"/>
      <c r="AJ441" s="36"/>
    </row>
    <row r="442" spans="1:36">
      <c r="A442" s="43">
        <v>439</v>
      </c>
      <c r="B442" s="62">
        <f ca="1">IF(controls!$B$6=2,AVERAGE(E438:E441)+B441*W442+hystere!$AG$9,AVERAGE(E438:E441)+B441*W442)</f>
        <v>1.1000000000000001</v>
      </c>
      <c r="C442" s="67">
        <f t="shared" ca="1" si="37"/>
        <v>0</v>
      </c>
      <c r="D442" s="88">
        <f t="shared" ca="1" si="38"/>
        <v>-1</v>
      </c>
      <c r="E442" s="64">
        <f t="shared" ca="1" si="39"/>
        <v>0.1</v>
      </c>
      <c r="F442" s="64">
        <f ca="1">IF('main page'!$K$34=1,hystere!H442,hystere!G442)</f>
        <v>-1255.5</v>
      </c>
      <c r="G442" s="78">
        <f ca="1">I442-'main page'!$K$27*hystere!N441</f>
        <v>-1255.5</v>
      </c>
      <c r="H442" s="62">
        <f ca="1">J442-'main page'!$K$27*N441</f>
        <v>-1255.5</v>
      </c>
      <c r="I442" s="62">
        <f t="shared" ca="1" si="40"/>
        <v>108</v>
      </c>
      <c r="J442" s="62">
        <f t="shared" ca="1" si="41"/>
        <v>108</v>
      </c>
      <c r="M442" s="62">
        <f ca="1">IF(ABS('main page'!$K$29*M441+(1-'main page'!$K$29)*(controls!$B$9/100)*100+'main page'!$K$25*(E442-B442)-M441)&lt;0.0000001,M441,'main page'!$K$29*M441+(1-'main page'!$K$29)*(controls!$B$9/100)*100+'main page'!$K$25*(E442-B442))</f>
        <v>-682.75</v>
      </c>
      <c r="N442" s="62">
        <f ca="1">IF(controls!$B$10=1,N441,O442-'main page'!$K$29*M442-(1-'main page'!$K$29)*controls!$B$9)</f>
        <v>682.75</v>
      </c>
      <c r="O442" s="61">
        <f t="shared" ca="1" si="36"/>
        <v>0</v>
      </c>
      <c r="P442" s="63">
        <f ca="1">IF(controls!$B$10=1,hystere!N442+hystere!M442,hystere!Q442)</f>
        <v>-800.48749999999995</v>
      </c>
      <c r="Q442" s="61">
        <f ca="1">IF('main page'!$Y$53=1,'choose m.p.'!$I$22*100,R442)</f>
        <v>-800.48749999999995</v>
      </c>
      <c r="R442" s="83">
        <f ca="1">'main page'!$K$29*M442+(1-'main page'!$K$29)*controls!$B$9+S442+(('main page'!$K$25*'main page'!$U$13*'main page'!$K$29)/('main page'!$K$27*(1+('main page'!$K$25^2)*'main page'!$U$13)))*(M442-(controls!$B$9/100)*100)</f>
        <v>-800.48749999999995</v>
      </c>
      <c r="S442" s="81">
        <f ca="1">IF(controls!$B$33=1,(J443-E442*X443-B442)/'main page'!$K$27,(I443-E442*X443-B442)/'main page'!$K$27)</f>
        <v>53.45</v>
      </c>
      <c r="U442" s="58">
        <f>IF(controls!$B$6=1,$AG$4*(1+('main page'!$K$35/100))^V442-$AG$4*(1+('main page'!$K$35/100))^V441,$AG$4*(1+('main page'!$G$8/100))*(1+('main page'!$K$35/100))^V442-$AG$4*(1+('main page'!$G$8/100))*(1+('main page'!$K$35/100))^V441)</f>
        <v>0</v>
      </c>
      <c r="V442" s="60">
        <v>434</v>
      </c>
      <c r="W442" s="36">
        <f>'normal case'!AC441</f>
        <v>0</v>
      </c>
      <c r="X442" s="36">
        <f>'normal case'!AD441</f>
        <v>0</v>
      </c>
      <c r="Y442" s="44">
        <f ca="1">IF(controls!$B$33=1,E442-($J$4-'main page'!$K$27*2)*(1+('main page'!$K$35/100))^A441,E442-$AG$5)</f>
        <v>-99.9</v>
      </c>
      <c r="Z442" s="44">
        <f ca="1">ABS(M442-(controls!$B$9/100)*100)</f>
        <v>684.75</v>
      </c>
      <c r="AI442" s="36"/>
      <c r="AJ442" s="36"/>
    </row>
    <row r="443" spans="1:36">
      <c r="A443" s="43">
        <v>440</v>
      </c>
      <c r="B443" s="62">
        <f ca="1">IF(controls!$B$6=2,AVERAGE(E439:E442)+B442*W443+hystere!$AG$9,AVERAGE(E439:E442)+B442*W443)</f>
        <v>1.1000000000000001</v>
      </c>
      <c r="C443" s="67">
        <f t="shared" ca="1" si="37"/>
        <v>0</v>
      </c>
      <c r="D443" s="88">
        <f t="shared" ca="1" si="38"/>
        <v>-1</v>
      </c>
      <c r="E443" s="64">
        <f t="shared" ca="1" si="39"/>
        <v>0.1</v>
      </c>
      <c r="F443" s="64">
        <f ca="1">IF('main page'!$K$34=1,hystere!H443,hystere!G443)</f>
        <v>-1257.5</v>
      </c>
      <c r="G443" s="78">
        <f ca="1">I443-'main page'!$K$27*hystere!N442</f>
        <v>-1257.5</v>
      </c>
      <c r="H443" s="62">
        <f ca="1">J443-'main page'!$K$27*N442</f>
        <v>-1257.5</v>
      </c>
      <c r="I443" s="62">
        <f t="shared" ca="1" si="40"/>
        <v>108</v>
      </c>
      <c r="J443" s="62">
        <f t="shared" ca="1" si="41"/>
        <v>108</v>
      </c>
      <c r="M443" s="62">
        <f ca="1">IF(ABS('main page'!$K$29*M442+(1-'main page'!$K$29)*(controls!$B$9/100)*100+'main page'!$K$25*(E443-B443)-M442)&lt;0.0000001,M442,'main page'!$K$29*M442+(1-'main page'!$K$29)*(controls!$B$9/100)*100+'main page'!$K$25*(E443-B443))</f>
        <v>-683.75</v>
      </c>
      <c r="N443" s="62">
        <f ca="1">IF(controls!$B$10=1,N442,O443-'main page'!$K$29*M443-(1-'main page'!$K$29)*controls!$B$9)</f>
        <v>683.75</v>
      </c>
      <c r="O443" s="61">
        <f t="shared" ca="1" si="36"/>
        <v>0</v>
      </c>
      <c r="P443" s="63">
        <f ca="1">IF(controls!$B$10=1,hystere!N443+hystere!M443,hystere!Q443)</f>
        <v>-801.73749999999995</v>
      </c>
      <c r="Q443" s="61">
        <f ca="1">IF('main page'!$Y$53=1,'choose m.p.'!$I$22*100,R443)</f>
        <v>-801.73749999999995</v>
      </c>
      <c r="R443" s="83">
        <f ca="1">'main page'!$K$29*M443+(1-'main page'!$K$29)*controls!$B$9+S443+(('main page'!$K$25*'main page'!$U$13*'main page'!$K$29)/('main page'!$K$27*(1+('main page'!$K$25^2)*'main page'!$U$13)))*(M443-(controls!$B$9/100)*100)</f>
        <v>-801.73749999999995</v>
      </c>
      <c r="S443" s="81">
        <f ca="1">IF(controls!$B$33=1,(J444-E443*X444-B443)/'main page'!$K$27,(I444-E443*X444-B443)/'main page'!$K$27)</f>
        <v>53.45</v>
      </c>
      <c r="U443" s="58">
        <f>IF(controls!$B$6=1,$AG$4*(1+('main page'!$K$35/100))^V443-$AG$4*(1+('main page'!$K$35/100))^V442,$AG$4*(1+('main page'!$G$8/100))*(1+('main page'!$K$35/100))^V443-$AG$4*(1+('main page'!$G$8/100))*(1+('main page'!$K$35/100))^V442)</f>
        <v>0</v>
      </c>
      <c r="V443" s="60">
        <v>435</v>
      </c>
      <c r="W443" s="36">
        <f>'normal case'!AC442</f>
        <v>0</v>
      </c>
      <c r="X443" s="36">
        <f>'normal case'!AD442</f>
        <v>0</v>
      </c>
      <c r="Y443" s="44">
        <f ca="1">IF(controls!$B$33=1,E443-($J$4-'main page'!$K$27*2)*(1+('main page'!$K$35/100))^A442,E443-$AG$5)</f>
        <v>-99.9</v>
      </c>
      <c r="Z443" s="44">
        <f ca="1">ABS(M443-(controls!$B$9/100)*100)</f>
        <v>685.75</v>
      </c>
      <c r="AI443" s="36"/>
      <c r="AJ443" s="36"/>
    </row>
    <row r="444" spans="1:36">
      <c r="A444" s="43">
        <v>441</v>
      </c>
      <c r="B444" s="62">
        <f ca="1">IF(controls!$B$6=2,AVERAGE(E440:E443)+B443*W444+hystere!$AG$9,AVERAGE(E440:E443)+B443*W444)</f>
        <v>1.1000000000000001</v>
      </c>
      <c r="C444" s="67">
        <f t="shared" ca="1" si="37"/>
        <v>0</v>
      </c>
      <c r="D444" s="88">
        <f t="shared" ca="1" si="38"/>
        <v>-1</v>
      </c>
      <c r="E444" s="64">
        <f t="shared" ca="1" si="39"/>
        <v>0.1</v>
      </c>
      <c r="F444" s="64">
        <f ca="1">IF('main page'!$K$34=1,hystere!H444,hystere!G444)</f>
        <v>-1259.5</v>
      </c>
      <c r="G444" s="78">
        <f ca="1">I444-'main page'!$K$27*hystere!N443</f>
        <v>-1259.5</v>
      </c>
      <c r="H444" s="62">
        <f ca="1">J444-'main page'!$K$27*N443</f>
        <v>-1259.5</v>
      </c>
      <c r="I444" s="62">
        <f t="shared" ca="1" si="40"/>
        <v>108</v>
      </c>
      <c r="J444" s="62">
        <f t="shared" ca="1" si="41"/>
        <v>108</v>
      </c>
      <c r="M444" s="62">
        <f ca="1">IF(ABS('main page'!$K$29*M443+(1-'main page'!$K$29)*(controls!$B$9/100)*100+'main page'!$K$25*(E444-B444)-M443)&lt;0.0000001,M443,'main page'!$K$29*M443+(1-'main page'!$K$29)*(controls!$B$9/100)*100+'main page'!$K$25*(E444-B444))</f>
        <v>-684.75</v>
      </c>
      <c r="N444" s="62">
        <f ca="1">IF(controls!$B$10=1,N443,O444-'main page'!$K$29*M444-(1-'main page'!$K$29)*controls!$B$9)</f>
        <v>684.75</v>
      </c>
      <c r="O444" s="61">
        <f t="shared" ca="1" si="36"/>
        <v>0</v>
      </c>
      <c r="P444" s="63">
        <f ca="1">IF(controls!$B$10=1,hystere!N444+hystere!M444,hystere!Q444)</f>
        <v>-802.98749999999995</v>
      </c>
      <c r="Q444" s="61">
        <f ca="1">IF('main page'!$Y$53=1,'choose m.p.'!$I$22*100,R444)</f>
        <v>-802.98749999999995</v>
      </c>
      <c r="R444" s="83">
        <f ca="1">'main page'!$K$29*M444+(1-'main page'!$K$29)*controls!$B$9+S444+(('main page'!$K$25*'main page'!$U$13*'main page'!$K$29)/('main page'!$K$27*(1+('main page'!$K$25^2)*'main page'!$U$13)))*(M444-(controls!$B$9/100)*100)</f>
        <v>-802.98749999999995</v>
      </c>
      <c r="S444" s="81">
        <f ca="1">IF(controls!$B$33=1,(J445-E444*X445-B444)/'main page'!$K$27,(I445-E444*X445-B444)/'main page'!$K$27)</f>
        <v>53.45</v>
      </c>
      <c r="U444" s="58">
        <f>IF(controls!$B$6=1,$AG$4*(1+('main page'!$K$35/100))^V444-$AG$4*(1+('main page'!$K$35/100))^V443,$AG$4*(1+('main page'!$G$8/100))*(1+('main page'!$K$35/100))^V444-$AG$4*(1+('main page'!$G$8/100))*(1+('main page'!$K$35/100))^V443)</f>
        <v>0</v>
      </c>
      <c r="V444" s="60">
        <v>436</v>
      </c>
      <c r="W444" s="36">
        <f ca="1">'normal case'!AC443</f>
        <v>0</v>
      </c>
      <c r="X444" s="36">
        <f ca="1">'normal case'!AD443</f>
        <v>0</v>
      </c>
      <c r="Y444" s="44">
        <f ca="1">IF(controls!$B$33=1,E444-($J$4-'main page'!$K$27*2)*(1+('main page'!$K$35/100))^A443,E444-$AG$5)</f>
        <v>-99.9</v>
      </c>
      <c r="Z444" s="44">
        <f ca="1">ABS(M444-(controls!$B$9/100)*100)</f>
        <v>686.75</v>
      </c>
      <c r="AI444" s="36"/>
      <c r="AJ444" s="36"/>
    </row>
    <row r="445" spans="1:36">
      <c r="A445" s="43">
        <v>442</v>
      </c>
      <c r="B445" s="62">
        <f ca="1">IF(controls!$B$6=2,AVERAGE(E441:E444)+B444*W445+hystere!$AG$9,AVERAGE(E441:E444)+B444*W445)</f>
        <v>1.1000000000000001</v>
      </c>
      <c r="C445" s="67">
        <f t="shared" ca="1" si="37"/>
        <v>0</v>
      </c>
      <c r="D445" s="88">
        <f t="shared" ca="1" si="38"/>
        <v>-1</v>
      </c>
      <c r="E445" s="64">
        <f t="shared" ca="1" si="39"/>
        <v>0.1</v>
      </c>
      <c r="F445" s="64">
        <f ca="1">IF('main page'!$K$34=1,hystere!H445,hystere!G445)</f>
        <v>-1261.5</v>
      </c>
      <c r="G445" s="78">
        <f ca="1">I445-'main page'!$K$27*hystere!N444</f>
        <v>-1261.5</v>
      </c>
      <c r="H445" s="62">
        <f ca="1">J445-'main page'!$K$27*N444</f>
        <v>-1261.5</v>
      </c>
      <c r="I445" s="62">
        <f t="shared" ca="1" si="40"/>
        <v>108</v>
      </c>
      <c r="J445" s="62">
        <f t="shared" ca="1" si="41"/>
        <v>108</v>
      </c>
      <c r="M445" s="62">
        <f ca="1">IF(ABS('main page'!$K$29*M444+(1-'main page'!$K$29)*(controls!$B$9/100)*100+'main page'!$K$25*(E445-B445)-M444)&lt;0.0000001,M444,'main page'!$K$29*M444+(1-'main page'!$K$29)*(controls!$B$9/100)*100+'main page'!$K$25*(E445-B445))</f>
        <v>-685.75</v>
      </c>
      <c r="N445" s="62">
        <f ca="1">IF(controls!$B$10=1,N444,O445-'main page'!$K$29*M445-(1-'main page'!$K$29)*controls!$B$9)</f>
        <v>685.75</v>
      </c>
      <c r="O445" s="61">
        <f t="shared" ca="1" si="36"/>
        <v>0</v>
      </c>
      <c r="P445" s="63">
        <f ca="1">IF(controls!$B$10=1,hystere!N445+hystere!M445,hystere!Q445)</f>
        <v>-804.23749999999995</v>
      </c>
      <c r="Q445" s="61">
        <f ca="1">IF('main page'!$Y$53=1,'choose m.p.'!$I$22*100,R445)</f>
        <v>-804.23749999999995</v>
      </c>
      <c r="R445" s="83">
        <f ca="1">'main page'!$K$29*M445+(1-'main page'!$K$29)*controls!$B$9+S445+(('main page'!$K$25*'main page'!$U$13*'main page'!$K$29)/('main page'!$K$27*(1+('main page'!$K$25^2)*'main page'!$U$13)))*(M445-(controls!$B$9/100)*100)</f>
        <v>-804.23749999999995</v>
      </c>
      <c r="S445" s="81">
        <f ca="1">IF(controls!$B$33=1,(J446-E445*X446-B445)/'main page'!$K$27,(I446-E445*X446-B445)/'main page'!$K$27)</f>
        <v>53.45</v>
      </c>
      <c r="U445" s="58">
        <f>IF(controls!$B$6=1,$AG$4*(1+('main page'!$K$35/100))^V445-$AG$4*(1+('main page'!$K$35/100))^V444,$AG$4*(1+('main page'!$G$8/100))*(1+('main page'!$K$35/100))^V445-$AG$4*(1+('main page'!$G$8/100))*(1+('main page'!$K$35/100))^V444)</f>
        <v>0</v>
      </c>
      <c r="V445" s="60">
        <v>437</v>
      </c>
      <c r="W445" s="36">
        <f>'normal case'!AC444</f>
        <v>0</v>
      </c>
      <c r="X445" s="36">
        <f>'normal case'!AD444</f>
        <v>0</v>
      </c>
      <c r="Y445" s="44">
        <f ca="1">IF(controls!$B$33=1,E445-($J$4-'main page'!$K$27*2)*(1+('main page'!$K$35/100))^A444,E445-$AG$5)</f>
        <v>-99.9</v>
      </c>
      <c r="Z445" s="44">
        <f ca="1">ABS(M445-(controls!$B$9/100)*100)</f>
        <v>687.75</v>
      </c>
      <c r="AI445" s="36"/>
      <c r="AJ445" s="36"/>
    </row>
    <row r="446" spans="1:36">
      <c r="A446" s="43">
        <v>443</v>
      </c>
      <c r="B446" s="62">
        <f ca="1">IF(controls!$B$6=2,AVERAGE(E442:E445)+B445*W446+hystere!$AG$9,AVERAGE(E442:E445)+B445*W446)</f>
        <v>1.1000000000000001</v>
      </c>
      <c r="C446" s="67">
        <f t="shared" ca="1" si="37"/>
        <v>0</v>
      </c>
      <c r="D446" s="88">
        <f t="shared" ca="1" si="38"/>
        <v>-1</v>
      </c>
      <c r="E446" s="64">
        <f t="shared" ca="1" si="39"/>
        <v>0.1</v>
      </c>
      <c r="F446" s="64">
        <f ca="1">IF('main page'!$K$34=1,hystere!H446,hystere!G446)</f>
        <v>-1263.5</v>
      </c>
      <c r="G446" s="78">
        <f ca="1">I446-'main page'!$K$27*hystere!N445</f>
        <v>-1263.5</v>
      </c>
      <c r="H446" s="62">
        <f ca="1">J446-'main page'!$K$27*N445</f>
        <v>-1263.5</v>
      </c>
      <c r="I446" s="62">
        <f t="shared" ca="1" si="40"/>
        <v>108</v>
      </c>
      <c r="J446" s="62">
        <f t="shared" ca="1" si="41"/>
        <v>108</v>
      </c>
      <c r="M446" s="62">
        <f ca="1">IF(ABS('main page'!$K$29*M445+(1-'main page'!$K$29)*(controls!$B$9/100)*100+'main page'!$K$25*(E446-B446)-M445)&lt;0.0000001,M445,'main page'!$K$29*M445+(1-'main page'!$K$29)*(controls!$B$9/100)*100+'main page'!$K$25*(E446-B446))</f>
        <v>-686.75</v>
      </c>
      <c r="N446" s="62">
        <f ca="1">IF(controls!$B$10=1,N445,O446-'main page'!$K$29*M446-(1-'main page'!$K$29)*controls!$B$9)</f>
        <v>686.75</v>
      </c>
      <c r="O446" s="61">
        <f t="shared" ca="1" si="36"/>
        <v>0</v>
      </c>
      <c r="P446" s="63">
        <f ca="1">IF(controls!$B$10=1,hystere!N446+hystere!M446,hystere!Q446)</f>
        <v>-805.48749999999995</v>
      </c>
      <c r="Q446" s="61">
        <f ca="1">IF('main page'!$Y$53=1,'choose m.p.'!$I$22*100,R446)</f>
        <v>-805.48749999999995</v>
      </c>
      <c r="R446" s="83">
        <f ca="1">'main page'!$K$29*M446+(1-'main page'!$K$29)*controls!$B$9+S446+(('main page'!$K$25*'main page'!$U$13*'main page'!$K$29)/('main page'!$K$27*(1+('main page'!$K$25^2)*'main page'!$U$13)))*(M446-(controls!$B$9/100)*100)</f>
        <v>-805.48749999999995</v>
      </c>
      <c r="S446" s="81">
        <f ca="1">IF(controls!$B$33=1,(J447-E446*X447-B446)/'main page'!$K$27,(I447-E446*X447-B446)/'main page'!$K$27)</f>
        <v>53.45</v>
      </c>
      <c r="U446" s="58">
        <f>IF(controls!$B$6=1,$AG$4*(1+('main page'!$K$35/100))^V446-$AG$4*(1+('main page'!$K$35/100))^V445,$AG$4*(1+('main page'!$G$8/100))*(1+('main page'!$K$35/100))^V446-$AG$4*(1+('main page'!$G$8/100))*(1+('main page'!$K$35/100))^V445)</f>
        <v>0</v>
      </c>
      <c r="V446" s="60">
        <v>438</v>
      </c>
      <c r="W446" s="36">
        <f>'normal case'!AC445</f>
        <v>0</v>
      </c>
      <c r="X446" s="36">
        <f>'normal case'!AD445</f>
        <v>0</v>
      </c>
      <c r="Y446" s="44">
        <f ca="1">IF(controls!$B$33=1,E446-($J$4-'main page'!$K$27*2)*(1+('main page'!$K$35/100))^A445,E446-$AG$5)</f>
        <v>-99.9</v>
      </c>
      <c r="Z446" s="44">
        <f ca="1">ABS(M446-(controls!$B$9/100)*100)</f>
        <v>688.75</v>
      </c>
      <c r="AI446" s="36"/>
      <c r="AJ446" s="36"/>
    </row>
    <row r="447" spans="1:36">
      <c r="A447" s="43">
        <v>444</v>
      </c>
      <c r="B447" s="62">
        <f ca="1">IF(controls!$B$6=2,AVERAGE(E443:E446)+B446*W447+hystere!$AG$9,AVERAGE(E443:E446)+B446*W447)</f>
        <v>1.1000000000000001</v>
      </c>
      <c r="C447" s="67">
        <f t="shared" ca="1" si="37"/>
        <v>0</v>
      </c>
      <c r="D447" s="88">
        <f t="shared" ca="1" si="38"/>
        <v>-1</v>
      </c>
      <c r="E447" s="64">
        <f t="shared" ca="1" si="39"/>
        <v>0.1</v>
      </c>
      <c r="F447" s="64">
        <f ca="1">IF('main page'!$K$34=1,hystere!H447,hystere!G447)</f>
        <v>-1265.5</v>
      </c>
      <c r="G447" s="78">
        <f ca="1">I447-'main page'!$K$27*hystere!N446</f>
        <v>-1265.5</v>
      </c>
      <c r="H447" s="62">
        <f ca="1">J447-'main page'!$K$27*N446</f>
        <v>-1265.5</v>
      </c>
      <c r="I447" s="62">
        <f t="shared" ca="1" si="40"/>
        <v>108</v>
      </c>
      <c r="J447" s="62">
        <f t="shared" ca="1" si="41"/>
        <v>108</v>
      </c>
      <c r="M447" s="62">
        <f ca="1">IF(ABS('main page'!$K$29*M446+(1-'main page'!$K$29)*(controls!$B$9/100)*100+'main page'!$K$25*(E447-B447)-M446)&lt;0.0000001,M446,'main page'!$K$29*M446+(1-'main page'!$K$29)*(controls!$B$9/100)*100+'main page'!$K$25*(E447-B447))</f>
        <v>-687.75</v>
      </c>
      <c r="N447" s="62">
        <f ca="1">IF(controls!$B$10=1,N446,O447-'main page'!$K$29*M447-(1-'main page'!$K$29)*controls!$B$9)</f>
        <v>687.75</v>
      </c>
      <c r="O447" s="61">
        <f t="shared" ca="1" si="36"/>
        <v>0</v>
      </c>
      <c r="P447" s="63">
        <f ca="1">IF(controls!$B$10=1,hystere!N447+hystere!M447,hystere!Q447)</f>
        <v>-806.73749999999995</v>
      </c>
      <c r="Q447" s="61">
        <f ca="1">IF('main page'!$Y$53=1,'choose m.p.'!$I$22*100,R447)</f>
        <v>-806.73749999999995</v>
      </c>
      <c r="R447" s="83">
        <f ca="1">'main page'!$K$29*M447+(1-'main page'!$K$29)*controls!$B$9+S447+(('main page'!$K$25*'main page'!$U$13*'main page'!$K$29)/('main page'!$K$27*(1+('main page'!$K$25^2)*'main page'!$U$13)))*(M447-(controls!$B$9/100)*100)</f>
        <v>-806.73749999999995</v>
      </c>
      <c r="S447" s="81">
        <f ca="1">IF(controls!$B$33=1,(J448-E447*X448-B447)/'main page'!$K$27,(I448-E447*X448-B447)/'main page'!$K$27)</f>
        <v>53.45</v>
      </c>
      <c r="U447" s="58">
        <f>IF(controls!$B$6=1,$AG$4*(1+('main page'!$K$35/100))^V447-$AG$4*(1+('main page'!$K$35/100))^V446,$AG$4*(1+('main page'!$G$8/100))*(1+('main page'!$K$35/100))^V447-$AG$4*(1+('main page'!$G$8/100))*(1+('main page'!$K$35/100))^V446)</f>
        <v>0</v>
      </c>
      <c r="V447" s="60">
        <v>439</v>
      </c>
      <c r="W447" s="36">
        <f ca="1">'normal case'!AC446</f>
        <v>0</v>
      </c>
      <c r="X447" s="36">
        <f ca="1">'normal case'!AD446</f>
        <v>0</v>
      </c>
      <c r="Y447" s="44">
        <f ca="1">IF(controls!$B$33=1,E447-($J$4-'main page'!$K$27*2)*(1+('main page'!$K$35/100))^A446,E447-$AG$5)</f>
        <v>-99.9</v>
      </c>
      <c r="Z447" s="44">
        <f ca="1">ABS(M447-(controls!$B$9/100)*100)</f>
        <v>689.75</v>
      </c>
      <c r="AI447" s="36"/>
      <c r="AJ447" s="36"/>
    </row>
    <row r="448" spans="1:36">
      <c r="A448" s="43">
        <v>445</v>
      </c>
      <c r="B448" s="62">
        <f ca="1">IF(controls!$B$6=2,AVERAGE(E444:E447)+B447*W448+hystere!$AG$9,AVERAGE(E444:E447)+B447*W448)</f>
        <v>1.1000000000000001</v>
      </c>
      <c r="C448" s="67">
        <f t="shared" ca="1" si="37"/>
        <v>0</v>
      </c>
      <c r="D448" s="88">
        <f t="shared" ca="1" si="38"/>
        <v>-1</v>
      </c>
      <c r="E448" s="64">
        <f t="shared" ca="1" si="39"/>
        <v>0.1</v>
      </c>
      <c r="F448" s="64">
        <f ca="1">IF('main page'!$K$34=1,hystere!H448,hystere!G448)</f>
        <v>-1267.5</v>
      </c>
      <c r="G448" s="78">
        <f ca="1">I448-'main page'!$K$27*hystere!N447</f>
        <v>-1267.5</v>
      </c>
      <c r="H448" s="62">
        <f ca="1">J448-'main page'!$K$27*N447</f>
        <v>-1267.5</v>
      </c>
      <c r="I448" s="62">
        <f t="shared" ca="1" si="40"/>
        <v>108</v>
      </c>
      <c r="J448" s="62">
        <f t="shared" ca="1" si="41"/>
        <v>108</v>
      </c>
      <c r="M448" s="62">
        <f ca="1">IF(ABS('main page'!$K$29*M447+(1-'main page'!$K$29)*(controls!$B$9/100)*100+'main page'!$K$25*(E448-B448)-M447)&lt;0.0000001,M447,'main page'!$K$29*M447+(1-'main page'!$K$29)*(controls!$B$9/100)*100+'main page'!$K$25*(E448-B448))</f>
        <v>-688.75</v>
      </c>
      <c r="N448" s="62">
        <f ca="1">IF(controls!$B$10=1,N447,O448-'main page'!$K$29*M448-(1-'main page'!$K$29)*controls!$B$9)</f>
        <v>688.75</v>
      </c>
      <c r="O448" s="61">
        <f t="shared" ca="1" si="36"/>
        <v>0</v>
      </c>
      <c r="P448" s="63">
        <f ca="1">IF(controls!$B$10=1,hystere!N448+hystere!M448,hystere!Q448)</f>
        <v>-807.98749999999995</v>
      </c>
      <c r="Q448" s="61">
        <f ca="1">IF('main page'!$Y$53=1,'choose m.p.'!$I$22*100,R448)</f>
        <v>-807.98749999999995</v>
      </c>
      <c r="R448" s="83">
        <f ca="1">'main page'!$K$29*M448+(1-'main page'!$K$29)*controls!$B$9+S448+(('main page'!$K$25*'main page'!$U$13*'main page'!$K$29)/('main page'!$K$27*(1+('main page'!$K$25^2)*'main page'!$U$13)))*(M448-(controls!$B$9/100)*100)</f>
        <v>-807.98749999999995</v>
      </c>
      <c r="S448" s="81">
        <f ca="1">IF(controls!$B$33=1,(J449-E448*X449-B448)/'main page'!$K$27,(I449-E448*X449-B448)/'main page'!$K$27)</f>
        <v>53.45</v>
      </c>
      <c r="U448" s="58">
        <f>IF(controls!$B$6=1,$AG$4*(1+('main page'!$K$35/100))^V448-$AG$4*(1+('main page'!$K$35/100))^V447,$AG$4*(1+('main page'!$G$8/100))*(1+('main page'!$K$35/100))^V448-$AG$4*(1+('main page'!$G$8/100))*(1+('main page'!$K$35/100))^V447)</f>
        <v>0</v>
      </c>
      <c r="V448" s="60">
        <v>440</v>
      </c>
      <c r="W448" s="36">
        <f>'normal case'!AC447</f>
        <v>0</v>
      </c>
      <c r="X448" s="36">
        <f>'normal case'!AD447</f>
        <v>0</v>
      </c>
      <c r="Y448" s="44">
        <f ca="1">IF(controls!$B$33=1,E448-($J$4-'main page'!$K$27*2)*(1+('main page'!$K$35/100))^A447,E448-$AG$5)</f>
        <v>-99.9</v>
      </c>
      <c r="Z448" s="44">
        <f ca="1">ABS(M448-(controls!$B$9/100)*100)</f>
        <v>690.75</v>
      </c>
      <c r="AI448" s="36"/>
      <c r="AJ448" s="36"/>
    </row>
    <row r="449" spans="1:36">
      <c r="A449" s="43">
        <v>446</v>
      </c>
      <c r="B449" s="62">
        <f ca="1">IF(controls!$B$6=2,AVERAGE(E445:E448)+B448*W449+hystere!$AG$9,AVERAGE(E445:E448)+B448*W449)</f>
        <v>1.1000000000000001</v>
      </c>
      <c r="C449" s="67">
        <f t="shared" ca="1" si="37"/>
        <v>0</v>
      </c>
      <c r="D449" s="88">
        <f t="shared" ca="1" si="38"/>
        <v>-1</v>
      </c>
      <c r="E449" s="64">
        <f t="shared" ca="1" si="39"/>
        <v>0.1</v>
      </c>
      <c r="F449" s="64">
        <f ca="1">IF('main page'!$K$34=1,hystere!H449,hystere!G449)</f>
        <v>-1269.5</v>
      </c>
      <c r="G449" s="78">
        <f ca="1">I449-'main page'!$K$27*hystere!N448</f>
        <v>-1269.5</v>
      </c>
      <c r="H449" s="62">
        <f ca="1">J449-'main page'!$K$27*N448</f>
        <v>-1269.5</v>
      </c>
      <c r="I449" s="62">
        <f t="shared" ca="1" si="40"/>
        <v>108</v>
      </c>
      <c r="J449" s="62">
        <f t="shared" ca="1" si="41"/>
        <v>108</v>
      </c>
      <c r="M449" s="62">
        <f ca="1">IF(ABS('main page'!$K$29*M448+(1-'main page'!$K$29)*(controls!$B$9/100)*100+'main page'!$K$25*(E449-B449)-M448)&lt;0.0000001,M448,'main page'!$K$29*M448+(1-'main page'!$K$29)*(controls!$B$9/100)*100+'main page'!$K$25*(E449-B449))</f>
        <v>-689.75</v>
      </c>
      <c r="N449" s="62">
        <f ca="1">IF(controls!$B$10=1,N448,O449-'main page'!$K$29*M449-(1-'main page'!$K$29)*controls!$B$9)</f>
        <v>689.75</v>
      </c>
      <c r="O449" s="61">
        <f t="shared" ca="1" si="36"/>
        <v>0</v>
      </c>
      <c r="P449" s="63">
        <f ca="1">IF(controls!$B$10=1,hystere!N449+hystere!M449,hystere!Q449)</f>
        <v>-809.23749999999995</v>
      </c>
      <c r="Q449" s="61">
        <f ca="1">IF('main page'!$Y$53=1,'choose m.p.'!$I$22*100,R449)</f>
        <v>-809.23749999999995</v>
      </c>
      <c r="R449" s="83">
        <f ca="1">'main page'!$K$29*M449+(1-'main page'!$K$29)*controls!$B$9+S449+(('main page'!$K$25*'main page'!$U$13*'main page'!$K$29)/('main page'!$K$27*(1+('main page'!$K$25^2)*'main page'!$U$13)))*(M449-(controls!$B$9/100)*100)</f>
        <v>-809.23749999999995</v>
      </c>
      <c r="S449" s="81">
        <f ca="1">IF(controls!$B$33=1,(J450-E449*X450-B449)/'main page'!$K$27,(I450-E449*X450-B449)/'main page'!$K$27)</f>
        <v>53.45</v>
      </c>
      <c r="U449" s="58">
        <f>IF(controls!$B$6=1,$AG$4*(1+('main page'!$K$35/100))^V449-$AG$4*(1+('main page'!$K$35/100))^V448,$AG$4*(1+('main page'!$G$8/100))*(1+('main page'!$K$35/100))^V449-$AG$4*(1+('main page'!$G$8/100))*(1+('main page'!$K$35/100))^V448)</f>
        <v>0</v>
      </c>
      <c r="V449" s="60">
        <v>441</v>
      </c>
      <c r="W449" s="36">
        <f>'normal case'!AC448</f>
        <v>0</v>
      </c>
      <c r="X449" s="36">
        <f>'normal case'!AD448</f>
        <v>0</v>
      </c>
      <c r="Y449" s="44">
        <f ca="1">IF(controls!$B$33=1,E449-($J$4-'main page'!$K$27*2)*(1+('main page'!$K$35/100))^A448,E449-$AG$5)</f>
        <v>-99.9</v>
      </c>
      <c r="Z449" s="44">
        <f ca="1">ABS(M449-(controls!$B$9/100)*100)</f>
        <v>691.75</v>
      </c>
      <c r="AI449" s="36"/>
      <c r="AJ449" s="36"/>
    </row>
    <row r="450" spans="1:36">
      <c r="A450" s="43">
        <v>447</v>
      </c>
      <c r="B450" s="62">
        <f ca="1">IF(controls!$B$6=2,AVERAGE(E446:E449)+B449*W450+hystere!$AG$9,AVERAGE(E446:E449)+B449*W450)</f>
        <v>1.1000000000000001</v>
      </c>
      <c r="C450" s="67">
        <f t="shared" ca="1" si="37"/>
        <v>0</v>
      </c>
      <c r="D450" s="88">
        <f t="shared" ca="1" si="38"/>
        <v>-1</v>
      </c>
      <c r="E450" s="64">
        <f t="shared" ca="1" si="39"/>
        <v>0.1</v>
      </c>
      <c r="F450" s="64">
        <f ca="1">IF('main page'!$K$34=1,hystere!H450,hystere!G450)</f>
        <v>-1271.5</v>
      </c>
      <c r="G450" s="78">
        <f ca="1">I450-'main page'!$K$27*hystere!N449</f>
        <v>-1271.5</v>
      </c>
      <c r="H450" s="62">
        <f ca="1">J450-'main page'!$K$27*N449</f>
        <v>-1271.5</v>
      </c>
      <c r="I450" s="62">
        <f t="shared" ca="1" si="40"/>
        <v>108</v>
      </c>
      <c r="J450" s="62">
        <f t="shared" ca="1" si="41"/>
        <v>108</v>
      </c>
      <c r="M450" s="62">
        <f ca="1">IF(ABS('main page'!$K$29*M449+(1-'main page'!$K$29)*(controls!$B$9/100)*100+'main page'!$K$25*(E450-B450)-M449)&lt;0.0000001,M449,'main page'!$K$29*M449+(1-'main page'!$K$29)*(controls!$B$9/100)*100+'main page'!$K$25*(E450-B450))</f>
        <v>-690.75</v>
      </c>
      <c r="N450" s="62">
        <f ca="1">IF(controls!$B$10=1,N449,O450-'main page'!$K$29*M450-(1-'main page'!$K$29)*controls!$B$9)</f>
        <v>690.75</v>
      </c>
      <c r="O450" s="61">
        <f t="shared" ca="1" si="36"/>
        <v>0</v>
      </c>
      <c r="P450" s="63">
        <f ca="1">IF(controls!$B$10=1,hystere!N450+hystere!M450,hystere!Q450)</f>
        <v>-810.48749999999995</v>
      </c>
      <c r="Q450" s="61">
        <f ca="1">IF('main page'!$Y$53=1,'choose m.p.'!$I$22*100,R450)</f>
        <v>-810.48749999999995</v>
      </c>
      <c r="R450" s="83">
        <f ca="1">'main page'!$K$29*M450+(1-'main page'!$K$29)*controls!$B$9+S450+(('main page'!$K$25*'main page'!$U$13*'main page'!$K$29)/('main page'!$K$27*(1+('main page'!$K$25^2)*'main page'!$U$13)))*(M450-(controls!$B$9/100)*100)</f>
        <v>-810.48749999999995</v>
      </c>
      <c r="S450" s="81">
        <f ca="1">IF(controls!$B$33=1,(J451-E450*X451-B450)/'main page'!$K$27,(I451-E450*X451-B450)/'main page'!$K$27)</f>
        <v>53.45</v>
      </c>
      <c r="U450" s="58">
        <f>IF(controls!$B$6=1,$AG$4*(1+('main page'!$K$35/100))^V450-$AG$4*(1+('main page'!$K$35/100))^V449,$AG$4*(1+('main page'!$G$8/100))*(1+('main page'!$K$35/100))^V450-$AG$4*(1+('main page'!$G$8/100))*(1+('main page'!$K$35/100))^V449)</f>
        <v>0</v>
      </c>
      <c r="V450" s="60">
        <v>442</v>
      </c>
      <c r="W450" s="36">
        <f ca="1">'normal case'!AC449</f>
        <v>0</v>
      </c>
      <c r="X450" s="36">
        <f ca="1">'normal case'!AD449</f>
        <v>0</v>
      </c>
      <c r="Y450" s="44">
        <f ca="1">IF(controls!$B$33=1,E450-($J$4-'main page'!$K$27*2)*(1+('main page'!$K$35/100))^A449,E450-$AG$5)</f>
        <v>-99.9</v>
      </c>
      <c r="Z450" s="44">
        <f ca="1">ABS(M450-(controls!$B$9/100)*100)</f>
        <v>692.75</v>
      </c>
      <c r="AI450" s="36"/>
      <c r="AJ450" s="36"/>
    </row>
    <row r="451" spans="1:36">
      <c r="A451" s="43">
        <v>448</v>
      </c>
      <c r="B451" s="62">
        <f ca="1">IF(controls!$B$6=2,AVERAGE(E447:E450)+B450*W451+hystere!$AG$9,AVERAGE(E447:E450)+B450*W451)</f>
        <v>1.1000000000000001</v>
      </c>
      <c r="C451" s="67">
        <f t="shared" ca="1" si="37"/>
        <v>0</v>
      </c>
      <c r="D451" s="88">
        <f t="shared" ca="1" si="38"/>
        <v>-1</v>
      </c>
      <c r="E451" s="64">
        <f t="shared" ca="1" si="39"/>
        <v>0.1</v>
      </c>
      <c r="F451" s="64">
        <f ca="1">IF('main page'!$K$34=1,hystere!H451,hystere!G451)</f>
        <v>-1273.5</v>
      </c>
      <c r="G451" s="78">
        <f ca="1">I451-'main page'!$K$27*hystere!N450</f>
        <v>-1273.5</v>
      </c>
      <c r="H451" s="62">
        <f ca="1">J451-'main page'!$K$27*N450</f>
        <v>-1273.5</v>
      </c>
      <c r="I451" s="62">
        <f t="shared" ca="1" si="40"/>
        <v>108</v>
      </c>
      <c r="J451" s="62">
        <f t="shared" ca="1" si="41"/>
        <v>108</v>
      </c>
      <c r="M451" s="62">
        <f ca="1">IF(ABS('main page'!$K$29*M450+(1-'main page'!$K$29)*(controls!$B$9/100)*100+'main page'!$K$25*(E451-B451)-M450)&lt;0.0000001,M450,'main page'!$K$29*M450+(1-'main page'!$K$29)*(controls!$B$9/100)*100+'main page'!$K$25*(E451-B451))</f>
        <v>-691.75</v>
      </c>
      <c r="N451" s="62">
        <f ca="1">IF(controls!$B$10=1,N450,O451-'main page'!$K$29*M451-(1-'main page'!$K$29)*controls!$B$9)</f>
        <v>691.75</v>
      </c>
      <c r="O451" s="61">
        <f t="shared" ca="1" si="36"/>
        <v>0</v>
      </c>
      <c r="P451" s="63">
        <f ca="1">IF(controls!$B$10=1,hystere!N451+hystere!M451,hystere!Q451)</f>
        <v>-811.73749999999995</v>
      </c>
      <c r="Q451" s="61">
        <f ca="1">IF('main page'!$Y$53=1,'choose m.p.'!$I$22*100,R451)</f>
        <v>-811.73749999999995</v>
      </c>
      <c r="R451" s="83">
        <f ca="1">'main page'!$K$29*M451+(1-'main page'!$K$29)*controls!$B$9+S451+(('main page'!$K$25*'main page'!$U$13*'main page'!$K$29)/('main page'!$K$27*(1+('main page'!$K$25^2)*'main page'!$U$13)))*(M451-(controls!$B$9/100)*100)</f>
        <v>-811.73749999999995</v>
      </c>
      <c r="S451" s="81">
        <f ca="1">IF(controls!$B$33=1,(J452-E451*X452-B451)/'main page'!$K$27,(I452-E451*X452-B451)/'main page'!$K$27)</f>
        <v>53.45</v>
      </c>
      <c r="U451" s="58">
        <f>IF(controls!$B$6=1,$AG$4*(1+('main page'!$K$35/100))^V451-$AG$4*(1+('main page'!$K$35/100))^V450,$AG$4*(1+('main page'!$G$8/100))*(1+('main page'!$K$35/100))^V451-$AG$4*(1+('main page'!$G$8/100))*(1+('main page'!$K$35/100))^V450)</f>
        <v>0</v>
      </c>
      <c r="V451" s="60">
        <v>443</v>
      </c>
      <c r="W451" s="36">
        <f>'normal case'!AC450</f>
        <v>0</v>
      </c>
      <c r="X451" s="36">
        <f>'normal case'!AD450</f>
        <v>0</v>
      </c>
      <c r="Y451" s="44">
        <f ca="1">IF(controls!$B$33=1,E451-($J$4-'main page'!$K$27*2)*(1+('main page'!$K$35/100))^A450,E451-$AG$5)</f>
        <v>-99.9</v>
      </c>
      <c r="Z451" s="44">
        <f ca="1">ABS(M451-(controls!$B$9/100)*100)</f>
        <v>693.75</v>
      </c>
      <c r="AI451" s="36"/>
      <c r="AJ451" s="36"/>
    </row>
    <row r="452" spans="1:36">
      <c r="A452" s="43">
        <v>449</v>
      </c>
      <c r="B452" s="62">
        <f ca="1">IF(controls!$B$6=2,AVERAGE(E448:E451)+B451*W452+hystere!$AG$9,AVERAGE(E448:E451)+B451*W452)</f>
        <v>1.1000000000000001</v>
      </c>
      <c r="C452" s="67">
        <f t="shared" ca="1" si="37"/>
        <v>0</v>
      </c>
      <c r="D452" s="88">
        <f t="shared" ca="1" si="38"/>
        <v>-1</v>
      </c>
      <c r="E452" s="64">
        <f t="shared" ca="1" si="39"/>
        <v>0.1</v>
      </c>
      <c r="F452" s="64">
        <f ca="1">IF('main page'!$K$34=1,hystere!H452,hystere!G452)</f>
        <v>-1275.5</v>
      </c>
      <c r="G452" s="78">
        <f ca="1">I452-'main page'!$K$27*hystere!N451</f>
        <v>-1275.5</v>
      </c>
      <c r="H452" s="62">
        <f ca="1">J452-'main page'!$K$27*N451</f>
        <v>-1275.5</v>
      </c>
      <c r="I452" s="62">
        <f t="shared" ca="1" si="40"/>
        <v>108</v>
      </c>
      <c r="J452" s="62">
        <f t="shared" ca="1" si="41"/>
        <v>108</v>
      </c>
      <c r="M452" s="62">
        <f ca="1">IF(ABS('main page'!$K$29*M451+(1-'main page'!$K$29)*(controls!$B$9/100)*100+'main page'!$K$25*(E452-B452)-M451)&lt;0.0000001,M451,'main page'!$K$29*M451+(1-'main page'!$K$29)*(controls!$B$9/100)*100+'main page'!$K$25*(E452-B452))</f>
        <v>-692.75</v>
      </c>
      <c r="N452" s="62">
        <f ca="1">IF(controls!$B$10=1,N451,O452-'main page'!$K$29*M452-(1-'main page'!$K$29)*controls!$B$9)</f>
        <v>692.75</v>
      </c>
      <c r="O452" s="61">
        <f t="shared" ref="O452:O503" ca="1" si="42">IF(P452&lt;0,0,P452)</f>
        <v>0</v>
      </c>
      <c r="P452" s="63">
        <f ca="1">IF(controls!$B$10=1,hystere!N452+hystere!M452,hystere!Q452)</f>
        <v>-812.98749999999995</v>
      </c>
      <c r="Q452" s="61">
        <f ca="1">IF('main page'!$Y$53=1,'choose m.p.'!$I$22*100,R452)</f>
        <v>-812.98749999999995</v>
      </c>
      <c r="R452" s="83">
        <f ca="1">'main page'!$K$29*M452+(1-'main page'!$K$29)*controls!$B$9+S452+(('main page'!$K$25*'main page'!$U$13*'main page'!$K$29)/('main page'!$K$27*(1+('main page'!$K$25^2)*'main page'!$U$13)))*(M452-(controls!$B$9/100)*100)</f>
        <v>-812.98749999999995</v>
      </c>
      <c r="S452" s="81">
        <f ca="1">IF(controls!$B$33=1,(J453-E452*X453-B452)/'main page'!$K$27,(I453-E452*X453-B452)/'main page'!$K$27)</f>
        <v>53.45</v>
      </c>
      <c r="U452" s="58">
        <f>IF(controls!$B$6=1,$AG$4*(1+('main page'!$K$35/100))^V452-$AG$4*(1+('main page'!$K$35/100))^V451,$AG$4*(1+('main page'!$G$8/100))*(1+('main page'!$K$35/100))^V452-$AG$4*(1+('main page'!$G$8/100))*(1+('main page'!$K$35/100))^V451)</f>
        <v>0</v>
      </c>
      <c r="V452" s="60">
        <v>444</v>
      </c>
      <c r="W452" s="36">
        <f>'normal case'!AC451</f>
        <v>0</v>
      </c>
      <c r="X452" s="36">
        <f>'normal case'!AD451</f>
        <v>0</v>
      </c>
      <c r="Y452" s="44">
        <f ca="1">IF(controls!$B$33=1,E452-($J$4-'main page'!$K$27*2)*(1+('main page'!$K$35/100))^A451,E452-$AG$5)</f>
        <v>-99.9</v>
      </c>
      <c r="Z452" s="44">
        <f ca="1">ABS(M452-(controls!$B$9/100)*100)</f>
        <v>694.75</v>
      </c>
      <c r="AI452" s="36"/>
      <c r="AJ452" s="36"/>
    </row>
    <row r="453" spans="1:36">
      <c r="A453" s="43">
        <v>450</v>
      </c>
      <c r="B453" s="62">
        <f ca="1">IF(controls!$B$6=2,AVERAGE(E449:E452)+B452*W453+hystere!$AG$9,AVERAGE(E449:E452)+B452*W453)</f>
        <v>1.1000000000000001</v>
      </c>
      <c r="C453" s="67">
        <f t="shared" ref="C453:C503" ca="1" si="43">E453/E452-1</f>
        <v>0</v>
      </c>
      <c r="D453" s="88">
        <f t="shared" ref="D453:D503" ca="1" si="44">E453-B453</f>
        <v>-1</v>
      </c>
      <c r="E453" s="64">
        <f t="shared" ref="E453:E503" ca="1" si="45">IF(F453&gt;0,F453,0.1)</f>
        <v>0.1</v>
      </c>
      <c r="F453" s="64">
        <f ca="1">IF('main page'!$K$34=1,hystere!H453,hystere!G453)</f>
        <v>-1277.5</v>
      </c>
      <c r="G453" s="78">
        <f ca="1">I453-'main page'!$K$27*hystere!N452</f>
        <v>-1277.5</v>
      </c>
      <c r="H453" s="62">
        <f ca="1">J453-'main page'!$K$27*N452</f>
        <v>-1277.5</v>
      </c>
      <c r="I453" s="62">
        <f t="shared" ca="1" si="40"/>
        <v>108</v>
      </c>
      <c r="J453" s="62">
        <f t="shared" ca="1" si="41"/>
        <v>108</v>
      </c>
      <c r="M453" s="62">
        <f ca="1">IF(ABS('main page'!$K$29*M452+(1-'main page'!$K$29)*(controls!$B$9/100)*100+'main page'!$K$25*(E453-B453)-M452)&lt;0.0000001,M452,'main page'!$K$29*M452+(1-'main page'!$K$29)*(controls!$B$9/100)*100+'main page'!$K$25*(E453-B453))</f>
        <v>-693.75</v>
      </c>
      <c r="N453" s="62">
        <f ca="1">IF(controls!$B$10=1,N452,O453-'main page'!$K$29*M453-(1-'main page'!$K$29)*controls!$B$9)</f>
        <v>693.75</v>
      </c>
      <c r="O453" s="61">
        <f t="shared" ca="1" si="42"/>
        <v>0</v>
      </c>
      <c r="P453" s="63">
        <f ca="1">IF(controls!$B$10=1,hystere!N453+hystere!M453,hystere!Q453)</f>
        <v>-814.23749999999995</v>
      </c>
      <c r="Q453" s="61">
        <f ca="1">IF('main page'!$Y$53=1,'choose m.p.'!$I$22*100,R453)</f>
        <v>-814.23749999999995</v>
      </c>
      <c r="R453" s="83">
        <f ca="1">'main page'!$K$29*M453+(1-'main page'!$K$29)*controls!$B$9+S453+(('main page'!$K$25*'main page'!$U$13*'main page'!$K$29)/('main page'!$K$27*(1+('main page'!$K$25^2)*'main page'!$U$13)))*(M453-(controls!$B$9/100)*100)</f>
        <v>-814.23749999999995</v>
      </c>
      <c r="S453" s="81">
        <f ca="1">IF(controls!$B$33=1,(J454-E453*X454-B453)/'main page'!$K$27,(I454-E453*X454-B453)/'main page'!$K$27)</f>
        <v>53.45</v>
      </c>
      <c r="U453" s="58">
        <f>IF(controls!$B$6=1,$AG$4*(1+('main page'!$K$35/100))^V453-$AG$4*(1+('main page'!$K$35/100))^V452,$AG$4*(1+('main page'!$G$8/100))*(1+('main page'!$K$35/100))^V453-$AG$4*(1+('main page'!$G$8/100))*(1+('main page'!$K$35/100))^V452)</f>
        <v>0</v>
      </c>
      <c r="V453" s="60">
        <v>445</v>
      </c>
      <c r="W453" s="36">
        <f ca="1">'normal case'!AC452</f>
        <v>0</v>
      </c>
      <c r="X453" s="36">
        <f ca="1">'normal case'!AD452</f>
        <v>0</v>
      </c>
      <c r="Y453" s="44">
        <f ca="1">IF(controls!$B$33=1,E453-($J$4-'main page'!$K$27*2)*(1+('main page'!$K$35/100))^A452,E453-$AG$5)</f>
        <v>-99.9</v>
      </c>
      <c r="Z453" s="44">
        <f ca="1">ABS(M453-(controls!$B$9/100)*100)</f>
        <v>695.75</v>
      </c>
      <c r="AI453" s="36"/>
      <c r="AJ453" s="36"/>
    </row>
    <row r="454" spans="1:36">
      <c r="A454" s="43">
        <v>451</v>
      </c>
      <c r="B454" s="62">
        <f ca="1">IF(controls!$B$6=2,AVERAGE(E450:E453)+B453*W454+hystere!$AG$9,AVERAGE(E450:E453)+B453*W454)</f>
        <v>1.1000000000000001</v>
      </c>
      <c r="C454" s="67">
        <f t="shared" ca="1" si="43"/>
        <v>0</v>
      </c>
      <c r="D454" s="88">
        <f t="shared" ca="1" si="44"/>
        <v>-1</v>
      </c>
      <c r="E454" s="64">
        <f t="shared" ca="1" si="45"/>
        <v>0.1</v>
      </c>
      <c r="F454" s="64">
        <f ca="1">IF('main page'!$K$34=1,hystere!H454,hystere!G454)</f>
        <v>-1279.5</v>
      </c>
      <c r="G454" s="78">
        <f ca="1">I454-'main page'!$K$27*hystere!N453</f>
        <v>-1279.5</v>
      </c>
      <c r="H454" s="62">
        <f ca="1">J454-'main page'!$K$27*N453</f>
        <v>-1279.5</v>
      </c>
      <c r="I454" s="62">
        <f t="shared" ca="1" si="40"/>
        <v>108</v>
      </c>
      <c r="J454" s="62">
        <f t="shared" ca="1" si="41"/>
        <v>108</v>
      </c>
      <c r="M454" s="62">
        <f ca="1">IF(ABS('main page'!$K$29*M453+(1-'main page'!$K$29)*(controls!$B$9/100)*100+'main page'!$K$25*(E454-B454)-M453)&lt;0.0000001,M453,'main page'!$K$29*M453+(1-'main page'!$K$29)*(controls!$B$9/100)*100+'main page'!$K$25*(E454-B454))</f>
        <v>-694.75</v>
      </c>
      <c r="N454" s="62">
        <f ca="1">IF(controls!$B$10=1,N453,O454-'main page'!$K$29*M454-(1-'main page'!$K$29)*controls!$B$9)</f>
        <v>694.75</v>
      </c>
      <c r="O454" s="61">
        <f t="shared" ca="1" si="42"/>
        <v>0</v>
      </c>
      <c r="P454" s="63">
        <f ca="1">IF(controls!$B$10=1,hystere!N454+hystere!M454,hystere!Q454)</f>
        <v>-815.48749999999995</v>
      </c>
      <c r="Q454" s="61">
        <f ca="1">IF('main page'!$Y$53=1,'choose m.p.'!$I$22*100,R454)</f>
        <v>-815.48749999999995</v>
      </c>
      <c r="R454" s="83">
        <f ca="1">'main page'!$K$29*M454+(1-'main page'!$K$29)*controls!$B$9+S454+(('main page'!$K$25*'main page'!$U$13*'main page'!$K$29)/('main page'!$K$27*(1+('main page'!$K$25^2)*'main page'!$U$13)))*(M454-(controls!$B$9/100)*100)</f>
        <v>-815.48749999999995</v>
      </c>
      <c r="S454" s="81">
        <f ca="1">IF(controls!$B$33=1,(J455-E454*X455-B454)/'main page'!$K$27,(I455-E454*X455-B454)/'main page'!$K$27)</f>
        <v>53.45</v>
      </c>
      <c r="U454" s="58">
        <f>IF(controls!$B$6=1,$AG$4*(1+('main page'!$K$35/100))^V454-$AG$4*(1+('main page'!$K$35/100))^V453,$AG$4*(1+('main page'!$G$8/100))*(1+('main page'!$K$35/100))^V454-$AG$4*(1+('main page'!$G$8/100))*(1+('main page'!$K$35/100))^V453)</f>
        <v>0</v>
      </c>
      <c r="V454" s="60">
        <v>446</v>
      </c>
      <c r="W454" s="36">
        <f>'normal case'!AC453</f>
        <v>0</v>
      </c>
      <c r="X454" s="36">
        <f>'normal case'!AD453</f>
        <v>0</v>
      </c>
      <c r="Y454" s="44">
        <f ca="1">IF(controls!$B$33=1,E454-($J$4-'main page'!$K$27*2)*(1+('main page'!$K$35/100))^A453,E454-$AG$5)</f>
        <v>-99.9</v>
      </c>
      <c r="Z454" s="44">
        <f ca="1">ABS(M454-(controls!$B$9/100)*100)</f>
        <v>696.75</v>
      </c>
      <c r="AI454" s="36"/>
      <c r="AJ454" s="36"/>
    </row>
    <row r="455" spans="1:36">
      <c r="A455" s="43">
        <v>452</v>
      </c>
      <c r="B455" s="62">
        <f ca="1">IF(controls!$B$6=2,AVERAGE(E451:E454)+B454*W455+hystere!$AG$9,AVERAGE(E451:E454)+B454*W455)</f>
        <v>1.1000000000000001</v>
      </c>
      <c r="C455" s="67">
        <f t="shared" ca="1" si="43"/>
        <v>0</v>
      </c>
      <c r="D455" s="88">
        <f t="shared" ca="1" si="44"/>
        <v>-1</v>
      </c>
      <c r="E455" s="64">
        <f t="shared" ca="1" si="45"/>
        <v>0.1</v>
      </c>
      <c r="F455" s="64">
        <f ca="1">IF('main page'!$K$34=1,hystere!H455,hystere!G455)</f>
        <v>-1281.5</v>
      </c>
      <c r="G455" s="78">
        <f ca="1">I455-'main page'!$K$27*hystere!N454</f>
        <v>-1281.5</v>
      </c>
      <c r="H455" s="62">
        <f ca="1">J455-'main page'!$K$27*N454</f>
        <v>-1281.5</v>
      </c>
      <c r="I455" s="62">
        <f t="shared" ca="1" si="40"/>
        <v>108</v>
      </c>
      <c r="J455" s="62">
        <f t="shared" ca="1" si="41"/>
        <v>108</v>
      </c>
      <c r="M455" s="62">
        <f ca="1">IF(ABS('main page'!$K$29*M454+(1-'main page'!$K$29)*(controls!$B$9/100)*100+'main page'!$K$25*(E455-B455)-M454)&lt;0.0000001,M454,'main page'!$K$29*M454+(1-'main page'!$K$29)*(controls!$B$9/100)*100+'main page'!$K$25*(E455-B455))</f>
        <v>-695.75</v>
      </c>
      <c r="N455" s="62">
        <f ca="1">IF(controls!$B$10=1,N454,O455-'main page'!$K$29*M455-(1-'main page'!$K$29)*controls!$B$9)</f>
        <v>695.75</v>
      </c>
      <c r="O455" s="61">
        <f t="shared" ca="1" si="42"/>
        <v>0</v>
      </c>
      <c r="P455" s="63">
        <f ca="1">IF(controls!$B$10=1,hystere!N455+hystere!M455,hystere!Q455)</f>
        <v>-816.73749999999995</v>
      </c>
      <c r="Q455" s="61">
        <f ca="1">IF('main page'!$Y$53=1,'choose m.p.'!$I$22*100,R455)</f>
        <v>-816.73749999999995</v>
      </c>
      <c r="R455" s="83">
        <f ca="1">'main page'!$K$29*M455+(1-'main page'!$K$29)*controls!$B$9+S455+(('main page'!$K$25*'main page'!$U$13*'main page'!$K$29)/('main page'!$K$27*(1+('main page'!$K$25^2)*'main page'!$U$13)))*(M455-(controls!$B$9/100)*100)</f>
        <v>-816.73749999999995</v>
      </c>
      <c r="S455" s="81">
        <f ca="1">IF(controls!$B$33=1,(J456-E455*X456-B455)/'main page'!$K$27,(I456-E455*X456-B455)/'main page'!$K$27)</f>
        <v>53.45</v>
      </c>
      <c r="U455" s="58">
        <f>IF(controls!$B$6=1,$AG$4*(1+('main page'!$K$35/100))^V455-$AG$4*(1+('main page'!$K$35/100))^V454,$AG$4*(1+('main page'!$G$8/100))*(1+('main page'!$K$35/100))^V455-$AG$4*(1+('main page'!$G$8/100))*(1+('main page'!$K$35/100))^V454)</f>
        <v>0</v>
      </c>
      <c r="V455" s="60">
        <v>447</v>
      </c>
      <c r="W455" s="36">
        <f>'normal case'!AC454</f>
        <v>0</v>
      </c>
      <c r="X455" s="36">
        <f>'normal case'!AD454</f>
        <v>0</v>
      </c>
      <c r="Y455" s="44">
        <f ca="1">IF(controls!$B$33=1,E455-($J$4-'main page'!$K$27*2)*(1+('main page'!$K$35/100))^A454,E455-$AG$5)</f>
        <v>-99.9</v>
      </c>
      <c r="Z455" s="44">
        <f ca="1">ABS(M455-(controls!$B$9/100)*100)</f>
        <v>697.75</v>
      </c>
      <c r="AI455" s="36"/>
      <c r="AJ455" s="36"/>
    </row>
    <row r="456" spans="1:36">
      <c r="A456" s="43">
        <v>453</v>
      </c>
      <c r="B456" s="62">
        <f ca="1">IF(controls!$B$6=2,AVERAGE(E452:E455)+B455*W456+hystere!$AG$9,AVERAGE(E452:E455)+B455*W456)</f>
        <v>1.1000000000000001</v>
      </c>
      <c r="C456" s="67">
        <f t="shared" ca="1" si="43"/>
        <v>0</v>
      </c>
      <c r="D456" s="88">
        <f t="shared" ca="1" si="44"/>
        <v>-1</v>
      </c>
      <c r="E456" s="64">
        <f t="shared" ca="1" si="45"/>
        <v>0.1</v>
      </c>
      <c r="F456" s="64">
        <f ca="1">IF('main page'!$K$34=1,hystere!H456,hystere!G456)</f>
        <v>-1283.5</v>
      </c>
      <c r="G456" s="78">
        <f ca="1">I456-'main page'!$K$27*hystere!N455</f>
        <v>-1283.5</v>
      </c>
      <c r="H456" s="62">
        <f ca="1">J456-'main page'!$K$27*N455</f>
        <v>-1283.5</v>
      </c>
      <c r="I456" s="62">
        <f t="shared" ca="1" si="40"/>
        <v>108</v>
      </c>
      <c r="J456" s="62">
        <f t="shared" ca="1" si="41"/>
        <v>108</v>
      </c>
      <c r="M456" s="62">
        <f ca="1">IF(ABS('main page'!$K$29*M455+(1-'main page'!$K$29)*(controls!$B$9/100)*100+'main page'!$K$25*(E456-B456)-M455)&lt;0.0000001,M455,'main page'!$K$29*M455+(1-'main page'!$K$29)*(controls!$B$9/100)*100+'main page'!$K$25*(E456-B456))</f>
        <v>-696.75</v>
      </c>
      <c r="N456" s="62">
        <f ca="1">IF(controls!$B$10=1,N455,O456-'main page'!$K$29*M456-(1-'main page'!$K$29)*controls!$B$9)</f>
        <v>696.75</v>
      </c>
      <c r="O456" s="61">
        <f t="shared" ca="1" si="42"/>
        <v>0</v>
      </c>
      <c r="P456" s="63">
        <f ca="1">IF(controls!$B$10=1,hystere!N456+hystere!M456,hystere!Q456)</f>
        <v>-817.98749999999995</v>
      </c>
      <c r="Q456" s="61">
        <f ca="1">IF('main page'!$Y$53=1,'choose m.p.'!$I$22*100,R456)</f>
        <v>-817.98749999999995</v>
      </c>
      <c r="R456" s="83">
        <f ca="1">'main page'!$K$29*M456+(1-'main page'!$K$29)*controls!$B$9+S456+(('main page'!$K$25*'main page'!$U$13*'main page'!$K$29)/('main page'!$K$27*(1+('main page'!$K$25^2)*'main page'!$U$13)))*(M456-(controls!$B$9/100)*100)</f>
        <v>-817.98749999999995</v>
      </c>
      <c r="S456" s="81">
        <f ca="1">IF(controls!$B$33=1,(J457-E456*X457-B456)/'main page'!$K$27,(I457-E456*X457-B456)/'main page'!$K$27)</f>
        <v>53.45</v>
      </c>
      <c r="U456" s="58">
        <f>IF(controls!$B$6=1,$AG$4*(1+('main page'!$K$35/100))^V456-$AG$4*(1+('main page'!$K$35/100))^V455,$AG$4*(1+('main page'!$G$8/100))*(1+('main page'!$K$35/100))^V456-$AG$4*(1+('main page'!$G$8/100))*(1+('main page'!$K$35/100))^V455)</f>
        <v>0</v>
      </c>
      <c r="V456" s="60">
        <v>448</v>
      </c>
      <c r="W456" s="36">
        <f ca="1">'normal case'!AC455</f>
        <v>0</v>
      </c>
      <c r="X456" s="36">
        <f ca="1">'normal case'!AD455</f>
        <v>0</v>
      </c>
      <c r="Y456" s="44">
        <f ca="1">IF(controls!$B$33=1,E456-($J$4-'main page'!$K$27*2)*(1+('main page'!$K$35/100))^A455,E456-$AG$5)</f>
        <v>-99.9</v>
      </c>
      <c r="Z456" s="44">
        <f ca="1">ABS(M456-(controls!$B$9/100)*100)</f>
        <v>698.75</v>
      </c>
      <c r="AI456" s="36"/>
      <c r="AJ456" s="36"/>
    </row>
    <row r="457" spans="1:36">
      <c r="A457" s="43">
        <v>454</v>
      </c>
      <c r="B457" s="62">
        <f ca="1">IF(controls!$B$6=2,AVERAGE(E453:E456)+B456*W457+hystere!$AG$9,AVERAGE(E453:E456)+B456*W457)</f>
        <v>1.1000000000000001</v>
      </c>
      <c r="C457" s="67">
        <f t="shared" ca="1" si="43"/>
        <v>0</v>
      </c>
      <c r="D457" s="88">
        <f t="shared" ca="1" si="44"/>
        <v>-1</v>
      </c>
      <c r="E457" s="64">
        <f t="shared" ca="1" si="45"/>
        <v>0.1</v>
      </c>
      <c r="F457" s="64">
        <f ca="1">IF('main page'!$K$34=1,hystere!H457,hystere!G457)</f>
        <v>-1285.5</v>
      </c>
      <c r="G457" s="78">
        <f ca="1">I457-'main page'!$K$27*hystere!N456</f>
        <v>-1285.5</v>
      </c>
      <c r="H457" s="62">
        <f ca="1">J457-'main page'!$K$27*N456</f>
        <v>-1285.5</v>
      </c>
      <c r="I457" s="62">
        <f t="shared" ca="1" si="40"/>
        <v>108</v>
      </c>
      <c r="J457" s="62">
        <f t="shared" ca="1" si="41"/>
        <v>108</v>
      </c>
      <c r="M457" s="62">
        <f ca="1">IF(ABS('main page'!$K$29*M456+(1-'main page'!$K$29)*(controls!$B$9/100)*100+'main page'!$K$25*(E457-B457)-M456)&lt;0.0000001,M456,'main page'!$K$29*M456+(1-'main page'!$K$29)*(controls!$B$9/100)*100+'main page'!$K$25*(E457-B457))</f>
        <v>-697.75</v>
      </c>
      <c r="N457" s="62">
        <f ca="1">IF(controls!$B$10=1,N456,O457-'main page'!$K$29*M457-(1-'main page'!$K$29)*controls!$B$9)</f>
        <v>697.75</v>
      </c>
      <c r="O457" s="61">
        <f t="shared" ca="1" si="42"/>
        <v>0</v>
      </c>
      <c r="P457" s="63">
        <f ca="1">IF(controls!$B$10=1,hystere!N457+hystere!M457,hystere!Q457)</f>
        <v>-819.23749999999995</v>
      </c>
      <c r="Q457" s="61">
        <f ca="1">IF('main page'!$Y$53=1,'choose m.p.'!$I$22*100,R457)</f>
        <v>-819.23749999999995</v>
      </c>
      <c r="R457" s="83">
        <f ca="1">'main page'!$K$29*M457+(1-'main page'!$K$29)*controls!$B$9+S457+(('main page'!$K$25*'main page'!$U$13*'main page'!$K$29)/('main page'!$K$27*(1+('main page'!$K$25^2)*'main page'!$U$13)))*(M457-(controls!$B$9/100)*100)</f>
        <v>-819.23749999999995</v>
      </c>
      <c r="S457" s="81">
        <f ca="1">IF(controls!$B$33=1,(J458-E457*X458-B457)/'main page'!$K$27,(I458-E457*X458-B457)/'main page'!$K$27)</f>
        <v>53.45</v>
      </c>
      <c r="U457" s="58">
        <f>IF(controls!$B$6=1,$AG$4*(1+('main page'!$K$35/100))^V457-$AG$4*(1+('main page'!$K$35/100))^V456,$AG$4*(1+('main page'!$G$8/100))*(1+('main page'!$K$35/100))^V457-$AG$4*(1+('main page'!$G$8/100))*(1+('main page'!$K$35/100))^V456)</f>
        <v>0</v>
      </c>
      <c r="V457" s="60">
        <v>449</v>
      </c>
      <c r="W457" s="36">
        <f>'normal case'!AC456</f>
        <v>0</v>
      </c>
      <c r="X457" s="36">
        <f>'normal case'!AD456</f>
        <v>0</v>
      </c>
      <c r="Y457" s="44">
        <f ca="1">IF(controls!$B$33=1,E457-($J$4-'main page'!$K$27*2)*(1+('main page'!$K$35/100))^A456,E457-$AG$5)</f>
        <v>-99.9</v>
      </c>
      <c r="Z457" s="44">
        <f ca="1">ABS(M457-(controls!$B$9/100)*100)</f>
        <v>699.75</v>
      </c>
      <c r="AI457" s="36"/>
      <c r="AJ457" s="36"/>
    </row>
    <row r="458" spans="1:36">
      <c r="A458" s="43">
        <v>455</v>
      </c>
      <c r="B458" s="62">
        <f ca="1">IF(controls!$B$6=2,AVERAGE(E454:E457)+B457*W458+hystere!$AG$9,AVERAGE(E454:E457)+B457*W458)</f>
        <v>1.1000000000000001</v>
      </c>
      <c r="C458" s="67">
        <f t="shared" ca="1" si="43"/>
        <v>0</v>
      </c>
      <c r="D458" s="88">
        <f t="shared" ca="1" si="44"/>
        <v>-1</v>
      </c>
      <c r="E458" s="64">
        <f t="shared" ca="1" si="45"/>
        <v>0.1</v>
      </c>
      <c r="F458" s="64">
        <f ca="1">IF('main page'!$K$34=1,hystere!H458,hystere!G458)</f>
        <v>-1287.5</v>
      </c>
      <c r="G458" s="78">
        <f ca="1">I458-'main page'!$K$27*hystere!N457</f>
        <v>-1287.5</v>
      </c>
      <c r="H458" s="62">
        <f ca="1">J458-'main page'!$K$27*N457</f>
        <v>-1287.5</v>
      </c>
      <c r="I458" s="62">
        <f t="shared" ca="1" si="40"/>
        <v>108</v>
      </c>
      <c r="J458" s="62">
        <f t="shared" ca="1" si="41"/>
        <v>108</v>
      </c>
      <c r="M458" s="62">
        <f ca="1">IF(ABS('main page'!$K$29*M457+(1-'main page'!$K$29)*(controls!$B$9/100)*100+'main page'!$K$25*(E458-B458)-M457)&lt;0.0000001,M457,'main page'!$K$29*M457+(1-'main page'!$K$29)*(controls!$B$9/100)*100+'main page'!$K$25*(E458-B458))</f>
        <v>-698.75</v>
      </c>
      <c r="N458" s="62">
        <f ca="1">IF(controls!$B$10=1,N457,O458-'main page'!$K$29*M458-(1-'main page'!$K$29)*controls!$B$9)</f>
        <v>698.75</v>
      </c>
      <c r="O458" s="61">
        <f t="shared" ca="1" si="42"/>
        <v>0</v>
      </c>
      <c r="P458" s="63">
        <f ca="1">IF(controls!$B$10=1,hystere!N458+hystere!M458,hystere!Q458)</f>
        <v>-820.48749999999995</v>
      </c>
      <c r="Q458" s="61">
        <f ca="1">IF('main page'!$Y$53=1,'choose m.p.'!$I$22*100,R458)</f>
        <v>-820.48749999999995</v>
      </c>
      <c r="R458" s="83">
        <f ca="1">'main page'!$K$29*M458+(1-'main page'!$K$29)*controls!$B$9+S458+(('main page'!$K$25*'main page'!$U$13*'main page'!$K$29)/('main page'!$K$27*(1+('main page'!$K$25^2)*'main page'!$U$13)))*(M458-(controls!$B$9/100)*100)</f>
        <v>-820.48749999999995</v>
      </c>
      <c r="S458" s="81">
        <f ca="1">IF(controls!$B$33=1,(J459-E458*X459-B458)/'main page'!$K$27,(I459-E458*X459-B458)/'main page'!$K$27)</f>
        <v>53.45</v>
      </c>
      <c r="U458" s="58">
        <f>IF(controls!$B$6=1,$AG$4*(1+('main page'!$K$35/100))^V458-$AG$4*(1+('main page'!$K$35/100))^V457,$AG$4*(1+('main page'!$G$8/100))*(1+('main page'!$K$35/100))^V458-$AG$4*(1+('main page'!$G$8/100))*(1+('main page'!$K$35/100))^V457)</f>
        <v>0</v>
      </c>
      <c r="V458" s="60">
        <v>450</v>
      </c>
      <c r="W458" s="36">
        <f>'normal case'!AC457</f>
        <v>0</v>
      </c>
      <c r="X458" s="36">
        <f>'normal case'!AD457</f>
        <v>0</v>
      </c>
      <c r="Y458" s="44">
        <f ca="1">IF(controls!$B$33=1,E458-($J$4-'main page'!$K$27*2)*(1+('main page'!$K$35/100))^A457,E458-$AG$5)</f>
        <v>-99.9</v>
      </c>
      <c r="Z458" s="44">
        <f ca="1">ABS(M458-(controls!$B$9/100)*100)</f>
        <v>700.75</v>
      </c>
      <c r="AI458" s="36"/>
      <c r="AJ458" s="36"/>
    </row>
    <row r="459" spans="1:36">
      <c r="A459" s="43">
        <v>456</v>
      </c>
      <c r="B459" s="62">
        <f ca="1">IF(controls!$B$6=2,AVERAGE(E455:E458)+B458*W459+hystere!$AG$9,AVERAGE(E455:E458)+B458*W459)</f>
        <v>1.1000000000000001</v>
      </c>
      <c r="C459" s="67">
        <f t="shared" ca="1" si="43"/>
        <v>0</v>
      </c>
      <c r="D459" s="88">
        <f t="shared" ca="1" si="44"/>
        <v>-1</v>
      </c>
      <c r="E459" s="64">
        <f t="shared" ca="1" si="45"/>
        <v>0.1</v>
      </c>
      <c r="F459" s="64">
        <f ca="1">IF('main page'!$K$34=1,hystere!H459,hystere!G459)</f>
        <v>-1289.5</v>
      </c>
      <c r="G459" s="78">
        <f ca="1">I459-'main page'!$K$27*hystere!N458</f>
        <v>-1289.5</v>
      </c>
      <c r="H459" s="62">
        <f ca="1">J459-'main page'!$K$27*N458</f>
        <v>-1289.5</v>
      </c>
      <c r="I459" s="62">
        <f t="shared" ca="1" si="40"/>
        <v>108</v>
      </c>
      <c r="J459" s="62">
        <f t="shared" ca="1" si="41"/>
        <v>108</v>
      </c>
      <c r="M459" s="62">
        <f ca="1">IF(ABS('main page'!$K$29*M458+(1-'main page'!$K$29)*(controls!$B$9/100)*100+'main page'!$K$25*(E459-B459)-M458)&lt;0.0000001,M458,'main page'!$K$29*M458+(1-'main page'!$K$29)*(controls!$B$9/100)*100+'main page'!$K$25*(E459-B459))</f>
        <v>-699.75</v>
      </c>
      <c r="N459" s="62">
        <f ca="1">IF(controls!$B$10=1,N458,O459-'main page'!$K$29*M459-(1-'main page'!$K$29)*controls!$B$9)</f>
        <v>699.75</v>
      </c>
      <c r="O459" s="61">
        <f t="shared" ca="1" si="42"/>
        <v>0</v>
      </c>
      <c r="P459" s="63">
        <f ca="1">IF(controls!$B$10=1,hystere!N459+hystere!M459,hystere!Q459)</f>
        <v>-821.73749999999995</v>
      </c>
      <c r="Q459" s="61">
        <f ca="1">IF('main page'!$Y$53=1,'choose m.p.'!$I$22*100,R459)</f>
        <v>-821.73749999999995</v>
      </c>
      <c r="R459" s="83">
        <f ca="1">'main page'!$K$29*M459+(1-'main page'!$K$29)*controls!$B$9+S459+(('main page'!$K$25*'main page'!$U$13*'main page'!$K$29)/('main page'!$K$27*(1+('main page'!$K$25^2)*'main page'!$U$13)))*(M459-(controls!$B$9/100)*100)</f>
        <v>-821.73749999999995</v>
      </c>
      <c r="S459" s="81">
        <f ca="1">IF(controls!$B$33=1,(J460-E459*X460-B459)/'main page'!$K$27,(I460-E459*X460-B459)/'main page'!$K$27)</f>
        <v>53.45</v>
      </c>
      <c r="U459" s="58">
        <f>IF(controls!$B$6=1,$AG$4*(1+('main page'!$K$35/100))^V459-$AG$4*(1+('main page'!$K$35/100))^V458,$AG$4*(1+('main page'!$G$8/100))*(1+('main page'!$K$35/100))^V459-$AG$4*(1+('main page'!$G$8/100))*(1+('main page'!$K$35/100))^V458)</f>
        <v>0</v>
      </c>
      <c r="V459" s="60">
        <v>451</v>
      </c>
      <c r="W459" s="36">
        <f ca="1">'normal case'!AC458</f>
        <v>0</v>
      </c>
      <c r="X459" s="36">
        <f ca="1">'normal case'!AD458</f>
        <v>0</v>
      </c>
      <c r="Y459" s="44">
        <f ca="1">IF(controls!$B$33=1,E459-($J$4-'main page'!$K$27*2)*(1+('main page'!$K$35/100))^A458,E459-$AG$5)</f>
        <v>-99.9</v>
      </c>
      <c r="Z459" s="44">
        <f ca="1">ABS(M459-(controls!$B$9/100)*100)</f>
        <v>701.75</v>
      </c>
      <c r="AI459" s="36"/>
      <c r="AJ459" s="36"/>
    </row>
    <row r="460" spans="1:36">
      <c r="A460" s="43">
        <v>457</v>
      </c>
      <c r="B460" s="62">
        <f ca="1">IF(controls!$B$6=2,AVERAGE(E456:E459)+B459*W460+hystere!$AG$9,AVERAGE(E456:E459)+B459*W460)</f>
        <v>1.1000000000000001</v>
      </c>
      <c r="C460" s="67">
        <f t="shared" ca="1" si="43"/>
        <v>0</v>
      </c>
      <c r="D460" s="88">
        <f t="shared" ca="1" si="44"/>
        <v>-1</v>
      </c>
      <c r="E460" s="64">
        <f t="shared" ca="1" si="45"/>
        <v>0.1</v>
      </c>
      <c r="F460" s="64">
        <f ca="1">IF('main page'!$K$34=1,hystere!H460,hystere!G460)</f>
        <v>-1291.5</v>
      </c>
      <c r="G460" s="78">
        <f ca="1">I460-'main page'!$K$27*hystere!N459</f>
        <v>-1291.5</v>
      </c>
      <c r="H460" s="62">
        <f ca="1">J460-'main page'!$K$27*N459</f>
        <v>-1291.5</v>
      </c>
      <c r="I460" s="62">
        <f t="shared" ca="1" si="40"/>
        <v>108</v>
      </c>
      <c r="J460" s="62">
        <f t="shared" ca="1" si="41"/>
        <v>108</v>
      </c>
      <c r="M460" s="62">
        <f ca="1">IF(ABS('main page'!$K$29*M459+(1-'main page'!$K$29)*(controls!$B$9/100)*100+'main page'!$K$25*(E460-B460)-M459)&lt;0.0000001,M459,'main page'!$K$29*M459+(1-'main page'!$K$29)*(controls!$B$9/100)*100+'main page'!$K$25*(E460-B460))</f>
        <v>-700.75</v>
      </c>
      <c r="N460" s="62">
        <f ca="1">IF(controls!$B$10=1,N459,O460-'main page'!$K$29*M460-(1-'main page'!$K$29)*controls!$B$9)</f>
        <v>700.75</v>
      </c>
      <c r="O460" s="61">
        <f t="shared" ca="1" si="42"/>
        <v>0</v>
      </c>
      <c r="P460" s="63">
        <f ca="1">IF(controls!$B$10=1,hystere!N460+hystere!M460,hystere!Q460)</f>
        <v>-822.98749999999995</v>
      </c>
      <c r="Q460" s="61">
        <f ca="1">IF('main page'!$Y$53=1,'choose m.p.'!$I$22*100,R460)</f>
        <v>-822.98749999999995</v>
      </c>
      <c r="R460" s="83">
        <f ca="1">'main page'!$K$29*M460+(1-'main page'!$K$29)*controls!$B$9+S460+(('main page'!$K$25*'main page'!$U$13*'main page'!$K$29)/('main page'!$K$27*(1+('main page'!$K$25^2)*'main page'!$U$13)))*(M460-(controls!$B$9/100)*100)</f>
        <v>-822.98749999999995</v>
      </c>
      <c r="S460" s="81">
        <f ca="1">IF(controls!$B$33=1,(J461-E460*X461-B460)/'main page'!$K$27,(I461-E460*X461-B460)/'main page'!$K$27)</f>
        <v>53.45</v>
      </c>
      <c r="U460" s="58">
        <f>IF(controls!$B$6=1,$AG$4*(1+('main page'!$K$35/100))^V460-$AG$4*(1+('main page'!$K$35/100))^V459,$AG$4*(1+('main page'!$G$8/100))*(1+('main page'!$K$35/100))^V460-$AG$4*(1+('main page'!$G$8/100))*(1+('main page'!$K$35/100))^V459)</f>
        <v>0</v>
      </c>
      <c r="V460" s="60">
        <v>452</v>
      </c>
      <c r="W460" s="36">
        <f>'normal case'!AC459</f>
        <v>0</v>
      </c>
      <c r="X460" s="36">
        <f>'normal case'!AD459</f>
        <v>0</v>
      </c>
      <c r="Y460" s="44">
        <f ca="1">IF(controls!$B$33=1,E460-($J$4-'main page'!$K$27*2)*(1+('main page'!$K$35/100))^A459,E460-$AG$5)</f>
        <v>-99.9</v>
      </c>
      <c r="Z460" s="44">
        <f ca="1">ABS(M460-(controls!$B$9/100)*100)</f>
        <v>702.75</v>
      </c>
      <c r="AI460" s="36"/>
      <c r="AJ460" s="36"/>
    </row>
    <row r="461" spans="1:36">
      <c r="A461" s="43">
        <v>458</v>
      </c>
      <c r="B461" s="62">
        <f ca="1">IF(controls!$B$6=2,AVERAGE(E457:E460)+B460*W461+hystere!$AG$9,AVERAGE(E457:E460)+B460*W461)</f>
        <v>1.1000000000000001</v>
      </c>
      <c r="C461" s="67">
        <f t="shared" ca="1" si="43"/>
        <v>0</v>
      </c>
      <c r="D461" s="88">
        <f t="shared" ca="1" si="44"/>
        <v>-1</v>
      </c>
      <c r="E461" s="64">
        <f t="shared" ca="1" si="45"/>
        <v>0.1</v>
      </c>
      <c r="F461" s="64">
        <f ca="1">IF('main page'!$K$34=1,hystere!H461,hystere!G461)</f>
        <v>-1293.5</v>
      </c>
      <c r="G461" s="78">
        <f ca="1">I461-'main page'!$K$27*hystere!N460</f>
        <v>-1293.5</v>
      </c>
      <c r="H461" s="62">
        <f ca="1">J461-'main page'!$K$27*N460</f>
        <v>-1293.5</v>
      </c>
      <c r="I461" s="62">
        <f t="shared" ca="1" si="40"/>
        <v>108</v>
      </c>
      <c r="J461" s="62">
        <f t="shared" ca="1" si="41"/>
        <v>108</v>
      </c>
      <c r="M461" s="62">
        <f ca="1">IF(ABS('main page'!$K$29*M460+(1-'main page'!$K$29)*(controls!$B$9/100)*100+'main page'!$K$25*(E461-B461)-M460)&lt;0.0000001,M460,'main page'!$K$29*M460+(1-'main page'!$K$29)*(controls!$B$9/100)*100+'main page'!$K$25*(E461-B461))</f>
        <v>-701.75</v>
      </c>
      <c r="N461" s="62">
        <f ca="1">IF(controls!$B$10=1,N460,O461-'main page'!$K$29*M461-(1-'main page'!$K$29)*controls!$B$9)</f>
        <v>701.75</v>
      </c>
      <c r="O461" s="61">
        <f t="shared" ca="1" si="42"/>
        <v>0</v>
      </c>
      <c r="P461" s="63">
        <f ca="1">IF(controls!$B$10=1,hystere!N461+hystere!M461,hystere!Q461)</f>
        <v>-824.23749999999995</v>
      </c>
      <c r="Q461" s="61">
        <f ca="1">IF('main page'!$Y$53=1,'choose m.p.'!$I$22*100,R461)</f>
        <v>-824.23749999999995</v>
      </c>
      <c r="R461" s="83">
        <f ca="1">'main page'!$K$29*M461+(1-'main page'!$K$29)*controls!$B$9+S461+(('main page'!$K$25*'main page'!$U$13*'main page'!$K$29)/('main page'!$K$27*(1+('main page'!$K$25^2)*'main page'!$U$13)))*(M461-(controls!$B$9/100)*100)</f>
        <v>-824.23749999999995</v>
      </c>
      <c r="S461" s="81">
        <f ca="1">IF(controls!$B$33=1,(J462-E461*X462-B461)/'main page'!$K$27,(I462-E461*X462-B461)/'main page'!$K$27)</f>
        <v>53.45</v>
      </c>
      <c r="U461" s="58">
        <f>IF(controls!$B$6=1,$AG$4*(1+('main page'!$K$35/100))^V461-$AG$4*(1+('main page'!$K$35/100))^V460,$AG$4*(1+('main page'!$G$8/100))*(1+('main page'!$K$35/100))^V461-$AG$4*(1+('main page'!$G$8/100))*(1+('main page'!$K$35/100))^V460)</f>
        <v>0</v>
      </c>
      <c r="V461" s="60">
        <v>453</v>
      </c>
      <c r="W461" s="36">
        <f>'normal case'!AC460</f>
        <v>0</v>
      </c>
      <c r="X461" s="36">
        <f>'normal case'!AD460</f>
        <v>0</v>
      </c>
      <c r="Y461" s="44">
        <f ca="1">IF(controls!$B$33=1,E461-($J$4-'main page'!$K$27*2)*(1+('main page'!$K$35/100))^A460,E461-$AG$5)</f>
        <v>-99.9</v>
      </c>
      <c r="Z461" s="44">
        <f ca="1">ABS(M461-(controls!$B$9/100)*100)</f>
        <v>703.75</v>
      </c>
      <c r="AI461" s="36"/>
      <c r="AJ461" s="36"/>
    </row>
    <row r="462" spans="1:36">
      <c r="A462" s="43">
        <v>459</v>
      </c>
      <c r="B462" s="62">
        <f ca="1">IF(controls!$B$6=2,AVERAGE(E458:E461)+B461*W462+hystere!$AG$9,AVERAGE(E458:E461)+B461*W462)</f>
        <v>1.1000000000000001</v>
      </c>
      <c r="C462" s="67">
        <f t="shared" ca="1" si="43"/>
        <v>0</v>
      </c>
      <c r="D462" s="88">
        <f t="shared" ca="1" si="44"/>
        <v>-1</v>
      </c>
      <c r="E462" s="64">
        <f t="shared" ca="1" si="45"/>
        <v>0.1</v>
      </c>
      <c r="F462" s="64">
        <f ca="1">IF('main page'!$K$34=1,hystere!H462,hystere!G462)</f>
        <v>-1295.5</v>
      </c>
      <c r="G462" s="78">
        <f ca="1">I462-'main page'!$K$27*hystere!N461</f>
        <v>-1295.5</v>
      </c>
      <c r="H462" s="62">
        <f ca="1">J462-'main page'!$K$27*N461</f>
        <v>-1295.5</v>
      </c>
      <c r="I462" s="62">
        <f t="shared" ca="1" si="40"/>
        <v>108</v>
      </c>
      <c r="J462" s="62">
        <f t="shared" ca="1" si="41"/>
        <v>108</v>
      </c>
      <c r="M462" s="62">
        <f ca="1">IF(ABS('main page'!$K$29*M461+(1-'main page'!$K$29)*(controls!$B$9/100)*100+'main page'!$K$25*(E462-B462)-M461)&lt;0.0000001,M461,'main page'!$K$29*M461+(1-'main page'!$K$29)*(controls!$B$9/100)*100+'main page'!$K$25*(E462-B462))</f>
        <v>-702.75</v>
      </c>
      <c r="N462" s="62">
        <f ca="1">IF(controls!$B$10=1,N461,O462-'main page'!$K$29*M462-(1-'main page'!$K$29)*controls!$B$9)</f>
        <v>702.75</v>
      </c>
      <c r="O462" s="61">
        <f t="shared" ca="1" si="42"/>
        <v>0</v>
      </c>
      <c r="P462" s="63">
        <f ca="1">IF(controls!$B$10=1,hystere!N462+hystere!M462,hystere!Q462)</f>
        <v>-825.48749999999995</v>
      </c>
      <c r="Q462" s="61">
        <f ca="1">IF('main page'!$Y$53=1,'choose m.p.'!$I$22*100,R462)</f>
        <v>-825.48749999999995</v>
      </c>
      <c r="R462" s="83">
        <f ca="1">'main page'!$K$29*M462+(1-'main page'!$K$29)*controls!$B$9+S462+(('main page'!$K$25*'main page'!$U$13*'main page'!$K$29)/('main page'!$K$27*(1+('main page'!$K$25^2)*'main page'!$U$13)))*(M462-(controls!$B$9/100)*100)</f>
        <v>-825.48749999999995</v>
      </c>
      <c r="S462" s="81">
        <f ca="1">IF(controls!$B$33=1,(J463-E462*X463-B462)/'main page'!$K$27,(I463-E462*X463-B462)/'main page'!$K$27)</f>
        <v>53.45</v>
      </c>
      <c r="U462" s="58">
        <f>IF(controls!$B$6=1,$AG$4*(1+('main page'!$K$35/100))^V462-$AG$4*(1+('main page'!$K$35/100))^V461,$AG$4*(1+('main page'!$G$8/100))*(1+('main page'!$K$35/100))^V462-$AG$4*(1+('main page'!$G$8/100))*(1+('main page'!$K$35/100))^V461)</f>
        <v>0</v>
      </c>
      <c r="V462" s="60">
        <v>454</v>
      </c>
      <c r="W462" s="36">
        <f ca="1">'normal case'!AC461</f>
        <v>0</v>
      </c>
      <c r="X462" s="36">
        <f ca="1">'normal case'!AD461</f>
        <v>0</v>
      </c>
      <c r="Y462" s="44">
        <f ca="1">IF(controls!$B$33=1,E462-($J$4-'main page'!$K$27*2)*(1+('main page'!$K$35/100))^A461,E462-$AG$5)</f>
        <v>-99.9</v>
      </c>
      <c r="Z462" s="44">
        <f ca="1">ABS(M462-(controls!$B$9/100)*100)</f>
        <v>704.75</v>
      </c>
      <c r="AI462" s="36"/>
      <c r="AJ462" s="36"/>
    </row>
    <row r="463" spans="1:36">
      <c r="A463" s="43">
        <v>460</v>
      </c>
      <c r="B463" s="62">
        <f ca="1">IF(controls!$B$6=2,AVERAGE(E459:E462)+B462*W463+hystere!$AG$9,AVERAGE(E459:E462)+B462*W463)</f>
        <v>1.1000000000000001</v>
      </c>
      <c r="C463" s="67">
        <f t="shared" ca="1" si="43"/>
        <v>0</v>
      </c>
      <c r="D463" s="88">
        <f t="shared" ca="1" si="44"/>
        <v>-1</v>
      </c>
      <c r="E463" s="64">
        <f t="shared" ca="1" si="45"/>
        <v>0.1</v>
      </c>
      <c r="F463" s="64">
        <f ca="1">IF('main page'!$K$34=1,hystere!H463,hystere!G463)</f>
        <v>-1297.5</v>
      </c>
      <c r="G463" s="78">
        <f ca="1">I463-'main page'!$K$27*hystere!N462</f>
        <v>-1297.5</v>
      </c>
      <c r="H463" s="62">
        <f ca="1">J463-'main page'!$K$27*N462</f>
        <v>-1297.5</v>
      </c>
      <c r="I463" s="62">
        <f t="shared" ca="1" si="40"/>
        <v>108</v>
      </c>
      <c r="J463" s="62">
        <f t="shared" ca="1" si="41"/>
        <v>108</v>
      </c>
      <c r="M463" s="62">
        <f ca="1">IF(ABS('main page'!$K$29*M462+(1-'main page'!$K$29)*(controls!$B$9/100)*100+'main page'!$K$25*(E463-B463)-M462)&lt;0.0000001,M462,'main page'!$K$29*M462+(1-'main page'!$K$29)*(controls!$B$9/100)*100+'main page'!$K$25*(E463-B463))</f>
        <v>-703.75</v>
      </c>
      <c r="N463" s="62">
        <f ca="1">IF(controls!$B$10=1,N462,O463-'main page'!$K$29*M463-(1-'main page'!$K$29)*controls!$B$9)</f>
        <v>703.75</v>
      </c>
      <c r="O463" s="61">
        <f t="shared" ca="1" si="42"/>
        <v>0</v>
      </c>
      <c r="P463" s="63">
        <f ca="1">IF(controls!$B$10=1,hystere!N463+hystere!M463,hystere!Q463)</f>
        <v>-826.73749999999995</v>
      </c>
      <c r="Q463" s="61">
        <f ca="1">IF('main page'!$Y$53=1,'choose m.p.'!$I$22*100,R463)</f>
        <v>-826.73749999999995</v>
      </c>
      <c r="R463" s="83">
        <f ca="1">'main page'!$K$29*M463+(1-'main page'!$K$29)*controls!$B$9+S463+(('main page'!$K$25*'main page'!$U$13*'main page'!$K$29)/('main page'!$K$27*(1+('main page'!$K$25^2)*'main page'!$U$13)))*(M463-(controls!$B$9/100)*100)</f>
        <v>-826.73749999999995</v>
      </c>
      <c r="S463" s="81">
        <f ca="1">IF(controls!$B$33=1,(J464-E463*X464-B463)/'main page'!$K$27,(I464-E463*X464-B463)/'main page'!$K$27)</f>
        <v>53.45</v>
      </c>
      <c r="U463" s="58">
        <f>IF(controls!$B$6=1,$AG$4*(1+('main page'!$K$35/100))^V463-$AG$4*(1+('main page'!$K$35/100))^V462,$AG$4*(1+('main page'!$G$8/100))*(1+('main page'!$K$35/100))^V463-$AG$4*(1+('main page'!$G$8/100))*(1+('main page'!$K$35/100))^V462)</f>
        <v>0</v>
      </c>
      <c r="V463" s="60">
        <v>455</v>
      </c>
      <c r="W463" s="36">
        <f>'normal case'!AC462</f>
        <v>0</v>
      </c>
      <c r="X463" s="36">
        <f>'normal case'!AD462</f>
        <v>0</v>
      </c>
      <c r="Y463" s="44">
        <f ca="1">IF(controls!$B$33=1,E463-($J$4-'main page'!$K$27*2)*(1+('main page'!$K$35/100))^A462,E463-$AG$5)</f>
        <v>-99.9</v>
      </c>
      <c r="Z463" s="44">
        <f ca="1">ABS(M463-(controls!$B$9/100)*100)</f>
        <v>705.75</v>
      </c>
      <c r="AI463" s="36"/>
      <c r="AJ463" s="36"/>
    </row>
    <row r="464" spans="1:36">
      <c r="A464" s="43">
        <v>461</v>
      </c>
      <c r="B464" s="62">
        <f ca="1">IF(controls!$B$6=2,AVERAGE(E460:E463)+B463*W464+hystere!$AG$9,AVERAGE(E460:E463)+B463*W464)</f>
        <v>1.1000000000000001</v>
      </c>
      <c r="C464" s="67">
        <f t="shared" ca="1" si="43"/>
        <v>0</v>
      </c>
      <c r="D464" s="88">
        <f t="shared" ca="1" si="44"/>
        <v>-1</v>
      </c>
      <c r="E464" s="64">
        <f t="shared" ca="1" si="45"/>
        <v>0.1</v>
      </c>
      <c r="F464" s="64">
        <f ca="1">IF('main page'!$K$34=1,hystere!H464,hystere!G464)</f>
        <v>-1299.5</v>
      </c>
      <c r="G464" s="78">
        <f ca="1">I464-'main page'!$K$27*hystere!N463</f>
        <v>-1299.5</v>
      </c>
      <c r="H464" s="62">
        <f ca="1">J464-'main page'!$K$27*N463</f>
        <v>-1299.5</v>
      </c>
      <c r="I464" s="62">
        <f t="shared" ca="1" si="40"/>
        <v>108</v>
      </c>
      <c r="J464" s="62">
        <f t="shared" ca="1" si="41"/>
        <v>108</v>
      </c>
      <c r="M464" s="62">
        <f ca="1">IF(ABS('main page'!$K$29*M463+(1-'main page'!$K$29)*(controls!$B$9/100)*100+'main page'!$K$25*(E464-B464)-M463)&lt;0.0000001,M463,'main page'!$K$29*M463+(1-'main page'!$K$29)*(controls!$B$9/100)*100+'main page'!$K$25*(E464-B464))</f>
        <v>-704.75</v>
      </c>
      <c r="N464" s="62">
        <f ca="1">IF(controls!$B$10=1,N463,O464-'main page'!$K$29*M464-(1-'main page'!$K$29)*controls!$B$9)</f>
        <v>704.75</v>
      </c>
      <c r="O464" s="61">
        <f t="shared" ca="1" si="42"/>
        <v>0</v>
      </c>
      <c r="P464" s="63">
        <f ca="1">IF(controls!$B$10=1,hystere!N464+hystere!M464,hystere!Q464)</f>
        <v>-827.98749999999995</v>
      </c>
      <c r="Q464" s="61">
        <f ca="1">IF('main page'!$Y$53=1,'choose m.p.'!$I$22*100,R464)</f>
        <v>-827.98749999999995</v>
      </c>
      <c r="R464" s="83">
        <f ca="1">'main page'!$K$29*M464+(1-'main page'!$K$29)*controls!$B$9+S464+(('main page'!$K$25*'main page'!$U$13*'main page'!$K$29)/('main page'!$K$27*(1+('main page'!$K$25^2)*'main page'!$U$13)))*(M464-(controls!$B$9/100)*100)</f>
        <v>-827.98749999999995</v>
      </c>
      <c r="S464" s="81">
        <f ca="1">IF(controls!$B$33=1,(J465-E464*X465-B464)/'main page'!$K$27,(I465-E464*X465-B464)/'main page'!$K$27)</f>
        <v>53.45</v>
      </c>
      <c r="U464" s="58">
        <f>IF(controls!$B$6=1,$AG$4*(1+('main page'!$K$35/100))^V464-$AG$4*(1+('main page'!$K$35/100))^V463,$AG$4*(1+('main page'!$G$8/100))*(1+('main page'!$K$35/100))^V464-$AG$4*(1+('main page'!$G$8/100))*(1+('main page'!$K$35/100))^V463)</f>
        <v>0</v>
      </c>
      <c r="V464" s="60">
        <v>456</v>
      </c>
      <c r="W464" s="36">
        <f>'normal case'!AC463</f>
        <v>0</v>
      </c>
      <c r="X464" s="36">
        <f>'normal case'!AD463</f>
        <v>0</v>
      </c>
      <c r="Y464" s="44">
        <f ca="1">IF(controls!$B$33=1,E464-($J$4-'main page'!$K$27*2)*(1+('main page'!$K$35/100))^A463,E464-$AG$5)</f>
        <v>-99.9</v>
      </c>
      <c r="Z464" s="44">
        <f ca="1">ABS(M464-(controls!$B$9/100)*100)</f>
        <v>706.75</v>
      </c>
      <c r="AI464" s="36"/>
      <c r="AJ464" s="36"/>
    </row>
    <row r="465" spans="1:36">
      <c r="A465" s="43">
        <v>462</v>
      </c>
      <c r="B465" s="62">
        <f ca="1">IF(controls!$B$6=2,AVERAGE(E461:E464)+B464*W465+hystere!$AG$9,AVERAGE(E461:E464)+B464*W465)</f>
        <v>1.1000000000000001</v>
      </c>
      <c r="C465" s="67">
        <f t="shared" ca="1" si="43"/>
        <v>0</v>
      </c>
      <c r="D465" s="88">
        <f t="shared" ca="1" si="44"/>
        <v>-1</v>
      </c>
      <c r="E465" s="64">
        <f t="shared" ca="1" si="45"/>
        <v>0.1</v>
      </c>
      <c r="F465" s="64">
        <f ca="1">IF('main page'!$K$34=1,hystere!H465,hystere!G465)</f>
        <v>-1301.5</v>
      </c>
      <c r="G465" s="78">
        <f ca="1">I465-'main page'!$K$27*hystere!N464</f>
        <v>-1301.5</v>
      </c>
      <c r="H465" s="62">
        <f ca="1">J465-'main page'!$K$27*N464</f>
        <v>-1301.5</v>
      </c>
      <c r="I465" s="62">
        <f t="shared" ca="1" si="40"/>
        <v>108</v>
      </c>
      <c r="J465" s="62">
        <f t="shared" ca="1" si="41"/>
        <v>108</v>
      </c>
      <c r="M465" s="62">
        <f ca="1">IF(ABS('main page'!$K$29*M464+(1-'main page'!$K$29)*(controls!$B$9/100)*100+'main page'!$K$25*(E465-B465)-M464)&lt;0.0000001,M464,'main page'!$K$29*M464+(1-'main page'!$K$29)*(controls!$B$9/100)*100+'main page'!$K$25*(E465-B465))</f>
        <v>-705.75</v>
      </c>
      <c r="N465" s="62">
        <f ca="1">IF(controls!$B$10=1,N464,O465-'main page'!$K$29*M465-(1-'main page'!$K$29)*controls!$B$9)</f>
        <v>705.75</v>
      </c>
      <c r="O465" s="61">
        <f t="shared" ca="1" si="42"/>
        <v>0</v>
      </c>
      <c r="P465" s="63">
        <f ca="1">IF(controls!$B$10=1,hystere!N465+hystere!M465,hystere!Q465)</f>
        <v>-829.23749999999995</v>
      </c>
      <c r="Q465" s="61">
        <f ca="1">IF('main page'!$Y$53=1,'choose m.p.'!$I$22*100,R465)</f>
        <v>-829.23749999999995</v>
      </c>
      <c r="R465" s="83">
        <f ca="1">'main page'!$K$29*M465+(1-'main page'!$K$29)*controls!$B$9+S465+(('main page'!$K$25*'main page'!$U$13*'main page'!$K$29)/('main page'!$K$27*(1+('main page'!$K$25^2)*'main page'!$U$13)))*(M465-(controls!$B$9/100)*100)</f>
        <v>-829.23749999999995</v>
      </c>
      <c r="S465" s="81">
        <f ca="1">IF(controls!$B$33=1,(J466-E465*X466-B465)/'main page'!$K$27,(I466-E465*X466-B465)/'main page'!$K$27)</f>
        <v>53.45</v>
      </c>
      <c r="U465" s="58">
        <f>IF(controls!$B$6=1,$AG$4*(1+('main page'!$K$35/100))^V465-$AG$4*(1+('main page'!$K$35/100))^V464,$AG$4*(1+('main page'!$G$8/100))*(1+('main page'!$K$35/100))^V465-$AG$4*(1+('main page'!$G$8/100))*(1+('main page'!$K$35/100))^V464)</f>
        <v>0</v>
      </c>
      <c r="V465" s="60">
        <v>457</v>
      </c>
      <c r="W465" s="36">
        <f ca="1">'normal case'!AC464</f>
        <v>0</v>
      </c>
      <c r="X465" s="36">
        <f ca="1">'normal case'!AD464</f>
        <v>0</v>
      </c>
      <c r="Y465" s="44">
        <f ca="1">IF(controls!$B$33=1,E465-($J$4-'main page'!$K$27*2)*(1+('main page'!$K$35/100))^A464,E465-$AG$5)</f>
        <v>-99.9</v>
      </c>
      <c r="Z465" s="44">
        <f ca="1">ABS(M465-(controls!$B$9/100)*100)</f>
        <v>707.75</v>
      </c>
      <c r="AI465" s="36"/>
      <c r="AJ465" s="36"/>
    </row>
    <row r="466" spans="1:36">
      <c r="A466" s="43">
        <v>463</v>
      </c>
      <c r="B466" s="62">
        <f ca="1">IF(controls!$B$6=2,AVERAGE(E462:E465)+B465*W466+hystere!$AG$9,AVERAGE(E462:E465)+B465*W466)</f>
        <v>1.1000000000000001</v>
      </c>
      <c r="C466" s="67">
        <f t="shared" ca="1" si="43"/>
        <v>0</v>
      </c>
      <c r="D466" s="88">
        <f t="shared" ca="1" si="44"/>
        <v>-1</v>
      </c>
      <c r="E466" s="64">
        <f t="shared" ca="1" si="45"/>
        <v>0.1</v>
      </c>
      <c r="F466" s="64">
        <f ca="1">IF('main page'!$K$34=1,hystere!H466,hystere!G466)</f>
        <v>-1303.5</v>
      </c>
      <c r="G466" s="78">
        <f ca="1">I466-'main page'!$K$27*hystere!N465</f>
        <v>-1303.5</v>
      </c>
      <c r="H466" s="62">
        <f ca="1">J466-'main page'!$K$27*N465</f>
        <v>-1303.5</v>
      </c>
      <c r="I466" s="62">
        <f t="shared" ca="1" si="40"/>
        <v>108</v>
      </c>
      <c r="J466" s="62">
        <f t="shared" ca="1" si="41"/>
        <v>108</v>
      </c>
      <c r="M466" s="62">
        <f ca="1">IF(ABS('main page'!$K$29*M465+(1-'main page'!$K$29)*(controls!$B$9/100)*100+'main page'!$K$25*(E466-B466)-M465)&lt;0.0000001,M465,'main page'!$K$29*M465+(1-'main page'!$K$29)*(controls!$B$9/100)*100+'main page'!$K$25*(E466-B466))</f>
        <v>-706.75</v>
      </c>
      <c r="N466" s="62">
        <f ca="1">IF(controls!$B$10=1,N465,O466-'main page'!$K$29*M466-(1-'main page'!$K$29)*controls!$B$9)</f>
        <v>706.75</v>
      </c>
      <c r="O466" s="61">
        <f t="shared" ca="1" si="42"/>
        <v>0</v>
      </c>
      <c r="P466" s="63">
        <f ca="1">IF(controls!$B$10=1,hystere!N466+hystere!M466,hystere!Q466)</f>
        <v>-830.48749999999995</v>
      </c>
      <c r="Q466" s="61">
        <f ca="1">IF('main page'!$Y$53=1,'choose m.p.'!$I$22*100,R466)</f>
        <v>-830.48749999999995</v>
      </c>
      <c r="R466" s="83">
        <f ca="1">'main page'!$K$29*M466+(1-'main page'!$K$29)*controls!$B$9+S466+(('main page'!$K$25*'main page'!$U$13*'main page'!$K$29)/('main page'!$K$27*(1+('main page'!$K$25^2)*'main page'!$U$13)))*(M466-(controls!$B$9/100)*100)</f>
        <v>-830.48749999999995</v>
      </c>
      <c r="S466" s="81">
        <f ca="1">IF(controls!$B$33=1,(J467-E466*X467-B466)/'main page'!$K$27,(I467-E466*X467-B466)/'main page'!$K$27)</f>
        <v>53.45</v>
      </c>
      <c r="U466" s="58">
        <f>IF(controls!$B$6=1,$AG$4*(1+('main page'!$K$35/100))^V466-$AG$4*(1+('main page'!$K$35/100))^V465,$AG$4*(1+('main page'!$G$8/100))*(1+('main page'!$K$35/100))^V466-$AG$4*(1+('main page'!$G$8/100))*(1+('main page'!$K$35/100))^V465)</f>
        <v>0</v>
      </c>
      <c r="V466" s="60">
        <v>458</v>
      </c>
      <c r="W466" s="36">
        <f>'normal case'!AC465</f>
        <v>0</v>
      </c>
      <c r="X466" s="36">
        <f>'normal case'!AD465</f>
        <v>0</v>
      </c>
      <c r="Y466" s="44">
        <f ca="1">IF(controls!$B$33=1,E466-($J$4-'main page'!$K$27*2)*(1+('main page'!$K$35/100))^A465,E466-$AG$5)</f>
        <v>-99.9</v>
      </c>
      <c r="Z466" s="44">
        <f ca="1">ABS(M466-(controls!$B$9/100)*100)</f>
        <v>708.75</v>
      </c>
      <c r="AI466" s="36"/>
      <c r="AJ466" s="36"/>
    </row>
    <row r="467" spans="1:36">
      <c r="A467" s="43">
        <v>464</v>
      </c>
      <c r="B467" s="62">
        <f ca="1">IF(controls!$B$6=2,AVERAGE(E463:E466)+B466*W467+hystere!$AG$9,AVERAGE(E463:E466)+B466*W467)</f>
        <v>1.1000000000000001</v>
      </c>
      <c r="C467" s="67">
        <f t="shared" ca="1" si="43"/>
        <v>0</v>
      </c>
      <c r="D467" s="88">
        <f t="shared" ca="1" si="44"/>
        <v>-1</v>
      </c>
      <c r="E467" s="64">
        <f t="shared" ca="1" si="45"/>
        <v>0.1</v>
      </c>
      <c r="F467" s="64">
        <f ca="1">IF('main page'!$K$34=1,hystere!H467,hystere!G467)</f>
        <v>-1305.5</v>
      </c>
      <c r="G467" s="78">
        <f ca="1">I467-'main page'!$K$27*hystere!N466</f>
        <v>-1305.5</v>
      </c>
      <c r="H467" s="62">
        <f ca="1">J467-'main page'!$K$27*N466</f>
        <v>-1305.5</v>
      </c>
      <c r="I467" s="62">
        <f t="shared" ca="1" si="40"/>
        <v>108</v>
      </c>
      <c r="J467" s="62">
        <f t="shared" ca="1" si="41"/>
        <v>108</v>
      </c>
      <c r="M467" s="62">
        <f ca="1">IF(ABS('main page'!$K$29*M466+(1-'main page'!$K$29)*(controls!$B$9/100)*100+'main page'!$K$25*(E467-B467)-M466)&lt;0.0000001,M466,'main page'!$K$29*M466+(1-'main page'!$K$29)*(controls!$B$9/100)*100+'main page'!$K$25*(E467-B467))</f>
        <v>-707.75</v>
      </c>
      <c r="N467" s="62">
        <f ca="1">IF(controls!$B$10=1,N466,O467-'main page'!$K$29*M467-(1-'main page'!$K$29)*controls!$B$9)</f>
        <v>707.75</v>
      </c>
      <c r="O467" s="61">
        <f t="shared" ca="1" si="42"/>
        <v>0</v>
      </c>
      <c r="P467" s="63">
        <f ca="1">IF(controls!$B$10=1,hystere!N467+hystere!M467,hystere!Q467)</f>
        <v>-831.73749999999995</v>
      </c>
      <c r="Q467" s="61">
        <f ca="1">IF('main page'!$Y$53=1,'choose m.p.'!$I$22*100,R467)</f>
        <v>-831.73749999999995</v>
      </c>
      <c r="R467" s="83">
        <f ca="1">'main page'!$K$29*M467+(1-'main page'!$K$29)*controls!$B$9+S467+(('main page'!$K$25*'main page'!$U$13*'main page'!$K$29)/('main page'!$K$27*(1+('main page'!$K$25^2)*'main page'!$U$13)))*(M467-(controls!$B$9/100)*100)</f>
        <v>-831.73749999999995</v>
      </c>
      <c r="S467" s="81">
        <f ca="1">IF(controls!$B$33=1,(J468-E467*X468-B467)/'main page'!$K$27,(I468-E467*X468-B467)/'main page'!$K$27)</f>
        <v>53.45</v>
      </c>
      <c r="U467" s="58">
        <f>IF(controls!$B$6=1,$AG$4*(1+('main page'!$K$35/100))^V467-$AG$4*(1+('main page'!$K$35/100))^V466,$AG$4*(1+('main page'!$G$8/100))*(1+('main page'!$K$35/100))^V467-$AG$4*(1+('main page'!$G$8/100))*(1+('main page'!$K$35/100))^V466)</f>
        <v>0</v>
      </c>
      <c r="V467" s="60">
        <v>459</v>
      </c>
      <c r="W467" s="36">
        <f>'normal case'!AC466</f>
        <v>0</v>
      </c>
      <c r="X467" s="36">
        <f>'normal case'!AD466</f>
        <v>0</v>
      </c>
      <c r="Y467" s="44">
        <f ca="1">IF(controls!$B$33=1,E467-($J$4-'main page'!$K$27*2)*(1+('main page'!$K$35/100))^A466,E467-$AG$5)</f>
        <v>-99.9</v>
      </c>
      <c r="Z467" s="44">
        <f ca="1">ABS(M467-(controls!$B$9/100)*100)</f>
        <v>709.75</v>
      </c>
      <c r="AI467" s="36"/>
      <c r="AJ467" s="36"/>
    </row>
    <row r="468" spans="1:36">
      <c r="A468" s="43">
        <v>465</v>
      </c>
      <c r="B468" s="62">
        <f ca="1">IF(controls!$B$6=2,AVERAGE(E464:E467)+B467*W468+hystere!$AG$9,AVERAGE(E464:E467)+B467*W468)</f>
        <v>1.1000000000000001</v>
      </c>
      <c r="C468" s="67">
        <f t="shared" ca="1" si="43"/>
        <v>0</v>
      </c>
      <c r="D468" s="88">
        <f t="shared" ca="1" si="44"/>
        <v>-1</v>
      </c>
      <c r="E468" s="64">
        <f t="shared" ca="1" si="45"/>
        <v>0.1</v>
      </c>
      <c r="F468" s="64">
        <f ca="1">IF('main page'!$K$34=1,hystere!H468,hystere!G468)</f>
        <v>-1307.5</v>
      </c>
      <c r="G468" s="78">
        <f ca="1">I468-'main page'!$K$27*hystere!N467</f>
        <v>-1307.5</v>
      </c>
      <c r="H468" s="62">
        <f ca="1">J468-'main page'!$K$27*N467</f>
        <v>-1307.5</v>
      </c>
      <c r="I468" s="62">
        <f t="shared" ca="1" si="40"/>
        <v>108</v>
      </c>
      <c r="J468" s="62">
        <f t="shared" ca="1" si="41"/>
        <v>108</v>
      </c>
      <c r="M468" s="62">
        <f ca="1">IF(ABS('main page'!$K$29*M467+(1-'main page'!$K$29)*(controls!$B$9/100)*100+'main page'!$K$25*(E468-B468)-M467)&lt;0.0000001,M467,'main page'!$K$29*M467+(1-'main page'!$K$29)*(controls!$B$9/100)*100+'main page'!$K$25*(E468-B468))</f>
        <v>-708.75</v>
      </c>
      <c r="N468" s="62">
        <f ca="1">IF(controls!$B$10=1,N467,O468-'main page'!$K$29*M468-(1-'main page'!$K$29)*controls!$B$9)</f>
        <v>708.75</v>
      </c>
      <c r="O468" s="61">
        <f t="shared" ca="1" si="42"/>
        <v>0</v>
      </c>
      <c r="P468" s="63">
        <f ca="1">IF(controls!$B$10=1,hystere!N468+hystere!M468,hystere!Q468)</f>
        <v>-832.98749999999995</v>
      </c>
      <c r="Q468" s="61">
        <f ca="1">IF('main page'!$Y$53=1,'choose m.p.'!$I$22*100,R468)</f>
        <v>-832.98749999999995</v>
      </c>
      <c r="R468" s="83">
        <f ca="1">'main page'!$K$29*M468+(1-'main page'!$K$29)*controls!$B$9+S468+(('main page'!$K$25*'main page'!$U$13*'main page'!$K$29)/('main page'!$K$27*(1+('main page'!$K$25^2)*'main page'!$U$13)))*(M468-(controls!$B$9/100)*100)</f>
        <v>-832.98749999999995</v>
      </c>
      <c r="S468" s="81">
        <f ca="1">IF(controls!$B$33=1,(J469-E468*X469-B468)/'main page'!$K$27,(I469-E468*X469-B468)/'main page'!$K$27)</f>
        <v>53.45</v>
      </c>
      <c r="U468" s="58">
        <f>IF(controls!$B$6=1,$AG$4*(1+('main page'!$K$35/100))^V468-$AG$4*(1+('main page'!$K$35/100))^V467,$AG$4*(1+('main page'!$G$8/100))*(1+('main page'!$K$35/100))^V468-$AG$4*(1+('main page'!$G$8/100))*(1+('main page'!$K$35/100))^V467)</f>
        <v>0</v>
      </c>
      <c r="V468" s="60">
        <v>460</v>
      </c>
      <c r="W468" s="36">
        <f ca="1">'normal case'!AC467</f>
        <v>0</v>
      </c>
      <c r="X468" s="36">
        <f ca="1">'normal case'!AD467</f>
        <v>0</v>
      </c>
      <c r="Y468" s="44">
        <f ca="1">IF(controls!$B$33=1,E468-($J$4-'main page'!$K$27*2)*(1+('main page'!$K$35/100))^A467,E468-$AG$5)</f>
        <v>-99.9</v>
      </c>
      <c r="Z468" s="44">
        <f ca="1">ABS(M468-(controls!$B$9/100)*100)</f>
        <v>710.75</v>
      </c>
      <c r="AI468" s="36"/>
      <c r="AJ468" s="36"/>
    </row>
    <row r="469" spans="1:36">
      <c r="A469" s="43">
        <v>466</v>
      </c>
      <c r="B469" s="62">
        <f ca="1">IF(controls!$B$6=2,AVERAGE(E465:E468)+B468*W469+hystere!$AG$9,AVERAGE(E465:E468)+B468*W469)</f>
        <v>1.1000000000000001</v>
      </c>
      <c r="C469" s="67">
        <f t="shared" ca="1" si="43"/>
        <v>0</v>
      </c>
      <c r="D469" s="88">
        <f t="shared" ca="1" si="44"/>
        <v>-1</v>
      </c>
      <c r="E469" s="64">
        <f t="shared" ca="1" si="45"/>
        <v>0.1</v>
      </c>
      <c r="F469" s="64">
        <f ca="1">IF('main page'!$K$34=1,hystere!H469,hystere!G469)</f>
        <v>-1309.5</v>
      </c>
      <c r="G469" s="78">
        <f ca="1">I469-'main page'!$K$27*hystere!N468</f>
        <v>-1309.5</v>
      </c>
      <c r="H469" s="62">
        <f ca="1">J469-'main page'!$K$27*N468</f>
        <v>-1309.5</v>
      </c>
      <c r="I469" s="62">
        <f t="shared" ca="1" si="40"/>
        <v>108</v>
      </c>
      <c r="J469" s="62">
        <f t="shared" ca="1" si="41"/>
        <v>108</v>
      </c>
      <c r="M469" s="62">
        <f ca="1">IF(ABS('main page'!$K$29*M468+(1-'main page'!$K$29)*(controls!$B$9/100)*100+'main page'!$K$25*(E469-B469)-M468)&lt;0.0000001,M468,'main page'!$K$29*M468+(1-'main page'!$K$29)*(controls!$B$9/100)*100+'main page'!$K$25*(E469-B469))</f>
        <v>-709.75</v>
      </c>
      <c r="N469" s="62">
        <f ca="1">IF(controls!$B$10=1,N468,O469-'main page'!$K$29*M469-(1-'main page'!$K$29)*controls!$B$9)</f>
        <v>709.75</v>
      </c>
      <c r="O469" s="61">
        <f t="shared" ca="1" si="42"/>
        <v>0</v>
      </c>
      <c r="P469" s="63">
        <f ca="1">IF(controls!$B$10=1,hystere!N469+hystere!M469,hystere!Q469)</f>
        <v>-834.23749999999995</v>
      </c>
      <c r="Q469" s="61">
        <f ca="1">IF('main page'!$Y$53=1,'choose m.p.'!$I$22*100,R469)</f>
        <v>-834.23749999999995</v>
      </c>
      <c r="R469" s="83">
        <f ca="1">'main page'!$K$29*M469+(1-'main page'!$K$29)*controls!$B$9+S469+(('main page'!$K$25*'main page'!$U$13*'main page'!$K$29)/('main page'!$K$27*(1+('main page'!$K$25^2)*'main page'!$U$13)))*(M469-(controls!$B$9/100)*100)</f>
        <v>-834.23749999999995</v>
      </c>
      <c r="S469" s="81">
        <f ca="1">IF(controls!$B$33=1,(J470-E469*X470-B469)/'main page'!$K$27,(I470-E469*X470-B469)/'main page'!$K$27)</f>
        <v>53.45</v>
      </c>
      <c r="U469" s="58">
        <f>IF(controls!$B$6=1,$AG$4*(1+('main page'!$K$35/100))^V469-$AG$4*(1+('main page'!$K$35/100))^V468,$AG$4*(1+('main page'!$G$8/100))*(1+('main page'!$K$35/100))^V469-$AG$4*(1+('main page'!$G$8/100))*(1+('main page'!$K$35/100))^V468)</f>
        <v>0</v>
      </c>
      <c r="V469" s="60">
        <v>461</v>
      </c>
      <c r="W469" s="36">
        <f>'normal case'!AC468</f>
        <v>0</v>
      </c>
      <c r="X469" s="36">
        <f>'normal case'!AD468</f>
        <v>0</v>
      </c>
      <c r="Y469" s="44">
        <f ca="1">IF(controls!$B$33=1,E469-($J$4-'main page'!$K$27*2)*(1+('main page'!$K$35/100))^A468,E469-$AG$5)</f>
        <v>-99.9</v>
      </c>
      <c r="Z469" s="44">
        <f ca="1">ABS(M469-(controls!$B$9/100)*100)</f>
        <v>711.75</v>
      </c>
      <c r="AI469" s="36"/>
      <c r="AJ469" s="36"/>
    </row>
    <row r="470" spans="1:36">
      <c r="A470" s="43">
        <v>467</v>
      </c>
      <c r="B470" s="62">
        <f ca="1">IF(controls!$B$6=2,AVERAGE(E466:E469)+B469*W470+hystere!$AG$9,AVERAGE(E466:E469)+B469*W470)</f>
        <v>1.1000000000000001</v>
      </c>
      <c r="C470" s="67">
        <f t="shared" ca="1" si="43"/>
        <v>0</v>
      </c>
      <c r="D470" s="88">
        <f t="shared" ca="1" si="44"/>
        <v>-1</v>
      </c>
      <c r="E470" s="64">
        <f t="shared" ca="1" si="45"/>
        <v>0.1</v>
      </c>
      <c r="F470" s="64">
        <f ca="1">IF('main page'!$K$34=1,hystere!H470,hystere!G470)</f>
        <v>-1311.5</v>
      </c>
      <c r="G470" s="78">
        <f ca="1">I470-'main page'!$K$27*hystere!N469</f>
        <v>-1311.5</v>
      </c>
      <c r="H470" s="62">
        <f ca="1">J470-'main page'!$K$27*N469</f>
        <v>-1311.5</v>
      </c>
      <c r="I470" s="62">
        <f t="shared" ca="1" si="40"/>
        <v>108</v>
      </c>
      <c r="J470" s="62">
        <f t="shared" ca="1" si="41"/>
        <v>108</v>
      </c>
      <c r="M470" s="62">
        <f ca="1">IF(ABS('main page'!$K$29*M469+(1-'main page'!$K$29)*(controls!$B$9/100)*100+'main page'!$K$25*(E470-B470)-M469)&lt;0.0000001,M469,'main page'!$K$29*M469+(1-'main page'!$K$29)*(controls!$B$9/100)*100+'main page'!$K$25*(E470-B470))</f>
        <v>-710.75</v>
      </c>
      <c r="N470" s="62">
        <f ca="1">IF(controls!$B$10=1,N469,O470-'main page'!$K$29*M470-(1-'main page'!$K$29)*controls!$B$9)</f>
        <v>710.75</v>
      </c>
      <c r="O470" s="61">
        <f t="shared" ca="1" si="42"/>
        <v>0</v>
      </c>
      <c r="P470" s="63">
        <f ca="1">IF(controls!$B$10=1,hystere!N470+hystere!M470,hystere!Q470)</f>
        <v>-835.48749999999995</v>
      </c>
      <c r="Q470" s="61">
        <f ca="1">IF('main page'!$Y$53=1,'choose m.p.'!$I$22*100,R470)</f>
        <v>-835.48749999999995</v>
      </c>
      <c r="R470" s="83">
        <f ca="1">'main page'!$K$29*M470+(1-'main page'!$K$29)*controls!$B$9+S470+(('main page'!$K$25*'main page'!$U$13*'main page'!$K$29)/('main page'!$K$27*(1+('main page'!$K$25^2)*'main page'!$U$13)))*(M470-(controls!$B$9/100)*100)</f>
        <v>-835.48749999999995</v>
      </c>
      <c r="S470" s="81">
        <f ca="1">IF(controls!$B$33=1,(J471-E470*X471-B470)/'main page'!$K$27,(I471-E470*X471-B470)/'main page'!$K$27)</f>
        <v>53.45</v>
      </c>
      <c r="U470" s="58">
        <f>IF(controls!$B$6=1,$AG$4*(1+('main page'!$K$35/100))^V470-$AG$4*(1+('main page'!$K$35/100))^V469,$AG$4*(1+('main page'!$G$8/100))*(1+('main page'!$K$35/100))^V470-$AG$4*(1+('main page'!$G$8/100))*(1+('main page'!$K$35/100))^V469)</f>
        <v>0</v>
      </c>
      <c r="V470" s="60">
        <v>462</v>
      </c>
      <c r="W470" s="36">
        <f>'normal case'!AC469</f>
        <v>0</v>
      </c>
      <c r="X470" s="36">
        <f>'normal case'!AD469</f>
        <v>0</v>
      </c>
      <c r="Y470" s="44">
        <f ca="1">IF(controls!$B$33=1,E470-($J$4-'main page'!$K$27*2)*(1+('main page'!$K$35/100))^A469,E470-$AG$5)</f>
        <v>-99.9</v>
      </c>
      <c r="Z470" s="44">
        <f ca="1">ABS(M470-(controls!$B$9/100)*100)</f>
        <v>712.75</v>
      </c>
      <c r="AI470" s="36"/>
      <c r="AJ470" s="36"/>
    </row>
    <row r="471" spans="1:36">
      <c r="A471" s="43">
        <v>468</v>
      </c>
      <c r="B471" s="62">
        <f ca="1">IF(controls!$B$6=2,AVERAGE(E467:E470)+B470*W471+hystere!$AG$9,AVERAGE(E467:E470)+B470*W471)</f>
        <v>1.1000000000000001</v>
      </c>
      <c r="C471" s="67">
        <f t="shared" ca="1" si="43"/>
        <v>0</v>
      </c>
      <c r="D471" s="88">
        <f t="shared" ca="1" si="44"/>
        <v>-1</v>
      </c>
      <c r="E471" s="64">
        <f t="shared" ca="1" si="45"/>
        <v>0.1</v>
      </c>
      <c r="F471" s="64">
        <f ca="1">IF('main page'!$K$34=1,hystere!H471,hystere!G471)</f>
        <v>-1313.5</v>
      </c>
      <c r="G471" s="78">
        <f ca="1">I471-'main page'!$K$27*hystere!N470</f>
        <v>-1313.5</v>
      </c>
      <c r="H471" s="62">
        <f ca="1">J471-'main page'!$K$27*N470</f>
        <v>-1313.5</v>
      </c>
      <c r="I471" s="62">
        <f t="shared" ca="1" si="40"/>
        <v>108</v>
      </c>
      <c r="J471" s="62">
        <f t="shared" ca="1" si="41"/>
        <v>108</v>
      </c>
      <c r="M471" s="62">
        <f ca="1">IF(ABS('main page'!$K$29*M470+(1-'main page'!$K$29)*(controls!$B$9/100)*100+'main page'!$K$25*(E471-B471)-M470)&lt;0.0000001,M470,'main page'!$K$29*M470+(1-'main page'!$K$29)*(controls!$B$9/100)*100+'main page'!$K$25*(E471-B471))</f>
        <v>-711.75</v>
      </c>
      <c r="N471" s="62">
        <f ca="1">IF(controls!$B$10=1,N470,O471-'main page'!$K$29*M471-(1-'main page'!$K$29)*controls!$B$9)</f>
        <v>711.75</v>
      </c>
      <c r="O471" s="61">
        <f t="shared" ca="1" si="42"/>
        <v>0</v>
      </c>
      <c r="P471" s="63">
        <f ca="1">IF(controls!$B$10=1,hystere!N471+hystere!M471,hystere!Q471)</f>
        <v>-836.73749999999995</v>
      </c>
      <c r="Q471" s="61">
        <f ca="1">IF('main page'!$Y$53=1,'choose m.p.'!$I$22*100,R471)</f>
        <v>-836.73749999999995</v>
      </c>
      <c r="R471" s="83">
        <f ca="1">'main page'!$K$29*M471+(1-'main page'!$K$29)*controls!$B$9+S471+(('main page'!$K$25*'main page'!$U$13*'main page'!$K$29)/('main page'!$K$27*(1+('main page'!$K$25^2)*'main page'!$U$13)))*(M471-(controls!$B$9/100)*100)</f>
        <v>-836.73749999999995</v>
      </c>
      <c r="S471" s="81">
        <f ca="1">IF(controls!$B$33=1,(J472-E471*X472-B471)/'main page'!$K$27,(I472-E471*X472-B471)/'main page'!$K$27)</f>
        <v>53.45</v>
      </c>
      <c r="U471" s="58">
        <f>IF(controls!$B$6=1,$AG$4*(1+('main page'!$K$35/100))^V471-$AG$4*(1+('main page'!$K$35/100))^V470,$AG$4*(1+('main page'!$G$8/100))*(1+('main page'!$K$35/100))^V471-$AG$4*(1+('main page'!$G$8/100))*(1+('main page'!$K$35/100))^V470)</f>
        <v>0</v>
      </c>
      <c r="V471" s="60">
        <v>463</v>
      </c>
      <c r="W471" s="36">
        <f ca="1">'normal case'!AC470</f>
        <v>0</v>
      </c>
      <c r="X471" s="36">
        <f ca="1">'normal case'!AD470</f>
        <v>0</v>
      </c>
      <c r="Y471" s="44">
        <f ca="1">IF(controls!$B$33=1,E471-($J$4-'main page'!$K$27*2)*(1+('main page'!$K$35/100))^A470,E471-$AG$5)</f>
        <v>-99.9</v>
      </c>
      <c r="Z471" s="44">
        <f ca="1">ABS(M471-(controls!$B$9/100)*100)</f>
        <v>713.75</v>
      </c>
      <c r="AI471" s="36"/>
      <c r="AJ471" s="36"/>
    </row>
    <row r="472" spans="1:36">
      <c r="A472" s="43">
        <v>469</v>
      </c>
      <c r="B472" s="62">
        <f ca="1">IF(controls!$B$6=2,AVERAGE(E468:E471)+B471*W472+hystere!$AG$9,AVERAGE(E468:E471)+B471*W472)</f>
        <v>1.1000000000000001</v>
      </c>
      <c r="C472" s="67">
        <f t="shared" ca="1" si="43"/>
        <v>0</v>
      </c>
      <c r="D472" s="88">
        <f t="shared" ca="1" si="44"/>
        <v>-1</v>
      </c>
      <c r="E472" s="64">
        <f t="shared" ca="1" si="45"/>
        <v>0.1</v>
      </c>
      <c r="F472" s="64">
        <f ca="1">IF('main page'!$K$34=1,hystere!H472,hystere!G472)</f>
        <v>-1315.5</v>
      </c>
      <c r="G472" s="78">
        <f ca="1">I472-'main page'!$K$27*hystere!N471</f>
        <v>-1315.5</v>
      </c>
      <c r="H472" s="62">
        <f ca="1">J472-'main page'!$K$27*N471</f>
        <v>-1315.5</v>
      </c>
      <c r="I472" s="62">
        <f t="shared" ca="1" si="40"/>
        <v>108</v>
      </c>
      <c r="J472" s="62">
        <f t="shared" ca="1" si="41"/>
        <v>108</v>
      </c>
      <c r="M472" s="62">
        <f ca="1">IF(ABS('main page'!$K$29*M471+(1-'main page'!$K$29)*(controls!$B$9/100)*100+'main page'!$K$25*(E472-B472)-M471)&lt;0.0000001,M471,'main page'!$K$29*M471+(1-'main page'!$K$29)*(controls!$B$9/100)*100+'main page'!$K$25*(E472-B472))</f>
        <v>-712.75</v>
      </c>
      <c r="N472" s="62">
        <f ca="1">IF(controls!$B$10=1,N471,O472-'main page'!$K$29*M472-(1-'main page'!$K$29)*controls!$B$9)</f>
        <v>712.75</v>
      </c>
      <c r="O472" s="61">
        <f t="shared" ca="1" si="42"/>
        <v>0</v>
      </c>
      <c r="P472" s="63">
        <f ca="1">IF(controls!$B$10=1,hystere!N472+hystere!M472,hystere!Q472)</f>
        <v>-837.98749999999995</v>
      </c>
      <c r="Q472" s="61">
        <f ca="1">IF('main page'!$Y$53=1,'choose m.p.'!$I$22*100,R472)</f>
        <v>-837.98749999999995</v>
      </c>
      <c r="R472" s="83">
        <f ca="1">'main page'!$K$29*M472+(1-'main page'!$K$29)*controls!$B$9+S472+(('main page'!$K$25*'main page'!$U$13*'main page'!$K$29)/('main page'!$K$27*(1+('main page'!$K$25^2)*'main page'!$U$13)))*(M472-(controls!$B$9/100)*100)</f>
        <v>-837.98749999999995</v>
      </c>
      <c r="S472" s="81">
        <f ca="1">IF(controls!$B$33=1,(J473-E472*X473-B472)/'main page'!$K$27,(I473-E472*X473-B472)/'main page'!$K$27)</f>
        <v>53.45</v>
      </c>
      <c r="U472" s="58">
        <f>IF(controls!$B$6=1,$AG$4*(1+('main page'!$K$35/100))^V472-$AG$4*(1+('main page'!$K$35/100))^V471,$AG$4*(1+('main page'!$G$8/100))*(1+('main page'!$K$35/100))^V472-$AG$4*(1+('main page'!$G$8/100))*(1+('main page'!$K$35/100))^V471)</f>
        <v>0</v>
      </c>
      <c r="V472" s="60">
        <v>464</v>
      </c>
      <c r="W472" s="36">
        <f>'normal case'!AC471</f>
        <v>0</v>
      </c>
      <c r="X472" s="36">
        <f>'normal case'!AD471</f>
        <v>0</v>
      </c>
      <c r="Y472" s="44">
        <f ca="1">IF(controls!$B$33=1,E472-($J$4-'main page'!$K$27*2)*(1+('main page'!$K$35/100))^A471,E472-$AG$5)</f>
        <v>-99.9</v>
      </c>
      <c r="Z472" s="44">
        <f ca="1">ABS(M472-(controls!$B$9/100)*100)</f>
        <v>714.75</v>
      </c>
      <c r="AI472" s="36"/>
      <c r="AJ472" s="36"/>
    </row>
    <row r="473" spans="1:36">
      <c r="A473" s="43">
        <v>470</v>
      </c>
      <c r="B473" s="62">
        <f ca="1">IF(controls!$B$6=2,AVERAGE(E469:E472)+B472*W473+hystere!$AG$9,AVERAGE(E469:E472)+B472*W473)</f>
        <v>1.1000000000000001</v>
      </c>
      <c r="C473" s="67">
        <f t="shared" ca="1" si="43"/>
        <v>0</v>
      </c>
      <c r="D473" s="88">
        <f t="shared" ca="1" si="44"/>
        <v>-1</v>
      </c>
      <c r="E473" s="64">
        <f t="shared" ca="1" si="45"/>
        <v>0.1</v>
      </c>
      <c r="F473" s="64">
        <f ca="1">IF('main page'!$K$34=1,hystere!H473,hystere!G473)</f>
        <v>-1317.5</v>
      </c>
      <c r="G473" s="78">
        <f ca="1">I473-'main page'!$K$27*hystere!N472</f>
        <v>-1317.5</v>
      </c>
      <c r="H473" s="62">
        <f ca="1">J473-'main page'!$K$27*N472</f>
        <v>-1317.5</v>
      </c>
      <c r="I473" s="62">
        <f t="shared" ref="I473:I503" ca="1" si="46">I472+E472*X473</f>
        <v>108</v>
      </c>
      <c r="J473" s="62">
        <f t="shared" ref="J473:J503" ca="1" si="47">J472+E472*X473+U473</f>
        <v>108</v>
      </c>
      <c r="M473" s="62">
        <f ca="1">IF(ABS('main page'!$K$29*M472+(1-'main page'!$K$29)*(controls!$B$9/100)*100+'main page'!$K$25*(E473-B473)-M472)&lt;0.0000001,M472,'main page'!$K$29*M472+(1-'main page'!$K$29)*(controls!$B$9/100)*100+'main page'!$K$25*(E473-B473))</f>
        <v>-713.75</v>
      </c>
      <c r="N473" s="62">
        <f ca="1">IF(controls!$B$10=1,N472,O473-'main page'!$K$29*M473-(1-'main page'!$K$29)*controls!$B$9)</f>
        <v>713.75</v>
      </c>
      <c r="O473" s="61">
        <f t="shared" ca="1" si="42"/>
        <v>0</v>
      </c>
      <c r="P473" s="63">
        <f ca="1">IF(controls!$B$10=1,hystere!N473+hystere!M473,hystere!Q473)</f>
        <v>-839.23749999999995</v>
      </c>
      <c r="Q473" s="61">
        <f ca="1">IF('main page'!$Y$53=1,'choose m.p.'!$I$22*100,R473)</f>
        <v>-839.23749999999995</v>
      </c>
      <c r="R473" s="83">
        <f ca="1">'main page'!$K$29*M473+(1-'main page'!$K$29)*controls!$B$9+S473+(('main page'!$K$25*'main page'!$U$13*'main page'!$K$29)/('main page'!$K$27*(1+('main page'!$K$25^2)*'main page'!$U$13)))*(M473-(controls!$B$9/100)*100)</f>
        <v>-839.23749999999995</v>
      </c>
      <c r="S473" s="81">
        <f ca="1">IF(controls!$B$33=1,(J474-E473*X474-B473)/'main page'!$K$27,(I474-E473*X474-B473)/'main page'!$K$27)</f>
        <v>53.45</v>
      </c>
      <c r="U473" s="58">
        <f>IF(controls!$B$6=1,$AG$4*(1+('main page'!$K$35/100))^V473-$AG$4*(1+('main page'!$K$35/100))^V472,$AG$4*(1+('main page'!$G$8/100))*(1+('main page'!$K$35/100))^V473-$AG$4*(1+('main page'!$G$8/100))*(1+('main page'!$K$35/100))^V472)</f>
        <v>0</v>
      </c>
      <c r="V473" s="60">
        <v>465</v>
      </c>
      <c r="W473" s="36">
        <f>'normal case'!AC472</f>
        <v>0</v>
      </c>
      <c r="X473" s="36">
        <f>'normal case'!AD472</f>
        <v>0</v>
      </c>
      <c r="Y473" s="44">
        <f ca="1">IF(controls!$B$33=1,E473-($J$4-'main page'!$K$27*2)*(1+('main page'!$K$35/100))^A472,E473-$AG$5)</f>
        <v>-99.9</v>
      </c>
      <c r="Z473" s="44">
        <f ca="1">ABS(M473-(controls!$B$9/100)*100)</f>
        <v>715.75</v>
      </c>
      <c r="AI473" s="36"/>
      <c r="AJ473" s="36"/>
    </row>
    <row r="474" spans="1:36">
      <c r="A474" s="43">
        <v>471</v>
      </c>
      <c r="B474" s="62">
        <f ca="1">IF(controls!$B$6=2,AVERAGE(E470:E473)+B473*W474+hystere!$AG$9,AVERAGE(E470:E473)+B473*W474)</f>
        <v>1.1000000000000001</v>
      </c>
      <c r="C474" s="67">
        <f t="shared" ca="1" si="43"/>
        <v>0</v>
      </c>
      <c r="D474" s="88">
        <f t="shared" ca="1" si="44"/>
        <v>-1</v>
      </c>
      <c r="E474" s="64">
        <f t="shared" ca="1" si="45"/>
        <v>0.1</v>
      </c>
      <c r="F474" s="64">
        <f ca="1">IF('main page'!$K$34=1,hystere!H474,hystere!G474)</f>
        <v>-1319.5</v>
      </c>
      <c r="G474" s="78">
        <f ca="1">I474-'main page'!$K$27*hystere!N473</f>
        <v>-1319.5</v>
      </c>
      <c r="H474" s="62">
        <f ca="1">J474-'main page'!$K$27*N473</f>
        <v>-1319.5</v>
      </c>
      <c r="I474" s="62">
        <f t="shared" ca="1" si="46"/>
        <v>108</v>
      </c>
      <c r="J474" s="62">
        <f t="shared" ca="1" si="47"/>
        <v>108</v>
      </c>
      <c r="M474" s="62">
        <f ca="1">IF(ABS('main page'!$K$29*M473+(1-'main page'!$K$29)*(controls!$B$9/100)*100+'main page'!$K$25*(E474-B474)-M473)&lt;0.0000001,M473,'main page'!$K$29*M473+(1-'main page'!$K$29)*(controls!$B$9/100)*100+'main page'!$K$25*(E474-B474))</f>
        <v>-714.75</v>
      </c>
      <c r="N474" s="62">
        <f ca="1">IF(controls!$B$10=1,N473,O474-'main page'!$K$29*M474-(1-'main page'!$K$29)*controls!$B$9)</f>
        <v>714.75</v>
      </c>
      <c r="O474" s="61">
        <f t="shared" ca="1" si="42"/>
        <v>0</v>
      </c>
      <c r="P474" s="63">
        <f ca="1">IF(controls!$B$10=1,hystere!N474+hystere!M474,hystere!Q474)</f>
        <v>-840.48749999999995</v>
      </c>
      <c r="Q474" s="61">
        <f ca="1">IF('main page'!$Y$53=1,'choose m.p.'!$I$22*100,R474)</f>
        <v>-840.48749999999995</v>
      </c>
      <c r="R474" s="83">
        <f ca="1">'main page'!$K$29*M474+(1-'main page'!$K$29)*controls!$B$9+S474+(('main page'!$K$25*'main page'!$U$13*'main page'!$K$29)/('main page'!$K$27*(1+('main page'!$K$25^2)*'main page'!$U$13)))*(M474-(controls!$B$9/100)*100)</f>
        <v>-840.48749999999995</v>
      </c>
      <c r="S474" s="81">
        <f ca="1">IF(controls!$B$33=1,(J475-E474*X475-B474)/'main page'!$K$27,(I475-E474*X475-B474)/'main page'!$K$27)</f>
        <v>53.45</v>
      </c>
      <c r="U474" s="58">
        <f>IF(controls!$B$6=1,$AG$4*(1+('main page'!$K$35/100))^V474-$AG$4*(1+('main page'!$K$35/100))^V473,$AG$4*(1+('main page'!$G$8/100))*(1+('main page'!$K$35/100))^V474-$AG$4*(1+('main page'!$G$8/100))*(1+('main page'!$K$35/100))^V473)</f>
        <v>0</v>
      </c>
      <c r="V474" s="60">
        <v>466</v>
      </c>
      <c r="W474" s="36">
        <f ca="1">'normal case'!AC473</f>
        <v>0</v>
      </c>
      <c r="X474" s="36">
        <f ca="1">'normal case'!AD473</f>
        <v>0</v>
      </c>
      <c r="Y474" s="44">
        <f ca="1">IF(controls!$B$33=1,E474-($J$4-'main page'!$K$27*2)*(1+('main page'!$K$35/100))^A473,E474-$AG$5)</f>
        <v>-99.9</v>
      </c>
      <c r="Z474" s="44">
        <f ca="1">ABS(M474-(controls!$B$9/100)*100)</f>
        <v>716.75</v>
      </c>
      <c r="AI474" s="36"/>
      <c r="AJ474" s="36"/>
    </row>
    <row r="475" spans="1:36">
      <c r="A475" s="43">
        <v>472</v>
      </c>
      <c r="B475" s="62">
        <f ca="1">IF(controls!$B$6=2,AVERAGE(E471:E474)+B474*W475+hystere!$AG$9,AVERAGE(E471:E474)+B474*W475)</f>
        <v>1.1000000000000001</v>
      </c>
      <c r="C475" s="67">
        <f t="shared" ca="1" si="43"/>
        <v>0</v>
      </c>
      <c r="D475" s="88">
        <f t="shared" ca="1" si="44"/>
        <v>-1</v>
      </c>
      <c r="E475" s="64">
        <f t="shared" ca="1" si="45"/>
        <v>0.1</v>
      </c>
      <c r="F475" s="64">
        <f ca="1">IF('main page'!$K$34=1,hystere!H475,hystere!G475)</f>
        <v>-1321.5</v>
      </c>
      <c r="G475" s="78">
        <f ca="1">I475-'main page'!$K$27*hystere!N474</f>
        <v>-1321.5</v>
      </c>
      <c r="H475" s="62">
        <f ca="1">J475-'main page'!$K$27*N474</f>
        <v>-1321.5</v>
      </c>
      <c r="I475" s="62">
        <f t="shared" ca="1" si="46"/>
        <v>108</v>
      </c>
      <c r="J475" s="62">
        <f t="shared" ca="1" si="47"/>
        <v>108</v>
      </c>
      <c r="M475" s="62">
        <f ca="1">IF(ABS('main page'!$K$29*M474+(1-'main page'!$K$29)*(controls!$B$9/100)*100+'main page'!$K$25*(E475-B475)-M474)&lt;0.0000001,M474,'main page'!$K$29*M474+(1-'main page'!$K$29)*(controls!$B$9/100)*100+'main page'!$K$25*(E475-B475))</f>
        <v>-715.75</v>
      </c>
      <c r="N475" s="62">
        <f ca="1">IF(controls!$B$10=1,N474,O475-'main page'!$K$29*M475-(1-'main page'!$K$29)*controls!$B$9)</f>
        <v>715.75</v>
      </c>
      <c r="O475" s="61">
        <f t="shared" ca="1" si="42"/>
        <v>0</v>
      </c>
      <c r="P475" s="63">
        <f ca="1">IF(controls!$B$10=1,hystere!N475+hystere!M475,hystere!Q475)</f>
        <v>-841.73749999999995</v>
      </c>
      <c r="Q475" s="61">
        <f ca="1">IF('main page'!$Y$53=1,'choose m.p.'!$I$22*100,R475)</f>
        <v>-841.73749999999995</v>
      </c>
      <c r="R475" s="83">
        <f ca="1">'main page'!$K$29*M475+(1-'main page'!$K$29)*controls!$B$9+S475+(('main page'!$K$25*'main page'!$U$13*'main page'!$K$29)/('main page'!$K$27*(1+('main page'!$K$25^2)*'main page'!$U$13)))*(M475-(controls!$B$9/100)*100)</f>
        <v>-841.73749999999995</v>
      </c>
      <c r="S475" s="81">
        <f ca="1">IF(controls!$B$33=1,(J476-E475*X476-B475)/'main page'!$K$27,(I476-E475*X476-B475)/'main page'!$K$27)</f>
        <v>53.45</v>
      </c>
      <c r="U475" s="58">
        <f>IF(controls!$B$6=1,$AG$4*(1+('main page'!$K$35/100))^V475-$AG$4*(1+('main page'!$K$35/100))^V474,$AG$4*(1+('main page'!$G$8/100))*(1+('main page'!$K$35/100))^V475-$AG$4*(1+('main page'!$G$8/100))*(1+('main page'!$K$35/100))^V474)</f>
        <v>0</v>
      </c>
      <c r="V475" s="60">
        <v>467</v>
      </c>
      <c r="W475" s="36">
        <f>'normal case'!AC474</f>
        <v>0</v>
      </c>
      <c r="X475" s="36">
        <f>'normal case'!AD474</f>
        <v>0</v>
      </c>
      <c r="Y475" s="44">
        <f ca="1">IF(controls!$B$33=1,E475-($J$4-'main page'!$K$27*2)*(1+('main page'!$K$35/100))^A474,E475-$AG$5)</f>
        <v>-99.9</v>
      </c>
      <c r="Z475" s="44">
        <f ca="1">ABS(M475-(controls!$B$9/100)*100)</f>
        <v>717.75</v>
      </c>
      <c r="AI475" s="36"/>
      <c r="AJ475" s="36"/>
    </row>
    <row r="476" spans="1:36">
      <c r="A476" s="43">
        <v>473</v>
      </c>
      <c r="B476" s="62">
        <f ca="1">IF(controls!$B$6=2,AVERAGE(E472:E475)+B475*W476+hystere!$AG$9,AVERAGE(E472:E475)+B475*W476)</f>
        <v>1.1000000000000001</v>
      </c>
      <c r="C476" s="67">
        <f t="shared" ca="1" si="43"/>
        <v>0</v>
      </c>
      <c r="D476" s="88">
        <f t="shared" ca="1" si="44"/>
        <v>-1</v>
      </c>
      <c r="E476" s="64">
        <f t="shared" ca="1" si="45"/>
        <v>0.1</v>
      </c>
      <c r="F476" s="64">
        <f ca="1">IF('main page'!$K$34=1,hystere!H476,hystere!G476)</f>
        <v>-1323.5</v>
      </c>
      <c r="G476" s="78">
        <f ca="1">I476-'main page'!$K$27*hystere!N475</f>
        <v>-1323.5</v>
      </c>
      <c r="H476" s="62">
        <f ca="1">J476-'main page'!$K$27*N475</f>
        <v>-1323.5</v>
      </c>
      <c r="I476" s="62">
        <f t="shared" ca="1" si="46"/>
        <v>108</v>
      </c>
      <c r="J476" s="62">
        <f t="shared" ca="1" si="47"/>
        <v>108</v>
      </c>
      <c r="M476" s="62">
        <f ca="1">IF(ABS('main page'!$K$29*M475+(1-'main page'!$K$29)*(controls!$B$9/100)*100+'main page'!$K$25*(E476-B476)-M475)&lt;0.0000001,M475,'main page'!$K$29*M475+(1-'main page'!$K$29)*(controls!$B$9/100)*100+'main page'!$K$25*(E476-B476))</f>
        <v>-716.75</v>
      </c>
      <c r="N476" s="62">
        <f ca="1">IF(controls!$B$10=1,N475,O476-'main page'!$K$29*M476-(1-'main page'!$K$29)*controls!$B$9)</f>
        <v>716.75</v>
      </c>
      <c r="O476" s="61">
        <f t="shared" ca="1" si="42"/>
        <v>0</v>
      </c>
      <c r="P476" s="63">
        <f ca="1">IF(controls!$B$10=1,hystere!N476+hystere!M476,hystere!Q476)</f>
        <v>-842.98749999999995</v>
      </c>
      <c r="Q476" s="61">
        <f ca="1">IF('main page'!$Y$53=1,'choose m.p.'!$I$22*100,R476)</f>
        <v>-842.98749999999995</v>
      </c>
      <c r="R476" s="83">
        <f ca="1">'main page'!$K$29*M476+(1-'main page'!$K$29)*controls!$B$9+S476+(('main page'!$K$25*'main page'!$U$13*'main page'!$K$29)/('main page'!$K$27*(1+('main page'!$K$25^2)*'main page'!$U$13)))*(M476-(controls!$B$9/100)*100)</f>
        <v>-842.98749999999995</v>
      </c>
      <c r="S476" s="81">
        <f ca="1">IF(controls!$B$33=1,(J477-E476*X477-B476)/'main page'!$K$27,(I477-E476*X477-B476)/'main page'!$K$27)</f>
        <v>53.45</v>
      </c>
      <c r="U476" s="58">
        <f>IF(controls!$B$6=1,$AG$4*(1+('main page'!$K$35/100))^V476-$AG$4*(1+('main page'!$K$35/100))^V475,$AG$4*(1+('main page'!$G$8/100))*(1+('main page'!$K$35/100))^V476-$AG$4*(1+('main page'!$G$8/100))*(1+('main page'!$K$35/100))^V475)</f>
        <v>0</v>
      </c>
      <c r="V476" s="60">
        <v>468</v>
      </c>
      <c r="W476" s="36">
        <f>'normal case'!AC475</f>
        <v>0</v>
      </c>
      <c r="X476" s="36">
        <f>'normal case'!AD475</f>
        <v>0</v>
      </c>
      <c r="Y476" s="44">
        <f ca="1">IF(controls!$B$33=1,E476-($J$4-'main page'!$K$27*2)*(1+('main page'!$K$35/100))^A475,E476-$AG$5)</f>
        <v>-99.9</v>
      </c>
      <c r="Z476" s="44">
        <f ca="1">ABS(M476-(controls!$B$9/100)*100)</f>
        <v>718.75</v>
      </c>
      <c r="AI476" s="36"/>
      <c r="AJ476" s="36"/>
    </row>
    <row r="477" spans="1:36">
      <c r="A477" s="43">
        <v>474</v>
      </c>
      <c r="B477" s="62">
        <f ca="1">IF(controls!$B$6=2,AVERAGE(E473:E476)+B476*W477+hystere!$AG$9,AVERAGE(E473:E476)+B476*W477)</f>
        <v>1.1000000000000001</v>
      </c>
      <c r="C477" s="67">
        <f t="shared" ca="1" si="43"/>
        <v>0</v>
      </c>
      <c r="D477" s="88">
        <f t="shared" ca="1" si="44"/>
        <v>-1</v>
      </c>
      <c r="E477" s="64">
        <f t="shared" ca="1" si="45"/>
        <v>0.1</v>
      </c>
      <c r="F477" s="64">
        <f ca="1">IF('main page'!$K$34=1,hystere!H477,hystere!G477)</f>
        <v>-1325.5</v>
      </c>
      <c r="G477" s="78">
        <f ca="1">I477-'main page'!$K$27*hystere!N476</f>
        <v>-1325.5</v>
      </c>
      <c r="H477" s="62">
        <f ca="1">J477-'main page'!$K$27*N476</f>
        <v>-1325.5</v>
      </c>
      <c r="I477" s="62">
        <f t="shared" ca="1" si="46"/>
        <v>108</v>
      </c>
      <c r="J477" s="62">
        <f t="shared" ca="1" si="47"/>
        <v>108</v>
      </c>
      <c r="M477" s="62">
        <f ca="1">IF(ABS('main page'!$K$29*M476+(1-'main page'!$K$29)*(controls!$B$9/100)*100+'main page'!$K$25*(E477-B477)-M476)&lt;0.0000001,M476,'main page'!$K$29*M476+(1-'main page'!$K$29)*(controls!$B$9/100)*100+'main page'!$K$25*(E477-B477))</f>
        <v>-717.75</v>
      </c>
      <c r="N477" s="62">
        <f ca="1">IF(controls!$B$10=1,N476,O477-'main page'!$K$29*M477-(1-'main page'!$K$29)*controls!$B$9)</f>
        <v>717.75</v>
      </c>
      <c r="O477" s="61">
        <f t="shared" ca="1" si="42"/>
        <v>0</v>
      </c>
      <c r="P477" s="63">
        <f ca="1">IF(controls!$B$10=1,hystere!N477+hystere!M477,hystere!Q477)</f>
        <v>-844.23749999999995</v>
      </c>
      <c r="Q477" s="61">
        <f ca="1">IF('main page'!$Y$53=1,'choose m.p.'!$I$22*100,R477)</f>
        <v>-844.23749999999995</v>
      </c>
      <c r="R477" s="83">
        <f ca="1">'main page'!$K$29*M477+(1-'main page'!$K$29)*controls!$B$9+S477+(('main page'!$K$25*'main page'!$U$13*'main page'!$K$29)/('main page'!$K$27*(1+('main page'!$K$25^2)*'main page'!$U$13)))*(M477-(controls!$B$9/100)*100)</f>
        <v>-844.23749999999995</v>
      </c>
      <c r="S477" s="81">
        <f ca="1">IF(controls!$B$33=1,(J478-E477*X478-B477)/'main page'!$K$27,(I478-E477*X478-B477)/'main page'!$K$27)</f>
        <v>53.45</v>
      </c>
      <c r="U477" s="58">
        <f>IF(controls!$B$6=1,$AG$4*(1+('main page'!$K$35/100))^V477-$AG$4*(1+('main page'!$K$35/100))^V476,$AG$4*(1+('main page'!$G$8/100))*(1+('main page'!$K$35/100))^V477-$AG$4*(1+('main page'!$G$8/100))*(1+('main page'!$K$35/100))^V476)</f>
        <v>0</v>
      </c>
      <c r="V477" s="60">
        <v>469</v>
      </c>
      <c r="W477" s="36">
        <f ca="1">'normal case'!AC476</f>
        <v>0</v>
      </c>
      <c r="X477" s="36">
        <f ca="1">'normal case'!AD476</f>
        <v>0</v>
      </c>
      <c r="Y477" s="44">
        <f ca="1">IF(controls!$B$33=1,E477-($J$4-'main page'!$K$27*2)*(1+('main page'!$K$35/100))^A476,E477-$AG$5)</f>
        <v>-99.9</v>
      </c>
      <c r="Z477" s="44">
        <f ca="1">ABS(M477-(controls!$B$9/100)*100)</f>
        <v>719.75</v>
      </c>
      <c r="AI477" s="36"/>
      <c r="AJ477" s="36"/>
    </row>
    <row r="478" spans="1:36">
      <c r="A478" s="43">
        <v>475</v>
      </c>
      <c r="B478" s="62">
        <f ca="1">IF(controls!$B$6=2,AVERAGE(E474:E477)+B477*W478+hystere!$AG$9,AVERAGE(E474:E477)+B477*W478)</f>
        <v>1.1000000000000001</v>
      </c>
      <c r="C478" s="67">
        <f t="shared" ca="1" si="43"/>
        <v>0</v>
      </c>
      <c r="D478" s="88">
        <f t="shared" ca="1" si="44"/>
        <v>-1</v>
      </c>
      <c r="E478" s="64">
        <f t="shared" ca="1" si="45"/>
        <v>0.1</v>
      </c>
      <c r="F478" s="64">
        <f ca="1">IF('main page'!$K$34=1,hystere!H478,hystere!G478)</f>
        <v>-1327.5</v>
      </c>
      <c r="G478" s="78">
        <f ca="1">I478-'main page'!$K$27*hystere!N477</f>
        <v>-1327.5</v>
      </c>
      <c r="H478" s="62">
        <f ca="1">J478-'main page'!$K$27*N477</f>
        <v>-1327.5</v>
      </c>
      <c r="I478" s="62">
        <f t="shared" ca="1" si="46"/>
        <v>108</v>
      </c>
      <c r="J478" s="62">
        <f t="shared" ca="1" si="47"/>
        <v>108</v>
      </c>
      <c r="M478" s="62">
        <f ca="1">IF(ABS('main page'!$K$29*M477+(1-'main page'!$K$29)*(controls!$B$9/100)*100+'main page'!$K$25*(E478-B478)-M477)&lt;0.0000001,M477,'main page'!$K$29*M477+(1-'main page'!$K$29)*(controls!$B$9/100)*100+'main page'!$K$25*(E478-B478))</f>
        <v>-718.75</v>
      </c>
      <c r="N478" s="62">
        <f ca="1">IF(controls!$B$10=1,N477,O478-'main page'!$K$29*M478-(1-'main page'!$K$29)*controls!$B$9)</f>
        <v>718.75</v>
      </c>
      <c r="O478" s="61">
        <f t="shared" ca="1" si="42"/>
        <v>0</v>
      </c>
      <c r="P478" s="63">
        <f ca="1">IF(controls!$B$10=1,hystere!N478+hystere!M478,hystere!Q478)</f>
        <v>-845.48749999999995</v>
      </c>
      <c r="Q478" s="61">
        <f ca="1">IF('main page'!$Y$53=1,'choose m.p.'!$I$22*100,R478)</f>
        <v>-845.48749999999995</v>
      </c>
      <c r="R478" s="83">
        <f ca="1">'main page'!$K$29*M478+(1-'main page'!$K$29)*controls!$B$9+S478+(('main page'!$K$25*'main page'!$U$13*'main page'!$K$29)/('main page'!$K$27*(1+('main page'!$K$25^2)*'main page'!$U$13)))*(M478-(controls!$B$9/100)*100)</f>
        <v>-845.48749999999995</v>
      </c>
      <c r="S478" s="81">
        <f ca="1">IF(controls!$B$33=1,(J479-E478*X479-B478)/'main page'!$K$27,(I479-E478*X479-B478)/'main page'!$K$27)</f>
        <v>53.45</v>
      </c>
      <c r="U478" s="58">
        <f>IF(controls!$B$6=1,$AG$4*(1+('main page'!$K$35/100))^V478-$AG$4*(1+('main page'!$K$35/100))^V477,$AG$4*(1+('main page'!$G$8/100))*(1+('main page'!$K$35/100))^V478-$AG$4*(1+('main page'!$G$8/100))*(1+('main page'!$K$35/100))^V477)</f>
        <v>0</v>
      </c>
      <c r="V478" s="60">
        <v>470</v>
      </c>
      <c r="W478" s="36">
        <f>'normal case'!AC477</f>
        <v>0</v>
      </c>
      <c r="X478" s="36">
        <f>'normal case'!AD477</f>
        <v>0</v>
      </c>
      <c r="Y478" s="44">
        <f ca="1">IF(controls!$B$33=1,E478-($J$4-'main page'!$K$27*2)*(1+('main page'!$K$35/100))^A477,E478-$AG$5)</f>
        <v>-99.9</v>
      </c>
      <c r="Z478" s="44">
        <f ca="1">ABS(M478-(controls!$B$9/100)*100)</f>
        <v>720.75</v>
      </c>
      <c r="AI478" s="36"/>
      <c r="AJ478" s="36"/>
    </row>
    <row r="479" spans="1:36">
      <c r="A479" s="43">
        <v>476</v>
      </c>
      <c r="B479" s="62">
        <f ca="1">IF(controls!$B$6=2,AVERAGE(E475:E478)+B478*W479+hystere!$AG$9,AVERAGE(E475:E478)+B478*W479)</f>
        <v>1.1000000000000001</v>
      </c>
      <c r="C479" s="67">
        <f t="shared" ca="1" si="43"/>
        <v>0</v>
      </c>
      <c r="D479" s="88">
        <f t="shared" ca="1" si="44"/>
        <v>-1</v>
      </c>
      <c r="E479" s="64">
        <f t="shared" ca="1" si="45"/>
        <v>0.1</v>
      </c>
      <c r="F479" s="64">
        <f ca="1">IF('main page'!$K$34=1,hystere!H479,hystere!G479)</f>
        <v>-1329.5</v>
      </c>
      <c r="G479" s="78">
        <f ca="1">I479-'main page'!$K$27*hystere!N478</f>
        <v>-1329.5</v>
      </c>
      <c r="H479" s="62">
        <f ca="1">J479-'main page'!$K$27*N478</f>
        <v>-1329.5</v>
      </c>
      <c r="I479" s="62">
        <f t="shared" ca="1" si="46"/>
        <v>108</v>
      </c>
      <c r="J479" s="62">
        <f t="shared" ca="1" si="47"/>
        <v>108</v>
      </c>
      <c r="M479" s="62">
        <f ca="1">IF(ABS('main page'!$K$29*M478+(1-'main page'!$K$29)*(controls!$B$9/100)*100+'main page'!$K$25*(E479-B479)-M478)&lt;0.0000001,M478,'main page'!$K$29*M478+(1-'main page'!$K$29)*(controls!$B$9/100)*100+'main page'!$K$25*(E479-B479))</f>
        <v>-719.75</v>
      </c>
      <c r="N479" s="62">
        <f ca="1">IF(controls!$B$10=1,N478,O479-'main page'!$K$29*M479-(1-'main page'!$K$29)*controls!$B$9)</f>
        <v>719.75</v>
      </c>
      <c r="O479" s="61">
        <f t="shared" ca="1" si="42"/>
        <v>0</v>
      </c>
      <c r="P479" s="63">
        <f ca="1">IF(controls!$B$10=1,hystere!N479+hystere!M479,hystere!Q479)</f>
        <v>-846.73749999999995</v>
      </c>
      <c r="Q479" s="61">
        <f ca="1">IF('main page'!$Y$53=1,'choose m.p.'!$I$22*100,R479)</f>
        <v>-846.73749999999995</v>
      </c>
      <c r="R479" s="83">
        <f ca="1">'main page'!$K$29*M479+(1-'main page'!$K$29)*controls!$B$9+S479+(('main page'!$K$25*'main page'!$U$13*'main page'!$K$29)/('main page'!$K$27*(1+('main page'!$K$25^2)*'main page'!$U$13)))*(M479-(controls!$B$9/100)*100)</f>
        <v>-846.73749999999995</v>
      </c>
      <c r="S479" s="81">
        <f ca="1">IF(controls!$B$33=1,(J480-E479*X480-B479)/'main page'!$K$27,(I480-E479*X480-B479)/'main page'!$K$27)</f>
        <v>53.45</v>
      </c>
      <c r="U479" s="58">
        <f>IF(controls!$B$6=1,$AG$4*(1+('main page'!$K$35/100))^V479-$AG$4*(1+('main page'!$K$35/100))^V478,$AG$4*(1+('main page'!$G$8/100))*(1+('main page'!$K$35/100))^V479-$AG$4*(1+('main page'!$G$8/100))*(1+('main page'!$K$35/100))^V478)</f>
        <v>0</v>
      </c>
      <c r="V479" s="60">
        <v>471</v>
      </c>
      <c r="W479" s="36">
        <f>'normal case'!AC478</f>
        <v>0</v>
      </c>
      <c r="X479" s="36">
        <f>'normal case'!AD478</f>
        <v>0</v>
      </c>
      <c r="Y479" s="44">
        <f ca="1">IF(controls!$B$33=1,E479-($J$4-'main page'!$K$27*2)*(1+('main page'!$K$35/100))^A478,E479-$AG$5)</f>
        <v>-99.9</v>
      </c>
      <c r="Z479" s="44">
        <f ca="1">ABS(M479-(controls!$B$9/100)*100)</f>
        <v>721.75</v>
      </c>
      <c r="AI479" s="36"/>
      <c r="AJ479" s="36"/>
    </row>
    <row r="480" spans="1:36">
      <c r="A480" s="43">
        <v>477</v>
      </c>
      <c r="B480" s="62">
        <f ca="1">IF(controls!$B$6=2,AVERAGE(E476:E479)+B479*W480+hystere!$AG$9,AVERAGE(E476:E479)+B479*W480)</f>
        <v>1.1000000000000001</v>
      </c>
      <c r="C480" s="67">
        <f t="shared" ca="1" si="43"/>
        <v>0</v>
      </c>
      <c r="D480" s="88">
        <f t="shared" ca="1" si="44"/>
        <v>-1</v>
      </c>
      <c r="E480" s="64">
        <f t="shared" ca="1" si="45"/>
        <v>0.1</v>
      </c>
      <c r="F480" s="64">
        <f ca="1">IF('main page'!$K$34=1,hystere!H480,hystere!G480)</f>
        <v>-1331.5</v>
      </c>
      <c r="G480" s="78">
        <f ca="1">I480-'main page'!$K$27*hystere!N479</f>
        <v>-1331.5</v>
      </c>
      <c r="H480" s="62">
        <f ca="1">J480-'main page'!$K$27*N479</f>
        <v>-1331.5</v>
      </c>
      <c r="I480" s="62">
        <f t="shared" ca="1" si="46"/>
        <v>108</v>
      </c>
      <c r="J480" s="62">
        <f t="shared" ca="1" si="47"/>
        <v>108</v>
      </c>
      <c r="M480" s="62">
        <f ca="1">IF(ABS('main page'!$K$29*M479+(1-'main page'!$K$29)*(controls!$B$9/100)*100+'main page'!$K$25*(E480-B480)-M479)&lt;0.0000001,M479,'main page'!$K$29*M479+(1-'main page'!$K$29)*(controls!$B$9/100)*100+'main page'!$K$25*(E480-B480))</f>
        <v>-720.75</v>
      </c>
      <c r="N480" s="62">
        <f ca="1">IF(controls!$B$10=1,N479,O480-'main page'!$K$29*M480-(1-'main page'!$K$29)*controls!$B$9)</f>
        <v>720.75</v>
      </c>
      <c r="O480" s="61">
        <f t="shared" ca="1" si="42"/>
        <v>0</v>
      </c>
      <c r="P480" s="63">
        <f ca="1">IF(controls!$B$10=1,hystere!N480+hystere!M480,hystere!Q480)</f>
        <v>-847.98749999999995</v>
      </c>
      <c r="Q480" s="61">
        <f ca="1">IF('main page'!$Y$53=1,'choose m.p.'!$I$22*100,R480)</f>
        <v>-847.98749999999995</v>
      </c>
      <c r="R480" s="83">
        <f ca="1">'main page'!$K$29*M480+(1-'main page'!$K$29)*controls!$B$9+S480+(('main page'!$K$25*'main page'!$U$13*'main page'!$K$29)/('main page'!$K$27*(1+('main page'!$K$25^2)*'main page'!$U$13)))*(M480-(controls!$B$9/100)*100)</f>
        <v>-847.98749999999995</v>
      </c>
      <c r="S480" s="81">
        <f ca="1">IF(controls!$B$33=1,(J481-E480*X481-B480)/'main page'!$K$27,(I481-E480*X481-B480)/'main page'!$K$27)</f>
        <v>53.45</v>
      </c>
      <c r="U480" s="58">
        <f>IF(controls!$B$6=1,$AG$4*(1+('main page'!$K$35/100))^V480-$AG$4*(1+('main page'!$K$35/100))^V479,$AG$4*(1+('main page'!$G$8/100))*(1+('main page'!$K$35/100))^V480-$AG$4*(1+('main page'!$G$8/100))*(1+('main page'!$K$35/100))^V479)</f>
        <v>0</v>
      </c>
      <c r="V480" s="60">
        <v>472</v>
      </c>
      <c r="W480" s="36">
        <f ca="1">'normal case'!AC479</f>
        <v>0</v>
      </c>
      <c r="X480" s="36">
        <f ca="1">'normal case'!AD479</f>
        <v>0</v>
      </c>
      <c r="Y480" s="44">
        <f ca="1">IF(controls!$B$33=1,E480-($J$4-'main page'!$K$27*2)*(1+('main page'!$K$35/100))^A479,E480-$AG$5)</f>
        <v>-99.9</v>
      </c>
      <c r="Z480" s="44">
        <f ca="1">ABS(M480-(controls!$B$9/100)*100)</f>
        <v>722.75</v>
      </c>
      <c r="AI480" s="36"/>
      <c r="AJ480" s="36"/>
    </row>
    <row r="481" spans="1:36">
      <c r="A481" s="43">
        <v>478</v>
      </c>
      <c r="B481" s="62">
        <f ca="1">IF(controls!$B$6=2,AVERAGE(E477:E480)+B480*W481+hystere!$AG$9,AVERAGE(E477:E480)+B480*W481)</f>
        <v>1.1000000000000001</v>
      </c>
      <c r="C481" s="67">
        <f t="shared" ca="1" si="43"/>
        <v>0</v>
      </c>
      <c r="D481" s="88">
        <f t="shared" ca="1" si="44"/>
        <v>-1</v>
      </c>
      <c r="E481" s="64">
        <f t="shared" ca="1" si="45"/>
        <v>0.1</v>
      </c>
      <c r="F481" s="64">
        <f ca="1">IF('main page'!$K$34=1,hystere!H481,hystere!G481)</f>
        <v>-1333.5</v>
      </c>
      <c r="G481" s="78">
        <f ca="1">I481-'main page'!$K$27*hystere!N480</f>
        <v>-1333.5</v>
      </c>
      <c r="H481" s="62">
        <f ca="1">J481-'main page'!$K$27*N480</f>
        <v>-1333.5</v>
      </c>
      <c r="I481" s="62">
        <f t="shared" ca="1" si="46"/>
        <v>108</v>
      </c>
      <c r="J481" s="62">
        <f t="shared" ca="1" si="47"/>
        <v>108</v>
      </c>
      <c r="M481" s="62">
        <f ca="1">IF(ABS('main page'!$K$29*M480+(1-'main page'!$K$29)*(controls!$B$9/100)*100+'main page'!$K$25*(E481-B481)-M480)&lt;0.0000001,M480,'main page'!$K$29*M480+(1-'main page'!$K$29)*(controls!$B$9/100)*100+'main page'!$K$25*(E481-B481))</f>
        <v>-721.75</v>
      </c>
      <c r="N481" s="62">
        <f ca="1">IF(controls!$B$10=1,N480,O481-'main page'!$K$29*M481-(1-'main page'!$K$29)*controls!$B$9)</f>
        <v>721.75</v>
      </c>
      <c r="O481" s="61">
        <f t="shared" ca="1" si="42"/>
        <v>0</v>
      </c>
      <c r="P481" s="63">
        <f ca="1">IF(controls!$B$10=1,hystere!N481+hystere!M481,hystere!Q481)</f>
        <v>-849.23749999999995</v>
      </c>
      <c r="Q481" s="61">
        <f ca="1">IF('main page'!$Y$53=1,'choose m.p.'!$I$22*100,R481)</f>
        <v>-849.23749999999995</v>
      </c>
      <c r="R481" s="83">
        <f ca="1">'main page'!$K$29*M481+(1-'main page'!$K$29)*controls!$B$9+S481+(('main page'!$K$25*'main page'!$U$13*'main page'!$K$29)/('main page'!$K$27*(1+('main page'!$K$25^2)*'main page'!$U$13)))*(M481-(controls!$B$9/100)*100)</f>
        <v>-849.23749999999995</v>
      </c>
      <c r="S481" s="81">
        <f ca="1">IF(controls!$B$33=1,(J482-E481*X482-B481)/'main page'!$K$27,(I482-E481*X482-B481)/'main page'!$K$27)</f>
        <v>53.45</v>
      </c>
      <c r="U481" s="58">
        <f>IF(controls!$B$6=1,$AG$4*(1+('main page'!$K$35/100))^V481-$AG$4*(1+('main page'!$K$35/100))^V480,$AG$4*(1+('main page'!$G$8/100))*(1+('main page'!$K$35/100))^V481-$AG$4*(1+('main page'!$G$8/100))*(1+('main page'!$K$35/100))^V480)</f>
        <v>0</v>
      </c>
      <c r="V481" s="60">
        <v>473</v>
      </c>
      <c r="W481" s="36">
        <f>'normal case'!AC480</f>
        <v>0</v>
      </c>
      <c r="X481" s="36">
        <f>'normal case'!AD480</f>
        <v>0</v>
      </c>
      <c r="Y481" s="44">
        <f ca="1">IF(controls!$B$33=1,E481-($J$4-'main page'!$K$27*2)*(1+('main page'!$K$35/100))^A480,E481-$AG$5)</f>
        <v>-99.9</v>
      </c>
      <c r="Z481" s="44">
        <f ca="1">ABS(M481-(controls!$B$9/100)*100)</f>
        <v>723.75</v>
      </c>
      <c r="AI481" s="36"/>
      <c r="AJ481" s="36"/>
    </row>
    <row r="482" spans="1:36">
      <c r="A482" s="43">
        <v>479</v>
      </c>
      <c r="B482" s="62">
        <f ca="1">IF(controls!$B$6=2,AVERAGE(E478:E481)+B481*W482+hystere!$AG$9,AVERAGE(E478:E481)+B481*W482)</f>
        <v>1.1000000000000001</v>
      </c>
      <c r="C482" s="67">
        <f t="shared" ca="1" si="43"/>
        <v>0</v>
      </c>
      <c r="D482" s="88">
        <f t="shared" ca="1" si="44"/>
        <v>-1</v>
      </c>
      <c r="E482" s="64">
        <f t="shared" ca="1" si="45"/>
        <v>0.1</v>
      </c>
      <c r="F482" s="64">
        <f ca="1">IF('main page'!$K$34=1,hystere!H482,hystere!G482)</f>
        <v>-1335.5</v>
      </c>
      <c r="G482" s="78">
        <f ca="1">I482-'main page'!$K$27*hystere!N481</f>
        <v>-1335.5</v>
      </c>
      <c r="H482" s="62">
        <f ca="1">J482-'main page'!$K$27*N481</f>
        <v>-1335.5</v>
      </c>
      <c r="I482" s="62">
        <f t="shared" ca="1" si="46"/>
        <v>108</v>
      </c>
      <c r="J482" s="62">
        <f t="shared" ca="1" si="47"/>
        <v>108</v>
      </c>
      <c r="M482" s="62">
        <f ca="1">IF(ABS('main page'!$K$29*M481+(1-'main page'!$K$29)*(controls!$B$9/100)*100+'main page'!$K$25*(E482-B482)-M481)&lt;0.0000001,M481,'main page'!$K$29*M481+(1-'main page'!$K$29)*(controls!$B$9/100)*100+'main page'!$K$25*(E482-B482))</f>
        <v>-722.75</v>
      </c>
      <c r="N482" s="62">
        <f ca="1">IF(controls!$B$10=1,N481,O482-'main page'!$K$29*M482-(1-'main page'!$K$29)*controls!$B$9)</f>
        <v>722.75</v>
      </c>
      <c r="O482" s="61">
        <f t="shared" ca="1" si="42"/>
        <v>0</v>
      </c>
      <c r="P482" s="63">
        <f ca="1">IF(controls!$B$10=1,hystere!N482+hystere!M482,hystere!Q482)</f>
        <v>-850.48749999999995</v>
      </c>
      <c r="Q482" s="61">
        <f ca="1">IF('main page'!$Y$53=1,'choose m.p.'!$I$22*100,R482)</f>
        <v>-850.48749999999995</v>
      </c>
      <c r="R482" s="83">
        <f ca="1">'main page'!$K$29*M482+(1-'main page'!$K$29)*controls!$B$9+S482+(('main page'!$K$25*'main page'!$U$13*'main page'!$K$29)/('main page'!$K$27*(1+('main page'!$K$25^2)*'main page'!$U$13)))*(M482-(controls!$B$9/100)*100)</f>
        <v>-850.48749999999995</v>
      </c>
      <c r="S482" s="81">
        <f ca="1">IF(controls!$B$33=1,(J483-E482*X483-B482)/'main page'!$K$27,(I483-E482*X483-B482)/'main page'!$K$27)</f>
        <v>53.45</v>
      </c>
      <c r="U482" s="58">
        <f>IF(controls!$B$6=1,$AG$4*(1+('main page'!$K$35/100))^V482-$AG$4*(1+('main page'!$K$35/100))^V481,$AG$4*(1+('main page'!$G$8/100))*(1+('main page'!$K$35/100))^V482-$AG$4*(1+('main page'!$G$8/100))*(1+('main page'!$K$35/100))^V481)</f>
        <v>0</v>
      </c>
      <c r="V482" s="60">
        <v>474</v>
      </c>
      <c r="W482" s="36">
        <f>'normal case'!AC481</f>
        <v>0</v>
      </c>
      <c r="X482" s="36">
        <f>'normal case'!AD481</f>
        <v>0</v>
      </c>
      <c r="Y482" s="44">
        <f ca="1">IF(controls!$B$33=1,E482-($J$4-'main page'!$K$27*2)*(1+('main page'!$K$35/100))^A481,E482-$AG$5)</f>
        <v>-99.9</v>
      </c>
      <c r="Z482" s="44">
        <f ca="1">ABS(M482-(controls!$B$9/100)*100)</f>
        <v>724.75</v>
      </c>
      <c r="AI482" s="36"/>
      <c r="AJ482" s="36"/>
    </row>
    <row r="483" spans="1:36">
      <c r="A483" s="43">
        <v>480</v>
      </c>
      <c r="B483" s="62">
        <f ca="1">IF(controls!$B$6=2,AVERAGE(E479:E482)+B482*W483+hystere!$AG$9,AVERAGE(E479:E482)+B482*W483)</f>
        <v>1.1000000000000001</v>
      </c>
      <c r="C483" s="67">
        <f t="shared" ca="1" si="43"/>
        <v>0</v>
      </c>
      <c r="D483" s="88">
        <f t="shared" ca="1" si="44"/>
        <v>-1</v>
      </c>
      <c r="E483" s="64">
        <f t="shared" ca="1" si="45"/>
        <v>0.1</v>
      </c>
      <c r="F483" s="64">
        <f ca="1">IF('main page'!$K$34=1,hystere!H483,hystere!G483)</f>
        <v>-1337.5</v>
      </c>
      <c r="G483" s="78">
        <f ca="1">I483-'main page'!$K$27*hystere!N482</f>
        <v>-1337.5</v>
      </c>
      <c r="H483" s="62">
        <f ca="1">J483-'main page'!$K$27*N482</f>
        <v>-1337.5</v>
      </c>
      <c r="I483" s="62">
        <f t="shared" ca="1" si="46"/>
        <v>108</v>
      </c>
      <c r="J483" s="62">
        <f t="shared" ca="1" si="47"/>
        <v>108</v>
      </c>
      <c r="M483" s="62">
        <f ca="1">IF(ABS('main page'!$K$29*M482+(1-'main page'!$K$29)*(controls!$B$9/100)*100+'main page'!$K$25*(E483-B483)-M482)&lt;0.0000001,M482,'main page'!$K$29*M482+(1-'main page'!$K$29)*(controls!$B$9/100)*100+'main page'!$K$25*(E483-B483))</f>
        <v>-723.75</v>
      </c>
      <c r="N483" s="62">
        <f ca="1">IF(controls!$B$10=1,N482,O483-'main page'!$K$29*M483-(1-'main page'!$K$29)*controls!$B$9)</f>
        <v>723.75</v>
      </c>
      <c r="O483" s="61">
        <f t="shared" ca="1" si="42"/>
        <v>0</v>
      </c>
      <c r="P483" s="63">
        <f ca="1">IF(controls!$B$10=1,hystere!N483+hystere!M483,hystere!Q483)</f>
        <v>-851.73749999999995</v>
      </c>
      <c r="Q483" s="61">
        <f ca="1">IF('main page'!$Y$53=1,'choose m.p.'!$I$22*100,R483)</f>
        <v>-851.73749999999995</v>
      </c>
      <c r="R483" s="83">
        <f ca="1">'main page'!$K$29*M483+(1-'main page'!$K$29)*controls!$B$9+S483+(('main page'!$K$25*'main page'!$U$13*'main page'!$K$29)/('main page'!$K$27*(1+('main page'!$K$25^2)*'main page'!$U$13)))*(M483-(controls!$B$9/100)*100)</f>
        <v>-851.73749999999995</v>
      </c>
      <c r="S483" s="81">
        <f ca="1">IF(controls!$B$33=1,(J484-E483*X484-B483)/'main page'!$K$27,(I484-E483*X484-B483)/'main page'!$K$27)</f>
        <v>53.45</v>
      </c>
      <c r="U483" s="58">
        <f>IF(controls!$B$6=1,$AG$4*(1+('main page'!$K$35/100))^V483-$AG$4*(1+('main page'!$K$35/100))^V482,$AG$4*(1+('main page'!$G$8/100))*(1+('main page'!$K$35/100))^V483-$AG$4*(1+('main page'!$G$8/100))*(1+('main page'!$K$35/100))^V482)</f>
        <v>0</v>
      </c>
      <c r="V483" s="60">
        <v>475</v>
      </c>
      <c r="W483" s="36">
        <f ca="1">'normal case'!AC482</f>
        <v>0</v>
      </c>
      <c r="X483" s="36">
        <f ca="1">'normal case'!AD482</f>
        <v>0</v>
      </c>
      <c r="Y483" s="44">
        <f ca="1">IF(controls!$B$33=1,E483-($J$4-'main page'!$K$27*2)*(1+('main page'!$K$35/100))^A482,E483-$AG$5)</f>
        <v>-99.9</v>
      </c>
      <c r="Z483" s="44">
        <f ca="1">ABS(M483-(controls!$B$9/100)*100)</f>
        <v>725.75</v>
      </c>
      <c r="AI483" s="36"/>
      <c r="AJ483" s="36"/>
    </row>
    <row r="484" spans="1:36">
      <c r="A484" s="43">
        <v>481</v>
      </c>
      <c r="B484" s="62">
        <f ca="1">IF(controls!$B$6=2,AVERAGE(E480:E483)+B483*W484+hystere!$AG$9,AVERAGE(E480:E483)+B483*W484)</f>
        <v>1.1000000000000001</v>
      </c>
      <c r="C484" s="67">
        <f t="shared" ca="1" si="43"/>
        <v>0</v>
      </c>
      <c r="D484" s="88">
        <f t="shared" ca="1" si="44"/>
        <v>-1</v>
      </c>
      <c r="E484" s="64">
        <f t="shared" ca="1" si="45"/>
        <v>0.1</v>
      </c>
      <c r="F484" s="64">
        <f ca="1">IF('main page'!$K$34=1,hystere!H484,hystere!G484)</f>
        <v>-1339.5</v>
      </c>
      <c r="G484" s="78">
        <f ca="1">I484-'main page'!$K$27*hystere!N483</f>
        <v>-1339.5</v>
      </c>
      <c r="H484" s="62">
        <f ca="1">J484-'main page'!$K$27*N483</f>
        <v>-1339.5</v>
      </c>
      <c r="I484" s="62">
        <f t="shared" ca="1" si="46"/>
        <v>108</v>
      </c>
      <c r="J484" s="62">
        <f t="shared" ca="1" si="47"/>
        <v>108</v>
      </c>
      <c r="M484" s="62">
        <f ca="1">IF(ABS('main page'!$K$29*M483+(1-'main page'!$K$29)*(controls!$B$9/100)*100+'main page'!$K$25*(E484-B484)-M483)&lt;0.0000001,M483,'main page'!$K$29*M483+(1-'main page'!$K$29)*(controls!$B$9/100)*100+'main page'!$K$25*(E484-B484))</f>
        <v>-724.75</v>
      </c>
      <c r="N484" s="62">
        <f ca="1">IF(controls!$B$10=1,N483,O484-'main page'!$K$29*M484-(1-'main page'!$K$29)*controls!$B$9)</f>
        <v>724.75</v>
      </c>
      <c r="O484" s="61">
        <f t="shared" ca="1" si="42"/>
        <v>0</v>
      </c>
      <c r="P484" s="63">
        <f ca="1">IF(controls!$B$10=1,hystere!N484+hystere!M484,hystere!Q484)</f>
        <v>-852.98749999999995</v>
      </c>
      <c r="Q484" s="61">
        <f ca="1">IF('main page'!$Y$53=1,'choose m.p.'!$I$22*100,R484)</f>
        <v>-852.98749999999995</v>
      </c>
      <c r="R484" s="83">
        <f ca="1">'main page'!$K$29*M484+(1-'main page'!$K$29)*controls!$B$9+S484+(('main page'!$K$25*'main page'!$U$13*'main page'!$K$29)/('main page'!$K$27*(1+('main page'!$K$25^2)*'main page'!$U$13)))*(M484-(controls!$B$9/100)*100)</f>
        <v>-852.98749999999995</v>
      </c>
      <c r="S484" s="81">
        <f ca="1">IF(controls!$B$33=1,(J485-E484*X485-B484)/'main page'!$K$27,(I485-E484*X485-B484)/'main page'!$K$27)</f>
        <v>53.45</v>
      </c>
      <c r="U484" s="58">
        <f>IF(controls!$B$6=1,$AG$4*(1+('main page'!$K$35/100))^V484-$AG$4*(1+('main page'!$K$35/100))^V483,$AG$4*(1+('main page'!$G$8/100))*(1+('main page'!$K$35/100))^V484-$AG$4*(1+('main page'!$G$8/100))*(1+('main page'!$K$35/100))^V483)</f>
        <v>0</v>
      </c>
      <c r="V484" s="60">
        <v>476</v>
      </c>
      <c r="W484" s="36">
        <f>'normal case'!AC483</f>
        <v>0</v>
      </c>
      <c r="X484" s="36">
        <f>'normal case'!AD483</f>
        <v>0</v>
      </c>
      <c r="Y484" s="44">
        <f ca="1">IF(controls!$B$33=1,E484-($J$4-'main page'!$K$27*2)*(1+('main page'!$K$35/100))^A483,E484-$AG$5)</f>
        <v>-99.9</v>
      </c>
      <c r="Z484" s="44">
        <f ca="1">ABS(M484-(controls!$B$9/100)*100)</f>
        <v>726.75</v>
      </c>
      <c r="AI484" s="36"/>
      <c r="AJ484" s="36"/>
    </row>
    <row r="485" spans="1:36">
      <c r="A485" s="43">
        <v>482</v>
      </c>
      <c r="B485" s="62">
        <f ca="1">IF(controls!$B$6=2,AVERAGE(E481:E484)+B484*W485+hystere!$AG$9,AVERAGE(E481:E484)+B484*W485)</f>
        <v>1.1000000000000001</v>
      </c>
      <c r="C485" s="67">
        <f t="shared" ca="1" si="43"/>
        <v>0</v>
      </c>
      <c r="D485" s="88">
        <f t="shared" ca="1" si="44"/>
        <v>-1</v>
      </c>
      <c r="E485" s="64">
        <f t="shared" ca="1" si="45"/>
        <v>0.1</v>
      </c>
      <c r="F485" s="64">
        <f ca="1">IF('main page'!$K$34=1,hystere!H485,hystere!G485)</f>
        <v>-1341.5</v>
      </c>
      <c r="G485" s="78">
        <f ca="1">I485-'main page'!$K$27*hystere!N484</f>
        <v>-1341.5</v>
      </c>
      <c r="H485" s="62">
        <f ca="1">J485-'main page'!$K$27*N484</f>
        <v>-1341.5</v>
      </c>
      <c r="I485" s="62">
        <f t="shared" ca="1" si="46"/>
        <v>108</v>
      </c>
      <c r="J485" s="62">
        <f t="shared" ca="1" si="47"/>
        <v>108</v>
      </c>
      <c r="M485" s="62">
        <f ca="1">IF(ABS('main page'!$K$29*M484+(1-'main page'!$K$29)*(controls!$B$9/100)*100+'main page'!$K$25*(E485-B485)-M484)&lt;0.0000001,M484,'main page'!$K$29*M484+(1-'main page'!$K$29)*(controls!$B$9/100)*100+'main page'!$K$25*(E485-B485))</f>
        <v>-725.75</v>
      </c>
      <c r="N485" s="62">
        <f ca="1">IF(controls!$B$10=1,N484,O485-'main page'!$K$29*M485-(1-'main page'!$K$29)*controls!$B$9)</f>
        <v>725.75</v>
      </c>
      <c r="O485" s="61">
        <f t="shared" ca="1" si="42"/>
        <v>0</v>
      </c>
      <c r="P485" s="63">
        <f ca="1">IF(controls!$B$10=1,hystere!N485+hystere!M485,hystere!Q485)</f>
        <v>-854.23749999999995</v>
      </c>
      <c r="Q485" s="61">
        <f ca="1">IF('main page'!$Y$53=1,'choose m.p.'!$I$22*100,R485)</f>
        <v>-854.23749999999995</v>
      </c>
      <c r="R485" s="83">
        <f ca="1">'main page'!$K$29*M485+(1-'main page'!$K$29)*controls!$B$9+S485+(('main page'!$K$25*'main page'!$U$13*'main page'!$K$29)/('main page'!$K$27*(1+('main page'!$K$25^2)*'main page'!$U$13)))*(M485-(controls!$B$9/100)*100)</f>
        <v>-854.23749999999995</v>
      </c>
      <c r="S485" s="81">
        <f ca="1">IF(controls!$B$33=1,(J486-E485*X486-B485)/'main page'!$K$27,(I486-E485*X486-B485)/'main page'!$K$27)</f>
        <v>53.45</v>
      </c>
      <c r="U485" s="58">
        <f>IF(controls!$B$6=1,$AG$4*(1+('main page'!$K$35/100))^V485-$AG$4*(1+('main page'!$K$35/100))^V484,$AG$4*(1+('main page'!$G$8/100))*(1+('main page'!$K$35/100))^V485-$AG$4*(1+('main page'!$G$8/100))*(1+('main page'!$K$35/100))^V484)</f>
        <v>0</v>
      </c>
      <c r="V485" s="60">
        <v>477</v>
      </c>
      <c r="W485" s="36">
        <f>'normal case'!AC484</f>
        <v>0</v>
      </c>
      <c r="X485" s="36">
        <f>'normal case'!AD484</f>
        <v>0</v>
      </c>
      <c r="Y485" s="44">
        <f ca="1">IF(controls!$B$33=1,E485-($J$4-'main page'!$K$27*2)*(1+('main page'!$K$35/100))^A484,E485-$AG$5)</f>
        <v>-99.9</v>
      </c>
      <c r="Z485" s="44">
        <f ca="1">ABS(M485-(controls!$B$9/100)*100)</f>
        <v>727.75</v>
      </c>
      <c r="AI485" s="36"/>
      <c r="AJ485" s="36"/>
    </row>
    <row r="486" spans="1:36">
      <c r="A486" s="43">
        <v>483</v>
      </c>
      <c r="B486" s="62">
        <f ca="1">IF(controls!$B$6=2,AVERAGE(E482:E485)+B485*W486+hystere!$AG$9,AVERAGE(E482:E485)+B485*W486)</f>
        <v>1.1000000000000001</v>
      </c>
      <c r="C486" s="67">
        <f t="shared" ca="1" si="43"/>
        <v>0</v>
      </c>
      <c r="D486" s="88">
        <f t="shared" ca="1" si="44"/>
        <v>-1</v>
      </c>
      <c r="E486" s="64">
        <f t="shared" ca="1" si="45"/>
        <v>0.1</v>
      </c>
      <c r="F486" s="64">
        <f ca="1">IF('main page'!$K$34=1,hystere!H486,hystere!G486)</f>
        <v>-1343.5</v>
      </c>
      <c r="G486" s="78">
        <f ca="1">I486-'main page'!$K$27*hystere!N485</f>
        <v>-1343.5</v>
      </c>
      <c r="H486" s="62">
        <f ca="1">J486-'main page'!$K$27*N485</f>
        <v>-1343.5</v>
      </c>
      <c r="I486" s="62">
        <f t="shared" ca="1" si="46"/>
        <v>108</v>
      </c>
      <c r="J486" s="62">
        <f t="shared" ca="1" si="47"/>
        <v>108</v>
      </c>
      <c r="M486" s="62">
        <f ca="1">IF(ABS('main page'!$K$29*M485+(1-'main page'!$K$29)*(controls!$B$9/100)*100+'main page'!$K$25*(E486-B486)-M485)&lt;0.0000001,M485,'main page'!$K$29*M485+(1-'main page'!$K$29)*(controls!$B$9/100)*100+'main page'!$K$25*(E486-B486))</f>
        <v>-726.75</v>
      </c>
      <c r="N486" s="62">
        <f ca="1">IF(controls!$B$10=1,N485,O486-'main page'!$K$29*M486-(1-'main page'!$K$29)*controls!$B$9)</f>
        <v>726.75</v>
      </c>
      <c r="O486" s="61">
        <f t="shared" ca="1" si="42"/>
        <v>0</v>
      </c>
      <c r="P486" s="63">
        <f ca="1">IF(controls!$B$10=1,hystere!N486+hystere!M486,hystere!Q486)</f>
        <v>-855.48749999999995</v>
      </c>
      <c r="Q486" s="61">
        <f ca="1">IF('main page'!$Y$53=1,'choose m.p.'!$I$22*100,R486)</f>
        <v>-855.48749999999995</v>
      </c>
      <c r="R486" s="83">
        <f ca="1">'main page'!$K$29*M486+(1-'main page'!$K$29)*controls!$B$9+S486+(('main page'!$K$25*'main page'!$U$13*'main page'!$K$29)/('main page'!$K$27*(1+('main page'!$K$25^2)*'main page'!$U$13)))*(M486-(controls!$B$9/100)*100)</f>
        <v>-855.48749999999995</v>
      </c>
      <c r="S486" s="81">
        <f ca="1">IF(controls!$B$33=1,(J487-E486*X487-B486)/'main page'!$K$27,(I487-E486*X487-B486)/'main page'!$K$27)</f>
        <v>53.45</v>
      </c>
      <c r="U486" s="58">
        <f>IF(controls!$B$6=1,$AG$4*(1+('main page'!$K$35/100))^V486-$AG$4*(1+('main page'!$K$35/100))^V485,$AG$4*(1+('main page'!$G$8/100))*(1+('main page'!$K$35/100))^V486-$AG$4*(1+('main page'!$G$8/100))*(1+('main page'!$K$35/100))^V485)</f>
        <v>0</v>
      </c>
      <c r="V486" s="60">
        <v>478</v>
      </c>
      <c r="W486" s="36">
        <f ca="1">'normal case'!AC485</f>
        <v>0</v>
      </c>
      <c r="X486" s="36">
        <f ca="1">'normal case'!AD485</f>
        <v>0</v>
      </c>
      <c r="Y486" s="44">
        <f ca="1">IF(controls!$B$33=1,E486-($J$4-'main page'!$K$27*2)*(1+('main page'!$K$35/100))^A485,E486-$AG$5)</f>
        <v>-99.9</v>
      </c>
      <c r="Z486" s="44">
        <f ca="1">ABS(M486-(controls!$B$9/100)*100)</f>
        <v>728.75</v>
      </c>
      <c r="AI486" s="36"/>
      <c r="AJ486" s="36"/>
    </row>
    <row r="487" spans="1:36">
      <c r="A487" s="43">
        <v>484</v>
      </c>
      <c r="B487" s="62">
        <f ca="1">IF(controls!$B$6=2,AVERAGE(E483:E486)+B486*W487+hystere!$AG$9,AVERAGE(E483:E486)+B486*W487)</f>
        <v>1.1000000000000001</v>
      </c>
      <c r="C487" s="67">
        <f t="shared" ca="1" si="43"/>
        <v>0</v>
      </c>
      <c r="D487" s="88">
        <f t="shared" ca="1" si="44"/>
        <v>-1</v>
      </c>
      <c r="E487" s="64">
        <f t="shared" ca="1" si="45"/>
        <v>0.1</v>
      </c>
      <c r="F487" s="64">
        <f ca="1">IF('main page'!$K$34=1,hystere!H487,hystere!G487)</f>
        <v>-1345.5</v>
      </c>
      <c r="G487" s="78">
        <f ca="1">I487-'main page'!$K$27*hystere!N486</f>
        <v>-1345.5</v>
      </c>
      <c r="H487" s="62">
        <f ca="1">J487-'main page'!$K$27*N486</f>
        <v>-1345.5</v>
      </c>
      <c r="I487" s="62">
        <f t="shared" ca="1" si="46"/>
        <v>108</v>
      </c>
      <c r="J487" s="62">
        <f t="shared" ca="1" si="47"/>
        <v>108</v>
      </c>
      <c r="M487" s="62">
        <f ca="1">IF(ABS('main page'!$K$29*M486+(1-'main page'!$K$29)*(controls!$B$9/100)*100+'main page'!$K$25*(E487-B487)-M486)&lt;0.0000001,M486,'main page'!$K$29*M486+(1-'main page'!$K$29)*(controls!$B$9/100)*100+'main page'!$K$25*(E487-B487))</f>
        <v>-727.75</v>
      </c>
      <c r="N487" s="62">
        <f ca="1">IF(controls!$B$10=1,N486,O487-'main page'!$K$29*M487-(1-'main page'!$K$29)*controls!$B$9)</f>
        <v>727.75</v>
      </c>
      <c r="O487" s="61">
        <f t="shared" ca="1" si="42"/>
        <v>0</v>
      </c>
      <c r="P487" s="63">
        <f ca="1">IF(controls!$B$10=1,hystere!N487+hystere!M487,hystere!Q487)</f>
        <v>-856.73749999999995</v>
      </c>
      <c r="Q487" s="61">
        <f ca="1">IF('main page'!$Y$53=1,'choose m.p.'!$I$22*100,R487)</f>
        <v>-856.73749999999995</v>
      </c>
      <c r="R487" s="83">
        <f ca="1">'main page'!$K$29*M487+(1-'main page'!$K$29)*controls!$B$9+S487+(('main page'!$K$25*'main page'!$U$13*'main page'!$K$29)/('main page'!$K$27*(1+('main page'!$K$25^2)*'main page'!$U$13)))*(M487-(controls!$B$9/100)*100)</f>
        <v>-856.73749999999995</v>
      </c>
      <c r="S487" s="81">
        <f ca="1">IF(controls!$B$33=1,(J488-E487*X488-B487)/'main page'!$K$27,(I488-E487*X488-B487)/'main page'!$K$27)</f>
        <v>53.45</v>
      </c>
      <c r="U487" s="58">
        <f>IF(controls!$B$6=1,$AG$4*(1+('main page'!$K$35/100))^V487-$AG$4*(1+('main page'!$K$35/100))^V486,$AG$4*(1+('main page'!$G$8/100))*(1+('main page'!$K$35/100))^V487-$AG$4*(1+('main page'!$G$8/100))*(1+('main page'!$K$35/100))^V486)</f>
        <v>0</v>
      </c>
      <c r="V487" s="60">
        <v>479</v>
      </c>
      <c r="W487" s="36">
        <f>'normal case'!AC486</f>
        <v>0</v>
      </c>
      <c r="X487" s="36">
        <f>'normal case'!AD486</f>
        <v>0</v>
      </c>
      <c r="Y487" s="44">
        <f ca="1">IF(controls!$B$33=1,E487-($J$4-'main page'!$K$27*2)*(1+('main page'!$K$35/100))^A486,E487-$AG$5)</f>
        <v>-99.9</v>
      </c>
      <c r="Z487" s="44">
        <f ca="1">ABS(M487-(controls!$B$9/100)*100)</f>
        <v>729.75</v>
      </c>
      <c r="AI487" s="36"/>
      <c r="AJ487" s="36"/>
    </row>
    <row r="488" spans="1:36">
      <c r="A488" s="43">
        <v>485</v>
      </c>
      <c r="B488" s="62">
        <f ca="1">IF(controls!$B$6=2,AVERAGE(E484:E487)+B487*W488+hystere!$AG$9,AVERAGE(E484:E487)+B487*W488)</f>
        <v>1.1000000000000001</v>
      </c>
      <c r="C488" s="67">
        <f t="shared" ca="1" si="43"/>
        <v>0</v>
      </c>
      <c r="D488" s="88">
        <f t="shared" ca="1" si="44"/>
        <v>-1</v>
      </c>
      <c r="E488" s="64">
        <f t="shared" ca="1" si="45"/>
        <v>0.1</v>
      </c>
      <c r="F488" s="64">
        <f ca="1">IF('main page'!$K$34=1,hystere!H488,hystere!G488)</f>
        <v>-1347.5</v>
      </c>
      <c r="G488" s="78">
        <f ca="1">I488-'main page'!$K$27*hystere!N487</f>
        <v>-1347.5</v>
      </c>
      <c r="H488" s="62">
        <f ca="1">J488-'main page'!$K$27*N487</f>
        <v>-1347.5</v>
      </c>
      <c r="I488" s="62">
        <f t="shared" ca="1" si="46"/>
        <v>108</v>
      </c>
      <c r="J488" s="62">
        <f t="shared" ca="1" si="47"/>
        <v>108</v>
      </c>
      <c r="M488" s="62">
        <f ca="1">IF(ABS('main page'!$K$29*M487+(1-'main page'!$K$29)*(controls!$B$9/100)*100+'main page'!$K$25*(E488-B488)-M487)&lt;0.0000001,M487,'main page'!$K$29*M487+(1-'main page'!$K$29)*(controls!$B$9/100)*100+'main page'!$K$25*(E488-B488))</f>
        <v>-728.75</v>
      </c>
      <c r="N488" s="62">
        <f ca="1">IF(controls!$B$10=1,N487,O488-'main page'!$K$29*M488-(1-'main page'!$K$29)*controls!$B$9)</f>
        <v>728.75</v>
      </c>
      <c r="O488" s="61">
        <f t="shared" ca="1" si="42"/>
        <v>0</v>
      </c>
      <c r="P488" s="63">
        <f ca="1">IF(controls!$B$10=1,hystere!N488+hystere!M488,hystere!Q488)</f>
        <v>-857.98749999999995</v>
      </c>
      <c r="Q488" s="61">
        <f ca="1">IF('main page'!$Y$53=1,'choose m.p.'!$I$22*100,R488)</f>
        <v>-857.98749999999995</v>
      </c>
      <c r="R488" s="83">
        <f ca="1">'main page'!$K$29*M488+(1-'main page'!$K$29)*controls!$B$9+S488+(('main page'!$K$25*'main page'!$U$13*'main page'!$K$29)/('main page'!$K$27*(1+('main page'!$K$25^2)*'main page'!$U$13)))*(M488-(controls!$B$9/100)*100)</f>
        <v>-857.98749999999995</v>
      </c>
      <c r="S488" s="81">
        <f ca="1">IF(controls!$B$33=1,(J489-E488*X489-B488)/'main page'!$K$27,(I489-E488*X489-B488)/'main page'!$K$27)</f>
        <v>53.45</v>
      </c>
      <c r="U488" s="58">
        <f>IF(controls!$B$6=1,$AG$4*(1+('main page'!$K$35/100))^V488-$AG$4*(1+('main page'!$K$35/100))^V487,$AG$4*(1+('main page'!$G$8/100))*(1+('main page'!$K$35/100))^V488-$AG$4*(1+('main page'!$G$8/100))*(1+('main page'!$K$35/100))^V487)</f>
        <v>0</v>
      </c>
      <c r="V488" s="60">
        <v>480</v>
      </c>
      <c r="W488" s="36">
        <f>'normal case'!AC487</f>
        <v>0</v>
      </c>
      <c r="X488" s="36">
        <f>'normal case'!AD487</f>
        <v>0</v>
      </c>
      <c r="Y488" s="44">
        <f ca="1">IF(controls!$B$33=1,E488-($J$4-'main page'!$K$27*2)*(1+('main page'!$K$35/100))^A487,E488-$AG$5)</f>
        <v>-99.9</v>
      </c>
      <c r="Z488" s="44">
        <f ca="1">ABS(M488-(controls!$B$9/100)*100)</f>
        <v>730.75</v>
      </c>
      <c r="AI488" s="36"/>
      <c r="AJ488" s="36"/>
    </row>
    <row r="489" spans="1:36">
      <c r="A489" s="43">
        <v>486</v>
      </c>
      <c r="B489" s="62">
        <f ca="1">IF(controls!$B$6=2,AVERAGE(E485:E488)+B488*W489+hystere!$AG$9,AVERAGE(E485:E488)+B488*W489)</f>
        <v>1.1000000000000001</v>
      </c>
      <c r="C489" s="67">
        <f t="shared" ca="1" si="43"/>
        <v>0</v>
      </c>
      <c r="D489" s="88">
        <f t="shared" ca="1" si="44"/>
        <v>-1</v>
      </c>
      <c r="E489" s="64">
        <f t="shared" ca="1" si="45"/>
        <v>0.1</v>
      </c>
      <c r="F489" s="64">
        <f ca="1">IF('main page'!$K$34=1,hystere!H489,hystere!G489)</f>
        <v>-1349.5</v>
      </c>
      <c r="G489" s="78">
        <f ca="1">I489-'main page'!$K$27*hystere!N488</f>
        <v>-1349.5</v>
      </c>
      <c r="H489" s="62">
        <f ca="1">J489-'main page'!$K$27*N488</f>
        <v>-1349.5</v>
      </c>
      <c r="I489" s="62">
        <f t="shared" ca="1" si="46"/>
        <v>108</v>
      </c>
      <c r="J489" s="62">
        <f t="shared" ca="1" si="47"/>
        <v>108</v>
      </c>
      <c r="M489" s="62">
        <f ca="1">IF(ABS('main page'!$K$29*M488+(1-'main page'!$K$29)*(controls!$B$9/100)*100+'main page'!$K$25*(E489-B489)-M488)&lt;0.0000001,M488,'main page'!$K$29*M488+(1-'main page'!$K$29)*(controls!$B$9/100)*100+'main page'!$K$25*(E489-B489))</f>
        <v>-729.75</v>
      </c>
      <c r="N489" s="62">
        <f ca="1">IF(controls!$B$10=1,N488,O489-'main page'!$K$29*M489-(1-'main page'!$K$29)*controls!$B$9)</f>
        <v>729.75</v>
      </c>
      <c r="O489" s="61">
        <f t="shared" ca="1" si="42"/>
        <v>0</v>
      </c>
      <c r="P489" s="63">
        <f ca="1">IF(controls!$B$10=1,hystere!N489+hystere!M489,hystere!Q489)</f>
        <v>-859.23749999999995</v>
      </c>
      <c r="Q489" s="61">
        <f ca="1">IF('main page'!$Y$53=1,'choose m.p.'!$I$22*100,R489)</f>
        <v>-859.23749999999995</v>
      </c>
      <c r="R489" s="83">
        <f ca="1">'main page'!$K$29*M489+(1-'main page'!$K$29)*controls!$B$9+S489+(('main page'!$K$25*'main page'!$U$13*'main page'!$K$29)/('main page'!$K$27*(1+('main page'!$K$25^2)*'main page'!$U$13)))*(M489-(controls!$B$9/100)*100)</f>
        <v>-859.23749999999995</v>
      </c>
      <c r="S489" s="81">
        <f ca="1">IF(controls!$B$33=1,(J490-E489*X490-B489)/'main page'!$K$27,(I490-E489*X490-B489)/'main page'!$K$27)</f>
        <v>53.45</v>
      </c>
      <c r="U489" s="58">
        <f>IF(controls!$B$6=1,$AG$4*(1+('main page'!$K$35/100))^V489-$AG$4*(1+('main page'!$K$35/100))^V488,$AG$4*(1+('main page'!$G$8/100))*(1+('main page'!$K$35/100))^V489-$AG$4*(1+('main page'!$G$8/100))*(1+('main page'!$K$35/100))^V488)</f>
        <v>0</v>
      </c>
      <c r="V489" s="60">
        <v>481</v>
      </c>
      <c r="W489" s="36">
        <f ca="1">'normal case'!AC488</f>
        <v>0</v>
      </c>
      <c r="X489" s="36">
        <f ca="1">'normal case'!AD488</f>
        <v>0</v>
      </c>
      <c r="Y489" s="44">
        <f ca="1">IF(controls!$B$33=1,E489-($J$4-'main page'!$K$27*2)*(1+('main page'!$K$35/100))^A488,E489-$AG$5)</f>
        <v>-99.9</v>
      </c>
      <c r="Z489" s="44">
        <f ca="1">ABS(M489-(controls!$B$9/100)*100)</f>
        <v>731.75</v>
      </c>
      <c r="AI489" s="36"/>
      <c r="AJ489" s="36"/>
    </row>
    <row r="490" spans="1:36">
      <c r="A490" s="43">
        <v>487</v>
      </c>
      <c r="B490" s="62">
        <f ca="1">IF(controls!$B$6=2,AVERAGE(E486:E489)+B489*W490+hystere!$AG$9,AVERAGE(E486:E489)+B489*W490)</f>
        <v>1.1000000000000001</v>
      </c>
      <c r="C490" s="67">
        <f t="shared" ca="1" si="43"/>
        <v>0</v>
      </c>
      <c r="D490" s="88">
        <f t="shared" ca="1" si="44"/>
        <v>-1</v>
      </c>
      <c r="E490" s="64">
        <f t="shared" ca="1" si="45"/>
        <v>0.1</v>
      </c>
      <c r="F490" s="64">
        <f ca="1">IF('main page'!$K$34=1,hystere!H490,hystere!G490)</f>
        <v>-1351.5</v>
      </c>
      <c r="G490" s="78">
        <f ca="1">I490-'main page'!$K$27*hystere!N489</f>
        <v>-1351.5</v>
      </c>
      <c r="H490" s="62">
        <f ca="1">J490-'main page'!$K$27*N489</f>
        <v>-1351.5</v>
      </c>
      <c r="I490" s="62">
        <f t="shared" ca="1" si="46"/>
        <v>108</v>
      </c>
      <c r="J490" s="62">
        <f t="shared" ca="1" si="47"/>
        <v>108</v>
      </c>
      <c r="M490" s="62">
        <f ca="1">IF(ABS('main page'!$K$29*M489+(1-'main page'!$K$29)*(controls!$B$9/100)*100+'main page'!$K$25*(E490-B490)-M489)&lt;0.0000001,M489,'main page'!$K$29*M489+(1-'main page'!$K$29)*(controls!$B$9/100)*100+'main page'!$K$25*(E490-B490))</f>
        <v>-730.75</v>
      </c>
      <c r="N490" s="62">
        <f ca="1">IF(controls!$B$10=1,N489,O490-'main page'!$K$29*M490-(1-'main page'!$K$29)*controls!$B$9)</f>
        <v>730.75</v>
      </c>
      <c r="O490" s="61">
        <f t="shared" ca="1" si="42"/>
        <v>0</v>
      </c>
      <c r="P490" s="63">
        <f ca="1">IF(controls!$B$10=1,hystere!N490+hystere!M490,hystere!Q490)</f>
        <v>-860.48749999999995</v>
      </c>
      <c r="Q490" s="61">
        <f ca="1">IF('main page'!$Y$53=1,'choose m.p.'!$I$22*100,R490)</f>
        <v>-860.48749999999995</v>
      </c>
      <c r="R490" s="83">
        <f ca="1">'main page'!$K$29*M490+(1-'main page'!$K$29)*controls!$B$9+S490+(('main page'!$K$25*'main page'!$U$13*'main page'!$K$29)/('main page'!$K$27*(1+('main page'!$K$25^2)*'main page'!$U$13)))*(M490-(controls!$B$9/100)*100)</f>
        <v>-860.48749999999995</v>
      </c>
      <c r="S490" s="81">
        <f ca="1">IF(controls!$B$33=1,(J491-E490*X491-B490)/'main page'!$K$27,(I491-E490*X491-B490)/'main page'!$K$27)</f>
        <v>53.45</v>
      </c>
      <c r="U490" s="58">
        <f>IF(controls!$B$6=1,$AG$4*(1+('main page'!$K$35/100))^V490-$AG$4*(1+('main page'!$K$35/100))^V489,$AG$4*(1+('main page'!$G$8/100))*(1+('main page'!$K$35/100))^V490-$AG$4*(1+('main page'!$G$8/100))*(1+('main page'!$K$35/100))^V489)</f>
        <v>0</v>
      </c>
      <c r="V490" s="60">
        <v>482</v>
      </c>
      <c r="W490" s="36">
        <f>'normal case'!AC489</f>
        <v>0</v>
      </c>
      <c r="X490" s="36">
        <f>'normal case'!AD489</f>
        <v>0</v>
      </c>
      <c r="Y490" s="44">
        <f ca="1">IF(controls!$B$33=1,E490-($J$4-'main page'!$K$27*2)*(1+('main page'!$K$35/100))^A489,E490-$AG$5)</f>
        <v>-99.9</v>
      </c>
      <c r="Z490" s="44">
        <f ca="1">ABS(M490-(controls!$B$9/100)*100)</f>
        <v>732.75</v>
      </c>
      <c r="AI490" s="36"/>
      <c r="AJ490" s="36"/>
    </row>
    <row r="491" spans="1:36">
      <c r="A491" s="43">
        <v>488</v>
      </c>
      <c r="B491" s="62">
        <f ca="1">IF(controls!$B$6=2,AVERAGE(E487:E490)+B490*W491+hystere!$AG$9,AVERAGE(E487:E490)+B490*W491)</f>
        <v>1.1000000000000001</v>
      </c>
      <c r="C491" s="67">
        <f t="shared" ca="1" si="43"/>
        <v>0</v>
      </c>
      <c r="D491" s="88">
        <f t="shared" ca="1" si="44"/>
        <v>-1</v>
      </c>
      <c r="E491" s="64">
        <f t="shared" ca="1" si="45"/>
        <v>0.1</v>
      </c>
      <c r="F491" s="64">
        <f ca="1">IF('main page'!$K$34=1,hystere!H491,hystere!G491)</f>
        <v>-1353.5</v>
      </c>
      <c r="G491" s="78">
        <f ca="1">I491-'main page'!$K$27*hystere!N490</f>
        <v>-1353.5</v>
      </c>
      <c r="H491" s="62">
        <f ca="1">J491-'main page'!$K$27*N490</f>
        <v>-1353.5</v>
      </c>
      <c r="I491" s="62">
        <f t="shared" ca="1" si="46"/>
        <v>108</v>
      </c>
      <c r="J491" s="62">
        <f t="shared" ca="1" si="47"/>
        <v>108</v>
      </c>
      <c r="M491" s="62">
        <f ca="1">IF(ABS('main page'!$K$29*M490+(1-'main page'!$K$29)*(controls!$B$9/100)*100+'main page'!$K$25*(E491-B491)-M490)&lt;0.0000001,M490,'main page'!$K$29*M490+(1-'main page'!$K$29)*(controls!$B$9/100)*100+'main page'!$K$25*(E491-B491))</f>
        <v>-731.75</v>
      </c>
      <c r="N491" s="62">
        <f ca="1">IF(controls!$B$10=1,N490,O491-'main page'!$K$29*M491-(1-'main page'!$K$29)*controls!$B$9)</f>
        <v>731.75</v>
      </c>
      <c r="O491" s="61">
        <f t="shared" ca="1" si="42"/>
        <v>0</v>
      </c>
      <c r="P491" s="63">
        <f ca="1">IF(controls!$B$10=1,hystere!N491+hystere!M491,hystere!Q491)</f>
        <v>-861.73749999999995</v>
      </c>
      <c r="Q491" s="61">
        <f ca="1">IF('main page'!$Y$53=1,'choose m.p.'!$I$22*100,R491)</f>
        <v>-861.73749999999995</v>
      </c>
      <c r="R491" s="83">
        <f ca="1">'main page'!$K$29*M491+(1-'main page'!$K$29)*controls!$B$9+S491+(('main page'!$K$25*'main page'!$U$13*'main page'!$K$29)/('main page'!$K$27*(1+('main page'!$K$25^2)*'main page'!$U$13)))*(M491-(controls!$B$9/100)*100)</f>
        <v>-861.73749999999995</v>
      </c>
      <c r="S491" s="81">
        <f ca="1">IF(controls!$B$33=1,(J492-E491*X492-B491)/'main page'!$K$27,(I492-E491*X492-B491)/'main page'!$K$27)</f>
        <v>53.45</v>
      </c>
      <c r="U491" s="58">
        <f>IF(controls!$B$6=1,$AG$4*(1+('main page'!$K$35/100))^V491-$AG$4*(1+('main page'!$K$35/100))^V490,$AG$4*(1+('main page'!$G$8/100))*(1+('main page'!$K$35/100))^V491-$AG$4*(1+('main page'!$G$8/100))*(1+('main page'!$K$35/100))^V490)</f>
        <v>0</v>
      </c>
      <c r="V491" s="60">
        <v>483</v>
      </c>
      <c r="W491" s="36">
        <f>'normal case'!AC490</f>
        <v>0</v>
      </c>
      <c r="X491" s="36">
        <f>'normal case'!AD490</f>
        <v>0</v>
      </c>
      <c r="Y491" s="44">
        <f ca="1">IF(controls!$B$33=1,E491-($J$4-'main page'!$K$27*2)*(1+('main page'!$K$35/100))^A490,E491-$AG$5)</f>
        <v>-99.9</v>
      </c>
      <c r="Z491" s="44">
        <f ca="1">ABS(M491-(controls!$B$9/100)*100)</f>
        <v>733.75</v>
      </c>
      <c r="AI491" s="36"/>
      <c r="AJ491" s="36"/>
    </row>
    <row r="492" spans="1:36">
      <c r="A492" s="43">
        <v>489</v>
      </c>
      <c r="B492" s="62">
        <f ca="1">IF(controls!$B$6=2,AVERAGE(E488:E491)+B491*W492+hystere!$AG$9,AVERAGE(E488:E491)+B491*W492)</f>
        <v>1.1000000000000001</v>
      </c>
      <c r="C492" s="67">
        <f t="shared" ca="1" si="43"/>
        <v>0</v>
      </c>
      <c r="D492" s="88">
        <f t="shared" ca="1" si="44"/>
        <v>-1</v>
      </c>
      <c r="E492" s="64">
        <f t="shared" ca="1" si="45"/>
        <v>0.1</v>
      </c>
      <c r="F492" s="64">
        <f ca="1">IF('main page'!$K$34=1,hystere!H492,hystere!G492)</f>
        <v>-1355.5</v>
      </c>
      <c r="G492" s="78">
        <f ca="1">I492-'main page'!$K$27*hystere!N491</f>
        <v>-1355.5</v>
      </c>
      <c r="H492" s="62">
        <f ca="1">J492-'main page'!$K$27*N491</f>
        <v>-1355.5</v>
      </c>
      <c r="I492" s="62">
        <f t="shared" ca="1" si="46"/>
        <v>108</v>
      </c>
      <c r="J492" s="62">
        <f t="shared" ca="1" si="47"/>
        <v>108</v>
      </c>
      <c r="M492" s="62">
        <f ca="1">IF(ABS('main page'!$K$29*M491+(1-'main page'!$K$29)*(controls!$B$9/100)*100+'main page'!$K$25*(E492-B492)-M491)&lt;0.0000001,M491,'main page'!$K$29*M491+(1-'main page'!$K$29)*(controls!$B$9/100)*100+'main page'!$K$25*(E492-B492))</f>
        <v>-732.75</v>
      </c>
      <c r="N492" s="62">
        <f ca="1">IF(controls!$B$10=1,N491,O492-'main page'!$K$29*M492-(1-'main page'!$K$29)*controls!$B$9)</f>
        <v>732.75</v>
      </c>
      <c r="O492" s="61">
        <f t="shared" ca="1" si="42"/>
        <v>0</v>
      </c>
      <c r="P492" s="63">
        <f ca="1">IF(controls!$B$10=1,hystere!N492+hystere!M492,hystere!Q492)</f>
        <v>-862.98749999999995</v>
      </c>
      <c r="Q492" s="61">
        <f ca="1">IF('main page'!$Y$53=1,'choose m.p.'!$I$22*100,R492)</f>
        <v>-862.98749999999995</v>
      </c>
      <c r="R492" s="83">
        <f ca="1">'main page'!$K$29*M492+(1-'main page'!$K$29)*controls!$B$9+S492+(('main page'!$K$25*'main page'!$U$13*'main page'!$K$29)/('main page'!$K$27*(1+('main page'!$K$25^2)*'main page'!$U$13)))*(M492-(controls!$B$9/100)*100)</f>
        <v>-862.98749999999995</v>
      </c>
      <c r="S492" s="81">
        <f ca="1">IF(controls!$B$33=1,(J493-E492*X493-B492)/'main page'!$K$27,(I493-E492*X493-B492)/'main page'!$K$27)</f>
        <v>53.45</v>
      </c>
      <c r="U492" s="58">
        <f>IF(controls!$B$6=1,$AG$4*(1+('main page'!$K$35/100))^V492-$AG$4*(1+('main page'!$K$35/100))^V491,$AG$4*(1+('main page'!$G$8/100))*(1+('main page'!$K$35/100))^V492-$AG$4*(1+('main page'!$G$8/100))*(1+('main page'!$K$35/100))^V491)</f>
        <v>0</v>
      </c>
      <c r="V492" s="60">
        <v>484</v>
      </c>
      <c r="W492" s="36">
        <f ca="1">'normal case'!AC491</f>
        <v>0</v>
      </c>
      <c r="X492" s="36">
        <f ca="1">'normal case'!AD491</f>
        <v>0</v>
      </c>
      <c r="Y492" s="44">
        <f ca="1">IF(controls!$B$33=1,E492-($J$4-'main page'!$K$27*2)*(1+('main page'!$K$35/100))^A491,E492-$AG$5)</f>
        <v>-99.9</v>
      </c>
      <c r="Z492" s="44">
        <f ca="1">ABS(M492-(controls!$B$9/100)*100)</f>
        <v>734.75</v>
      </c>
      <c r="AI492" s="36"/>
      <c r="AJ492" s="36"/>
    </row>
    <row r="493" spans="1:36">
      <c r="A493" s="43">
        <v>490</v>
      </c>
      <c r="B493" s="62">
        <f ca="1">IF(controls!$B$6=2,AVERAGE(E489:E492)+B492*W493+hystere!$AG$9,AVERAGE(E489:E492)+B492*W493)</f>
        <v>1.1000000000000001</v>
      </c>
      <c r="C493" s="67">
        <f t="shared" ca="1" si="43"/>
        <v>0</v>
      </c>
      <c r="D493" s="88">
        <f t="shared" ca="1" si="44"/>
        <v>-1</v>
      </c>
      <c r="E493" s="64">
        <f t="shared" ca="1" si="45"/>
        <v>0.1</v>
      </c>
      <c r="F493" s="64">
        <f ca="1">IF('main page'!$K$34=1,hystere!H493,hystere!G493)</f>
        <v>-1357.5</v>
      </c>
      <c r="G493" s="78">
        <f ca="1">I493-'main page'!$K$27*hystere!N492</f>
        <v>-1357.5</v>
      </c>
      <c r="H493" s="62">
        <f ca="1">J493-'main page'!$K$27*N492</f>
        <v>-1357.5</v>
      </c>
      <c r="I493" s="62">
        <f t="shared" ca="1" si="46"/>
        <v>108</v>
      </c>
      <c r="J493" s="62">
        <f t="shared" ca="1" si="47"/>
        <v>108</v>
      </c>
      <c r="M493" s="62">
        <f ca="1">IF(ABS('main page'!$K$29*M492+(1-'main page'!$K$29)*(controls!$B$9/100)*100+'main page'!$K$25*(E493-B493)-M492)&lt;0.0000001,M492,'main page'!$K$29*M492+(1-'main page'!$K$29)*(controls!$B$9/100)*100+'main page'!$K$25*(E493-B493))</f>
        <v>-733.75</v>
      </c>
      <c r="N493" s="62">
        <f ca="1">IF(controls!$B$10=1,N492,O493-'main page'!$K$29*M493-(1-'main page'!$K$29)*controls!$B$9)</f>
        <v>733.75</v>
      </c>
      <c r="O493" s="61">
        <f t="shared" ca="1" si="42"/>
        <v>0</v>
      </c>
      <c r="P493" s="63">
        <f ca="1">IF(controls!$B$10=1,hystere!N493+hystere!M493,hystere!Q493)</f>
        <v>-864.23749999999995</v>
      </c>
      <c r="Q493" s="61">
        <f ca="1">IF('main page'!$Y$53=1,'choose m.p.'!$I$22*100,R493)</f>
        <v>-864.23749999999995</v>
      </c>
      <c r="R493" s="83">
        <f ca="1">'main page'!$K$29*M493+(1-'main page'!$K$29)*controls!$B$9+S493+(('main page'!$K$25*'main page'!$U$13*'main page'!$K$29)/('main page'!$K$27*(1+('main page'!$K$25^2)*'main page'!$U$13)))*(M493-(controls!$B$9/100)*100)</f>
        <v>-864.23749999999995</v>
      </c>
      <c r="S493" s="81">
        <f ca="1">IF(controls!$B$33=1,(J494-E493*X494-B493)/'main page'!$K$27,(I494-E493*X494-B493)/'main page'!$K$27)</f>
        <v>53.45</v>
      </c>
      <c r="U493" s="58">
        <f>IF(controls!$B$6=1,$AG$4*(1+('main page'!$K$35/100))^V493-$AG$4*(1+('main page'!$K$35/100))^V492,$AG$4*(1+('main page'!$G$8/100))*(1+('main page'!$K$35/100))^V493-$AG$4*(1+('main page'!$G$8/100))*(1+('main page'!$K$35/100))^V492)</f>
        <v>0</v>
      </c>
      <c r="V493" s="60">
        <v>485</v>
      </c>
      <c r="W493" s="36">
        <f>'normal case'!AC492</f>
        <v>0</v>
      </c>
      <c r="X493" s="36">
        <f>'normal case'!AD492</f>
        <v>0</v>
      </c>
      <c r="Y493" s="44">
        <f ca="1">IF(controls!$B$33=1,E493-($J$4-'main page'!$K$27*2)*(1+('main page'!$K$35/100))^A492,E493-$AG$5)</f>
        <v>-99.9</v>
      </c>
      <c r="Z493" s="44">
        <f ca="1">ABS(M493-(controls!$B$9/100)*100)</f>
        <v>735.75</v>
      </c>
      <c r="AI493" s="36"/>
      <c r="AJ493" s="36"/>
    </row>
    <row r="494" spans="1:36">
      <c r="A494" s="43">
        <v>491</v>
      </c>
      <c r="B494" s="62">
        <f ca="1">IF(controls!$B$6=2,AVERAGE(E490:E493)+B493*W494+hystere!$AG$9,AVERAGE(E490:E493)+B493*W494)</f>
        <v>1.1000000000000001</v>
      </c>
      <c r="C494" s="67">
        <f t="shared" ca="1" si="43"/>
        <v>0</v>
      </c>
      <c r="D494" s="88">
        <f t="shared" ca="1" si="44"/>
        <v>-1</v>
      </c>
      <c r="E494" s="64">
        <f t="shared" ca="1" si="45"/>
        <v>0.1</v>
      </c>
      <c r="F494" s="64">
        <f ca="1">IF('main page'!$K$34=1,hystere!H494,hystere!G494)</f>
        <v>-1359.5</v>
      </c>
      <c r="G494" s="78">
        <f ca="1">I494-'main page'!$K$27*hystere!N493</f>
        <v>-1359.5</v>
      </c>
      <c r="H494" s="62">
        <f ca="1">J494-'main page'!$K$27*N493</f>
        <v>-1359.5</v>
      </c>
      <c r="I494" s="62">
        <f t="shared" ca="1" si="46"/>
        <v>108</v>
      </c>
      <c r="J494" s="62">
        <f t="shared" ca="1" si="47"/>
        <v>108</v>
      </c>
      <c r="M494" s="62">
        <f ca="1">IF(ABS('main page'!$K$29*M493+(1-'main page'!$K$29)*(controls!$B$9/100)*100+'main page'!$K$25*(E494-B494)-M493)&lt;0.0000001,M493,'main page'!$K$29*M493+(1-'main page'!$K$29)*(controls!$B$9/100)*100+'main page'!$K$25*(E494-B494))</f>
        <v>-734.75</v>
      </c>
      <c r="N494" s="62">
        <f ca="1">IF(controls!$B$10=1,N493,O494-'main page'!$K$29*M494-(1-'main page'!$K$29)*controls!$B$9)</f>
        <v>734.75</v>
      </c>
      <c r="O494" s="61">
        <f t="shared" ca="1" si="42"/>
        <v>0</v>
      </c>
      <c r="P494" s="63">
        <f ca="1">IF(controls!$B$10=1,hystere!N494+hystere!M494,hystere!Q494)</f>
        <v>-865.48749999999995</v>
      </c>
      <c r="Q494" s="61">
        <f ca="1">IF('main page'!$Y$53=1,'choose m.p.'!$I$22*100,R494)</f>
        <v>-865.48749999999995</v>
      </c>
      <c r="R494" s="83">
        <f ca="1">'main page'!$K$29*M494+(1-'main page'!$K$29)*controls!$B$9+S494+(('main page'!$K$25*'main page'!$U$13*'main page'!$K$29)/('main page'!$K$27*(1+('main page'!$K$25^2)*'main page'!$U$13)))*(M494-(controls!$B$9/100)*100)</f>
        <v>-865.48749999999995</v>
      </c>
      <c r="S494" s="81">
        <f ca="1">IF(controls!$B$33=1,(J495-E494*X495-B494)/'main page'!$K$27,(I495-E494*X495-B494)/'main page'!$K$27)</f>
        <v>53.45</v>
      </c>
      <c r="U494" s="58">
        <f>IF(controls!$B$6=1,$AG$4*(1+('main page'!$K$35/100))^V494-$AG$4*(1+('main page'!$K$35/100))^V493,$AG$4*(1+('main page'!$G$8/100))*(1+('main page'!$K$35/100))^V494-$AG$4*(1+('main page'!$G$8/100))*(1+('main page'!$K$35/100))^V493)</f>
        <v>0</v>
      </c>
      <c r="V494" s="60">
        <v>486</v>
      </c>
      <c r="W494" s="36">
        <f>'normal case'!AC493</f>
        <v>0</v>
      </c>
      <c r="X494" s="36">
        <f>'normal case'!AD493</f>
        <v>0</v>
      </c>
      <c r="Y494" s="44">
        <f ca="1">IF(controls!$B$33=1,E494-($J$4-'main page'!$K$27*2)*(1+('main page'!$K$35/100))^A493,E494-$AG$5)</f>
        <v>-99.9</v>
      </c>
      <c r="Z494" s="44">
        <f ca="1">ABS(M494-(controls!$B$9/100)*100)</f>
        <v>736.75</v>
      </c>
      <c r="AI494" s="36"/>
      <c r="AJ494" s="36"/>
    </row>
    <row r="495" spans="1:36">
      <c r="A495" s="43">
        <v>492</v>
      </c>
      <c r="B495" s="62">
        <f ca="1">IF(controls!$B$6=2,AVERAGE(E491:E494)+B494*W495+hystere!$AG$9,AVERAGE(E491:E494)+B494*W495)</f>
        <v>1.1000000000000001</v>
      </c>
      <c r="C495" s="67">
        <f t="shared" ca="1" si="43"/>
        <v>0</v>
      </c>
      <c r="D495" s="88">
        <f t="shared" ca="1" si="44"/>
        <v>-1</v>
      </c>
      <c r="E495" s="64">
        <f t="shared" ca="1" si="45"/>
        <v>0.1</v>
      </c>
      <c r="F495" s="64">
        <f ca="1">IF('main page'!$K$34=1,hystere!H495,hystere!G495)</f>
        <v>-1361.5</v>
      </c>
      <c r="G495" s="78">
        <f ca="1">I495-'main page'!$K$27*hystere!N494</f>
        <v>-1361.5</v>
      </c>
      <c r="H495" s="62">
        <f ca="1">J495-'main page'!$K$27*N494</f>
        <v>-1361.5</v>
      </c>
      <c r="I495" s="62">
        <f t="shared" ca="1" si="46"/>
        <v>108</v>
      </c>
      <c r="J495" s="62">
        <f t="shared" ca="1" si="47"/>
        <v>108</v>
      </c>
      <c r="M495" s="62">
        <f ca="1">IF(ABS('main page'!$K$29*M494+(1-'main page'!$K$29)*(controls!$B$9/100)*100+'main page'!$K$25*(E495-B495)-M494)&lt;0.0000001,M494,'main page'!$K$29*M494+(1-'main page'!$K$29)*(controls!$B$9/100)*100+'main page'!$K$25*(E495-B495))</f>
        <v>-735.75</v>
      </c>
      <c r="N495" s="62">
        <f ca="1">IF(controls!$B$10=1,N494,O495-'main page'!$K$29*M495-(1-'main page'!$K$29)*controls!$B$9)</f>
        <v>735.75</v>
      </c>
      <c r="O495" s="61">
        <f t="shared" ca="1" si="42"/>
        <v>0</v>
      </c>
      <c r="P495" s="63">
        <f ca="1">IF(controls!$B$10=1,hystere!N495+hystere!M495,hystere!Q495)</f>
        <v>-866.73749999999995</v>
      </c>
      <c r="Q495" s="61">
        <f ca="1">IF('main page'!$Y$53=1,'choose m.p.'!$I$22*100,R495)</f>
        <v>-866.73749999999995</v>
      </c>
      <c r="R495" s="83">
        <f ca="1">'main page'!$K$29*M495+(1-'main page'!$K$29)*controls!$B$9+S495+(('main page'!$K$25*'main page'!$U$13*'main page'!$K$29)/('main page'!$K$27*(1+('main page'!$K$25^2)*'main page'!$U$13)))*(M495-(controls!$B$9/100)*100)</f>
        <v>-866.73749999999995</v>
      </c>
      <c r="S495" s="81">
        <f ca="1">IF(controls!$B$33=1,(J496-E495*X496-B495)/'main page'!$K$27,(I496-E495*X496-B495)/'main page'!$K$27)</f>
        <v>53.45</v>
      </c>
      <c r="U495" s="58">
        <f>IF(controls!$B$6=1,$AG$4*(1+('main page'!$K$35/100))^V495-$AG$4*(1+('main page'!$K$35/100))^V494,$AG$4*(1+('main page'!$G$8/100))*(1+('main page'!$K$35/100))^V495-$AG$4*(1+('main page'!$G$8/100))*(1+('main page'!$K$35/100))^V494)</f>
        <v>0</v>
      </c>
      <c r="V495" s="60">
        <v>487</v>
      </c>
      <c r="W495" s="36">
        <f ca="1">'normal case'!AC494</f>
        <v>0</v>
      </c>
      <c r="X495" s="36">
        <f ca="1">'normal case'!AD494</f>
        <v>0</v>
      </c>
      <c r="Y495" s="44">
        <f ca="1">IF(controls!$B$33=1,E495-($J$4-'main page'!$K$27*2)*(1+('main page'!$K$35/100))^A494,E495-$AG$5)</f>
        <v>-99.9</v>
      </c>
      <c r="Z495" s="44">
        <f ca="1">ABS(M495-(controls!$B$9/100)*100)</f>
        <v>737.75</v>
      </c>
      <c r="AI495" s="36"/>
      <c r="AJ495" s="36"/>
    </row>
    <row r="496" spans="1:36">
      <c r="A496" s="43">
        <v>493</v>
      </c>
      <c r="B496" s="62">
        <f ca="1">IF(controls!$B$6=2,AVERAGE(E492:E495)+B495*W496+hystere!$AG$9,AVERAGE(E492:E495)+B495*W496)</f>
        <v>1.1000000000000001</v>
      </c>
      <c r="C496" s="67">
        <f t="shared" ca="1" si="43"/>
        <v>0</v>
      </c>
      <c r="D496" s="88">
        <f t="shared" ca="1" si="44"/>
        <v>-1</v>
      </c>
      <c r="E496" s="64">
        <f t="shared" ca="1" si="45"/>
        <v>0.1</v>
      </c>
      <c r="F496" s="64">
        <f ca="1">IF('main page'!$K$34=1,hystere!H496,hystere!G496)</f>
        <v>-1363.5</v>
      </c>
      <c r="G496" s="78">
        <f ca="1">I496-'main page'!$K$27*hystere!N495</f>
        <v>-1363.5</v>
      </c>
      <c r="H496" s="62">
        <f ca="1">J496-'main page'!$K$27*N495</f>
        <v>-1363.5</v>
      </c>
      <c r="I496" s="62">
        <f t="shared" ca="1" si="46"/>
        <v>108</v>
      </c>
      <c r="J496" s="62">
        <f t="shared" ca="1" si="47"/>
        <v>108</v>
      </c>
      <c r="M496" s="62">
        <f ca="1">IF(ABS('main page'!$K$29*M495+(1-'main page'!$K$29)*(controls!$B$9/100)*100+'main page'!$K$25*(E496-B496)-M495)&lt;0.0000001,M495,'main page'!$K$29*M495+(1-'main page'!$K$29)*(controls!$B$9/100)*100+'main page'!$K$25*(E496-B496))</f>
        <v>-736.75</v>
      </c>
      <c r="N496" s="62">
        <f ca="1">IF(controls!$B$10=1,N495,O496-'main page'!$K$29*M496-(1-'main page'!$K$29)*controls!$B$9)</f>
        <v>736.75</v>
      </c>
      <c r="O496" s="61">
        <f t="shared" ca="1" si="42"/>
        <v>0</v>
      </c>
      <c r="P496" s="63">
        <f ca="1">IF(controls!$B$10=1,hystere!N496+hystere!M496,hystere!Q496)</f>
        <v>-867.98749999999995</v>
      </c>
      <c r="Q496" s="61">
        <f ca="1">IF('main page'!$Y$53=1,'choose m.p.'!$I$22*100,R496)</f>
        <v>-867.98749999999995</v>
      </c>
      <c r="R496" s="83">
        <f ca="1">'main page'!$K$29*M496+(1-'main page'!$K$29)*controls!$B$9+S496+(('main page'!$K$25*'main page'!$U$13*'main page'!$K$29)/('main page'!$K$27*(1+('main page'!$K$25^2)*'main page'!$U$13)))*(M496-(controls!$B$9/100)*100)</f>
        <v>-867.98749999999995</v>
      </c>
      <c r="S496" s="81">
        <f ca="1">IF(controls!$B$33=1,(J497-E496*X497-B496)/'main page'!$K$27,(I497-E496*X497-B496)/'main page'!$K$27)</f>
        <v>53.45</v>
      </c>
      <c r="U496" s="58">
        <f>IF(controls!$B$6=1,$AG$4*(1+('main page'!$K$35/100))^V496-$AG$4*(1+('main page'!$K$35/100))^V495,$AG$4*(1+('main page'!$G$8/100))*(1+('main page'!$K$35/100))^V496-$AG$4*(1+('main page'!$G$8/100))*(1+('main page'!$K$35/100))^V495)</f>
        <v>0</v>
      </c>
      <c r="V496" s="60">
        <v>488</v>
      </c>
      <c r="W496" s="36">
        <f>'normal case'!AC495</f>
        <v>0</v>
      </c>
      <c r="X496" s="36">
        <f>'normal case'!AD495</f>
        <v>0</v>
      </c>
      <c r="Y496" s="44">
        <f ca="1">IF(controls!$B$33=1,E496-($J$4-'main page'!$K$27*2)*(1+('main page'!$K$35/100))^A495,E496-$AG$5)</f>
        <v>-99.9</v>
      </c>
      <c r="Z496" s="44">
        <f ca="1">ABS(M496-(controls!$B$9/100)*100)</f>
        <v>738.75</v>
      </c>
      <c r="AI496" s="36"/>
      <c r="AJ496" s="36"/>
    </row>
    <row r="497" spans="1:36">
      <c r="A497" s="43">
        <v>494</v>
      </c>
      <c r="B497" s="62">
        <f ca="1">IF(controls!$B$6=2,AVERAGE(E493:E496)+B496*W497+hystere!$AG$9,AVERAGE(E493:E496)+B496*W497)</f>
        <v>1.1000000000000001</v>
      </c>
      <c r="C497" s="67">
        <f t="shared" ca="1" si="43"/>
        <v>0</v>
      </c>
      <c r="D497" s="88">
        <f t="shared" ca="1" si="44"/>
        <v>-1</v>
      </c>
      <c r="E497" s="64">
        <f t="shared" ca="1" si="45"/>
        <v>0.1</v>
      </c>
      <c r="F497" s="64">
        <f ca="1">IF('main page'!$K$34=1,hystere!H497,hystere!G497)</f>
        <v>-1365.5</v>
      </c>
      <c r="G497" s="78">
        <f ca="1">I497-'main page'!$K$27*hystere!N496</f>
        <v>-1365.5</v>
      </c>
      <c r="H497" s="62">
        <f ca="1">J497-'main page'!$K$27*N496</f>
        <v>-1365.5</v>
      </c>
      <c r="I497" s="62">
        <f t="shared" ca="1" si="46"/>
        <v>108</v>
      </c>
      <c r="J497" s="62">
        <f t="shared" ca="1" si="47"/>
        <v>108</v>
      </c>
      <c r="M497" s="62">
        <f ca="1">IF(ABS('main page'!$K$29*M496+(1-'main page'!$K$29)*(controls!$B$9/100)*100+'main page'!$K$25*(E497-B497)-M496)&lt;0.0000001,M496,'main page'!$K$29*M496+(1-'main page'!$K$29)*(controls!$B$9/100)*100+'main page'!$K$25*(E497-B497))</f>
        <v>-737.75</v>
      </c>
      <c r="N497" s="62">
        <f ca="1">IF(controls!$B$10=1,N496,O497-'main page'!$K$29*M497-(1-'main page'!$K$29)*controls!$B$9)</f>
        <v>737.75</v>
      </c>
      <c r="O497" s="61">
        <f t="shared" ca="1" si="42"/>
        <v>0</v>
      </c>
      <c r="P497" s="63">
        <f ca="1">IF(controls!$B$10=1,hystere!N497+hystere!M497,hystere!Q497)</f>
        <v>-869.23749999999995</v>
      </c>
      <c r="Q497" s="61">
        <f ca="1">IF('main page'!$Y$53=1,'choose m.p.'!$I$22*100,R497)</f>
        <v>-869.23749999999995</v>
      </c>
      <c r="R497" s="83">
        <f ca="1">'main page'!$K$29*M497+(1-'main page'!$K$29)*controls!$B$9+S497+(('main page'!$K$25*'main page'!$U$13*'main page'!$K$29)/('main page'!$K$27*(1+('main page'!$K$25^2)*'main page'!$U$13)))*(M497-(controls!$B$9/100)*100)</f>
        <v>-869.23749999999995</v>
      </c>
      <c r="S497" s="81">
        <f ca="1">IF(controls!$B$33=1,(J498-E497*X498-B497)/'main page'!$K$27,(I498-E497*X498-B497)/'main page'!$K$27)</f>
        <v>53.45</v>
      </c>
      <c r="U497" s="58">
        <f>IF(controls!$B$6=1,$AG$4*(1+('main page'!$K$35/100))^V497-$AG$4*(1+('main page'!$K$35/100))^V496,$AG$4*(1+('main page'!$G$8/100))*(1+('main page'!$K$35/100))^V497-$AG$4*(1+('main page'!$G$8/100))*(1+('main page'!$K$35/100))^V496)</f>
        <v>0</v>
      </c>
      <c r="V497" s="60">
        <v>489</v>
      </c>
      <c r="W497" s="36">
        <f>'normal case'!AC496</f>
        <v>0</v>
      </c>
      <c r="X497" s="36">
        <f>'normal case'!AD496</f>
        <v>0</v>
      </c>
      <c r="Y497" s="44">
        <f ca="1">IF(controls!$B$33=1,E497-($J$4-'main page'!$K$27*2)*(1+('main page'!$K$35/100))^A496,E497-$AG$5)</f>
        <v>-99.9</v>
      </c>
      <c r="Z497" s="44">
        <f ca="1">ABS(M497-(controls!$B$9/100)*100)</f>
        <v>739.75</v>
      </c>
      <c r="AI497" s="36"/>
      <c r="AJ497" s="36"/>
    </row>
    <row r="498" spans="1:36">
      <c r="A498" s="43">
        <v>495</v>
      </c>
      <c r="B498" s="62">
        <f ca="1">IF(controls!$B$6=2,AVERAGE(E494:E497)+B497*W498+hystere!$AG$9,AVERAGE(E494:E497)+B497*W498)</f>
        <v>1.1000000000000001</v>
      </c>
      <c r="C498" s="67">
        <f t="shared" ca="1" si="43"/>
        <v>0</v>
      </c>
      <c r="D498" s="88">
        <f t="shared" ca="1" si="44"/>
        <v>-1</v>
      </c>
      <c r="E498" s="64">
        <f t="shared" ca="1" si="45"/>
        <v>0.1</v>
      </c>
      <c r="F498" s="64">
        <f ca="1">IF('main page'!$K$34=1,hystere!H498,hystere!G498)</f>
        <v>-1367.5</v>
      </c>
      <c r="G498" s="78">
        <f ca="1">I498-'main page'!$K$27*hystere!N497</f>
        <v>-1367.5</v>
      </c>
      <c r="H498" s="62">
        <f ca="1">J498-'main page'!$K$27*N497</f>
        <v>-1367.5</v>
      </c>
      <c r="I498" s="62">
        <f t="shared" ca="1" si="46"/>
        <v>108</v>
      </c>
      <c r="J498" s="62">
        <f t="shared" ca="1" si="47"/>
        <v>108</v>
      </c>
      <c r="M498" s="62">
        <f ca="1">IF(ABS('main page'!$K$29*M497+(1-'main page'!$K$29)*(controls!$B$9/100)*100+'main page'!$K$25*(E498-B498)-M497)&lt;0.0000001,M497,'main page'!$K$29*M497+(1-'main page'!$K$29)*(controls!$B$9/100)*100+'main page'!$K$25*(E498-B498))</f>
        <v>-738.75</v>
      </c>
      <c r="N498" s="62">
        <f ca="1">IF(controls!$B$10=1,N497,O498-'main page'!$K$29*M498-(1-'main page'!$K$29)*controls!$B$9)</f>
        <v>738.75</v>
      </c>
      <c r="O498" s="61">
        <f t="shared" ca="1" si="42"/>
        <v>0</v>
      </c>
      <c r="P498" s="63">
        <f ca="1">IF(controls!$B$10=1,hystere!N498+hystere!M498,hystere!Q498)</f>
        <v>-870.48749999999995</v>
      </c>
      <c r="Q498" s="61">
        <f ca="1">IF('main page'!$Y$53=1,'choose m.p.'!$I$22*100,R498)</f>
        <v>-870.48749999999995</v>
      </c>
      <c r="R498" s="83">
        <f ca="1">'main page'!$K$29*M498+(1-'main page'!$K$29)*controls!$B$9+S498+(('main page'!$K$25*'main page'!$U$13*'main page'!$K$29)/('main page'!$K$27*(1+('main page'!$K$25^2)*'main page'!$U$13)))*(M498-(controls!$B$9/100)*100)</f>
        <v>-870.48749999999995</v>
      </c>
      <c r="S498" s="81">
        <f ca="1">IF(controls!$B$33=1,(J499-E498*X499-B498)/'main page'!$K$27,(I499-E498*X499-B498)/'main page'!$K$27)</f>
        <v>53.45</v>
      </c>
      <c r="U498" s="58">
        <f>IF(controls!$B$6=1,$AG$4*(1+('main page'!$K$35/100))^V498-$AG$4*(1+('main page'!$K$35/100))^V497,$AG$4*(1+('main page'!$G$8/100))*(1+('main page'!$K$35/100))^V498-$AG$4*(1+('main page'!$G$8/100))*(1+('main page'!$K$35/100))^V497)</f>
        <v>0</v>
      </c>
      <c r="V498" s="60">
        <v>490</v>
      </c>
      <c r="W498" s="36">
        <f ca="1">'normal case'!AC497</f>
        <v>0</v>
      </c>
      <c r="X498" s="36">
        <f ca="1">'normal case'!AD497</f>
        <v>0</v>
      </c>
      <c r="Y498" s="44">
        <f ca="1">IF(controls!$B$33=1,E498-($J$4-'main page'!$K$27*2)*(1+('main page'!$K$35/100))^A497,E498-$AG$5)</f>
        <v>-99.9</v>
      </c>
      <c r="Z498" s="44">
        <f ca="1">ABS(M498-(controls!$B$9/100)*100)</f>
        <v>740.75</v>
      </c>
      <c r="AI498" s="36"/>
      <c r="AJ498" s="36"/>
    </row>
    <row r="499" spans="1:36">
      <c r="A499" s="43">
        <v>496</v>
      </c>
      <c r="B499" s="62">
        <f ca="1">IF(controls!$B$6=2,AVERAGE(E495:E498)+B498*W499+hystere!$AG$9,AVERAGE(E495:E498)+B498*W499)</f>
        <v>1.1000000000000001</v>
      </c>
      <c r="C499" s="67">
        <f t="shared" ca="1" si="43"/>
        <v>0</v>
      </c>
      <c r="D499" s="88">
        <f t="shared" ca="1" si="44"/>
        <v>-1</v>
      </c>
      <c r="E499" s="64">
        <f t="shared" ca="1" si="45"/>
        <v>0.1</v>
      </c>
      <c r="F499" s="64">
        <f ca="1">IF('main page'!$K$34=1,hystere!H499,hystere!G499)</f>
        <v>-1369.5</v>
      </c>
      <c r="G499" s="78">
        <f ca="1">I499-'main page'!$K$27*hystere!N498</f>
        <v>-1369.5</v>
      </c>
      <c r="H499" s="62">
        <f ca="1">J499-'main page'!$K$27*N498</f>
        <v>-1369.5</v>
      </c>
      <c r="I499" s="62">
        <f t="shared" ca="1" si="46"/>
        <v>108</v>
      </c>
      <c r="J499" s="62">
        <f t="shared" ca="1" si="47"/>
        <v>108</v>
      </c>
      <c r="M499" s="62">
        <f ca="1">IF(ABS('main page'!$K$29*M498+(1-'main page'!$K$29)*(controls!$B$9/100)*100+'main page'!$K$25*(E499-B499)-M498)&lt;0.0000001,M498,'main page'!$K$29*M498+(1-'main page'!$K$29)*(controls!$B$9/100)*100+'main page'!$K$25*(E499-B499))</f>
        <v>-739.75</v>
      </c>
      <c r="N499" s="62">
        <f ca="1">IF(controls!$B$10=1,N498,O499-'main page'!$K$29*M499-(1-'main page'!$K$29)*controls!$B$9)</f>
        <v>739.75</v>
      </c>
      <c r="O499" s="61">
        <f t="shared" ca="1" si="42"/>
        <v>0</v>
      </c>
      <c r="P499" s="63">
        <f ca="1">IF(controls!$B$10=1,hystere!N499+hystere!M499,hystere!Q499)</f>
        <v>-871.73749999999995</v>
      </c>
      <c r="Q499" s="61">
        <f ca="1">IF('main page'!$Y$53=1,'choose m.p.'!$I$22*100,R499)</f>
        <v>-871.73749999999995</v>
      </c>
      <c r="R499" s="83">
        <f ca="1">'main page'!$K$29*M499+(1-'main page'!$K$29)*controls!$B$9+S499+(('main page'!$K$25*'main page'!$U$13*'main page'!$K$29)/('main page'!$K$27*(1+('main page'!$K$25^2)*'main page'!$U$13)))*(M499-(controls!$B$9/100)*100)</f>
        <v>-871.73749999999995</v>
      </c>
      <c r="S499" s="81">
        <f ca="1">IF(controls!$B$33=1,(J500-E499*X500-B499)/'main page'!$K$27,(I500-E499*X500-B499)/'main page'!$K$27)</f>
        <v>53.45</v>
      </c>
      <c r="U499" s="58">
        <f>IF(controls!$B$6=1,$AG$4*(1+('main page'!$K$35/100))^V499-$AG$4*(1+('main page'!$K$35/100))^V498,$AG$4*(1+('main page'!$G$8/100))*(1+('main page'!$K$35/100))^V499-$AG$4*(1+('main page'!$G$8/100))*(1+('main page'!$K$35/100))^V498)</f>
        <v>0</v>
      </c>
      <c r="V499" s="60">
        <v>491</v>
      </c>
      <c r="W499" s="36">
        <f>'normal case'!AC498</f>
        <v>0</v>
      </c>
      <c r="X499" s="36">
        <f>'normal case'!AD498</f>
        <v>0</v>
      </c>
      <c r="Y499" s="44">
        <f ca="1">IF(controls!$B$33=1,E499-($J$4-'main page'!$K$27*2)*(1+('main page'!$K$35/100))^A498,E499-$AG$5)</f>
        <v>-99.9</v>
      </c>
      <c r="Z499" s="44">
        <f ca="1">ABS(M499-(controls!$B$9/100)*100)</f>
        <v>741.75</v>
      </c>
      <c r="AI499" s="36"/>
      <c r="AJ499" s="36"/>
    </row>
    <row r="500" spans="1:36">
      <c r="A500" s="43">
        <v>497</v>
      </c>
      <c r="B500" s="62">
        <f ca="1">IF(controls!$B$6=2,AVERAGE(E496:E499)+B499*W500+hystere!$AG$9,AVERAGE(E496:E499)+B499*W500)</f>
        <v>1.1000000000000001</v>
      </c>
      <c r="C500" s="67">
        <f t="shared" ca="1" si="43"/>
        <v>0</v>
      </c>
      <c r="D500" s="88">
        <f t="shared" ca="1" si="44"/>
        <v>-1</v>
      </c>
      <c r="E500" s="64">
        <f t="shared" ca="1" si="45"/>
        <v>0.1</v>
      </c>
      <c r="F500" s="64">
        <f ca="1">IF('main page'!$K$34=1,hystere!H500,hystere!G500)</f>
        <v>-1371.5</v>
      </c>
      <c r="G500" s="78">
        <f ca="1">I500-'main page'!$K$27*hystere!N499</f>
        <v>-1371.5</v>
      </c>
      <c r="H500" s="62">
        <f ca="1">J500-'main page'!$K$27*N499</f>
        <v>-1371.5</v>
      </c>
      <c r="I500" s="62">
        <f t="shared" ca="1" si="46"/>
        <v>108</v>
      </c>
      <c r="J500" s="62">
        <f t="shared" ca="1" si="47"/>
        <v>108</v>
      </c>
      <c r="M500" s="62">
        <f ca="1">IF(ABS('main page'!$K$29*M499+(1-'main page'!$K$29)*(controls!$B$9/100)*100+'main page'!$K$25*(E500-B500)-M499)&lt;0.0000001,M499,'main page'!$K$29*M499+(1-'main page'!$K$29)*(controls!$B$9/100)*100+'main page'!$K$25*(E500-B500))</f>
        <v>-740.75</v>
      </c>
      <c r="N500" s="62">
        <f ca="1">IF(controls!$B$10=1,N499,O500-'main page'!$K$29*M500-(1-'main page'!$K$29)*controls!$B$9)</f>
        <v>740.75</v>
      </c>
      <c r="O500" s="61">
        <f t="shared" ca="1" si="42"/>
        <v>0</v>
      </c>
      <c r="P500" s="63">
        <f ca="1">IF(controls!$B$10=1,hystere!N500+hystere!M500,hystere!Q500)</f>
        <v>-872.98749999999995</v>
      </c>
      <c r="Q500" s="61">
        <f ca="1">IF('main page'!$Y$53=1,'choose m.p.'!$I$22*100,R500)</f>
        <v>-872.98749999999995</v>
      </c>
      <c r="R500" s="83">
        <f ca="1">'main page'!$K$29*M500+(1-'main page'!$K$29)*controls!$B$9+S500+(('main page'!$K$25*'main page'!$U$13*'main page'!$K$29)/('main page'!$K$27*(1+('main page'!$K$25^2)*'main page'!$U$13)))*(M500-(controls!$B$9/100)*100)</f>
        <v>-872.98749999999995</v>
      </c>
      <c r="S500" s="81">
        <f ca="1">IF(controls!$B$33=1,(J501-E500*X501-B500)/'main page'!$K$27,(I501-E500*X501-B500)/'main page'!$K$27)</f>
        <v>53.45</v>
      </c>
      <c r="U500" s="58">
        <f>IF(controls!$B$6=1,$AG$4*(1+('main page'!$K$35/100))^V500-$AG$4*(1+('main page'!$K$35/100))^V499,$AG$4*(1+('main page'!$G$8/100))*(1+('main page'!$K$35/100))^V500-$AG$4*(1+('main page'!$G$8/100))*(1+('main page'!$K$35/100))^V499)</f>
        <v>0</v>
      </c>
      <c r="V500" s="60">
        <v>492</v>
      </c>
      <c r="W500" s="36">
        <f>'normal case'!AC499</f>
        <v>0</v>
      </c>
      <c r="X500" s="36">
        <f>'normal case'!AD499</f>
        <v>0</v>
      </c>
      <c r="Y500" s="44">
        <f ca="1">IF(controls!$B$33=1,E500-($J$4-'main page'!$K$27*2)*(1+('main page'!$K$35/100))^A499,E500-$AG$5)</f>
        <v>-99.9</v>
      </c>
      <c r="Z500" s="44">
        <f ca="1">ABS(M500-(controls!$B$9/100)*100)</f>
        <v>742.75</v>
      </c>
      <c r="AI500" s="36"/>
      <c r="AJ500" s="36"/>
    </row>
    <row r="501" spans="1:36">
      <c r="A501" s="43">
        <v>498</v>
      </c>
      <c r="B501" s="62">
        <f ca="1">IF(controls!$B$6=2,AVERAGE(E497:E500)+B500*W501+hystere!$AG$9,AVERAGE(E497:E500)+B500*W501)</f>
        <v>1.1000000000000001</v>
      </c>
      <c r="C501" s="67">
        <f t="shared" ca="1" si="43"/>
        <v>0</v>
      </c>
      <c r="D501" s="88">
        <f t="shared" ca="1" si="44"/>
        <v>-1</v>
      </c>
      <c r="E501" s="64">
        <f t="shared" ca="1" si="45"/>
        <v>0.1</v>
      </c>
      <c r="F501" s="64">
        <f ca="1">IF('main page'!$K$34=1,hystere!H501,hystere!G501)</f>
        <v>-1373.5</v>
      </c>
      <c r="G501" s="78">
        <f ca="1">I501-'main page'!$K$27*hystere!N500</f>
        <v>-1373.5</v>
      </c>
      <c r="H501" s="62">
        <f ca="1">J501-'main page'!$K$27*N500</f>
        <v>-1373.5</v>
      </c>
      <c r="I501" s="62">
        <f t="shared" ca="1" si="46"/>
        <v>108</v>
      </c>
      <c r="J501" s="62">
        <f t="shared" ca="1" si="47"/>
        <v>108</v>
      </c>
      <c r="M501" s="62">
        <f ca="1">IF(ABS('main page'!$K$29*M500+(1-'main page'!$K$29)*(controls!$B$9/100)*100+'main page'!$K$25*(E501-B501)-M500)&lt;0.0000001,M500,'main page'!$K$29*M500+(1-'main page'!$K$29)*(controls!$B$9/100)*100+'main page'!$K$25*(E501-B501))</f>
        <v>-741.75</v>
      </c>
      <c r="N501" s="62">
        <f ca="1">IF(controls!$B$10=1,N500,O501-'main page'!$K$29*M501-(1-'main page'!$K$29)*controls!$B$9)</f>
        <v>741.75</v>
      </c>
      <c r="O501" s="61">
        <f t="shared" ca="1" si="42"/>
        <v>0</v>
      </c>
      <c r="P501" s="63">
        <f ca="1">IF(controls!$B$10=1,hystere!N501+hystere!M501,hystere!Q501)</f>
        <v>-874.23749999999995</v>
      </c>
      <c r="Q501" s="61">
        <f ca="1">IF('main page'!$Y$53=1,'choose m.p.'!$I$22*100,R501)</f>
        <v>-874.23749999999995</v>
      </c>
      <c r="R501" s="83">
        <f ca="1">'main page'!$K$29*M501+(1-'main page'!$K$29)*controls!$B$9+S501+(('main page'!$K$25*'main page'!$U$13*'main page'!$K$29)/('main page'!$K$27*(1+('main page'!$K$25^2)*'main page'!$U$13)))*(M501-(controls!$B$9/100)*100)</f>
        <v>-874.23749999999995</v>
      </c>
      <c r="S501" s="81">
        <f ca="1">IF(controls!$B$33=1,(J502-E501*X502-B501)/'main page'!$K$27,(I502-E501*X502-B501)/'main page'!$K$27)</f>
        <v>53.45</v>
      </c>
      <c r="U501" s="58">
        <f>IF(controls!$B$6=1,$AG$4*(1+('main page'!$K$35/100))^V501-$AG$4*(1+('main page'!$K$35/100))^V500,$AG$4*(1+('main page'!$G$8/100))*(1+('main page'!$K$35/100))^V501-$AG$4*(1+('main page'!$G$8/100))*(1+('main page'!$K$35/100))^V500)</f>
        <v>0</v>
      </c>
      <c r="V501" s="60">
        <v>493</v>
      </c>
      <c r="W501" s="36">
        <f ca="1">'normal case'!AC500</f>
        <v>0</v>
      </c>
      <c r="X501" s="36">
        <f ca="1">'normal case'!AD500</f>
        <v>0</v>
      </c>
      <c r="Y501" s="44">
        <f ca="1">IF(controls!$B$33=1,E501-($J$4-'main page'!$K$27*2)*(1+('main page'!$K$35/100))^A500,E501-$AG$5)</f>
        <v>-99.9</v>
      </c>
      <c r="Z501" s="44">
        <f ca="1">ABS(M501-(controls!$B$9/100)*100)</f>
        <v>743.75</v>
      </c>
      <c r="AI501" s="36"/>
      <c r="AJ501" s="36"/>
    </row>
    <row r="502" spans="1:36">
      <c r="A502" s="43">
        <v>499</v>
      </c>
      <c r="B502" s="62">
        <f ca="1">IF(controls!$B$6=2,AVERAGE(E498:E501)+B501*W502+hystere!$AG$9,AVERAGE(E498:E501)+B501*W502)</f>
        <v>1.1000000000000001</v>
      </c>
      <c r="C502" s="67">
        <f t="shared" ca="1" si="43"/>
        <v>0</v>
      </c>
      <c r="D502" s="88">
        <f t="shared" ca="1" si="44"/>
        <v>-1</v>
      </c>
      <c r="E502" s="64">
        <f t="shared" ca="1" si="45"/>
        <v>0.1</v>
      </c>
      <c r="F502" s="64">
        <f ca="1">IF('main page'!$K$34=1,hystere!H502,hystere!G502)</f>
        <v>-1375.5</v>
      </c>
      <c r="G502" s="78">
        <f ca="1">I502-'main page'!$K$27*hystere!N501</f>
        <v>-1375.5</v>
      </c>
      <c r="H502" s="62">
        <f ca="1">J502-'main page'!$K$27*N501</f>
        <v>-1375.5</v>
      </c>
      <c r="I502" s="62">
        <f t="shared" ca="1" si="46"/>
        <v>108</v>
      </c>
      <c r="J502" s="62">
        <f t="shared" ca="1" si="47"/>
        <v>108</v>
      </c>
      <c r="M502" s="62">
        <f ca="1">IF(ABS('main page'!$K$29*M501+(1-'main page'!$K$29)*(controls!$B$9/100)*100+'main page'!$K$25*(E502-B502)-M501)&lt;0.0000001,M501,'main page'!$K$29*M501+(1-'main page'!$K$29)*(controls!$B$9/100)*100+'main page'!$K$25*(E502-B502))</f>
        <v>-742.75</v>
      </c>
      <c r="N502" s="62">
        <f ca="1">IF(controls!$B$10=1,N501,O502-'main page'!$K$29*M502-(1-'main page'!$K$29)*controls!$B$9)</f>
        <v>742.75</v>
      </c>
      <c r="O502" s="61">
        <f t="shared" ca="1" si="42"/>
        <v>0</v>
      </c>
      <c r="P502" s="63">
        <f ca="1">IF(controls!$B$10=1,hystere!N502+hystere!M502,hystere!Q502)</f>
        <v>-875.48749999999995</v>
      </c>
      <c r="Q502" s="61">
        <f ca="1">IF('main page'!$Y$53=1,'choose m.p.'!$I$22*100,R502)</f>
        <v>-875.48749999999995</v>
      </c>
      <c r="R502" s="83">
        <f ca="1">'main page'!$K$29*M502+(1-'main page'!$K$29)*controls!$B$9+S502+(('main page'!$K$25*'main page'!$U$13*'main page'!$K$29)/('main page'!$K$27*(1+('main page'!$K$25^2)*'main page'!$U$13)))*(M502-(controls!$B$9/100)*100)</f>
        <v>-875.48749999999995</v>
      </c>
      <c r="S502" s="81">
        <f ca="1">IF(controls!$B$33=1,(J503-E502*X503-B502)/'main page'!$K$27,(I503-E502*X503-B502)/'main page'!$K$27)</f>
        <v>53.45</v>
      </c>
      <c r="U502" s="58">
        <f>IF(controls!$B$6=1,$AG$4*(1+('main page'!$K$35/100))^V502-$AG$4*(1+('main page'!$K$35/100))^V501,$AG$4*(1+('main page'!$G$8/100))*(1+('main page'!$K$35/100))^V502-$AG$4*(1+('main page'!$G$8/100))*(1+('main page'!$K$35/100))^V501)</f>
        <v>0</v>
      </c>
      <c r="V502" s="60">
        <v>494</v>
      </c>
      <c r="W502" s="36">
        <f>'normal case'!AC501</f>
        <v>0</v>
      </c>
      <c r="X502" s="36">
        <f>'normal case'!AD501</f>
        <v>0</v>
      </c>
      <c r="Y502" s="44">
        <f ca="1">IF(controls!$B$33=1,E502-($J$4-'main page'!$K$27*2)*(1+('main page'!$K$35/100))^A501,E502-$AG$5)</f>
        <v>-99.9</v>
      </c>
      <c r="Z502" s="44">
        <f ca="1">ABS(M502-(controls!$B$9/100)*100)</f>
        <v>744.75</v>
      </c>
      <c r="AI502" s="36"/>
      <c r="AJ502" s="36"/>
    </row>
    <row r="503" spans="1:36">
      <c r="A503" s="43">
        <v>500</v>
      </c>
      <c r="B503" s="62">
        <f ca="1">IF(controls!$B$6=2,AVERAGE(E499:E502)+B502*W503+hystere!$AG$9,AVERAGE(E499:E502)+B502*W503)</f>
        <v>1.1000000000000001</v>
      </c>
      <c r="C503" s="67">
        <f t="shared" ca="1" si="43"/>
        <v>0</v>
      </c>
      <c r="D503" s="88">
        <f t="shared" ca="1" si="44"/>
        <v>-1</v>
      </c>
      <c r="E503" s="64">
        <f t="shared" ca="1" si="45"/>
        <v>0.1</v>
      </c>
      <c r="F503" s="64">
        <f ca="1">IF('main page'!$K$34=1,hystere!H503,hystere!G503)</f>
        <v>-1377.5</v>
      </c>
      <c r="G503" s="78">
        <f ca="1">I503-'main page'!$K$27*hystere!N502</f>
        <v>-1377.5</v>
      </c>
      <c r="H503" s="62">
        <f ca="1">J503-'main page'!$K$27*N502</f>
        <v>-1377.5</v>
      </c>
      <c r="I503" s="62">
        <f t="shared" ca="1" si="46"/>
        <v>108</v>
      </c>
      <c r="J503" s="62">
        <f t="shared" ca="1" si="47"/>
        <v>108</v>
      </c>
      <c r="M503" s="62">
        <f ca="1">IF(ABS('main page'!$K$29*M502+(1-'main page'!$K$29)*(controls!$B$9/100)*100+'main page'!$K$25*(E503-B503)-M502)&lt;0.0000001,M502,'main page'!$K$29*M502+(1-'main page'!$K$29)*(controls!$B$9/100)*100+'main page'!$K$25*(E503-B503))</f>
        <v>-743.75</v>
      </c>
      <c r="N503" s="62">
        <f ca="1">IF(controls!$B$10=1,N502,O503-'main page'!$K$29*M503-(1-'main page'!$K$29)*controls!$B$9)</f>
        <v>743.75</v>
      </c>
      <c r="O503" s="61">
        <f t="shared" ca="1" si="42"/>
        <v>0</v>
      </c>
      <c r="P503" s="63">
        <f ca="1">IF(controls!$B$10=1,hystere!N503+hystere!M503,hystere!Q503)</f>
        <v>-930.73749999999995</v>
      </c>
      <c r="Q503" s="61">
        <f ca="1">IF('main page'!$Y$53=1,'choose m.p.'!$I$22*100,R503)</f>
        <v>-930.73749999999995</v>
      </c>
      <c r="R503" s="83">
        <f ca="1">'main page'!$K$29*M503+(1-'main page'!$K$29)*controls!$B$9+S503+(('main page'!$K$25*'main page'!$U$13*'main page'!$K$29)/('main page'!$K$27*(1+('main page'!$K$25^2)*'main page'!$U$13)))*(M503-(controls!$B$9/100)*100)</f>
        <v>-930.73749999999995</v>
      </c>
      <c r="S503" s="81">
        <f ca="1">IF(controls!$B$33=1,(J504-E503*X504-B503)/'main page'!$K$27,(I504-E503*X504-B503)/'main page'!$K$27)</f>
        <v>-0.55000000000000004</v>
      </c>
      <c r="U503" s="58">
        <f>IF(controls!$B$6=1,$AG$4*(1+('main page'!$K$35/100))^V503-$AG$4*(1+('main page'!$K$35/100))^V502,$AG$4*(1+('main page'!$G$8/100))*(1+('main page'!$K$35/100))^V503-$AG$4*(1+('main page'!$G$8/100))*(1+('main page'!$K$35/100))^V502)</f>
        <v>0</v>
      </c>
      <c r="V503" s="60">
        <v>495</v>
      </c>
      <c r="W503" s="36">
        <f>'normal case'!AC502</f>
        <v>0</v>
      </c>
      <c r="X503" s="36">
        <f>'normal case'!AD502</f>
        <v>0</v>
      </c>
      <c r="Y503" s="44">
        <f ca="1">IF(controls!$B$33=1,E503-($J$4-'main page'!$K$27*2)*(1+('main page'!$K$35/100))^A502,E503-$AG$5)</f>
        <v>-99.9</v>
      </c>
      <c r="Z503" s="44">
        <f ca="1">ABS(M503-(controls!$B$9/100)*100)</f>
        <v>745.75</v>
      </c>
      <c r="AI503" s="36"/>
      <c r="AJ503" s="36"/>
    </row>
  </sheetData>
  <sheetProtection selectLockedCells="1"/>
  <mergeCells count="8">
    <mergeCell ref="B2:B3"/>
    <mergeCell ref="C2:J2"/>
    <mergeCell ref="O2:R2"/>
    <mergeCell ref="Y2:Z2"/>
    <mergeCell ref="W2:X2"/>
    <mergeCell ref="L2:L3"/>
    <mergeCell ref="K2:K3"/>
    <mergeCell ref="U2:V3"/>
  </mergeCells>
  <phoneticPr fontId="3" type="noConversion"/>
  <pageMargins left="0.75" right="0.75" top="1" bottom="1" header="0" footer="0"/>
  <pageSetup paperSize="9" orientation="portrait"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5"/>
  <dimension ref="A1:AC102"/>
  <sheetViews>
    <sheetView workbookViewId="0">
      <pane xSplit="1" ySplit="3" topLeftCell="J4" activePane="bottomRight" state="frozenSplit"/>
      <selection activeCell="C45" sqref="C45"/>
      <selection pane="topRight" activeCell="C45" sqref="C45"/>
      <selection pane="bottomLeft" activeCell="C45" sqref="C45"/>
      <selection pane="bottomRight" activeCell="O13" sqref="O13:O102"/>
    </sheetView>
  </sheetViews>
  <sheetFormatPr defaultColWidth="11.453125" defaultRowHeight="12.5"/>
  <cols>
    <col min="1" max="1" width="11.54296875" style="46" bestFit="1" customWidth="1"/>
    <col min="2" max="2" width="8.81640625" style="61" customWidth="1"/>
    <col min="3" max="3" width="13.81640625" style="61" customWidth="1"/>
    <col min="4" max="4" width="11.54296875" style="77" customWidth="1"/>
    <col min="5" max="5" width="36.1796875" style="61" customWidth="1"/>
    <col min="6" max="7" width="44" style="61" customWidth="1"/>
    <col min="8" max="8" width="36.1796875" style="61" customWidth="1"/>
    <col min="9" max="9" width="41.26953125" style="61" customWidth="1"/>
    <col min="10" max="10" width="38.7265625" style="61" customWidth="1"/>
    <col min="11" max="11" width="7.26953125" style="61" customWidth="1"/>
    <col min="12" max="12" width="14.453125" style="61" hidden="1" customWidth="1"/>
    <col min="13" max="13" width="20.453125" style="61" hidden="1" customWidth="1"/>
    <col min="14" max="14" width="17" style="61" customWidth="1"/>
    <col min="15" max="15" width="14.453125" style="87" bestFit="1" customWidth="1"/>
    <col min="16" max="16" width="19.81640625" style="81" bestFit="1" customWidth="1"/>
    <col min="17" max="17" width="10.90625"/>
    <col min="18" max="18" width="7.54296875" style="58" customWidth="1"/>
    <col min="19" max="19" width="3" style="60" bestFit="1" customWidth="1"/>
    <col min="20" max="20" width="11.54296875" style="58" bestFit="1" customWidth="1"/>
    <col min="21" max="21" width="15.1796875" style="58" bestFit="1" customWidth="1"/>
    <col min="22" max="22" width="11.54296875" style="46" bestFit="1" customWidth="1"/>
    <col min="23" max="24" width="11.453125" style="46"/>
    <col min="25" max="29" width="11.453125" style="45"/>
    <col min="30" max="16384" width="11.453125" style="46"/>
  </cols>
  <sheetData>
    <row r="1" spans="1:21">
      <c r="B1" s="388" t="str">
        <f>IF('inflation, income and interest'!$A$38=2,"FALSO","VERDADERO")</f>
        <v>FALSO</v>
      </c>
      <c r="C1" s="388" t="str">
        <f>IF('inflation, income and interest'!$A$38=2,"FALSO","VERDADERO")</f>
        <v>FALSO</v>
      </c>
      <c r="D1" s="388"/>
      <c r="E1" s="388"/>
      <c r="F1" s="388"/>
      <c r="G1" s="388"/>
      <c r="H1" s="388"/>
      <c r="I1" s="388"/>
      <c r="J1" s="388"/>
      <c r="K1" s="388"/>
      <c r="L1" s="388" t="str">
        <f>IF('inflation, income and interest'!$A$38=2,"FALSE","TRUE")</f>
        <v>FALSE</v>
      </c>
      <c r="M1" s="388" t="str">
        <f>IF('inflation, income and interest'!$A$38=2,"FALSO","VERDADERO")</f>
        <v>FALSO</v>
      </c>
      <c r="N1" s="388"/>
      <c r="O1" s="389"/>
      <c r="R1" s="390"/>
      <c r="S1" s="391"/>
      <c r="T1" s="390"/>
      <c r="U1" s="390"/>
    </row>
    <row r="2" spans="1:21">
      <c r="B2" s="638" t="s">
        <v>48</v>
      </c>
      <c r="C2" s="639"/>
      <c r="E2" s="595" t="s">
        <v>52</v>
      </c>
      <c r="F2" s="595"/>
      <c r="G2" s="595"/>
      <c r="H2" s="595"/>
      <c r="I2" s="595"/>
      <c r="J2" s="595"/>
      <c r="M2" s="595" t="s">
        <v>45</v>
      </c>
      <c r="N2" s="595"/>
      <c r="O2" s="595"/>
      <c r="P2" s="640" t="s">
        <v>88</v>
      </c>
      <c r="R2" s="600" t="s">
        <v>40</v>
      </c>
      <c r="S2" s="601"/>
      <c r="T2" s="597" t="s">
        <v>38</v>
      </c>
      <c r="U2" s="596"/>
    </row>
    <row r="3" spans="1:21">
      <c r="B3" s="65" t="s">
        <v>54</v>
      </c>
      <c r="C3" s="66" t="s">
        <v>55</v>
      </c>
      <c r="D3" s="67" t="s">
        <v>17</v>
      </c>
      <c r="E3" s="62" t="s">
        <v>44</v>
      </c>
      <c r="F3" s="62" t="s">
        <v>51</v>
      </c>
      <c r="G3" s="62" t="s">
        <v>92</v>
      </c>
      <c r="H3" s="62" t="s">
        <v>53</v>
      </c>
      <c r="I3" s="62" t="s">
        <v>78</v>
      </c>
      <c r="J3" s="62" t="s">
        <v>77</v>
      </c>
      <c r="K3" s="61" t="s">
        <v>12</v>
      </c>
      <c r="L3" s="61" t="s">
        <v>46</v>
      </c>
      <c r="M3" s="61" t="s">
        <v>44</v>
      </c>
      <c r="N3" s="62" t="s">
        <v>43</v>
      </c>
      <c r="O3" s="87" t="s">
        <v>41</v>
      </c>
      <c r="P3" s="641"/>
      <c r="R3" s="600"/>
      <c r="S3" s="601"/>
      <c r="T3" s="57" t="s">
        <v>1</v>
      </c>
      <c r="U3" s="57" t="s">
        <v>2</v>
      </c>
    </row>
    <row r="4" spans="1:21">
      <c r="A4" s="46">
        <v>1</v>
      </c>
      <c r="B4" s="61">
        <f>IF(controls!$B$33=1,('normal case'!$AS$3/(1+('main page'!$K$35/100))^4)*(1+T4),'normal case'!$AS$3*(1+T4))</f>
        <v>100</v>
      </c>
      <c r="C4" s="61">
        <f>IF(controls!$B$33=1,('normal case'!$AS$3/(1+('main page'!$K$35/100))^4)*(1+T4),'normal case'!$AS$3*(1+T4))</f>
        <v>100</v>
      </c>
      <c r="E4" s="61">
        <f>IF(F4&gt;0,F4,0.1)</f>
        <v>100</v>
      </c>
      <c r="F4" s="61">
        <f>IF(controls!$B$33=1,'delay in perception'!H4,G4)</f>
        <v>100</v>
      </c>
      <c r="G4" s="61">
        <f>I4-'main page'!$K$27*'normal case'!AS5</f>
        <v>100</v>
      </c>
      <c r="H4" s="61">
        <f ca="1">J4-'main page'!$K$27*'normal case'!$AS$5</f>
        <v>100</v>
      </c>
      <c r="I4" s="61">
        <f>'normal case'!AP3</f>
        <v>108</v>
      </c>
      <c r="J4" s="61">
        <f ca="1">(J5+'main page'!$K$27*'normal case'!$AS$5*('main page'!$K$35/100))/(1+('main page'!$K$35/100))+((J5+'main page'!$K$27*'normal case'!$AS$5*('main page'!$K$35/100))/(1+('main page'!$K$35/100))-1)*U4</f>
        <v>108</v>
      </c>
      <c r="K4" s="61">
        <f>('main page'!$U$8/100)*100</f>
        <v>2</v>
      </c>
      <c r="L4" s="61">
        <f>IF(controls!$B$33=1,(J4-B4)/'main page'!$K$27,'normal case'!AS5)</f>
        <v>4</v>
      </c>
      <c r="M4" s="61">
        <f>IF(N4&lt;0,0,N4)</f>
        <v>6</v>
      </c>
      <c r="N4" s="61">
        <f>IF(controls!$B$10=1,'delay in perception'!L4+'delay in perception'!K4,'delay in perception'!O4)</f>
        <v>6</v>
      </c>
      <c r="O4" s="87">
        <f>K4+P4+(('main page'!$K$25*'main page'!$U$13*'main page'!$K$29)/('main page'!$K$27*(1+('main page'!$K$25^2)*'main page'!$U$13)))*(K4-('main page'!$U$8/100)*100)</f>
        <v>6</v>
      </c>
      <c r="P4" s="81">
        <f>IF(controls!$B$33=1,(J5-E4*U5-C5+B4*T5)/'main page'!$K$27,(I5-E4*U5-C5+B4*T5)/'main page'!$K$27)</f>
        <v>4</v>
      </c>
      <c r="T4" s="58">
        <f>'normal case'!AC3</f>
        <v>0</v>
      </c>
      <c r="U4" s="58">
        <f>'normal case'!AD3</f>
        <v>0</v>
      </c>
    </row>
    <row r="5" spans="1:21">
      <c r="A5" s="46">
        <v>2</v>
      </c>
      <c r="B5" s="61">
        <f>IF(controls!$B$33=1,('normal case'!$AS$3/(1+('main page'!$K$35/100))^3)*(1+T5),B4*(1+T5))</f>
        <v>100</v>
      </c>
      <c r="C5" s="61">
        <f>IF(controls!$B$33=1,('normal case'!$AS$3/(1+('main page'!$K$35/100))^3)*(1+T5),C4*(1+T5))</f>
        <v>100</v>
      </c>
      <c r="D5" s="77">
        <f>E5/E4-1</f>
        <v>0</v>
      </c>
      <c r="E5" s="61">
        <f t="shared" ref="E5:E68" si="0">IF(F5&gt;0,F5,0.1)</f>
        <v>100</v>
      </c>
      <c r="F5" s="61">
        <f>IF(controls!$B$33=1,'delay in perception'!H5,G5)</f>
        <v>100</v>
      </c>
      <c r="G5" s="61">
        <f>I5-'main page'!$K$27*L4</f>
        <v>100</v>
      </c>
      <c r="H5" s="61">
        <f ca="1">J5-'main page'!$K$27*L4</f>
        <v>100</v>
      </c>
      <c r="I5" s="61">
        <f>I4+E4*U5</f>
        <v>108</v>
      </c>
      <c r="J5" s="61">
        <f ca="1">(J6+'main page'!$K$27*'normal case'!$AS$5*('main page'!$K$35/100))/(1+('main page'!$K$35/100))+((J6+'main page'!$K$27*'normal case'!$AS$5*('main page'!$K$35/100))/(1+('main page'!$K$35/100))-1)*U5</f>
        <v>108</v>
      </c>
      <c r="K5" s="61">
        <f>IF(ABS('main page'!$K$29*K4+(1-'main page'!$K$29)*('main page'!$U$8/100)*100+'main page'!$K$25*(E5-B5)-K4)&lt;0.0000001,K4,'main page'!$K$29*K4+(1-'main page'!$K$29)*('main page'!$U$8/100)*100+'main page'!$K$25*(E5-B5))</f>
        <v>2</v>
      </c>
      <c r="L5" s="61">
        <f ca="1">IF(controls!$B$10=1,L4,M5-'main page'!$K$29*K5-(1-'main page'!$K$29)*'main page'!$U$8)</f>
        <v>4</v>
      </c>
      <c r="M5" s="61">
        <f ca="1">IF(N5&lt;0,0,N5)</f>
        <v>6</v>
      </c>
      <c r="N5" s="61">
        <f ca="1">IF(controls!$B$10=1,'delay in perception'!L5+'delay in perception'!K5,'delay in perception'!O5)</f>
        <v>6</v>
      </c>
      <c r="O5" s="87">
        <f ca="1">'main page'!$K$29*K5+(1-'main page'!$K$29)*'main page'!$U$8+P5+(('main page'!$K$25*'main page'!$U$13*'main page'!$K$29)/('main page'!$K$27*(1+('main page'!$K$25^2)*'main page'!$U$13)))*(K5-('main page'!$U$8/100)*100)</f>
        <v>6</v>
      </c>
      <c r="P5" s="81">
        <f ca="1">IF(controls!$B$33=1,(J6-E5*U6-C6+B5*T6)/'main page'!$K$27,(I6-E5*U6-C6+B5*T6)/'main page'!$K$27)</f>
        <v>4</v>
      </c>
      <c r="T5" s="58">
        <f>'normal case'!AC4</f>
        <v>0</v>
      </c>
      <c r="U5" s="58">
        <f>'normal case'!AD4</f>
        <v>0</v>
      </c>
    </row>
    <row r="6" spans="1:21">
      <c r="A6" s="46">
        <v>3</v>
      </c>
      <c r="B6" s="61">
        <f ca="1">IF(controls!$B$33=1,('normal case'!$AS$3/(1+('main page'!$K$35/100))^2)*(1+T6),B5*(1+T6))</f>
        <v>100</v>
      </c>
      <c r="C6" s="61">
        <f ca="1">IF(controls!$B$33=1,('normal case'!$AS$3/(1+('main page'!$K$35/100))^2)*(1+T6),C5*(1+T6))</f>
        <v>100</v>
      </c>
      <c r="D6" s="77">
        <f ca="1">IF(ABS((E6/E5-1)-D5)&lt;0.000001,D5,E6/E5-1)</f>
        <v>0</v>
      </c>
      <c r="E6" s="61">
        <f t="shared" ca="1" si="0"/>
        <v>100</v>
      </c>
      <c r="F6" s="61">
        <f ca="1">IF(controls!$B$33=1,H6,G6)</f>
        <v>100</v>
      </c>
      <c r="G6" s="61">
        <f ca="1">I6-'main page'!$K$27*L5</f>
        <v>100</v>
      </c>
      <c r="H6" s="61">
        <f ca="1">J6-'main page'!$K$27*L5</f>
        <v>100</v>
      </c>
      <c r="I6" s="61">
        <f ca="1">I5+E5*U6</f>
        <v>108</v>
      </c>
      <c r="J6" s="61">
        <f ca="1">(J7+'main page'!$K$27*'normal case'!$AS$5*('main page'!$K$35/100))/(1+('main page'!$K$35/100))+((J7+'main page'!$K$27*'normal case'!$AS$5*('main page'!$K$35/100))/(1+('main page'!$K$35/100))-1)*U6</f>
        <v>108</v>
      </c>
      <c r="K6" s="61">
        <f ca="1">IF(ABS('main page'!$K$29*K5+(1-'main page'!$K$29)*('main page'!$U$8/100)*100+'main page'!$K$25*(E6-B6)-K5)&lt;0.0000001,K5,'main page'!$K$29*K5+(1-'main page'!$K$29)*('main page'!$U$8/100)*100+'main page'!$K$25*(E6-B6))</f>
        <v>2</v>
      </c>
      <c r="L6" s="61">
        <f ca="1">IF(controls!$B$10=1,L5,M6-'main page'!$K$29*K6-(1-'main page'!$K$29)*'main page'!$U$8)</f>
        <v>4</v>
      </c>
      <c r="M6" s="61">
        <f t="shared" ref="M6:M69" ca="1" si="1">IF(N6&lt;0,0,N6)</f>
        <v>6</v>
      </c>
      <c r="N6" s="61">
        <f ca="1">IF(controls!$B$10=1,'delay in perception'!L6+'delay in perception'!K6,'delay in perception'!O6)</f>
        <v>6</v>
      </c>
      <c r="O6" s="87">
        <f ca="1">'main page'!$K$29*K6+(1-'main page'!$K$29)*'main page'!$U$8+P6+(('main page'!$K$25*'main page'!$U$13*'main page'!$K$29)/('main page'!$K$27*(1+('main page'!$K$25^2)*'main page'!$U$13)))*(K6-('main page'!$U$8/100)*100)</f>
        <v>6</v>
      </c>
      <c r="P6" s="81">
        <f ca="1">IF(controls!$B$33=1,(J7-E6*U7-C7+B6*T7)/'main page'!$K$27,(I7-E6*U7-C7+B6*T7)/'main page'!$K$27)</f>
        <v>4</v>
      </c>
      <c r="S6" s="60">
        <v>-2</v>
      </c>
      <c r="T6" s="58">
        <f ca="1">'normal case'!AC5</f>
        <v>0</v>
      </c>
      <c r="U6" s="58">
        <f ca="1">'normal case'!AD5</f>
        <v>0</v>
      </c>
    </row>
    <row r="7" spans="1:21">
      <c r="A7" s="46">
        <v>4</v>
      </c>
      <c r="B7" s="61">
        <f ca="1">IF(controls!$B$33=1,('normal case'!$AS$3/(1+('main page'!$K$35/100)))*(1+T7),B6*(1+T7))</f>
        <v>100</v>
      </c>
      <c r="C7" s="61">
        <f ca="1">IF(controls!$B$33=1,('normal case'!$AS$3/(1+('main page'!$K$35/100)))*(1+T7),C6*(1+T7))</f>
        <v>100</v>
      </c>
      <c r="D7" s="77">
        <f t="shared" ref="D7:D70" ca="1" si="2">IF(ABS((E7/E6-1)-D6)&lt;0.000001,D6,E7/E6-1)</f>
        <v>0</v>
      </c>
      <c r="E7" s="61">
        <f t="shared" ca="1" si="0"/>
        <v>100</v>
      </c>
      <c r="F7" s="61">
        <f ca="1">IF(controls!$B$33=1,'delay in perception'!H7,G7)</f>
        <v>100</v>
      </c>
      <c r="G7" s="61">
        <f ca="1">I7-'main page'!$K$27*L6</f>
        <v>100</v>
      </c>
      <c r="H7" s="61">
        <f ca="1">J7-'main page'!$K$27*L6</f>
        <v>100</v>
      </c>
      <c r="I7" s="61">
        <f ca="1">I6+E6*U7</f>
        <v>108</v>
      </c>
      <c r="J7" s="61">
        <f>(('normal case'!$AP$3+'main page'!$K$27*'normal case'!$AS$5*('main page'!$K$35/100))/(1+('main page'!$K$35/100)))+((('normal case'!$AP$3+'main page'!$K$27*'normal case'!$AS$5*('main page'!$K$35/100))/(1+('main page'!$K$35/100)))-1)*U7</f>
        <v>108</v>
      </c>
      <c r="K7" s="61">
        <f ca="1">IF(ABS('main page'!$K$29*K6+(1-'main page'!$K$29)*('main page'!$U$8/100)*100+'main page'!$K$25*(E7-B7)-K6)&lt;0.0000001,K6,'main page'!$K$29*K6+(1-'main page'!$K$29)*('main page'!$U$8/100)*100+'main page'!$K$25*(E7-B7))</f>
        <v>2</v>
      </c>
      <c r="L7" s="61">
        <f ca="1">IF(controls!$B$10=1,L6,M7-'main page'!$K$29*K7-(1-'main page'!$K$29)*'main page'!$U$8)</f>
        <v>4</v>
      </c>
      <c r="M7" s="61">
        <f t="shared" ca="1" si="1"/>
        <v>6</v>
      </c>
      <c r="N7" s="61">
        <f ca="1">IF(controls!$B$10=1,'delay in perception'!L7+'delay in perception'!K7,'delay in perception'!O7)</f>
        <v>6</v>
      </c>
      <c r="O7" s="87">
        <f ca="1">'main page'!$K$29*K7+(1-'main page'!$K$29)*'main page'!$U$8+P7+(('main page'!$K$25*'main page'!$U$13*'main page'!$K$29)/('main page'!$K$27*(1+('main page'!$K$25^2)*'main page'!$U$13)))*(K7-('main page'!$U$8/100)*100)</f>
        <v>6</v>
      </c>
      <c r="P7" s="81">
        <f ca="1">IF(controls!$B$33=1,(J8-E7*U8-'normal case'!$AS$7-C8+B7*T8)/'main page'!$K$27,(I8-E7*U8-'normal case'!$AS$7-C8+B7*T8)/'main page'!$K$27)</f>
        <v>4</v>
      </c>
      <c r="R7" s="58">
        <f>'normal case'!$AS$3*(1+('main page'!$K$35/100))^S7-'normal case'!$AS$3*(1+('main page'!$K$35/100))^S6</f>
        <v>0</v>
      </c>
      <c r="S7" s="60">
        <v>-1</v>
      </c>
      <c r="T7" s="58">
        <f>'normal case'!AC6</f>
        <v>0</v>
      </c>
      <c r="U7" s="58">
        <f>'normal case'!AD6</f>
        <v>0</v>
      </c>
    </row>
    <row r="8" spans="1:21">
      <c r="A8" s="46">
        <v>5</v>
      </c>
      <c r="B8" s="61">
        <f ca="1">IF(controls!$B$33=1,'normal case'!$AS$3+'normal case'!AS8+T8*B7,'normal case'!$AS$3+'normal case'!AS8+T8*B7)</f>
        <v>101</v>
      </c>
      <c r="C8" s="61">
        <f ca="1">IF(controls!$B$33=1,'normal case'!$AS$3+C7*T8,'normal case'!$AS$3+C7*T8)</f>
        <v>100</v>
      </c>
      <c r="D8" s="77">
        <f t="shared" ca="1" si="2"/>
        <v>0</v>
      </c>
      <c r="E8" s="61">
        <f t="shared" ca="1" si="0"/>
        <v>100</v>
      </c>
      <c r="F8" s="61">
        <f ca="1">IF(controls!$B$33=1,'delay in perception'!H8,G8)</f>
        <v>100</v>
      </c>
      <c r="G8" s="61">
        <f ca="1">I8-'main page'!$K$27*L7</f>
        <v>100</v>
      </c>
      <c r="H8" s="61">
        <f ca="1">J8-'main page'!$K$27*L7</f>
        <v>100</v>
      </c>
      <c r="I8" s="61">
        <f ca="1">I7+E7*U8+'normal case'!AS7</f>
        <v>108</v>
      </c>
      <c r="J8" s="61">
        <f ca="1">'normal case'!$AP$3+E7*U8+'normal case'!AS7</f>
        <v>108</v>
      </c>
      <c r="K8" s="61">
        <f ca="1">IF(ABS('main page'!$K$29*K7+(1-'main page'!$K$29)*('main page'!$U$8/100)*100+'main page'!$K$25*(E8-B8)-K7)&lt;0.0000001,K7,'main page'!$K$29*K7+(1-'main page'!$K$29)*('main page'!$U$8/100)*100+'main page'!$K$25*(E8-B8))</f>
        <v>1</v>
      </c>
      <c r="L8" s="61">
        <f ca="1">IF(controls!$B$10=1,L7,M8-'main page'!$K$29*K8-(1-'main page'!$K$29)*'main page'!$U$8)</f>
        <v>3.75</v>
      </c>
      <c r="M8" s="61">
        <f t="shared" ca="1" si="1"/>
        <v>4.75</v>
      </c>
      <c r="N8" s="61">
        <f ca="1">IF(controls!$B$10=1,'delay in perception'!L8+'delay in perception'!K8,'delay in perception'!O8)</f>
        <v>4.75</v>
      </c>
      <c r="O8" s="87">
        <f ca="1">'main page'!$K$29*K8+(1-'main page'!$K$29)*'main page'!$U$8+P8+(('main page'!$K$25*'main page'!$U$13*'main page'!$K$29)/('main page'!$K$27*(1+('main page'!$K$25^2)*'main page'!$U$13)))*(K8-('main page'!$U$8/100)*100)</f>
        <v>4.75</v>
      </c>
      <c r="P8" s="81">
        <f ca="1">IF(controls!$B$33=1,(J9-E8*U9-C9+B8*T9)/'main page'!$K$27,(I9-E8*U9-C9+B8*T9)/'main page'!$K$27)</f>
        <v>4</v>
      </c>
      <c r="R8" s="58">
        <f>'normal case'!$AS$3*(1+('main page'!$K$35/100))^S8-'normal case'!$AS$3*(1+('main page'!$K$35/100))^S8</f>
        <v>0</v>
      </c>
      <c r="S8" s="60">
        <v>0</v>
      </c>
      <c r="T8" s="58">
        <f>'normal case'!AC7</f>
        <v>0</v>
      </c>
      <c r="U8" s="58">
        <f>'normal case'!AD7</f>
        <v>0</v>
      </c>
    </row>
    <row r="9" spans="1:21">
      <c r="A9" s="46">
        <v>6</v>
      </c>
      <c r="B9" s="61">
        <f ca="1">IF(controls!$B$33=1,IF(controls!$B$6=1,B8*(1+T9)+R9-'normal case'!$AS$8,B8*(1+T9)+R9),IF(controls!$B$6=1,B8*(1+T9)-'normal case'!AS8,B8*(1+T9)))</f>
        <v>101</v>
      </c>
      <c r="C9" s="61">
        <f ca="1">IF(controls!$B$33=1,C8*(1+T9)+R9,C8*(1+T9))</f>
        <v>100</v>
      </c>
      <c r="D9" s="77">
        <f t="shared" ca="1" si="2"/>
        <v>4.9999999999998934E-3</v>
      </c>
      <c r="E9" s="61">
        <f t="shared" ca="1" si="0"/>
        <v>100.5</v>
      </c>
      <c r="F9" s="61">
        <f ca="1">IF(controls!$B$33=1,'delay in perception'!H9,G9)</f>
        <v>100.5</v>
      </c>
      <c r="G9" s="61">
        <f ca="1">I9-'main page'!$K$27*L8</f>
        <v>100.5</v>
      </c>
      <c r="H9" s="61">
        <f ca="1">J9-'main page'!$K$27*L8</f>
        <v>100.5</v>
      </c>
      <c r="I9" s="61">
        <f ca="1">IF(controls!$B$7=2,I8+E8*U9+'normal case'!J8,I8+E8*U9-'normal case'!$AS$7+'normal case'!J8)</f>
        <v>108</v>
      </c>
      <c r="J9" s="61">
        <f ca="1">IF(controls!$B$7=1,J8+H8*U9+R9-'normal case'!AS7,J8+H8*U9+R9)</f>
        <v>108</v>
      </c>
      <c r="K9" s="61">
        <f ca="1">IF(ABS('main page'!$K$29*K8+(1-'main page'!$K$29)*('main page'!$U$8/100)*100+'main page'!$K$25*(E9-B9)-K8)&lt;0.0000001,K8,'main page'!$K$29*K8+(1-'main page'!$K$29)*('main page'!$U$8/100)*100+'main page'!$K$25*(E9-B9))</f>
        <v>0.5</v>
      </c>
      <c r="L9" s="61">
        <f ca="1">IF(controls!$B$10=1,L8,M9-'main page'!$K$29*K9-(1-'main page'!$K$29)*'main page'!$U$8)</f>
        <v>3.625</v>
      </c>
      <c r="M9" s="61">
        <f t="shared" ca="1" si="1"/>
        <v>4.125</v>
      </c>
      <c r="N9" s="61">
        <f ca="1">IF(controls!$B$10=1,'delay in perception'!L9+'delay in perception'!K9,'delay in perception'!O9)</f>
        <v>4.125</v>
      </c>
      <c r="O9" s="87">
        <f ca="1">'main page'!$K$29*K9+(1-'main page'!$K$29)*'main page'!$U$8+P9+(('main page'!$K$25*'main page'!$U$13*'main page'!$K$29)/('main page'!$K$27*(1+('main page'!$K$25^2)*'main page'!$U$13)))*(K9-('main page'!$U$8/100)*100)</f>
        <v>4.125</v>
      </c>
      <c r="P9" s="81">
        <f ca="1">IF(controls!$B$33=1,(J10-E9*U10-C10+B9*T10)/'main page'!$K$27,(I10-E9*U10-C10+B9*T10)/'main page'!$K$27)</f>
        <v>4</v>
      </c>
      <c r="R9" s="58">
        <f>IF(controls!$B$6=1,'normal case'!$AS$3*(1+('main page'!$K$35/100))^S9-'normal case'!$AS$3*(1+('main page'!$K$35/100))^S8,'normal case'!$AS$3*(1+('main page'!$G$8/100))*(1+('main page'!$K$35/100))^S9-'normal case'!$AS$3*(1+('main page'!$G$8/100))*(1+('main page'!$K$35/100))^S8)</f>
        <v>0</v>
      </c>
      <c r="S9" s="60">
        <v>1</v>
      </c>
      <c r="T9" s="58">
        <f ca="1">'normal case'!AC8</f>
        <v>0</v>
      </c>
      <c r="U9" s="58">
        <f ca="1">'normal case'!AD8</f>
        <v>0</v>
      </c>
    </row>
    <row r="10" spans="1:21">
      <c r="A10" s="46">
        <v>7</v>
      </c>
      <c r="B10" s="61">
        <f ca="1">IF(controls!$B$33=1,B9*(1+T10)+R10,B9*(1+T10))</f>
        <v>101</v>
      </c>
      <c r="C10" s="61">
        <f ca="1">IF(controls!$B$33=1,C9*(1+T10)+R10,C9*(1+T10))</f>
        <v>100</v>
      </c>
      <c r="D10" s="77">
        <f t="shared" ca="1" si="2"/>
        <v>2.4875621890547706E-3</v>
      </c>
      <c r="E10" s="61">
        <f t="shared" ca="1" si="0"/>
        <v>100.75</v>
      </c>
      <c r="F10" s="61">
        <f ca="1">IF(controls!$B$33=1,'delay in perception'!H10,G10)</f>
        <v>100.75</v>
      </c>
      <c r="G10" s="61">
        <f ca="1">I10-'main page'!$K$27*L9</f>
        <v>100.75</v>
      </c>
      <c r="H10" s="61">
        <f ca="1">J10-'main page'!$K$27*L9</f>
        <v>100.75</v>
      </c>
      <c r="I10" s="61">
        <f ca="1">IF(controls!$B$31=2,I9+E9*U10+'normal case'!J9,I9+E9*U10+'normal case'!J9-'normal case'!J8)</f>
        <v>108</v>
      </c>
      <c r="J10" s="61">
        <f ca="1">J9+H9*U10+R10</f>
        <v>108</v>
      </c>
      <c r="K10" s="61">
        <f ca="1">IF(ABS('main page'!$K$29*K9+(1-'main page'!$K$29)*('main page'!$U$8/100)*100+'main page'!$K$25*(E10-B10)-K9)&lt;0.0000001,K9,'main page'!$K$29*K9+(1-'main page'!$K$29)*('main page'!$U$8/100)*100+'main page'!$K$25*(E10-B10))</f>
        <v>0.25</v>
      </c>
      <c r="L10" s="61">
        <f ca="1">IF(controls!$B$10=1,L9,M10-'main page'!$K$29*K10-(1-'main page'!$K$29)*'main page'!$U$8)</f>
        <v>3.5625</v>
      </c>
      <c r="M10" s="61">
        <f t="shared" ca="1" si="1"/>
        <v>3.8125</v>
      </c>
      <c r="N10" s="61">
        <f ca="1">IF(controls!$B$10=1,'delay in perception'!L10+'delay in perception'!K10,'delay in perception'!O10)</f>
        <v>3.8125</v>
      </c>
      <c r="O10" s="87">
        <f ca="1">'main page'!$K$29*K10+(1-'main page'!$K$29)*'main page'!$U$8+P10+(('main page'!$K$25*'main page'!$U$13*'main page'!$K$29)/('main page'!$K$27*(1+('main page'!$K$25^2)*'main page'!$U$13)))*(K10-('main page'!$U$8/100)*100)</f>
        <v>3.8125</v>
      </c>
      <c r="P10" s="81">
        <f ca="1">IF(controls!$B$33=1,(J11-E10*U11-C11+B10*T11)/'main page'!$K$27,(I11-E10*U11-C11+B10*T11)/'main page'!$K$27)</f>
        <v>4</v>
      </c>
      <c r="R10" s="58">
        <f>IF(controls!$B$6=1,'normal case'!$AS$3*(1+('main page'!$K$35/100))^S10-'normal case'!$AS$3*(1+('main page'!$K$35/100))^S9,'normal case'!$AS$3*(1+('main page'!$G$8/100))*(1+('main page'!$K$35/100))^S10-'normal case'!$AS$3*(1+('main page'!$G$8/100))*(1+('main page'!$K$35/100))^S9)</f>
        <v>0</v>
      </c>
      <c r="S10" s="60">
        <v>2</v>
      </c>
      <c r="T10" s="58">
        <f>'normal case'!AC9</f>
        <v>0</v>
      </c>
      <c r="U10" s="58">
        <f>'normal case'!AD9</f>
        <v>0</v>
      </c>
    </row>
    <row r="11" spans="1:21">
      <c r="A11" s="46">
        <v>8</v>
      </c>
      <c r="B11" s="61">
        <f ca="1">IF(controls!$B$33=1,B10*(1+T11)+R11,B10*(1+T11))</f>
        <v>101</v>
      </c>
      <c r="C11" s="61">
        <f ca="1">IF(controls!$B$33=1,C10*(1+T11)+R11,C10*(1+T11))</f>
        <v>100</v>
      </c>
      <c r="D11" s="77">
        <f t="shared" ca="1" si="2"/>
        <v>1.2406947890819531E-3</v>
      </c>
      <c r="E11" s="61">
        <f t="shared" ca="1" si="0"/>
        <v>100.875</v>
      </c>
      <c r="F11" s="61">
        <f ca="1">IF(controls!$B$33=1,'delay in perception'!H11,G11)</f>
        <v>100.875</v>
      </c>
      <c r="G11" s="61">
        <f ca="1">I11-'main page'!$K$27*L10</f>
        <v>100.875</v>
      </c>
      <c r="H11" s="61">
        <f ca="1">J11-'main page'!$K$27*L10</f>
        <v>100.875</v>
      </c>
      <c r="I11" s="61">
        <f ca="1">IF(controls!$B$31=2,I10+E10*U11+'normal case'!J10,I10+E10*U11+'normal case'!J10-'normal case'!J9)</f>
        <v>108</v>
      </c>
      <c r="J11" s="61">
        <f ca="1">J10+H10*U11+R11</f>
        <v>108</v>
      </c>
      <c r="K11" s="61">
        <f ca="1">IF(ABS('main page'!$K$29*K10+(1-'main page'!$K$29)*('main page'!$U$8/100)*100+'main page'!$K$25*(E11-B11)-K10)&lt;0.0000001,K10,'main page'!$K$29*K10+(1-'main page'!$K$29)*('main page'!$U$8/100)*100+'main page'!$K$25*(E11-B11))</f>
        <v>0.125</v>
      </c>
      <c r="L11" s="61">
        <f ca="1">IF(controls!$B$10=1,L10,M11-'main page'!$K$29*K11-(1-'main page'!$K$29)*'main page'!$U$8)</f>
        <v>3.53125</v>
      </c>
      <c r="M11" s="61">
        <f t="shared" ca="1" si="1"/>
        <v>3.65625</v>
      </c>
      <c r="N11" s="61">
        <f ca="1">IF(controls!$B$10=1,'delay in perception'!L11+'delay in perception'!K11,'delay in perception'!O11)</f>
        <v>3.65625</v>
      </c>
      <c r="O11" s="87">
        <f ca="1">'main page'!$K$29*K11+(1-'main page'!$K$29)*'main page'!$U$8+P11+(('main page'!$K$25*'main page'!$U$13*'main page'!$K$29)/('main page'!$K$27*(1+('main page'!$K$25^2)*'main page'!$U$13)))*(K11-('main page'!$U$8/100)*100)</f>
        <v>3.65625</v>
      </c>
      <c r="P11" s="81">
        <f ca="1">IF(controls!$B$33=1,(J12-E11*U12-C12+B11*T12)/'main page'!$K$27,(I12-E11*U12-C12+B11*T12)/'main page'!$K$27)</f>
        <v>4</v>
      </c>
      <c r="R11" s="58">
        <f>IF(controls!$B$6=1,'normal case'!$AS$3*(1+('main page'!$K$35/100))^S11-'normal case'!$AS$3*(1+('main page'!$K$35/100))^S10,'normal case'!$AS$3*(1+('main page'!$G$8/100))*(1+('main page'!$K$35/100))^S11-'normal case'!$AS$3*(1+('main page'!$G$8/100))*(1+('main page'!$K$35/100))^S10)</f>
        <v>0</v>
      </c>
      <c r="S11" s="60">
        <v>3</v>
      </c>
      <c r="T11" s="58">
        <f>'normal case'!AC10</f>
        <v>0</v>
      </c>
      <c r="U11" s="58">
        <f>'normal case'!AD10</f>
        <v>0</v>
      </c>
    </row>
    <row r="12" spans="1:21">
      <c r="A12" s="46">
        <v>9</v>
      </c>
      <c r="B12" s="61">
        <f ca="1">IF(controls!$B$33=1,B11*(1+T12)+R12,B11*(1+T12))</f>
        <v>101</v>
      </c>
      <c r="C12" s="61">
        <f ca="1">IF(controls!$B$33=1,C11*(1+T12)+R12,C11*(1+T12))</f>
        <v>100</v>
      </c>
      <c r="D12" s="77">
        <f t="shared" ca="1" si="2"/>
        <v>6.1957868649309411E-4</v>
      </c>
      <c r="E12" s="61">
        <f t="shared" ca="1" si="0"/>
        <v>100.9375</v>
      </c>
      <c r="F12" s="61">
        <f ca="1">IF(controls!$B$33=1,'delay in perception'!H12,G12)</f>
        <v>100.9375</v>
      </c>
      <c r="G12" s="61">
        <f ca="1">I12-'main page'!$K$27*L11</f>
        <v>100.9375</v>
      </c>
      <c r="H12" s="61">
        <f ca="1">J12-'main page'!$K$27*L11</f>
        <v>100.9375</v>
      </c>
      <c r="I12" s="61">
        <f ca="1">IF(controls!$B$31=2,I11+E11*U12+'normal case'!J11,I11+E11*U12+'normal case'!J11-'normal case'!J10)</f>
        <v>108</v>
      </c>
      <c r="J12" s="61">
        <f ca="1">J11+H11*U12+R12</f>
        <v>108</v>
      </c>
      <c r="K12" s="61">
        <f ca="1">IF(ABS('main page'!$K$29*K11+(1-'main page'!$K$29)*('main page'!$U$8/100)*100+'main page'!$K$25*(E12-B12)-K11)&lt;0.0000001,K11,'main page'!$K$29*K11+(1-'main page'!$K$29)*('main page'!$U$8/100)*100+'main page'!$K$25*(E12-B12))</f>
        <v>6.25E-2</v>
      </c>
      <c r="L12" s="61">
        <f ca="1">IF(controls!$B$10=1,L11,M12-'main page'!$K$29*K12-(1-'main page'!$K$29)*'main page'!$U$8)</f>
        <v>3.015625</v>
      </c>
      <c r="M12" s="61">
        <f t="shared" ca="1" si="1"/>
        <v>3.078125</v>
      </c>
      <c r="N12" s="61">
        <f ca="1">IF(controls!$B$10=1,'delay in perception'!L12+'delay in perception'!K12,'delay in perception'!O12)</f>
        <v>3.078125</v>
      </c>
      <c r="O12" s="87">
        <f ca="1">'main page'!$K$29*K12+(1-'main page'!$K$29)*'main page'!$U$8+P12+(('main page'!$K$25*'main page'!$U$13*'main page'!$K$29)/('main page'!$K$27*(1+('main page'!$K$25^2)*'main page'!$U$13)))*(K12-('main page'!$U$8/100)*100)</f>
        <v>3.078125</v>
      </c>
      <c r="P12" s="81">
        <f ca="1">IF(controls!$B$33=1,(J13-E12*U13-C13+B12*T13)/'main page'!$K$27,(I13-E12*U13-C13+B12*T13)/'main page'!$K$27)</f>
        <v>3.5</v>
      </c>
      <c r="R12" s="58">
        <f>IF(controls!$B$6=1,'normal case'!$AS$3*(1+('main page'!$K$35/100))^S12-'normal case'!$AS$3*(1+('main page'!$K$35/100))^S11,'normal case'!$AS$3*(1+('main page'!$G$8/100))*(1+('main page'!$K$35/100))^S12-'normal case'!$AS$3*(1+('main page'!$G$8/100))*(1+('main page'!$K$35/100))^S11)</f>
        <v>0</v>
      </c>
      <c r="S12" s="60">
        <v>4</v>
      </c>
      <c r="T12" s="58">
        <f ca="1">'normal case'!AC11</f>
        <v>0</v>
      </c>
      <c r="U12" s="58">
        <f ca="1">'normal case'!AD11</f>
        <v>0</v>
      </c>
    </row>
    <row r="13" spans="1:21">
      <c r="A13" s="46">
        <v>10</v>
      </c>
      <c r="B13" s="61">
        <f ca="1">IF(controls!$B$33=1,B12*(1+T13)+R13,B12*(1+T13))</f>
        <v>101</v>
      </c>
      <c r="C13" s="61">
        <f ca="1">B13</f>
        <v>101</v>
      </c>
      <c r="D13" s="77">
        <f t="shared" ca="1" si="2"/>
        <v>1.021671826625381E-2</v>
      </c>
      <c r="E13" s="61">
        <f t="shared" ca="1" si="0"/>
        <v>101.96875</v>
      </c>
      <c r="F13" s="61">
        <f ca="1">IF(controls!$B$33=1,'delay in perception'!H13,G13)</f>
        <v>101.96875</v>
      </c>
      <c r="G13" s="61">
        <f ca="1">I13-'main page'!$K$27*L12</f>
        <v>101.96875</v>
      </c>
      <c r="H13" s="61">
        <f ca="1">J13-'main page'!$K$27*L12</f>
        <v>101.96875</v>
      </c>
      <c r="I13" s="61">
        <f ca="1">IF(controls!$B$31=2,I12+E12*U13+'normal case'!J12,I12+E12*U13+'normal case'!J12-'normal case'!J11)</f>
        <v>108</v>
      </c>
      <c r="J13" s="61">
        <f ca="1">J12*(1+('main page'!$U$22/100))+H12*U13+R13</f>
        <v>108</v>
      </c>
      <c r="K13" s="61">
        <f ca="1">IF(ABS('main page'!$K$29*K12+(1-'main page'!$K$29)*(controls!$B$9/100)*100+'main page'!$K$25*(E13-B13)-K12)&lt;0.0000001,K12,'main page'!$K$29*K12+(1-'main page'!$K$29)*(controls!$B$9/100)*100+'main page'!$K$25*(E13-B13))</f>
        <v>1.03125</v>
      </c>
      <c r="L13" s="61">
        <f ca="1">IF(controls!$B$10=1,L12,M13-'main page'!$K$29*K13-(1-'main page'!$K$29)*controls!$B$9)</f>
        <v>3.2578125</v>
      </c>
      <c r="M13" s="61">
        <f t="shared" ca="1" si="1"/>
        <v>4.2890625</v>
      </c>
      <c r="N13" s="61">
        <f ca="1">IF(controls!$B$10=1,'delay in perception'!L13+'delay in perception'!K13,'delay in perception'!O13)</f>
        <v>4.2890625</v>
      </c>
      <c r="O13" s="87">
        <f ca="1">'main page'!$K$29*K13+(1-'main page'!$K$29)*controls!$B$9+P13+(('main page'!$K$25*'main page'!$U$13*'main page'!$K$29)/('main page'!$K$27*(1+('main page'!$K$25^2)*'main page'!$U$13)))*(K13-(controls!$B$9/100)*100)</f>
        <v>4.2890625</v>
      </c>
      <c r="P13" s="81">
        <f ca="1">IF(controls!$B$33=1,(J14-E13*U14-C14+B13*T14)/'main page'!$K$27,(I14-E13*U14-C14+B13*T14)/'main page'!$K$27)</f>
        <v>3.5</v>
      </c>
      <c r="R13" s="58">
        <f>IF(controls!$B$6=1,'normal case'!$AS$3*(1+('main page'!$K$35/100))^S13-'normal case'!$AS$3*(1+('main page'!$K$35/100))^S12,'normal case'!$AS$3*(1+('main page'!$G$8/100))*(1+('main page'!$K$35/100))^S13-'normal case'!$AS$3*(1+('main page'!$G$8/100))*(1+('main page'!$K$35/100))^S12)</f>
        <v>0</v>
      </c>
      <c r="S13" s="60">
        <v>5</v>
      </c>
      <c r="T13" s="58">
        <f>'normal case'!AC12</f>
        <v>0</v>
      </c>
      <c r="U13" s="58">
        <f>'normal case'!AD12</f>
        <v>0</v>
      </c>
    </row>
    <row r="14" spans="1:21">
      <c r="A14" s="46">
        <v>11</v>
      </c>
      <c r="B14" s="61">
        <f ca="1">IF(controls!$B$33=1,B13*(1+T14)+R14,B13*(1+T14))</f>
        <v>101</v>
      </c>
      <c r="C14" s="61">
        <f t="shared" ref="C14:C77" ca="1" si="3">B14</f>
        <v>101</v>
      </c>
      <c r="D14" s="77">
        <f t="shared" ca="1" si="2"/>
        <v>-4.7502298498314222E-3</v>
      </c>
      <c r="E14" s="61">
        <f t="shared" ca="1" si="0"/>
        <v>101.484375</v>
      </c>
      <c r="F14" s="61">
        <f ca="1">IF(controls!$B$33=1,'delay in perception'!H14,G14)</f>
        <v>101.484375</v>
      </c>
      <c r="G14" s="61">
        <f ca="1">I14-'main page'!$K$27*L13</f>
        <v>101.484375</v>
      </c>
      <c r="H14" s="61">
        <f ca="1">J14-'main page'!$K$27*L13</f>
        <v>101.484375</v>
      </c>
      <c r="I14" s="61">
        <f ca="1">IF(controls!$B$31=2,I13+E13*U14+'normal case'!J13,I13+E13*U14+'normal case'!J13-'normal case'!J12)</f>
        <v>108</v>
      </c>
      <c r="J14" s="61">
        <f t="shared" ref="J14:J45" ca="1" si="4">J13+H13*U14+R14</f>
        <v>108</v>
      </c>
      <c r="K14" s="61">
        <f ca="1">IF(ABS('main page'!$K$29*K13+(1-'main page'!$K$29)*(controls!$B$9/100)*100+'main page'!$K$25*(E14-B14)-K13)&lt;0.0000001,K13,'main page'!$K$29*K13+(1-'main page'!$K$29)*(controls!$B$9/100)*100+'main page'!$K$25*(E14-B14))</f>
        <v>1.515625</v>
      </c>
      <c r="L14" s="61">
        <f ca="1">IF(controls!$B$10=1,L13,M14-'main page'!$K$29*K14-(1-'main page'!$K$29)*controls!$B$9)</f>
        <v>3.37890625</v>
      </c>
      <c r="M14" s="61">
        <f t="shared" ca="1" si="1"/>
        <v>4.89453125</v>
      </c>
      <c r="N14" s="61">
        <f ca="1">IF(controls!$B$10=1,'delay in perception'!L14+'delay in perception'!K14,'delay in perception'!O14)</f>
        <v>4.89453125</v>
      </c>
      <c r="O14" s="87">
        <f ca="1">'main page'!$K$29*K14+(1-'main page'!$K$29)*controls!$B$9+P14+(('main page'!$K$25*'main page'!$U$13*'main page'!$K$29)/('main page'!$K$27*(1+('main page'!$K$25^2)*'main page'!$U$13)))*(K14-(controls!$B$9/100)*100)</f>
        <v>4.89453125</v>
      </c>
      <c r="P14" s="81">
        <f ca="1">IF(controls!$B$33=1,(J15-E14*U15-C15+B14*T15)/'main page'!$K$27,(I15-E14*U15-C15+B14*T15)/'main page'!$K$27)</f>
        <v>3.5</v>
      </c>
      <c r="R14" s="58">
        <f>IF(controls!$B$6=1,'normal case'!$AS$3*(1+('main page'!$K$35/100))^S14-'normal case'!$AS$3*(1+('main page'!$K$35/100))^S13,'normal case'!$AS$3*(1+('main page'!$G$8/100))*(1+('main page'!$K$35/100))^S14-'normal case'!$AS$3*(1+('main page'!$G$8/100))*(1+('main page'!$K$35/100))^S13)</f>
        <v>0</v>
      </c>
      <c r="S14" s="60">
        <v>6</v>
      </c>
      <c r="T14" s="58">
        <f>'normal case'!AC13</f>
        <v>0</v>
      </c>
      <c r="U14" s="58">
        <f>'normal case'!AD13</f>
        <v>0</v>
      </c>
    </row>
    <row r="15" spans="1:21">
      <c r="A15" s="46">
        <v>12</v>
      </c>
      <c r="B15" s="61">
        <f ca="1">IF(controls!$B$33=1,B14*(1+T15)+R15,B14*(1+T15))</f>
        <v>101</v>
      </c>
      <c r="C15" s="61">
        <f t="shared" ca="1" si="3"/>
        <v>101</v>
      </c>
      <c r="D15" s="77">
        <f t="shared" ca="1" si="2"/>
        <v>-2.3864511162432489E-3</v>
      </c>
      <c r="E15" s="61">
        <f t="shared" ca="1" si="0"/>
        <v>101.2421875</v>
      </c>
      <c r="F15" s="61">
        <f ca="1">IF(controls!$B$33=1,'delay in perception'!H15,G15)</f>
        <v>101.2421875</v>
      </c>
      <c r="G15" s="61">
        <f ca="1">I15-'main page'!$K$27*L14</f>
        <v>101.2421875</v>
      </c>
      <c r="H15" s="61">
        <f ca="1">J15-'main page'!$K$27*L14</f>
        <v>101.2421875</v>
      </c>
      <c r="I15" s="61">
        <f ca="1">IF(controls!$B$31=2,I14+E14*U15+'normal case'!J14,I14+E14*U15+'normal case'!J14-'normal case'!J13)</f>
        <v>108</v>
      </c>
      <c r="J15" s="61">
        <f t="shared" ca="1" si="4"/>
        <v>108</v>
      </c>
      <c r="K15" s="61">
        <f ca="1">IF(ABS('main page'!$K$29*K14+(1-'main page'!$K$29)*(controls!$B$9/100)*100+'main page'!$K$25*(E15-B15)-K14)&lt;0.0000001,K14,'main page'!$K$29*K14+(1-'main page'!$K$29)*(controls!$B$9/100)*100+'main page'!$K$25*(E15-B15))</f>
        <v>1.7578125</v>
      </c>
      <c r="L15" s="61">
        <f ca="1">IF(controls!$B$10=1,L14,M15-'main page'!$K$29*K15-(1-'main page'!$K$29)*controls!$B$9)</f>
        <v>3.439453125</v>
      </c>
      <c r="M15" s="61">
        <f t="shared" ca="1" si="1"/>
        <v>5.197265625</v>
      </c>
      <c r="N15" s="61">
        <f ca="1">IF(controls!$B$10=1,'delay in perception'!L15+'delay in perception'!K15,'delay in perception'!O15)</f>
        <v>5.197265625</v>
      </c>
      <c r="O15" s="87">
        <f ca="1">'main page'!$K$29*K15+(1-'main page'!$K$29)*controls!$B$9+P15+(('main page'!$K$25*'main page'!$U$13*'main page'!$K$29)/('main page'!$K$27*(1+('main page'!$K$25^2)*'main page'!$U$13)))*(K15-(controls!$B$9/100)*100)</f>
        <v>5.197265625</v>
      </c>
      <c r="P15" s="81">
        <f ca="1">IF(controls!$B$33=1,(J16-E15*U16-C16+B15*T16)/'main page'!$K$27,(I16-E15*U16-C16+B15*T16)/'main page'!$K$27)</f>
        <v>3.5</v>
      </c>
      <c r="R15" s="58">
        <f>IF(controls!$B$6=1,'normal case'!$AS$3*(1+('main page'!$K$35/100))^S15-'normal case'!$AS$3*(1+('main page'!$K$35/100))^S14,'normal case'!$AS$3*(1+('main page'!$G$8/100))*(1+('main page'!$K$35/100))^S15-'normal case'!$AS$3*(1+('main page'!$G$8/100))*(1+('main page'!$K$35/100))^S14)</f>
        <v>0</v>
      </c>
      <c r="S15" s="60">
        <v>7</v>
      </c>
      <c r="T15" s="58">
        <f ca="1">'normal case'!AC14</f>
        <v>0</v>
      </c>
      <c r="U15" s="58">
        <f ca="1">'normal case'!AD14</f>
        <v>0</v>
      </c>
    </row>
    <row r="16" spans="1:21">
      <c r="A16" s="46">
        <v>13</v>
      </c>
      <c r="B16" s="61">
        <f ca="1">IF(controls!$B$33=1,B15*(1+T16)+R16,B15*(1+T16))</f>
        <v>101</v>
      </c>
      <c r="C16" s="61">
        <f t="shared" ca="1" si="3"/>
        <v>101</v>
      </c>
      <c r="D16" s="77">
        <f t="shared" ca="1" si="2"/>
        <v>-1.1960799444401538E-3</v>
      </c>
      <c r="E16" s="61">
        <f t="shared" ca="1" si="0"/>
        <v>101.12109375</v>
      </c>
      <c r="F16" s="61">
        <f ca="1">IF(controls!$B$33=1,'delay in perception'!H16,G16)</f>
        <v>101.12109375</v>
      </c>
      <c r="G16" s="61">
        <f ca="1">I16-'main page'!$K$27*L15</f>
        <v>101.12109375</v>
      </c>
      <c r="H16" s="61">
        <f ca="1">J16-'main page'!$K$27*L15</f>
        <v>101.12109375</v>
      </c>
      <c r="I16" s="61">
        <f ca="1">IF(controls!$B$31=2,I15+E15*U16+'normal case'!J15,I15+E15*U16+'normal case'!J15-'normal case'!J14)</f>
        <v>108</v>
      </c>
      <c r="J16" s="61">
        <f t="shared" ca="1" si="4"/>
        <v>108</v>
      </c>
      <c r="K16" s="61">
        <f ca="1">IF(ABS('main page'!$K$29*K15+(1-'main page'!$K$29)*(controls!$B$9/100)*100+'main page'!$K$25*(E16-B16)-K15)&lt;0.0000001,K15,'main page'!$K$29*K15+(1-'main page'!$K$29)*(controls!$B$9/100)*100+'main page'!$K$25*(E16-B16))</f>
        <v>1.87890625</v>
      </c>
      <c r="L16" s="61">
        <f ca="1">IF(controls!$B$10=1,L15,M16-'main page'!$K$29*K16-(1-'main page'!$K$29)*controls!$B$9)</f>
        <v>3.4697265625</v>
      </c>
      <c r="M16" s="61">
        <f t="shared" ca="1" si="1"/>
        <v>5.3486328125</v>
      </c>
      <c r="N16" s="61">
        <f ca="1">IF(controls!$B$10=1,'delay in perception'!L16+'delay in perception'!K16,'delay in perception'!O16)</f>
        <v>5.3486328125</v>
      </c>
      <c r="O16" s="87">
        <f ca="1">'main page'!$K$29*K16+(1-'main page'!$K$29)*controls!$B$9+P16+(('main page'!$K$25*'main page'!$U$13*'main page'!$K$29)/('main page'!$K$27*(1+('main page'!$K$25^2)*'main page'!$U$13)))*(K16-(controls!$B$9/100)*100)</f>
        <v>5.3486328125</v>
      </c>
      <c r="P16" s="81">
        <f ca="1">IF(controls!$B$33=1,(J17-E16*U17-C17+B16*T17)/'main page'!$K$27,(I17-E16*U17-C17+B16*T17)/'main page'!$K$27)</f>
        <v>3.5</v>
      </c>
      <c r="R16" s="58">
        <f>IF(controls!$B$6=1,'normal case'!$AS$3*(1+('main page'!$K$35/100))^S16-'normal case'!$AS$3*(1+('main page'!$K$35/100))^S15,'normal case'!$AS$3*(1+('main page'!$G$8/100))*(1+('main page'!$K$35/100))^S16-'normal case'!$AS$3*(1+('main page'!$G$8/100))*(1+('main page'!$K$35/100))^S15)</f>
        <v>0</v>
      </c>
      <c r="S16" s="60">
        <v>8</v>
      </c>
      <c r="T16" s="58">
        <f>'normal case'!AC15</f>
        <v>0</v>
      </c>
      <c r="U16" s="58">
        <f>'normal case'!AD15</f>
        <v>0</v>
      </c>
    </row>
    <row r="17" spans="1:21">
      <c r="A17" s="46">
        <v>14</v>
      </c>
      <c r="B17" s="61">
        <f ca="1">IF(controls!$B$33=1,B16*(1+T17)+R17,B16*(1+T17))</f>
        <v>101</v>
      </c>
      <c r="C17" s="61">
        <f t="shared" ca="1" si="3"/>
        <v>101</v>
      </c>
      <c r="D17" s="77">
        <f t="shared" ca="1" si="2"/>
        <v>-5.9875613242166281E-4</v>
      </c>
      <c r="E17" s="61">
        <f t="shared" ca="1" si="0"/>
        <v>101.060546875</v>
      </c>
      <c r="F17" s="61">
        <f ca="1">IF(controls!$B$33=1,'delay in perception'!H17,G17)</f>
        <v>101.060546875</v>
      </c>
      <c r="G17" s="61">
        <f ca="1">I17-'main page'!$K$27*L16</f>
        <v>101.060546875</v>
      </c>
      <c r="H17" s="61">
        <f ca="1">J17-'main page'!$K$27*L16</f>
        <v>101.060546875</v>
      </c>
      <c r="I17" s="61">
        <f ca="1">IF(controls!$B$31=2,I16+E16*U17+'normal case'!J16,I16+E16*U17+'normal case'!J16-'normal case'!J15)</f>
        <v>108</v>
      </c>
      <c r="J17" s="61">
        <f t="shared" ca="1" si="4"/>
        <v>108</v>
      </c>
      <c r="K17" s="61">
        <f ca="1">IF(ABS('main page'!$K$29*K16+(1-'main page'!$K$29)*(controls!$B$9/100)*100+'main page'!$K$25*(E17-B17)-K16)&lt;0.0000001,K16,'main page'!$K$29*K16+(1-'main page'!$K$29)*(controls!$B$9/100)*100+'main page'!$K$25*(E17-B17))</f>
        <v>1.939453125</v>
      </c>
      <c r="L17" s="61">
        <f ca="1">IF(controls!$B$10=1,L16,M17-'main page'!$K$29*K17-(1-'main page'!$K$29)*controls!$B$9)</f>
        <v>3.48486328125</v>
      </c>
      <c r="M17" s="61">
        <f t="shared" ca="1" si="1"/>
        <v>5.42431640625</v>
      </c>
      <c r="N17" s="61">
        <f ca="1">IF(controls!$B$10=1,'delay in perception'!L17+'delay in perception'!K17,'delay in perception'!O17)</f>
        <v>5.42431640625</v>
      </c>
      <c r="O17" s="87">
        <f ca="1">'main page'!$K$29*K17+(1-'main page'!$K$29)*controls!$B$9+P17+(('main page'!$K$25*'main page'!$U$13*'main page'!$K$29)/('main page'!$K$27*(1+('main page'!$K$25^2)*'main page'!$U$13)))*(K17-(controls!$B$9/100)*100)</f>
        <v>5.42431640625</v>
      </c>
      <c r="P17" s="81">
        <f ca="1">IF(controls!$B$33=1,(J18-E17*U18-C18+B17*T18)/'main page'!$K$27,(I18-E17*U18-C18+B17*T18)/'main page'!$K$27)</f>
        <v>3.5</v>
      </c>
      <c r="R17" s="58">
        <f>IF(controls!$B$6=1,'normal case'!$AS$3*(1+('main page'!$K$35/100))^S17-'normal case'!$AS$3*(1+('main page'!$K$35/100))^S16,'normal case'!$AS$3*(1+('main page'!$G$8/100))*(1+('main page'!$K$35/100))^S17-'normal case'!$AS$3*(1+('main page'!$G$8/100))*(1+('main page'!$K$35/100))^S16)</f>
        <v>0</v>
      </c>
      <c r="S17" s="60">
        <v>9</v>
      </c>
      <c r="T17" s="58">
        <f>'normal case'!AC16</f>
        <v>0</v>
      </c>
      <c r="U17" s="58">
        <f>'normal case'!AD16</f>
        <v>0</v>
      </c>
    </row>
    <row r="18" spans="1:21">
      <c r="A18" s="46">
        <v>15</v>
      </c>
      <c r="B18" s="61">
        <f ca="1">IF(controls!$B$33=1,B17*(1+T18)+R18,B17*(1+T18))</f>
        <v>101</v>
      </c>
      <c r="C18" s="61">
        <f t="shared" ca="1" si="3"/>
        <v>101</v>
      </c>
      <c r="D18" s="77">
        <f t="shared" ca="1" si="2"/>
        <v>-2.9955742805787278E-4</v>
      </c>
      <c r="E18" s="61">
        <f t="shared" ca="1" si="0"/>
        <v>101.0302734375</v>
      </c>
      <c r="F18" s="61">
        <f ca="1">IF(controls!$B$33=1,'delay in perception'!H18,G18)</f>
        <v>101.0302734375</v>
      </c>
      <c r="G18" s="61">
        <f ca="1">I18-'main page'!$K$27*L17</f>
        <v>101.0302734375</v>
      </c>
      <c r="H18" s="61">
        <f ca="1">J18-'main page'!$K$27*L17</f>
        <v>101.0302734375</v>
      </c>
      <c r="I18" s="61">
        <f ca="1">IF(controls!$B$31=2,I17+E17*U18+'normal case'!J17,I17+E17*U18+'normal case'!J17-'normal case'!J16)</f>
        <v>108</v>
      </c>
      <c r="J18" s="61">
        <f t="shared" ca="1" si="4"/>
        <v>108</v>
      </c>
      <c r="K18" s="61">
        <f ca="1">IF(ABS('main page'!$K$29*K17+(1-'main page'!$K$29)*(controls!$B$9/100)*100+'main page'!$K$25*(E18-B18)-K17)&lt;0.0000001,K17,'main page'!$K$29*K17+(1-'main page'!$K$29)*(controls!$B$9/100)*100+'main page'!$K$25*(E18-B18))</f>
        <v>1.9697265625</v>
      </c>
      <c r="L18" s="61">
        <f ca="1">IF(controls!$B$10=1,L17,M18-'main page'!$K$29*K18-(1-'main page'!$K$29)*controls!$B$9)</f>
        <v>3.492431640625</v>
      </c>
      <c r="M18" s="61">
        <f t="shared" ca="1" si="1"/>
        <v>5.462158203125</v>
      </c>
      <c r="N18" s="61">
        <f ca="1">IF(controls!$B$10=1,'delay in perception'!L18+'delay in perception'!K18,'delay in perception'!O18)</f>
        <v>5.462158203125</v>
      </c>
      <c r="O18" s="87">
        <f ca="1">'main page'!$K$29*K18+(1-'main page'!$K$29)*controls!$B$9+P18+(('main page'!$K$25*'main page'!$U$13*'main page'!$K$29)/('main page'!$K$27*(1+('main page'!$K$25^2)*'main page'!$U$13)))*(K18-(controls!$B$9/100)*100)</f>
        <v>5.462158203125</v>
      </c>
      <c r="P18" s="81">
        <f ca="1">IF(controls!$B$33=1,(J19-E18*U19-C19+B18*T19)/'main page'!$K$27,(I19-E18*U19-C19+B18*T19)/'main page'!$K$27)</f>
        <v>3.5</v>
      </c>
      <c r="R18" s="58">
        <f>IF(controls!$B$6=1,'normal case'!$AS$3*(1+('main page'!$K$35/100))^S18-'normal case'!$AS$3*(1+('main page'!$K$35/100))^S17,'normal case'!$AS$3*(1+('main page'!$G$8/100))*(1+('main page'!$K$35/100))^S18-'normal case'!$AS$3*(1+('main page'!$G$8/100))*(1+('main page'!$K$35/100))^S17)</f>
        <v>0</v>
      </c>
      <c r="S18" s="60">
        <v>10</v>
      </c>
      <c r="T18" s="58">
        <f ca="1">'normal case'!AC17</f>
        <v>0</v>
      </c>
      <c r="U18" s="58">
        <f ca="1">'normal case'!AD17</f>
        <v>0</v>
      </c>
    </row>
    <row r="19" spans="1:21">
      <c r="A19" s="46">
        <v>16</v>
      </c>
      <c r="B19" s="61">
        <f ca="1">IF(controls!$B$33=1,B18*(1+T19)+R19,B18*(1+T19))</f>
        <v>101</v>
      </c>
      <c r="C19" s="61">
        <f t="shared" ca="1" si="3"/>
        <v>101</v>
      </c>
      <c r="D19" s="77">
        <f t="shared" ca="1" si="2"/>
        <v>-1.4982359479964735E-4</v>
      </c>
      <c r="E19" s="61">
        <f t="shared" ca="1" si="0"/>
        <v>101.01513671875</v>
      </c>
      <c r="F19" s="61">
        <f ca="1">IF(controls!$B$33=1,'delay in perception'!H19,G19)</f>
        <v>101.01513671875</v>
      </c>
      <c r="G19" s="61">
        <f ca="1">I19-'main page'!$K$27*L18</f>
        <v>101.01513671875</v>
      </c>
      <c r="H19" s="61">
        <f ca="1">J19-'main page'!$K$27*L18</f>
        <v>101.01513671875</v>
      </c>
      <c r="I19" s="61">
        <f ca="1">IF(controls!$B$31=2,I18+E18*U19+'normal case'!J18,I18+E18*U19+'normal case'!J18-'normal case'!J17)</f>
        <v>108</v>
      </c>
      <c r="J19" s="61">
        <f t="shared" ca="1" si="4"/>
        <v>108</v>
      </c>
      <c r="K19" s="61">
        <f ca="1">IF(ABS('main page'!$K$29*K18+(1-'main page'!$K$29)*(controls!$B$9/100)*100+'main page'!$K$25*(E19-B19)-K18)&lt;0.0000001,K18,'main page'!$K$29*K18+(1-'main page'!$K$29)*(controls!$B$9/100)*100+'main page'!$K$25*(E19-B19))</f>
        <v>1.98486328125</v>
      </c>
      <c r="L19" s="61">
        <f ca="1">IF(controls!$B$10=1,L18,M19-'main page'!$K$29*K19-(1-'main page'!$K$29)*controls!$B$9)</f>
        <v>3.4962158203125</v>
      </c>
      <c r="M19" s="61">
        <f t="shared" ca="1" si="1"/>
        <v>5.4810791015625</v>
      </c>
      <c r="N19" s="61">
        <f ca="1">IF(controls!$B$10=1,'delay in perception'!L19+'delay in perception'!K19,'delay in perception'!O19)</f>
        <v>5.4810791015625</v>
      </c>
      <c r="O19" s="87">
        <f ca="1">'main page'!$K$29*K19+(1-'main page'!$K$29)*controls!$B$9+P19+(('main page'!$K$25*'main page'!$U$13*'main page'!$K$29)/('main page'!$K$27*(1+('main page'!$K$25^2)*'main page'!$U$13)))*(K19-(controls!$B$9/100)*100)</f>
        <v>5.4810791015625</v>
      </c>
      <c r="P19" s="81">
        <f ca="1">IF(controls!$B$33=1,(J20-E19*U20-C20+B19*T20)/'main page'!$K$27,(I20-E19*U20-C20+B19*T20)/'main page'!$K$27)</f>
        <v>3.5</v>
      </c>
      <c r="R19" s="58">
        <f>IF(controls!$B$6=1,'normal case'!$AS$3*(1+('main page'!$K$35/100))^S19-'normal case'!$AS$3*(1+('main page'!$K$35/100))^S18,'normal case'!$AS$3*(1+('main page'!$G$8/100))*(1+('main page'!$K$35/100))^S19-'normal case'!$AS$3*(1+('main page'!$G$8/100))*(1+('main page'!$K$35/100))^S18)</f>
        <v>0</v>
      </c>
      <c r="S19" s="60">
        <v>11</v>
      </c>
      <c r="T19" s="58">
        <f>'normal case'!AC18</f>
        <v>0</v>
      </c>
      <c r="U19" s="58">
        <f>'normal case'!AD18</f>
        <v>0</v>
      </c>
    </row>
    <row r="20" spans="1:21">
      <c r="A20" s="46">
        <v>17</v>
      </c>
      <c r="B20" s="61">
        <f ca="1">IF(controls!$B$33=1,B19*(1+T20)+R20,B19*(1+T20))</f>
        <v>101</v>
      </c>
      <c r="C20" s="61">
        <f t="shared" ca="1" si="3"/>
        <v>101</v>
      </c>
      <c r="D20" s="77">
        <f t="shared" ca="1" si="2"/>
        <v>-7.4923022636452785E-5</v>
      </c>
      <c r="E20" s="61">
        <f t="shared" ca="1" si="0"/>
        <v>101.007568359375</v>
      </c>
      <c r="F20" s="61">
        <f ca="1">IF(controls!$B$33=1,'delay in perception'!H20,G20)</f>
        <v>101.007568359375</v>
      </c>
      <c r="G20" s="61">
        <f ca="1">I20-'main page'!$K$27*L19</f>
        <v>101.007568359375</v>
      </c>
      <c r="H20" s="61">
        <f ca="1">J20-'main page'!$K$27*L19</f>
        <v>101.007568359375</v>
      </c>
      <c r="I20" s="61">
        <f ca="1">IF(controls!$B$31=2,I19+E19*U20+'normal case'!J19,I19+E19*U20+'normal case'!J19-'normal case'!J18)</f>
        <v>108</v>
      </c>
      <c r="J20" s="61">
        <f t="shared" ca="1" si="4"/>
        <v>108</v>
      </c>
      <c r="K20" s="61">
        <f ca="1">IF(ABS('main page'!$K$29*K19+(1-'main page'!$K$29)*(controls!$B$9/100)*100+'main page'!$K$25*(E20-B20)-K19)&lt;0.0000001,K19,'main page'!$K$29*K19+(1-'main page'!$K$29)*(controls!$B$9/100)*100+'main page'!$K$25*(E20-B20))</f>
        <v>1.992431640625</v>
      </c>
      <c r="L20" s="61">
        <f ca="1">IF(controls!$B$10=1,L19,M20-'main page'!$K$29*K20-(1-'main page'!$K$29)*controls!$B$9)</f>
        <v>3.49810791015625</v>
      </c>
      <c r="M20" s="61">
        <f t="shared" ca="1" si="1"/>
        <v>5.49053955078125</v>
      </c>
      <c r="N20" s="61">
        <f ca="1">IF(controls!$B$10=1,'delay in perception'!L20+'delay in perception'!K20,'delay in perception'!O20)</f>
        <v>5.49053955078125</v>
      </c>
      <c r="O20" s="87">
        <f ca="1">'main page'!$K$29*K20+(1-'main page'!$K$29)*controls!$B$9+P20+(('main page'!$K$25*'main page'!$U$13*'main page'!$K$29)/('main page'!$K$27*(1+('main page'!$K$25^2)*'main page'!$U$13)))*(K20-(controls!$B$9/100)*100)</f>
        <v>5.49053955078125</v>
      </c>
      <c r="P20" s="81">
        <f ca="1">IF(controls!$B$33=1,(J21-E20*U21-C21+B20*T21)/'main page'!$K$27,(I21-E20*U21-C21+B20*T21)/'main page'!$K$27)</f>
        <v>3.5</v>
      </c>
      <c r="R20" s="58">
        <f>IF(controls!$B$6=1,'normal case'!$AS$3*(1+('main page'!$K$35/100))^S20-'normal case'!$AS$3*(1+('main page'!$K$35/100))^S19,'normal case'!$AS$3*(1+('main page'!$G$8/100))*(1+('main page'!$K$35/100))^S20-'normal case'!$AS$3*(1+('main page'!$G$8/100))*(1+('main page'!$K$35/100))^S19)</f>
        <v>0</v>
      </c>
      <c r="S20" s="60">
        <v>12</v>
      </c>
      <c r="T20" s="58">
        <f>'normal case'!AC19</f>
        <v>0</v>
      </c>
      <c r="U20" s="58">
        <f>'normal case'!AD19</f>
        <v>0</v>
      </c>
    </row>
    <row r="21" spans="1:21">
      <c r="A21" s="46">
        <v>18</v>
      </c>
      <c r="B21" s="61">
        <f ca="1">IF(controls!$B$33=1,B20*(1+T21)+R21,B20*(1+T21))</f>
        <v>101</v>
      </c>
      <c r="C21" s="61">
        <f t="shared" ca="1" si="3"/>
        <v>101</v>
      </c>
      <c r="D21" s="77">
        <f t="shared" ca="1" si="2"/>
        <v>-3.7464318258129126E-5</v>
      </c>
      <c r="E21" s="61">
        <f t="shared" ca="1" si="0"/>
        <v>101.0037841796875</v>
      </c>
      <c r="F21" s="61">
        <f ca="1">IF(controls!$B$33=1,'delay in perception'!H21,G21)</f>
        <v>101.0037841796875</v>
      </c>
      <c r="G21" s="61">
        <f ca="1">I21-'main page'!$K$27*L20</f>
        <v>101.0037841796875</v>
      </c>
      <c r="H21" s="61">
        <f ca="1">J21-'main page'!$K$27*L20</f>
        <v>101.0037841796875</v>
      </c>
      <c r="I21" s="61">
        <f ca="1">IF(controls!$B$31=2,I20+E20*U21+'normal case'!J20,I20+E20*U21+'normal case'!J20-'normal case'!J19)</f>
        <v>108</v>
      </c>
      <c r="J21" s="61">
        <f t="shared" ca="1" si="4"/>
        <v>108</v>
      </c>
      <c r="K21" s="61">
        <f ca="1">IF(ABS('main page'!$K$29*K20+(1-'main page'!$K$29)*(controls!$B$9/100)*100+'main page'!$K$25*(E21-B21)-K20)&lt;0.0000001,K20,'main page'!$K$29*K20+(1-'main page'!$K$29)*(controls!$B$9/100)*100+'main page'!$K$25*(E21-B21))</f>
        <v>1.9962158203125</v>
      </c>
      <c r="L21" s="61">
        <f ca="1">IF(controls!$B$10=1,L20,M21-'main page'!$K$29*K21-(1-'main page'!$K$29)*controls!$B$9)</f>
        <v>3.499053955078125</v>
      </c>
      <c r="M21" s="61">
        <f t="shared" ca="1" si="1"/>
        <v>5.495269775390625</v>
      </c>
      <c r="N21" s="61">
        <f ca="1">IF(controls!$B$10=1,'delay in perception'!L21+'delay in perception'!K21,'delay in perception'!O21)</f>
        <v>5.495269775390625</v>
      </c>
      <c r="O21" s="87">
        <f ca="1">'main page'!$K$29*K21+(1-'main page'!$K$29)*controls!$B$9+P21+(('main page'!$K$25*'main page'!$U$13*'main page'!$K$29)/('main page'!$K$27*(1+('main page'!$K$25^2)*'main page'!$U$13)))*(K21-(controls!$B$9/100)*100)</f>
        <v>5.495269775390625</v>
      </c>
      <c r="P21" s="81">
        <f ca="1">IF(controls!$B$33=1,(J22-E21*U22-C22+B21*T22)/'main page'!$K$27,(I22-E21*U22-C22+B21*T22)/'main page'!$K$27)</f>
        <v>3.5</v>
      </c>
      <c r="R21" s="58">
        <f>IF(controls!$B$6=1,'normal case'!$AS$3*(1+('main page'!$K$35/100))^S21-'normal case'!$AS$3*(1+('main page'!$K$35/100))^S20,'normal case'!$AS$3*(1+('main page'!$G$8/100))*(1+('main page'!$K$35/100))^S21-'normal case'!$AS$3*(1+('main page'!$G$8/100))*(1+('main page'!$K$35/100))^S20)</f>
        <v>0</v>
      </c>
      <c r="S21" s="60">
        <v>13</v>
      </c>
      <c r="T21" s="58">
        <f ca="1">'normal case'!AC20</f>
        <v>0</v>
      </c>
      <c r="U21" s="58">
        <f ca="1">'normal case'!AD20</f>
        <v>0</v>
      </c>
    </row>
    <row r="22" spans="1:21">
      <c r="A22" s="46">
        <v>19</v>
      </c>
      <c r="B22" s="61">
        <f ca="1">IF(controls!$B$33=1,B21*(1+T22)+R22,B21*(1+T22))</f>
        <v>101</v>
      </c>
      <c r="C22" s="61">
        <f t="shared" ca="1" si="3"/>
        <v>101</v>
      </c>
      <c r="D22" s="77">
        <f t="shared" ca="1" si="2"/>
        <v>-1.8732860943004859E-5</v>
      </c>
      <c r="E22" s="61">
        <f t="shared" ca="1" si="0"/>
        <v>101.00189208984375</v>
      </c>
      <c r="F22" s="61">
        <f ca="1">IF(controls!$B$33=1,'delay in perception'!H22,G22)</f>
        <v>101.00189208984375</v>
      </c>
      <c r="G22" s="61">
        <f ca="1">I22-'main page'!$K$27*L21</f>
        <v>101.00189208984375</v>
      </c>
      <c r="H22" s="61">
        <f ca="1">J22-'main page'!$K$27*L21</f>
        <v>101.00189208984375</v>
      </c>
      <c r="I22" s="61">
        <f ca="1">IF(controls!$B$31=2,I21+E21*U22+'normal case'!J21,I21+E21*U22+'normal case'!J21-'normal case'!J20)</f>
        <v>108</v>
      </c>
      <c r="J22" s="61">
        <f t="shared" ca="1" si="4"/>
        <v>108</v>
      </c>
      <c r="K22" s="61">
        <f ca="1">IF(ABS('main page'!$K$29*K21+(1-'main page'!$K$29)*(controls!$B$9/100)*100+'main page'!$K$25*(E22-B22)-K21)&lt;0.0000001,K21,'main page'!$K$29*K21+(1-'main page'!$K$29)*(controls!$B$9/100)*100+'main page'!$K$25*(E22-B22))</f>
        <v>1.99810791015625</v>
      </c>
      <c r="L22" s="61">
        <f ca="1">IF(controls!$B$10=1,L21,M22-'main page'!$K$29*K22-(1-'main page'!$K$29)*controls!$B$9)</f>
        <v>3.4995269775390625</v>
      </c>
      <c r="M22" s="61">
        <f t="shared" ca="1" si="1"/>
        <v>5.4976348876953125</v>
      </c>
      <c r="N22" s="61">
        <f ca="1">IF(controls!$B$10=1,'delay in perception'!L22+'delay in perception'!K22,'delay in perception'!O22)</f>
        <v>5.4976348876953125</v>
      </c>
      <c r="O22" s="87">
        <f ca="1">'main page'!$K$29*K22+(1-'main page'!$K$29)*controls!$B$9+P22+(('main page'!$K$25*'main page'!$U$13*'main page'!$K$29)/('main page'!$K$27*(1+('main page'!$K$25^2)*'main page'!$U$13)))*(K22-(controls!$B$9/100)*100)</f>
        <v>5.4976348876953125</v>
      </c>
      <c r="P22" s="81">
        <f ca="1">IF(controls!$B$33=1,(J23-E22*U23-C23+B22*T23)/'main page'!$K$27,(I23-E22*U23-C23+B22*T23)/'main page'!$K$27)</f>
        <v>3.5</v>
      </c>
      <c r="R22" s="58">
        <f>IF(controls!$B$6=1,'normal case'!$AS$3*(1+('main page'!$K$35/100))^S22-'normal case'!$AS$3*(1+('main page'!$K$35/100))^S21,'normal case'!$AS$3*(1+('main page'!$G$8/100))*(1+('main page'!$K$35/100))^S22-'normal case'!$AS$3*(1+('main page'!$G$8/100))*(1+('main page'!$K$35/100))^S21)</f>
        <v>0</v>
      </c>
      <c r="S22" s="60">
        <v>14</v>
      </c>
      <c r="T22" s="58">
        <f>'normal case'!AC21</f>
        <v>0</v>
      </c>
      <c r="U22" s="58">
        <f>'normal case'!AD21</f>
        <v>0</v>
      </c>
    </row>
    <row r="23" spans="1:21">
      <c r="A23" s="46">
        <v>20</v>
      </c>
      <c r="B23" s="61">
        <f ca="1">IF(controls!$B$33=1,B22*(1+T23)+R23,B22*(1+T23))</f>
        <v>101</v>
      </c>
      <c r="C23" s="61">
        <f t="shared" ca="1" si="3"/>
        <v>101</v>
      </c>
      <c r="D23" s="77">
        <f t="shared" ca="1" si="2"/>
        <v>-9.3666059347574659E-6</v>
      </c>
      <c r="E23" s="61">
        <f t="shared" ca="1" si="0"/>
        <v>101.00094604492188</v>
      </c>
      <c r="F23" s="61">
        <f ca="1">IF(controls!$B$33=1,'delay in perception'!H23,G23)</f>
        <v>101.00094604492188</v>
      </c>
      <c r="G23" s="61">
        <f ca="1">I23-'main page'!$K$27*L22</f>
        <v>101.00094604492188</v>
      </c>
      <c r="H23" s="61">
        <f ca="1">J23-'main page'!$K$27*L22</f>
        <v>101.00094604492188</v>
      </c>
      <c r="I23" s="61">
        <f ca="1">IF(controls!$B$31=2,I22+E22*U23+'normal case'!J22,I22+E22*U23+'normal case'!J22-'normal case'!J21)</f>
        <v>108</v>
      </c>
      <c r="J23" s="61">
        <f t="shared" ca="1" si="4"/>
        <v>108</v>
      </c>
      <c r="K23" s="61">
        <f ca="1">IF(ABS('main page'!$K$29*K22+(1-'main page'!$K$29)*(controls!$B$9/100)*100+'main page'!$K$25*(E23-B23)-K22)&lt;0.0000001,K22,'main page'!$K$29*K22+(1-'main page'!$K$29)*(controls!$B$9/100)*100+'main page'!$K$25*(E23-B23))</f>
        <v>1.999053955078125</v>
      </c>
      <c r="L23" s="61">
        <f ca="1">IF(controls!$B$10=1,L22,M23-'main page'!$K$29*K23-(1-'main page'!$K$29)*controls!$B$9)</f>
        <v>3.4997634887695313</v>
      </c>
      <c r="M23" s="61">
        <f t="shared" ca="1" si="1"/>
        <v>5.4988174438476563</v>
      </c>
      <c r="N23" s="61">
        <f ca="1">IF(controls!$B$10=1,'delay in perception'!L23+'delay in perception'!K23,'delay in perception'!O23)</f>
        <v>5.4988174438476563</v>
      </c>
      <c r="O23" s="87">
        <f ca="1">'main page'!$K$29*K23+(1-'main page'!$K$29)*controls!$B$9+P23+(('main page'!$K$25*'main page'!$U$13*'main page'!$K$29)/('main page'!$K$27*(1+('main page'!$K$25^2)*'main page'!$U$13)))*(K23-(controls!$B$9/100)*100)</f>
        <v>5.4988174438476563</v>
      </c>
      <c r="P23" s="81">
        <f ca="1">IF(controls!$B$33=1,(J24-E23*U24-C24+B23*T24)/'main page'!$K$27,(I24-E23*U24-C24+B23*T24)/'main page'!$K$27)</f>
        <v>3.5</v>
      </c>
      <c r="R23" s="58">
        <f>IF(controls!$B$6=1,'normal case'!$AS$3*(1+('main page'!$K$35/100))^S23-'normal case'!$AS$3*(1+('main page'!$K$35/100))^S22,'normal case'!$AS$3*(1+('main page'!$G$8/100))*(1+('main page'!$K$35/100))^S23-'normal case'!$AS$3*(1+('main page'!$G$8/100))*(1+('main page'!$K$35/100))^S22)</f>
        <v>0</v>
      </c>
      <c r="S23" s="60">
        <v>15</v>
      </c>
      <c r="T23" s="58">
        <f>'normal case'!AC22</f>
        <v>0</v>
      </c>
      <c r="U23" s="58">
        <f>'normal case'!AD22</f>
        <v>0</v>
      </c>
    </row>
    <row r="24" spans="1:21">
      <c r="A24" s="46">
        <v>21</v>
      </c>
      <c r="B24" s="61">
        <f ca="1">IF(controls!$B$33=1,B23*(1+T24)+R24,B23*(1+T24))</f>
        <v>101</v>
      </c>
      <c r="C24" s="61">
        <f t="shared" ca="1" si="3"/>
        <v>101</v>
      </c>
      <c r="D24" s="77">
        <f t="shared" ca="1" si="2"/>
        <v>-4.6833468344553708E-6</v>
      </c>
      <c r="E24" s="61">
        <f t="shared" ca="1" si="0"/>
        <v>101.00047302246094</v>
      </c>
      <c r="F24" s="61">
        <f ca="1">IF(controls!$B$33=1,'delay in perception'!H24,G24)</f>
        <v>101.00047302246094</v>
      </c>
      <c r="G24" s="61">
        <f ca="1">I24-'main page'!$K$27*L23</f>
        <v>101.00047302246094</v>
      </c>
      <c r="H24" s="61">
        <f ca="1">J24-'main page'!$K$27*L23</f>
        <v>101.00047302246094</v>
      </c>
      <c r="I24" s="61">
        <f ca="1">IF(controls!$B$31=2,I23+E23*U24,I23+E23*U24-'normal case'!J22)</f>
        <v>108</v>
      </c>
      <c r="J24" s="61">
        <f t="shared" ca="1" si="4"/>
        <v>108</v>
      </c>
      <c r="K24" s="61">
        <f ca="1">IF(ABS('main page'!$K$29*K23+(1-'main page'!$K$29)*(controls!$B$9/100)*100+'main page'!$K$25*(E24-B24)-K23)&lt;0.0000001,K23,'main page'!$K$29*K23+(1-'main page'!$K$29)*(controls!$B$9/100)*100+'main page'!$K$25*(E24-B24))</f>
        <v>1.9995269775390625</v>
      </c>
      <c r="L24" s="61">
        <f ca="1">IF(controls!$B$10=1,L23,M24-'main page'!$K$29*K24-(1-'main page'!$K$29)*controls!$B$9)</f>
        <v>3.4998817443847656</v>
      </c>
      <c r="M24" s="61">
        <f t="shared" ca="1" si="1"/>
        <v>5.4994087219238281</v>
      </c>
      <c r="N24" s="61">
        <f ca="1">IF(controls!$B$10=1,'delay in perception'!L24+'delay in perception'!K24,'delay in perception'!O24)</f>
        <v>5.4994087219238281</v>
      </c>
      <c r="O24" s="87">
        <f ca="1">'main page'!$K$29*K24+(1-'main page'!$K$29)*controls!$B$9+P24+(('main page'!$K$25*'main page'!$U$13*'main page'!$K$29)/('main page'!$K$27*(1+('main page'!$K$25^2)*'main page'!$U$13)))*(K24-(controls!$B$9/100)*100)</f>
        <v>5.4994087219238281</v>
      </c>
      <c r="P24" s="81">
        <f ca="1">IF(controls!$B$33=1,(J25-E24*U25-C25+B24*T25)/'main page'!$K$27,(I25-E24*U25-C25+B24*T25)/'main page'!$K$27)</f>
        <v>3.5</v>
      </c>
      <c r="R24" s="58">
        <f>IF(controls!$B$6=1,'normal case'!$AS$3*(1+('main page'!$K$35/100))^S24-'normal case'!$AS$3*(1+('main page'!$K$35/100))^S23,'normal case'!$AS$3*(1+('main page'!$G$8/100))*(1+('main page'!$K$35/100))^S24-'normal case'!$AS$3*(1+('main page'!$G$8/100))*(1+('main page'!$K$35/100))^S23)</f>
        <v>0</v>
      </c>
      <c r="S24" s="60">
        <v>16</v>
      </c>
      <c r="T24" s="58">
        <f ca="1">'normal case'!AC23</f>
        <v>0</v>
      </c>
      <c r="U24" s="58">
        <f ca="1">'normal case'!AD23</f>
        <v>0</v>
      </c>
    </row>
    <row r="25" spans="1:21">
      <c r="A25" s="46">
        <v>22</v>
      </c>
      <c r="B25" s="61">
        <f ca="1">IF(controls!$B$33=1,B24*(1+T25)+R25,B24*(1+T25))</f>
        <v>101</v>
      </c>
      <c r="C25" s="61">
        <f t="shared" ca="1" si="3"/>
        <v>101</v>
      </c>
      <c r="D25" s="77">
        <f t="shared" ca="1" si="2"/>
        <v>-2.3416843841772561E-6</v>
      </c>
      <c r="E25" s="61">
        <f t="shared" ca="1" si="0"/>
        <v>101.00023651123047</v>
      </c>
      <c r="F25" s="61">
        <f ca="1">IF(controls!$B$33=1,'delay in perception'!H25,G25)</f>
        <v>101.00023651123047</v>
      </c>
      <c r="G25" s="61">
        <f ca="1">I25-'main page'!$K$27*L24</f>
        <v>101.00023651123047</v>
      </c>
      <c r="H25" s="61">
        <f ca="1">J25-'main page'!$K$27*L24</f>
        <v>101.00023651123047</v>
      </c>
      <c r="I25" s="61">
        <f ca="1">I24+E24*U25</f>
        <v>108</v>
      </c>
      <c r="J25" s="61">
        <f t="shared" ca="1" si="4"/>
        <v>108</v>
      </c>
      <c r="K25" s="61">
        <f ca="1">IF(ABS('main page'!$K$29*K24+(1-'main page'!$K$29)*(controls!$B$9/100)*100+'main page'!$K$25*(E25-B25)-K24)&lt;0.0000001,K24,'main page'!$K$29*K24+(1-'main page'!$K$29)*(controls!$B$9/100)*100+'main page'!$K$25*(E25-B25))</f>
        <v>1.9997634887695313</v>
      </c>
      <c r="L25" s="61">
        <f ca="1">IF(controls!$B$10=1,L24,M25-'main page'!$K$29*K25-(1-'main page'!$K$29)*controls!$B$9)</f>
        <v>3.4999408721923828</v>
      </c>
      <c r="M25" s="61">
        <f t="shared" ca="1" si="1"/>
        <v>5.4997043609619141</v>
      </c>
      <c r="N25" s="61">
        <f ca="1">IF(controls!$B$10=1,'delay in perception'!L25+'delay in perception'!K25,'delay in perception'!O25)</f>
        <v>5.4997043609619141</v>
      </c>
      <c r="O25" s="87">
        <f ca="1">'main page'!$K$29*K25+(1-'main page'!$K$29)*controls!$B$9+P25+(('main page'!$K$25*'main page'!$U$13*'main page'!$K$29)/('main page'!$K$27*(1+('main page'!$K$25^2)*'main page'!$U$13)))*(K25-(controls!$B$9/100)*100)</f>
        <v>5.4997043609619141</v>
      </c>
      <c r="P25" s="81">
        <f ca="1">IF(controls!$B$33=1,(J26-E25*U26-C26+B25*T26)/'main page'!$K$27,(I26-E25*U26-C26+B25*T26)/'main page'!$K$27)</f>
        <v>3.5</v>
      </c>
      <c r="R25" s="58">
        <f>IF(controls!$B$6=1,'normal case'!$AS$3*(1+('main page'!$K$35/100))^S25-'normal case'!$AS$3*(1+('main page'!$K$35/100))^S24,'normal case'!$AS$3*(1+('main page'!$G$8/100))*(1+('main page'!$K$35/100))^S25-'normal case'!$AS$3*(1+('main page'!$G$8/100))*(1+('main page'!$K$35/100))^S24)</f>
        <v>0</v>
      </c>
      <c r="S25" s="60">
        <v>17</v>
      </c>
      <c r="T25" s="58">
        <f>'normal case'!AC24</f>
        <v>0</v>
      </c>
      <c r="U25" s="58">
        <f>'normal case'!AD24</f>
        <v>0</v>
      </c>
    </row>
    <row r="26" spans="1:21">
      <c r="A26" s="46">
        <v>23</v>
      </c>
      <c r="B26" s="61">
        <f ca="1">IF(controls!$B$33=1,B25*(1+T26)+R26,B25*(1+T26))</f>
        <v>101</v>
      </c>
      <c r="C26" s="61">
        <f t="shared" ca="1" si="3"/>
        <v>101</v>
      </c>
      <c r="D26" s="77">
        <f t="shared" ca="1" si="2"/>
        <v>-1.1708449337843874E-6</v>
      </c>
      <c r="E26" s="61">
        <f t="shared" ca="1" si="0"/>
        <v>101.00011825561523</v>
      </c>
      <c r="F26" s="61">
        <f ca="1">IF(controls!$B$33=1,'delay in perception'!H26,G26)</f>
        <v>101.00011825561523</v>
      </c>
      <c r="G26" s="61">
        <f ca="1">I26-'main page'!$K$27*L25</f>
        <v>101.00011825561523</v>
      </c>
      <c r="H26" s="61">
        <f ca="1">J26-'main page'!$K$27*L25</f>
        <v>101.00011825561523</v>
      </c>
      <c r="I26" s="61">
        <f t="shared" ref="I26:I89" ca="1" si="5">I25+E25*U26</f>
        <v>108</v>
      </c>
      <c r="J26" s="61">
        <f t="shared" ca="1" si="4"/>
        <v>108</v>
      </c>
      <c r="K26" s="61">
        <f ca="1">IF(ABS('main page'!$K$29*K25+(1-'main page'!$K$29)*(controls!$B$9/100)*100+'main page'!$K$25*(E26-B26)-K25)&lt;0.0000001,K25,'main page'!$K$29*K25+(1-'main page'!$K$29)*(controls!$B$9/100)*100+'main page'!$K$25*(E26-B26))</f>
        <v>1.9998817443847656</v>
      </c>
      <c r="L26" s="61">
        <f ca="1">IF(controls!$B$10=1,L25,M26-'main page'!$K$29*K26-(1-'main page'!$K$29)*controls!$B$9)</f>
        <v>3.4999704360961914</v>
      </c>
      <c r="M26" s="61">
        <f t="shared" ca="1" si="1"/>
        <v>5.499852180480957</v>
      </c>
      <c r="N26" s="61">
        <f ca="1">IF(controls!$B$10=1,'delay in perception'!L26+'delay in perception'!K26,'delay in perception'!O26)</f>
        <v>5.499852180480957</v>
      </c>
      <c r="O26" s="87">
        <f ca="1">'main page'!$K$29*K26+(1-'main page'!$K$29)*controls!$B$9+P26+(('main page'!$K$25*'main page'!$U$13*'main page'!$K$29)/('main page'!$K$27*(1+('main page'!$K$25^2)*'main page'!$U$13)))*(K26-(controls!$B$9/100)*100)</f>
        <v>5.499852180480957</v>
      </c>
      <c r="P26" s="81">
        <f ca="1">IF(controls!$B$33=1,(J27-E26*U27-C27+B26*T27)/'main page'!$K$27,(I27-E26*U27-C27+B26*T27)/'main page'!$K$27)</f>
        <v>3.5</v>
      </c>
      <c r="R26" s="58">
        <f>IF(controls!$B$6=1,'normal case'!$AS$3*(1+('main page'!$K$35/100))^S26-'normal case'!$AS$3*(1+('main page'!$K$35/100))^S25,'normal case'!$AS$3*(1+('main page'!$G$8/100))*(1+('main page'!$K$35/100))^S26-'normal case'!$AS$3*(1+('main page'!$G$8/100))*(1+('main page'!$K$35/100))^S25)</f>
        <v>0</v>
      </c>
      <c r="S26" s="60">
        <v>18</v>
      </c>
      <c r="T26" s="58">
        <f>'normal case'!AC25</f>
        <v>0</v>
      </c>
      <c r="U26" s="58">
        <f>'normal case'!AD25</f>
        <v>0</v>
      </c>
    </row>
    <row r="27" spans="1:21">
      <c r="A27" s="46">
        <v>24</v>
      </c>
      <c r="B27" s="61">
        <f ca="1">IF(controls!$B$33=1,B26*(1+T27)+R27,B26*(1+T27))</f>
        <v>101</v>
      </c>
      <c r="C27" s="61">
        <f t="shared" ca="1" si="3"/>
        <v>101</v>
      </c>
      <c r="D27" s="77">
        <f t="shared" ca="1" si="2"/>
        <v>-1.1708449337843874E-6</v>
      </c>
      <c r="E27" s="61">
        <f t="shared" ca="1" si="0"/>
        <v>101.00005912780762</v>
      </c>
      <c r="F27" s="61">
        <f ca="1">IF(controls!$B$33=1,'delay in perception'!H27,G27)</f>
        <v>101.00005912780762</v>
      </c>
      <c r="G27" s="61">
        <f ca="1">I27-'main page'!$K$27*L26</f>
        <v>101.00005912780762</v>
      </c>
      <c r="H27" s="61">
        <f ca="1">J27-'main page'!$K$27*L26</f>
        <v>101.00005912780762</v>
      </c>
      <c r="I27" s="61">
        <f t="shared" ca="1" si="5"/>
        <v>108</v>
      </c>
      <c r="J27" s="61">
        <f t="shared" ca="1" si="4"/>
        <v>108</v>
      </c>
      <c r="K27" s="61">
        <f ca="1">IF(ABS('main page'!$K$29*K26+(1-'main page'!$K$29)*(controls!$B$9/100)*100+'main page'!$K$25*(E27-B27)-K26)&lt;0.0000001,K26,'main page'!$K$29*K26+(1-'main page'!$K$29)*(controls!$B$9/100)*100+'main page'!$K$25*(E27-B27))</f>
        <v>1.9999408721923828</v>
      </c>
      <c r="L27" s="61">
        <f ca="1">IF(controls!$B$10=1,L26,M27-'main page'!$K$29*K27-(1-'main page'!$K$29)*controls!$B$9)</f>
        <v>3.4999852180480957</v>
      </c>
      <c r="M27" s="61">
        <f t="shared" ca="1" si="1"/>
        <v>5.4999260902404785</v>
      </c>
      <c r="N27" s="61">
        <f ca="1">IF(controls!$B$10=1,'delay in perception'!L27+'delay in perception'!K27,'delay in perception'!O27)</f>
        <v>5.4999260902404785</v>
      </c>
      <c r="O27" s="87">
        <f ca="1">'main page'!$K$29*K27+(1-'main page'!$K$29)*controls!$B$9+P27+(('main page'!$K$25*'main page'!$U$13*'main page'!$K$29)/('main page'!$K$27*(1+('main page'!$K$25^2)*'main page'!$U$13)))*(K27-(controls!$B$9/100)*100)</f>
        <v>5.4999260902404785</v>
      </c>
      <c r="P27" s="81">
        <f ca="1">IF(controls!$B$33=1,(J28-E27*U28-C28+B27*T28)/'main page'!$K$27,(I28-E27*U28-C28+B27*T28)/'main page'!$K$27)</f>
        <v>3.5</v>
      </c>
      <c r="R27" s="58">
        <f>IF(controls!$B$6=1,'normal case'!$AS$3*(1+('main page'!$K$35/100))^S27-'normal case'!$AS$3*(1+('main page'!$K$35/100))^S26,'normal case'!$AS$3*(1+('main page'!$G$8/100))*(1+('main page'!$K$35/100))^S27-'normal case'!$AS$3*(1+('main page'!$G$8/100))*(1+('main page'!$K$35/100))^S26)</f>
        <v>0</v>
      </c>
      <c r="S27" s="60">
        <v>19</v>
      </c>
      <c r="T27" s="58">
        <f ca="1">'normal case'!AC26</f>
        <v>0</v>
      </c>
      <c r="U27" s="58">
        <f ca="1">'normal case'!AD26</f>
        <v>0</v>
      </c>
    </row>
    <row r="28" spans="1:21">
      <c r="A28" s="46">
        <v>25</v>
      </c>
      <c r="B28" s="61">
        <f ca="1">IF(controls!$B$33=1,B27*(1+T28)+R28,B27*(1+T28))</f>
        <v>101</v>
      </c>
      <c r="C28" s="61">
        <f t="shared" ca="1" si="3"/>
        <v>101</v>
      </c>
      <c r="D28" s="77">
        <f t="shared" ca="1" si="2"/>
        <v>-1.1708449337843874E-6</v>
      </c>
      <c r="E28" s="61">
        <f t="shared" ca="1" si="0"/>
        <v>101.00002956390381</v>
      </c>
      <c r="F28" s="61">
        <f ca="1">IF(controls!$B$33=1,'delay in perception'!H28,G28)</f>
        <v>101.00002956390381</v>
      </c>
      <c r="G28" s="61">
        <f ca="1">I28-'main page'!$K$27*L27</f>
        <v>101.00002956390381</v>
      </c>
      <c r="H28" s="61">
        <f ca="1">J28-'main page'!$K$27*L27</f>
        <v>101.00002956390381</v>
      </c>
      <c r="I28" s="61">
        <f t="shared" ca="1" si="5"/>
        <v>108</v>
      </c>
      <c r="J28" s="61">
        <f t="shared" ca="1" si="4"/>
        <v>108</v>
      </c>
      <c r="K28" s="61">
        <f ca="1">IF(ABS('main page'!$K$29*K27+(1-'main page'!$K$29)*(controls!$B$9/100)*100+'main page'!$K$25*(E28-B28)-K27)&lt;0.0000001,K27,'main page'!$K$29*K27+(1-'main page'!$K$29)*(controls!$B$9/100)*100+'main page'!$K$25*(E28-B28))</f>
        <v>1.9999704360961914</v>
      </c>
      <c r="L28" s="61">
        <f ca="1">IF(controls!$B$10=1,L27,M28-'main page'!$K$29*K28-(1-'main page'!$K$29)*controls!$B$9)</f>
        <v>3.4999926090240479</v>
      </c>
      <c r="M28" s="61">
        <f t="shared" ca="1" si="1"/>
        <v>5.4999630451202393</v>
      </c>
      <c r="N28" s="61">
        <f ca="1">IF(controls!$B$10=1,'delay in perception'!L28+'delay in perception'!K28,'delay in perception'!O28)</f>
        <v>5.4999630451202393</v>
      </c>
      <c r="O28" s="87">
        <f ca="1">'main page'!$K$29*K28+(1-'main page'!$K$29)*controls!$B$9+P28+(('main page'!$K$25*'main page'!$U$13*'main page'!$K$29)/('main page'!$K$27*(1+('main page'!$K$25^2)*'main page'!$U$13)))*(K28-(controls!$B$9/100)*100)</f>
        <v>5.4999630451202393</v>
      </c>
      <c r="P28" s="81">
        <f ca="1">IF(controls!$B$33=1,(J29-E28*U29-C29+B28*T29)/'main page'!$K$27,(I29-E28*U29-C29+B28*T29)/'main page'!$K$27)</f>
        <v>3.5</v>
      </c>
      <c r="R28" s="58">
        <f>IF(controls!$B$6=1,'normal case'!$AS$3*(1+('main page'!$K$35/100))^S28-'normal case'!$AS$3*(1+('main page'!$K$35/100))^S27,'normal case'!$AS$3*(1+('main page'!$G$8/100))*(1+('main page'!$K$35/100))^S28-'normal case'!$AS$3*(1+('main page'!$G$8/100))*(1+('main page'!$K$35/100))^S27)</f>
        <v>0</v>
      </c>
      <c r="S28" s="60">
        <v>20</v>
      </c>
      <c r="T28" s="58">
        <f>'normal case'!AC27</f>
        <v>0</v>
      </c>
      <c r="U28" s="58">
        <f>'normal case'!AD27</f>
        <v>0</v>
      </c>
    </row>
    <row r="29" spans="1:21">
      <c r="A29" s="46">
        <v>26</v>
      </c>
      <c r="B29" s="61">
        <f ca="1">IF(controls!$B$33=1,B28*(1+T29)+R29,B28*(1+T29))</f>
        <v>101</v>
      </c>
      <c r="C29" s="61">
        <f t="shared" ca="1" si="3"/>
        <v>101</v>
      </c>
      <c r="D29" s="77">
        <f t="shared" ca="1" si="2"/>
        <v>-1.4635591660816516E-7</v>
      </c>
      <c r="E29" s="61">
        <f t="shared" ca="1" si="0"/>
        <v>101.0000147819519</v>
      </c>
      <c r="F29" s="61">
        <f ca="1">IF(controls!$B$33=1,'delay in perception'!H29,G29)</f>
        <v>101.0000147819519</v>
      </c>
      <c r="G29" s="61">
        <f ca="1">I29-'main page'!$K$27*L28</f>
        <v>101.0000147819519</v>
      </c>
      <c r="H29" s="61">
        <f ca="1">J29-'main page'!$K$27*L28</f>
        <v>101.0000147819519</v>
      </c>
      <c r="I29" s="61">
        <f t="shared" ca="1" si="5"/>
        <v>108</v>
      </c>
      <c r="J29" s="61">
        <f t="shared" ca="1" si="4"/>
        <v>108</v>
      </c>
      <c r="K29" s="61">
        <f ca="1">IF(ABS('main page'!$K$29*K28+(1-'main page'!$K$29)*(controls!$B$9/100)*100+'main page'!$K$25*(E29-B29)-K28)&lt;0.0000001,K28,'main page'!$K$29*K28+(1-'main page'!$K$29)*(controls!$B$9/100)*100+'main page'!$K$25*(E29-B29))</f>
        <v>1.9999852180480957</v>
      </c>
      <c r="L29" s="61">
        <f ca="1">IF(controls!$B$10=1,L28,M29-'main page'!$K$29*K29-(1-'main page'!$K$29)*controls!$B$9)</f>
        <v>3.4999963045120239</v>
      </c>
      <c r="M29" s="61">
        <f t="shared" ca="1" si="1"/>
        <v>5.4999815225601196</v>
      </c>
      <c r="N29" s="61">
        <f ca="1">IF(controls!$B$10=1,'delay in perception'!L29+'delay in perception'!K29,'delay in perception'!O29)</f>
        <v>5.4999815225601196</v>
      </c>
      <c r="O29" s="87">
        <f ca="1">'main page'!$K$29*K29+(1-'main page'!$K$29)*controls!$B$9+P29+(('main page'!$K$25*'main page'!$U$13*'main page'!$K$29)/('main page'!$K$27*(1+('main page'!$K$25^2)*'main page'!$U$13)))*(K29-(controls!$B$9/100)*100)</f>
        <v>5.4999815225601196</v>
      </c>
      <c r="P29" s="81">
        <f ca="1">IF(controls!$B$33=1,(J30-E29*U30-C30+B29*T30)/'main page'!$K$27,(I30-E29*U30-C30+B29*T30)/'main page'!$K$27)</f>
        <v>3.5</v>
      </c>
      <c r="R29" s="58">
        <f>IF(controls!$B$6=1,'normal case'!$AS$3*(1+('main page'!$K$35/100))^S29-'normal case'!$AS$3*(1+('main page'!$K$35/100))^S28,'normal case'!$AS$3*(1+('main page'!$G$8/100))*(1+('main page'!$K$35/100))^S29-'normal case'!$AS$3*(1+('main page'!$G$8/100))*(1+('main page'!$K$35/100))^S28)</f>
        <v>0</v>
      </c>
      <c r="S29" s="60">
        <v>21</v>
      </c>
      <c r="T29" s="58">
        <f>'normal case'!AC28</f>
        <v>0</v>
      </c>
      <c r="U29" s="58">
        <f>'normal case'!AD28</f>
        <v>0</v>
      </c>
    </row>
    <row r="30" spans="1:21">
      <c r="A30" s="46">
        <v>27</v>
      </c>
      <c r="B30" s="61">
        <f ca="1">IF(controls!$B$33=1,B29*(1+T30)+R30,B29*(1+T30))</f>
        <v>101</v>
      </c>
      <c r="C30" s="61">
        <f t="shared" ca="1" si="3"/>
        <v>101</v>
      </c>
      <c r="D30" s="77">
        <f t="shared" ca="1" si="2"/>
        <v>-1.4635591660816516E-7</v>
      </c>
      <c r="E30" s="61">
        <f t="shared" ca="1" si="0"/>
        <v>101.00000739097595</v>
      </c>
      <c r="F30" s="61">
        <f ca="1">IF(controls!$B$33=1,'delay in perception'!H30,G30)</f>
        <v>101.00000739097595</v>
      </c>
      <c r="G30" s="61">
        <f ca="1">I30-'main page'!$K$27*L29</f>
        <v>101.00000739097595</v>
      </c>
      <c r="H30" s="61">
        <f ca="1">J30-'main page'!$K$27*L29</f>
        <v>101.00000739097595</v>
      </c>
      <c r="I30" s="61">
        <f t="shared" ca="1" si="5"/>
        <v>108</v>
      </c>
      <c r="J30" s="61">
        <f t="shared" ca="1" si="4"/>
        <v>108</v>
      </c>
      <c r="K30" s="61">
        <f ca="1">IF(ABS('main page'!$K$29*K29+(1-'main page'!$K$29)*(controls!$B$9/100)*100+'main page'!$K$25*(E30-B30)-K29)&lt;0.0000001,K29,'main page'!$K$29*K29+(1-'main page'!$K$29)*(controls!$B$9/100)*100+'main page'!$K$25*(E30-B30))</f>
        <v>1.9999926090240479</v>
      </c>
      <c r="L30" s="61">
        <f ca="1">IF(controls!$B$10=1,L29,M30-'main page'!$K$29*K30-(1-'main page'!$K$29)*controls!$B$9)</f>
        <v>3.499998152256012</v>
      </c>
      <c r="M30" s="61">
        <f t="shared" ca="1" si="1"/>
        <v>5.4999907612800598</v>
      </c>
      <c r="N30" s="61">
        <f ca="1">IF(controls!$B$10=1,'delay in perception'!L30+'delay in perception'!K30,'delay in perception'!O30)</f>
        <v>5.4999907612800598</v>
      </c>
      <c r="O30" s="87">
        <f ca="1">'main page'!$K$29*K30+(1-'main page'!$K$29)*controls!$B$9+P30+(('main page'!$K$25*'main page'!$U$13*'main page'!$K$29)/('main page'!$K$27*(1+('main page'!$K$25^2)*'main page'!$U$13)))*(K30-(controls!$B$9/100)*100)</f>
        <v>5.4999907612800598</v>
      </c>
      <c r="P30" s="81">
        <f ca="1">IF(controls!$B$33=1,(J31-E30*U31-C31+B30*T31)/'main page'!$K$27,(I31-E30*U31-C31+B30*T31)/'main page'!$K$27)</f>
        <v>3.5</v>
      </c>
      <c r="R30" s="58">
        <f>IF(controls!$B$6=1,'normal case'!$AS$3*(1+('main page'!$K$35/100))^S30-'normal case'!$AS$3*(1+('main page'!$K$35/100))^S29,'normal case'!$AS$3*(1+('main page'!$G$8/100))*(1+('main page'!$K$35/100))^S30-'normal case'!$AS$3*(1+('main page'!$G$8/100))*(1+('main page'!$K$35/100))^S29)</f>
        <v>0</v>
      </c>
      <c r="S30" s="60">
        <v>22</v>
      </c>
      <c r="T30" s="58">
        <f ca="1">'normal case'!AC29</f>
        <v>0</v>
      </c>
      <c r="U30" s="58">
        <f ca="1">'normal case'!AD29</f>
        <v>0</v>
      </c>
    </row>
    <row r="31" spans="1:21">
      <c r="A31" s="46">
        <v>28</v>
      </c>
      <c r="B31" s="61">
        <f ca="1">IF(controls!$B$33=1,B30*(1+T31)+R31,B30*(1+T31))</f>
        <v>101</v>
      </c>
      <c r="C31" s="61">
        <f t="shared" ca="1" si="3"/>
        <v>101</v>
      </c>
      <c r="D31" s="77">
        <f t="shared" ca="1" si="2"/>
        <v>-1.4635591660816516E-7</v>
      </c>
      <c r="E31" s="61">
        <f t="shared" ca="1" si="0"/>
        <v>101.00000369548798</v>
      </c>
      <c r="F31" s="61">
        <f ca="1">IF(controls!$B$33=1,'delay in perception'!H31,G31)</f>
        <v>101.00000369548798</v>
      </c>
      <c r="G31" s="61">
        <f ca="1">I31-'main page'!$K$27*L30</f>
        <v>101.00000369548798</v>
      </c>
      <c r="H31" s="61">
        <f ca="1">J31-'main page'!$K$27*L30</f>
        <v>101.00000369548798</v>
      </c>
      <c r="I31" s="61">
        <f t="shared" ca="1" si="5"/>
        <v>108</v>
      </c>
      <c r="J31" s="61">
        <f t="shared" ca="1" si="4"/>
        <v>108</v>
      </c>
      <c r="K31" s="61">
        <f ca="1">IF(ABS('main page'!$K$29*K30+(1-'main page'!$K$29)*(controls!$B$9/100)*100+'main page'!$K$25*(E31-B31)-K30)&lt;0.0000001,K30,'main page'!$K$29*K30+(1-'main page'!$K$29)*(controls!$B$9/100)*100+'main page'!$K$25*(E31-B31))</f>
        <v>1.9999963045120239</v>
      </c>
      <c r="L31" s="61">
        <f ca="1">IF(controls!$B$10=1,L30,M31-'main page'!$K$29*K31-(1-'main page'!$K$29)*controls!$B$9)</f>
        <v>3.499999076128006</v>
      </c>
      <c r="M31" s="61">
        <f t="shared" ca="1" si="1"/>
        <v>5.4999953806400299</v>
      </c>
      <c r="N31" s="61">
        <f ca="1">IF(controls!$B$10=1,'delay in perception'!L31+'delay in perception'!K31,'delay in perception'!O31)</f>
        <v>5.4999953806400299</v>
      </c>
      <c r="O31" s="87">
        <f ca="1">'main page'!$K$29*K31+(1-'main page'!$K$29)*controls!$B$9+P31+(('main page'!$K$25*'main page'!$U$13*'main page'!$K$29)/('main page'!$K$27*(1+('main page'!$K$25^2)*'main page'!$U$13)))*(K31-(controls!$B$9/100)*100)</f>
        <v>5.4999953806400299</v>
      </c>
      <c r="P31" s="81">
        <f ca="1">IF(controls!$B$33=1,(J32-E31*U32-C32+B31*T32)/'main page'!$K$27,(I32-E31*U32-C32+B31*T32)/'main page'!$K$27)</f>
        <v>3.5</v>
      </c>
      <c r="R31" s="58">
        <f>IF(controls!$B$6=1,'normal case'!$AS$3*(1+('main page'!$K$35/100))^S31-'normal case'!$AS$3*(1+('main page'!$K$35/100))^S30,'normal case'!$AS$3*(1+('main page'!$G$8/100))*(1+('main page'!$K$35/100))^S31-'normal case'!$AS$3*(1+('main page'!$G$8/100))*(1+('main page'!$K$35/100))^S30)</f>
        <v>0</v>
      </c>
      <c r="S31" s="60">
        <v>23</v>
      </c>
      <c r="T31" s="58">
        <f>'normal case'!AC30</f>
        <v>0</v>
      </c>
      <c r="U31" s="58">
        <f>'normal case'!AD30</f>
        <v>0</v>
      </c>
    </row>
    <row r="32" spans="1:21">
      <c r="A32" s="46">
        <v>29</v>
      </c>
      <c r="B32" s="61">
        <f ca="1">IF(controls!$B$33=1,B31*(1+T32)+R32,B31*(1+T32))</f>
        <v>101</v>
      </c>
      <c r="C32" s="61">
        <f t="shared" ca="1" si="3"/>
        <v>101</v>
      </c>
      <c r="D32" s="77">
        <f t="shared" ca="1" si="2"/>
        <v>-1.4635591660816516E-7</v>
      </c>
      <c r="E32" s="61">
        <f t="shared" ca="1" si="0"/>
        <v>101.00000184774399</v>
      </c>
      <c r="F32" s="61">
        <f ca="1">IF(controls!$B$33=1,'delay in perception'!H32,G32)</f>
        <v>101.00000184774399</v>
      </c>
      <c r="G32" s="61">
        <f ca="1">I32-'main page'!$K$27*L31</f>
        <v>101.00000184774399</v>
      </c>
      <c r="H32" s="61">
        <f ca="1">J32-'main page'!$K$27*L31</f>
        <v>101.00000184774399</v>
      </c>
      <c r="I32" s="61">
        <f t="shared" ca="1" si="5"/>
        <v>108</v>
      </c>
      <c r="J32" s="61">
        <f t="shared" ca="1" si="4"/>
        <v>108</v>
      </c>
      <c r="K32" s="61">
        <f ca="1">IF(ABS('main page'!$K$29*K31+(1-'main page'!$K$29)*(controls!$B$9/100)*100+'main page'!$K$25*(E32-B32)-K31)&lt;0.0000001,K31,'main page'!$K$29*K31+(1-'main page'!$K$29)*(controls!$B$9/100)*100+'main page'!$K$25*(E32-B32))</f>
        <v>1.999998152256012</v>
      </c>
      <c r="L32" s="61">
        <f ca="1">IF(controls!$B$10=1,L31,M32-'main page'!$K$29*K32-(1-'main page'!$K$29)*controls!$B$9)</f>
        <v>3.499999538064003</v>
      </c>
      <c r="M32" s="61">
        <f t="shared" ca="1" si="1"/>
        <v>5.499997690320015</v>
      </c>
      <c r="N32" s="61">
        <f ca="1">IF(controls!$B$10=1,'delay in perception'!L32+'delay in perception'!K32,'delay in perception'!O32)</f>
        <v>5.499997690320015</v>
      </c>
      <c r="O32" s="87">
        <f ca="1">'main page'!$K$29*K32+(1-'main page'!$K$29)*controls!$B$9+P32+(('main page'!$K$25*'main page'!$U$13*'main page'!$K$29)/('main page'!$K$27*(1+('main page'!$K$25^2)*'main page'!$U$13)))*(K32-(controls!$B$9/100)*100)</f>
        <v>5.499997690320015</v>
      </c>
      <c r="P32" s="81">
        <f ca="1">IF(controls!$B$33=1,(J33-E32*U33-C33+B32*T33)/'main page'!$K$27,(I33-E32*U33-C33+B32*T33)/'main page'!$K$27)</f>
        <v>3.5</v>
      </c>
      <c r="R32" s="58">
        <f>IF(controls!$B$6=1,'normal case'!$AS$3*(1+('main page'!$K$35/100))^S32-'normal case'!$AS$3*(1+('main page'!$K$35/100))^S31,'normal case'!$AS$3*(1+('main page'!$G$8/100))*(1+('main page'!$K$35/100))^S32-'normal case'!$AS$3*(1+('main page'!$G$8/100))*(1+('main page'!$K$35/100))^S31)</f>
        <v>0</v>
      </c>
      <c r="S32" s="60">
        <v>24</v>
      </c>
      <c r="T32" s="58">
        <f>'normal case'!AC31</f>
        <v>0</v>
      </c>
      <c r="U32" s="58">
        <f>'normal case'!AD31</f>
        <v>0</v>
      </c>
    </row>
    <row r="33" spans="1:21">
      <c r="A33" s="46">
        <v>30</v>
      </c>
      <c r="B33" s="61">
        <f ca="1">IF(controls!$B$33=1,B32*(1+T33)+R33,B32*(1+T33))</f>
        <v>101</v>
      </c>
      <c r="C33" s="61">
        <f t="shared" ca="1" si="3"/>
        <v>101</v>
      </c>
      <c r="D33" s="77">
        <f t="shared" ca="1" si="2"/>
        <v>-1.4635591660816516E-7</v>
      </c>
      <c r="E33" s="61">
        <f t="shared" ca="1" si="0"/>
        <v>101.00000092387199</v>
      </c>
      <c r="F33" s="61">
        <f ca="1">IF(controls!$B$33=1,'delay in perception'!H33,G33)</f>
        <v>101.00000092387199</v>
      </c>
      <c r="G33" s="61">
        <f ca="1">I33-'main page'!$K$27*L32</f>
        <v>101.00000092387199</v>
      </c>
      <c r="H33" s="61">
        <f ca="1">J33-'main page'!$K$27*L32</f>
        <v>101.00000092387199</v>
      </c>
      <c r="I33" s="61">
        <f t="shared" ca="1" si="5"/>
        <v>108</v>
      </c>
      <c r="J33" s="61">
        <f t="shared" ca="1" si="4"/>
        <v>108</v>
      </c>
      <c r="K33" s="61">
        <f ca="1">IF(ABS('main page'!$K$29*K32+(1-'main page'!$K$29)*(controls!$B$9/100)*100+'main page'!$K$25*(E33-B33)-K32)&lt;0.0000001,K32,'main page'!$K$29*K32+(1-'main page'!$K$29)*(controls!$B$9/100)*100+'main page'!$K$25*(E33-B33))</f>
        <v>1.999999076128006</v>
      </c>
      <c r="L33" s="61">
        <f ca="1">IF(controls!$B$10=1,L32,M33-'main page'!$K$29*K33-(1-'main page'!$K$29)*controls!$B$9)</f>
        <v>3.4999997690320015</v>
      </c>
      <c r="M33" s="61">
        <f t="shared" ca="1" si="1"/>
        <v>5.4999988451600075</v>
      </c>
      <c r="N33" s="61">
        <f ca="1">IF(controls!$B$10=1,'delay in perception'!L33+'delay in perception'!K33,'delay in perception'!O33)</f>
        <v>5.4999988451600075</v>
      </c>
      <c r="O33" s="87">
        <f ca="1">'main page'!$K$29*K33+(1-'main page'!$K$29)*controls!$B$9+P33+(('main page'!$K$25*'main page'!$U$13*'main page'!$K$29)/('main page'!$K$27*(1+('main page'!$K$25^2)*'main page'!$U$13)))*(K33-(controls!$B$9/100)*100)</f>
        <v>5.4999988451600075</v>
      </c>
      <c r="P33" s="81">
        <f ca="1">IF(controls!$B$33=1,(J34-E33*U34-C34+B33*T34)/'main page'!$K$27,(I34-E33*U34-C34+B33*T34)/'main page'!$K$27)</f>
        <v>3.5</v>
      </c>
      <c r="R33" s="58">
        <f>IF(controls!$B$6=1,'normal case'!$AS$3*(1+('main page'!$K$35/100))^S33-'normal case'!$AS$3*(1+('main page'!$K$35/100))^S32,'normal case'!$AS$3*(1+('main page'!$G$8/100))*(1+('main page'!$K$35/100))^S33-'normal case'!$AS$3*(1+('main page'!$G$8/100))*(1+('main page'!$K$35/100))^S32)</f>
        <v>0</v>
      </c>
      <c r="S33" s="60">
        <v>25</v>
      </c>
      <c r="T33" s="58">
        <f ca="1">'normal case'!AC32</f>
        <v>0</v>
      </c>
      <c r="U33" s="58">
        <f ca="1">'normal case'!AD32</f>
        <v>0</v>
      </c>
    </row>
    <row r="34" spans="1:21">
      <c r="A34" s="46">
        <v>31</v>
      </c>
      <c r="B34" s="61">
        <f ca="1">IF(controls!$B$33=1,B33*(1+T34)+R34,B33*(1+T34))</f>
        <v>101</v>
      </c>
      <c r="C34" s="61">
        <f t="shared" ca="1" si="3"/>
        <v>101</v>
      </c>
      <c r="D34" s="77">
        <f t="shared" ca="1" si="2"/>
        <v>-1.4635591660816516E-7</v>
      </c>
      <c r="E34" s="61">
        <f t="shared" ca="1" si="0"/>
        <v>101.000000461936</v>
      </c>
      <c r="F34" s="61">
        <f ca="1">IF(controls!$B$33=1,'delay in perception'!H34,G34)</f>
        <v>101.000000461936</v>
      </c>
      <c r="G34" s="61">
        <f ca="1">I34-'main page'!$K$27*L33</f>
        <v>101.000000461936</v>
      </c>
      <c r="H34" s="61">
        <f ca="1">J34-'main page'!$K$27*L33</f>
        <v>101.000000461936</v>
      </c>
      <c r="I34" s="61">
        <f t="shared" ca="1" si="5"/>
        <v>108</v>
      </c>
      <c r="J34" s="61">
        <f t="shared" ca="1" si="4"/>
        <v>108</v>
      </c>
      <c r="K34" s="61">
        <f ca="1">IF(ABS('main page'!$K$29*K33+(1-'main page'!$K$29)*(controls!$B$9/100)*100+'main page'!$K$25*(E34-B34)-K33)&lt;0.0000001,K33,'main page'!$K$29*K33+(1-'main page'!$K$29)*(controls!$B$9/100)*100+'main page'!$K$25*(E34-B34))</f>
        <v>1.999999538064003</v>
      </c>
      <c r="L34" s="61">
        <f ca="1">IF(controls!$B$10=1,L33,M34-'main page'!$K$29*K34-(1-'main page'!$K$29)*controls!$B$9)</f>
        <v>3.4999998845160007</v>
      </c>
      <c r="M34" s="61">
        <f t="shared" ca="1" si="1"/>
        <v>5.4999994225800037</v>
      </c>
      <c r="N34" s="61">
        <f ca="1">IF(controls!$B$10=1,'delay in perception'!L34+'delay in perception'!K34,'delay in perception'!O34)</f>
        <v>5.4999994225800037</v>
      </c>
      <c r="O34" s="87">
        <f ca="1">'main page'!$K$29*K34+(1-'main page'!$K$29)*controls!$B$9+P34+(('main page'!$K$25*'main page'!$U$13*'main page'!$K$29)/('main page'!$K$27*(1+('main page'!$K$25^2)*'main page'!$U$13)))*(K34-(controls!$B$9/100)*100)</f>
        <v>5.4999994225800037</v>
      </c>
      <c r="P34" s="81">
        <f ca="1">IF(controls!$B$33=1,(J35-E34*U35-C35+B34*T35)/'main page'!$K$27,(I35-E34*U35-C35+B34*T35)/'main page'!$K$27)</f>
        <v>3.5</v>
      </c>
      <c r="R34" s="58">
        <f>IF(controls!$B$6=1,'normal case'!$AS$3*(1+('main page'!$K$35/100))^S34-'normal case'!$AS$3*(1+('main page'!$K$35/100))^S33,'normal case'!$AS$3*(1+('main page'!$G$8/100))*(1+('main page'!$K$35/100))^S34-'normal case'!$AS$3*(1+('main page'!$G$8/100))*(1+('main page'!$K$35/100))^S33)</f>
        <v>0</v>
      </c>
      <c r="S34" s="60">
        <v>26</v>
      </c>
      <c r="T34" s="58">
        <f>'normal case'!AC33</f>
        <v>0</v>
      </c>
      <c r="U34" s="58">
        <f>'normal case'!AD33</f>
        <v>0</v>
      </c>
    </row>
    <row r="35" spans="1:21">
      <c r="A35" s="46">
        <v>32</v>
      </c>
      <c r="B35" s="61">
        <f ca="1">IF(controls!$B$33=1,B34*(1+T35)+R35,B34*(1+T35))</f>
        <v>101</v>
      </c>
      <c r="C35" s="61">
        <f t="shared" ca="1" si="3"/>
        <v>101</v>
      </c>
      <c r="D35" s="77">
        <f t="shared" ca="1" si="2"/>
        <v>-1.4635591660816516E-7</v>
      </c>
      <c r="E35" s="61">
        <f t="shared" ca="1" si="0"/>
        <v>101.000000230968</v>
      </c>
      <c r="F35" s="61">
        <f ca="1">IF(controls!$B$33=1,'delay in perception'!H35,G35)</f>
        <v>101.000000230968</v>
      </c>
      <c r="G35" s="61">
        <f ca="1">I35-'main page'!$K$27*L34</f>
        <v>101.000000230968</v>
      </c>
      <c r="H35" s="61">
        <f ca="1">J35-'main page'!$K$27*L34</f>
        <v>101.000000230968</v>
      </c>
      <c r="I35" s="61">
        <f t="shared" ca="1" si="5"/>
        <v>108</v>
      </c>
      <c r="J35" s="61">
        <f t="shared" ca="1" si="4"/>
        <v>108</v>
      </c>
      <c r="K35" s="61">
        <f ca="1">IF(ABS('main page'!$K$29*K34+(1-'main page'!$K$29)*(controls!$B$9/100)*100+'main page'!$K$25*(E35-B35)-K34)&lt;0.0000001,K34,'main page'!$K$29*K34+(1-'main page'!$K$29)*(controls!$B$9/100)*100+'main page'!$K$25*(E35-B35))</f>
        <v>1.9999997690320015</v>
      </c>
      <c r="L35" s="61">
        <f ca="1">IF(controls!$B$10=1,L34,M35-'main page'!$K$29*K35-(1-'main page'!$K$29)*controls!$B$9)</f>
        <v>3.4999999422580004</v>
      </c>
      <c r="M35" s="61">
        <f t="shared" ca="1" si="1"/>
        <v>5.4999997112900019</v>
      </c>
      <c r="N35" s="61">
        <f ca="1">IF(controls!$B$10=1,'delay in perception'!L35+'delay in perception'!K35,'delay in perception'!O35)</f>
        <v>5.4999997112900019</v>
      </c>
      <c r="O35" s="87">
        <f ca="1">'main page'!$K$29*K35+(1-'main page'!$K$29)*controls!$B$9+P35+(('main page'!$K$25*'main page'!$U$13*'main page'!$K$29)/('main page'!$K$27*(1+('main page'!$K$25^2)*'main page'!$U$13)))*(K35-(controls!$B$9/100)*100)</f>
        <v>5.4999997112900019</v>
      </c>
      <c r="P35" s="81">
        <f ca="1">IF(controls!$B$33=1,(J36-E35*U36-C36+B35*T36)/'main page'!$K$27,(I36-E35*U36-C36+B35*T36)/'main page'!$K$27)</f>
        <v>3.5</v>
      </c>
      <c r="R35" s="58">
        <f>IF(controls!$B$6=1,'normal case'!$AS$3*(1+('main page'!$K$35/100))^S35-'normal case'!$AS$3*(1+('main page'!$K$35/100))^S34,'normal case'!$AS$3*(1+('main page'!$G$8/100))*(1+('main page'!$K$35/100))^S35-'normal case'!$AS$3*(1+('main page'!$G$8/100))*(1+('main page'!$K$35/100))^S34)</f>
        <v>0</v>
      </c>
      <c r="S35" s="60">
        <v>27</v>
      </c>
      <c r="T35" s="58">
        <f>'normal case'!AC34</f>
        <v>0</v>
      </c>
      <c r="U35" s="58">
        <f>'normal case'!AD34</f>
        <v>0</v>
      </c>
    </row>
    <row r="36" spans="1:21">
      <c r="A36" s="46">
        <v>33</v>
      </c>
      <c r="B36" s="61">
        <f ca="1">IF(controls!$B$33=1,B35*(1+T36)+R36,B35*(1+T36))</f>
        <v>101</v>
      </c>
      <c r="C36" s="61">
        <f t="shared" ca="1" si="3"/>
        <v>101</v>
      </c>
      <c r="D36" s="77">
        <f t="shared" ca="1" si="2"/>
        <v>-1.4635591660816516E-7</v>
      </c>
      <c r="E36" s="61">
        <f t="shared" ca="1" si="0"/>
        <v>101.000000115484</v>
      </c>
      <c r="F36" s="61">
        <f ca="1">IF(controls!$B$33=1,'delay in perception'!H36,G36)</f>
        <v>101.000000115484</v>
      </c>
      <c r="G36" s="61">
        <f ca="1">I36-'main page'!$K$27*L35</f>
        <v>101.000000115484</v>
      </c>
      <c r="H36" s="61">
        <f ca="1">J36-'main page'!$K$27*L35</f>
        <v>101.000000115484</v>
      </c>
      <c r="I36" s="61">
        <f t="shared" ca="1" si="5"/>
        <v>108</v>
      </c>
      <c r="J36" s="61">
        <f t="shared" ca="1" si="4"/>
        <v>108</v>
      </c>
      <c r="K36" s="61">
        <f ca="1">IF(ABS('main page'!$K$29*K35+(1-'main page'!$K$29)*(controls!$B$9/100)*100+'main page'!$K$25*(E36-B36)-K35)&lt;0.0000001,K35,'main page'!$K$29*K35+(1-'main page'!$K$29)*(controls!$B$9/100)*100+'main page'!$K$25*(E36-B36))</f>
        <v>1.9999998845160007</v>
      </c>
      <c r="L36" s="61">
        <f ca="1">IF(controls!$B$10=1,L35,M36-'main page'!$K$29*K36-(1-'main page'!$K$29)*controls!$B$9)</f>
        <v>3.4999999711290002</v>
      </c>
      <c r="M36" s="61">
        <f t="shared" ca="1" si="1"/>
        <v>5.4999998556450009</v>
      </c>
      <c r="N36" s="61">
        <f ca="1">IF(controls!$B$10=1,'delay in perception'!L36+'delay in perception'!K36,'delay in perception'!O36)</f>
        <v>5.4999998556450009</v>
      </c>
      <c r="O36" s="87">
        <f ca="1">'main page'!$K$29*K36+(1-'main page'!$K$29)*controls!$B$9+P36+(('main page'!$K$25*'main page'!$U$13*'main page'!$K$29)/('main page'!$K$27*(1+('main page'!$K$25^2)*'main page'!$U$13)))*(K36-(controls!$B$9/100)*100)</f>
        <v>5.4999998556450009</v>
      </c>
      <c r="P36" s="81">
        <f ca="1">IF(controls!$B$33=1,(J37-E36*U37-C37+B36*T37)/'main page'!$K$27,(I37-E36*U37-C37+B36*T37)/'main page'!$K$27)</f>
        <v>3.5</v>
      </c>
      <c r="R36" s="58">
        <f>IF(controls!$B$6=1,'normal case'!$AS$3*(1+('main page'!$K$35/100))^S36-'normal case'!$AS$3*(1+('main page'!$K$35/100))^S35,'normal case'!$AS$3*(1+('main page'!$G$8/100))*(1+('main page'!$K$35/100))^S36-'normal case'!$AS$3*(1+('main page'!$G$8/100))*(1+('main page'!$K$35/100))^S35)</f>
        <v>0</v>
      </c>
      <c r="S36" s="60">
        <v>28</v>
      </c>
      <c r="T36" s="58">
        <f ca="1">'normal case'!AC35</f>
        <v>0</v>
      </c>
      <c r="U36" s="58">
        <f ca="1">'normal case'!AD35</f>
        <v>0</v>
      </c>
    </row>
    <row r="37" spans="1:21">
      <c r="A37" s="46">
        <v>34</v>
      </c>
      <c r="B37" s="61">
        <f ca="1">IF(controls!$B$33=1,B36*(1+T37)+R37,B36*(1+T37))</f>
        <v>101</v>
      </c>
      <c r="C37" s="61">
        <f t="shared" ca="1" si="3"/>
        <v>101</v>
      </c>
      <c r="D37" s="77">
        <f t="shared" ca="1" si="2"/>
        <v>-1.4635591660816516E-7</v>
      </c>
      <c r="E37" s="61">
        <f t="shared" ca="1" si="0"/>
        <v>101.000000057742</v>
      </c>
      <c r="F37" s="61">
        <f ca="1">IF(controls!$B$33=1,'delay in perception'!H37,G37)</f>
        <v>101.000000057742</v>
      </c>
      <c r="G37" s="61">
        <f ca="1">I37-'main page'!$K$27*L36</f>
        <v>101.000000057742</v>
      </c>
      <c r="H37" s="61">
        <f ca="1">J37-'main page'!$K$27*L36</f>
        <v>101.000000057742</v>
      </c>
      <c r="I37" s="61">
        <f t="shared" ca="1" si="5"/>
        <v>108</v>
      </c>
      <c r="J37" s="61">
        <f t="shared" ca="1" si="4"/>
        <v>108</v>
      </c>
      <c r="K37" s="61">
        <f ca="1">IF(ABS('main page'!$K$29*K36+(1-'main page'!$K$29)*(controls!$B$9/100)*100+'main page'!$K$25*(E37-B37)-K36)&lt;0.0000001,K36,'main page'!$K$29*K36+(1-'main page'!$K$29)*(controls!$B$9/100)*100+'main page'!$K$25*(E37-B37))</f>
        <v>1.9999998845160007</v>
      </c>
      <c r="L37" s="61">
        <f ca="1">IF(controls!$B$10=1,L36,M37-'main page'!$K$29*K37-(1-'main page'!$K$29)*controls!$B$9)</f>
        <v>3.4999999711290002</v>
      </c>
      <c r="M37" s="61">
        <f t="shared" ca="1" si="1"/>
        <v>5.4999998556450009</v>
      </c>
      <c r="N37" s="61">
        <f ca="1">IF(controls!$B$10=1,'delay in perception'!L37+'delay in perception'!K37,'delay in perception'!O37)</f>
        <v>5.4999998556450009</v>
      </c>
      <c r="O37" s="87">
        <f ca="1">'main page'!$K$29*K37+(1-'main page'!$K$29)*controls!$B$9+P37+(('main page'!$K$25*'main page'!$U$13*'main page'!$K$29)/('main page'!$K$27*(1+('main page'!$K$25^2)*'main page'!$U$13)))*(K37-(controls!$B$9/100)*100)</f>
        <v>5.4999998556450009</v>
      </c>
      <c r="P37" s="81">
        <f ca="1">IF(controls!$B$33=1,(J38-E37*U38-C38+B37*T38)/'main page'!$K$27,(I38-E37*U38-C38+B37*T38)/'main page'!$K$27)</f>
        <v>3.5</v>
      </c>
      <c r="R37" s="58">
        <f>IF(controls!$B$6=1,'normal case'!$AS$3*(1+('main page'!$K$35/100))^S37-'normal case'!$AS$3*(1+('main page'!$K$35/100))^S36,'normal case'!$AS$3*(1+('main page'!$G$8/100))*(1+('main page'!$K$35/100))^S37-'normal case'!$AS$3*(1+('main page'!$G$8/100))*(1+('main page'!$K$35/100))^S36)</f>
        <v>0</v>
      </c>
      <c r="S37" s="60">
        <v>29</v>
      </c>
      <c r="T37" s="58">
        <f>'normal case'!AC36</f>
        <v>0</v>
      </c>
      <c r="U37" s="58">
        <f>'normal case'!AD36</f>
        <v>0</v>
      </c>
    </row>
    <row r="38" spans="1:21">
      <c r="A38" s="46">
        <v>35</v>
      </c>
      <c r="B38" s="61">
        <f ca="1">IF(controls!$B$33=1,B37*(1+T38)+R38,B37*(1+T38))</f>
        <v>101</v>
      </c>
      <c r="C38" s="61">
        <f t="shared" ca="1" si="3"/>
        <v>101</v>
      </c>
      <c r="D38" s="77">
        <f t="shared" ca="1" si="2"/>
        <v>-1.4635591660816516E-7</v>
      </c>
      <c r="E38" s="61">
        <f t="shared" ca="1" si="0"/>
        <v>101.000000057742</v>
      </c>
      <c r="F38" s="61">
        <f ca="1">IF(controls!$B$33=1,'delay in perception'!H38,G38)</f>
        <v>101.000000057742</v>
      </c>
      <c r="G38" s="61">
        <f ca="1">I38-'main page'!$K$27*L37</f>
        <v>101.000000057742</v>
      </c>
      <c r="H38" s="61">
        <f ca="1">J38-'main page'!$K$27*L37</f>
        <v>101.000000057742</v>
      </c>
      <c r="I38" s="61">
        <f t="shared" ca="1" si="5"/>
        <v>108</v>
      </c>
      <c r="J38" s="61">
        <f t="shared" ca="1" si="4"/>
        <v>108</v>
      </c>
      <c r="K38" s="61">
        <f ca="1">IF(ABS('main page'!$K$29*K37+(1-'main page'!$K$29)*(controls!$B$9/100)*100+'main page'!$K$25*(E38-B38)-K37)&lt;0.0000001,K37,'main page'!$K$29*K37+(1-'main page'!$K$29)*(controls!$B$9/100)*100+'main page'!$K$25*(E38-B38))</f>
        <v>1.9999998845160007</v>
      </c>
      <c r="L38" s="61">
        <f ca="1">IF(controls!$B$10=1,L37,M38-'main page'!$K$29*K38-(1-'main page'!$K$29)*controls!$B$9)</f>
        <v>3.4999999711290002</v>
      </c>
      <c r="M38" s="61">
        <f t="shared" ca="1" si="1"/>
        <v>5.4999998556450009</v>
      </c>
      <c r="N38" s="61">
        <f ca="1">IF(controls!$B$10=1,'delay in perception'!L38+'delay in perception'!K38,'delay in perception'!O38)</f>
        <v>5.4999998556450009</v>
      </c>
      <c r="O38" s="87">
        <f ca="1">'main page'!$K$29*K38+(1-'main page'!$K$29)*controls!$B$9+P38+(('main page'!$K$25*'main page'!$U$13*'main page'!$K$29)/('main page'!$K$27*(1+('main page'!$K$25^2)*'main page'!$U$13)))*(K38-(controls!$B$9/100)*100)</f>
        <v>5.4999998556450009</v>
      </c>
      <c r="P38" s="81">
        <f ca="1">IF(controls!$B$33=1,(J39-E38*U39-C39+B38*T39)/'main page'!$K$27,(I39-E38*U39-C39+B38*T39)/'main page'!$K$27)</f>
        <v>3.5</v>
      </c>
      <c r="R38" s="58">
        <f>IF(controls!$B$6=1,'normal case'!$AS$3*(1+('main page'!$K$35/100))^S38-'normal case'!$AS$3*(1+('main page'!$K$35/100))^S37,'normal case'!$AS$3*(1+('main page'!$G$8/100))*(1+('main page'!$K$35/100))^S38-'normal case'!$AS$3*(1+('main page'!$G$8/100))*(1+('main page'!$K$35/100))^S37)</f>
        <v>0</v>
      </c>
      <c r="S38" s="60">
        <v>30</v>
      </c>
      <c r="T38" s="58">
        <f>'normal case'!AC37</f>
        <v>0</v>
      </c>
      <c r="U38" s="58">
        <f>'normal case'!AD37</f>
        <v>0</v>
      </c>
    </row>
    <row r="39" spans="1:21">
      <c r="A39" s="46">
        <v>36</v>
      </c>
      <c r="B39" s="61">
        <f ca="1">IF(controls!$B$33=1,B38*(1+T39)+R39,B38*(1+T39))</f>
        <v>101</v>
      </c>
      <c r="C39" s="61">
        <f t="shared" ca="1" si="3"/>
        <v>101</v>
      </c>
      <c r="D39" s="77">
        <f t="shared" ca="1" si="2"/>
        <v>-1.4635591660816516E-7</v>
      </c>
      <c r="E39" s="61">
        <f t="shared" ca="1" si="0"/>
        <v>101.000000057742</v>
      </c>
      <c r="F39" s="61">
        <f ca="1">IF(controls!$B$33=1,'delay in perception'!H39,G39)</f>
        <v>101.000000057742</v>
      </c>
      <c r="G39" s="61">
        <f ca="1">I39-'main page'!$K$27*L38</f>
        <v>101.000000057742</v>
      </c>
      <c r="H39" s="61">
        <f ca="1">J39-'main page'!$K$27*L38</f>
        <v>101.000000057742</v>
      </c>
      <c r="I39" s="61">
        <f t="shared" ca="1" si="5"/>
        <v>108</v>
      </c>
      <c r="J39" s="61">
        <f t="shared" ca="1" si="4"/>
        <v>108</v>
      </c>
      <c r="K39" s="61">
        <f ca="1">IF(ABS('main page'!$K$29*K38+(1-'main page'!$K$29)*(controls!$B$9/100)*100+'main page'!$K$25*(E39-B39)-K38)&lt;0.0000001,K38,'main page'!$K$29*K38+(1-'main page'!$K$29)*(controls!$B$9/100)*100+'main page'!$K$25*(E39-B39))</f>
        <v>1.9999998845160007</v>
      </c>
      <c r="L39" s="61">
        <f ca="1">IF(controls!$B$10=1,L38,M39-'main page'!$K$29*K39-(1-'main page'!$K$29)*controls!$B$9)</f>
        <v>3.4999999711290002</v>
      </c>
      <c r="M39" s="61">
        <f t="shared" ca="1" si="1"/>
        <v>5.4999998556450009</v>
      </c>
      <c r="N39" s="61">
        <f ca="1">IF(controls!$B$10=1,'delay in perception'!L39+'delay in perception'!K39,'delay in perception'!O39)</f>
        <v>5.4999998556450009</v>
      </c>
      <c r="O39" s="87">
        <f ca="1">'main page'!$K$29*K39+(1-'main page'!$K$29)*controls!$B$9+P39+(('main page'!$K$25*'main page'!$U$13*'main page'!$K$29)/('main page'!$K$27*(1+('main page'!$K$25^2)*'main page'!$U$13)))*(K39-(controls!$B$9/100)*100)</f>
        <v>5.4999998556450009</v>
      </c>
      <c r="P39" s="81">
        <f ca="1">IF(controls!$B$33=1,(J40-E39*U40-C40+B39*T40)/'main page'!$K$27,(I40-E39*U40-C40+B39*T40)/'main page'!$K$27)</f>
        <v>3.5</v>
      </c>
      <c r="R39" s="58">
        <f>IF(controls!$B$6=1,'normal case'!$AS$3*(1+('main page'!$K$35/100))^S39-'normal case'!$AS$3*(1+('main page'!$K$35/100))^S38,'normal case'!$AS$3*(1+('main page'!$G$8/100))*(1+('main page'!$K$35/100))^S39-'normal case'!$AS$3*(1+('main page'!$G$8/100))*(1+('main page'!$K$35/100))^S38)</f>
        <v>0</v>
      </c>
      <c r="S39" s="60">
        <v>31</v>
      </c>
      <c r="T39" s="58">
        <f ca="1">'normal case'!AC38</f>
        <v>0</v>
      </c>
      <c r="U39" s="58">
        <f ca="1">'normal case'!AD38</f>
        <v>0</v>
      </c>
    </row>
    <row r="40" spans="1:21">
      <c r="A40" s="46">
        <v>37</v>
      </c>
      <c r="B40" s="61">
        <f ca="1">IF(controls!$B$33=1,B39*(1+T40)+R40,B39*(1+T40))</f>
        <v>101</v>
      </c>
      <c r="C40" s="61">
        <f t="shared" ca="1" si="3"/>
        <v>101</v>
      </c>
      <c r="D40" s="77">
        <f t="shared" ca="1" si="2"/>
        <v>-1.4635591660816516E-7</v>
      </c>
      <c r="E40" s="61">
        <f t="shared" ca="1" si="0"/>
        <v>101.000000057742</v>
      </c>
      <c r="F40" s="61">
        <f ca="1">IF(controls!$B$33=1,'delay in perception'!H40,G40)</f>
        <v>101.000000057742</v>
      </c>
      <c r="G40" s="61">
        <f ca="1">I40-'main page'!$K$27*L39</f>
        <v>101.000000057742</v>
      </c>
      <c r="H40" s="61">
        <f ca="1">J40-'main page'!$K$27*L39</f>
        <v>101.000000057742</v>
      </c>
      <c r="I40" s="61">
        <f t="shared" ca="1" si="5"/>
        <v>108</v>
      </c>
      <c r="J40" s="61">
        <f t="shared" ca="1" si="4"/>
        <v>108</v>
      </c>
      <c r="K40" s="61">
        <f ca="1">IF(ABS('main page'!$K$29*K39+(1-'main page'!$K$29)*(controls!$B$9/100)*100+'main page'!$K$25*(E40-B40)-K39)&lt;0.0000001,K39,'main page'!$K$29*K39+(1-'main page'!$K$29)*(controls!$B$9/100)*100+'main page'!$K$25*(E40-B40))</f>
        <v>1.9999998845160007</v>
      </c>
      <c r="L40" s="61">
        <f ca="1">IF(controls!$B$10=1,L39,M40-'main page'!$K$29*K40-(1-'main page'!$K$29)*controls!$B$9)</f>
        <v>3.4999999711290002</v>
      </c>
      <c r="M40" s="61">
        <f t="shared" ca="1" si="1"/>
        <v>5.4999998556450009</v>
      </c>
      <c r="N40" s="61">
        <f ca="1">IF(controls!$B$10=1,'delay in perception'!L40+'delay in perception'!K40,'delay in perception'!O40)</f>
        <v>5.4999998556450009</v>
      </c>
      <c r="O40" s="87">
        <f ca="1">'main page'!$K$29*K40+(1-'main page'!$K$29)*controls!$B$9+P40+(('main page'!$K$25*'main page'!$U$13*'main page'!$K$29)/('main page'!$K$27*(1+('main page'!$K$25^2)*'main page'!$U$13)))*(K40-(controls!$B$9/100)*100)</f>
        <v>5.4999998556450009</v>
      </c>
      <c r="P40" s="81">
        <f ca="1">IF(controls!$B$33=1,(J41-E40*U41-C41+B40*T41)/'main page'!$K$27,(I41-E40*U41-C41+B40*T41)/'main page'!$K$27)</f>
        <v>3.5</v>
      </c>
      <c r="R40" s="58">
        <f>IF(controls!$B$6=1,'normal case'!$AS$3*(1+('main page'!$K$35/100))^S40-'normal case'!$AS$3*(1+('main page'!$K$35/100))^S39,'normal case'!$AS$3*(1+('main page'!$G$8/100))*(1+('main page'!$K$35/100))^S40-'normal case'!$AS$3*(1+('main page'!$G$8/100))*(1+('main page'!$K$35/100))^S39)</f>
        <v>0</v>
      </c>
      <c r="S40" s="60">
        <v>32</v>
      </c>
      <c r="T40" s="58">
        <f>'normal case'!AC39</f>
        <v>0</v>
      </c>
      <c r="U40" s="58">
        <f>'normal case'!AD39</f>
        <v>0</v>
      </c>
    </row>
    <row r="41" spans="1:21">
      <c r="A41" s="46">
        <v>38</v>
      </c>
      <c r="B41" s="61">
        <f ca="1">IF(controls!$B$33=1,B40*(1+T41)+R41,B40*(1+T41))</f>
        <v>101</v>
      </c>
      <c r="C41" s="61">
        <f t="shared" ca="1" si="3"/>
        <v>101</v>
      </c>
      <c r="D41" s="77">
        <f t="shared" ca="1" si="2"/>
        <v>-1.4635591660816516E-7</v>
      </c>
      <c r="E41" s="61">
        <f t="shared" ca="1" si="0"/>
        <v>101.000000057742</v>
      </c>
      <c r="F41" s="61">
        <f ca="1">IF(controls!$B$33=1,'delay in perception'!H41,G41)</f>
        <v>101.000000057742</v>
      </c>
      <c r="G41" s="61">
        <f ca="1">I41-'main page'!$K$27*L40</f>
        <v>101.000000057742</v>
      </c>
      <c r="H41" s="61">
        <f ca="1">J41-'main page'!$K$27*L40</f>
        <v>101.000000057742</v>
      </c>
      <c r="I41" s="61">
        <f t="shared" ca="1" si="5"/>
        <v>108</v>
      </c>
      <c r="J41" s="61">
        <f t="shared" ca="1" si="4"/>
        <v>108</v>
      </c>
      <c r="K41" s="61">
        <f ca="1">IF(ABS('main page'!$K$29*K40+(1-'main page'!$K$29)*(controls!$B$9/100)*100+'main page'!$K$25*(E41-B41)-K40)&lt;0.0000001,K40,'main page'!$K$29*K40+(1-'main page'!$K$29)*(controls!$B$9/100)*100+'main page'!$K$25*(E41-B41))</f>
        <v>1.9999998845160007</v>
      </c>
      <c r="L41" s="61">
        <f ca="1">IF(controls!$B$10=1,L40,M41-'main page'!$K$29*K41-(1-'main page'!$K$29)*controls!$B$9)</f>
        <v>3.4999999711290002</v>
      </c>
      <c r="M41" s="61">
        <f t="shared" ca="1" si="1"/>
        <v>5.4999998556450009</v>
      </c>
      <c r="N41" s="61">
        <f ca="1">IF(controls!$B$10=1,'delay in perception'!L41+'delay in perception'!K41,'delay in perception'!O41)</f>
        <v>5.4999998556450009</v>
      </c>
      <c r="O41" s="87">
        <f ca="1">'main page'!$K$29*K41+(1-'main page'!$K$29)*controls!$B$9+P41+(('main page'!$K$25*'main page'!$U$13*'main page'!$K$29)/('main page'!$K$27*(1+('main page'!$K$25^2)*'main page'!$U$13)))*(K41-(controls!$B$9/100)*100)</f>
        <v>5.4999998556450009</v>
      </c>
      <c r="P41" s="81">
        <f ca="1">IF(controls!$B$33=1,(J42-E41*U42-C42+B41*T42)/'main page'!$K$27,(I42-E41*U42-C42+B41*T42)/'main page'!$K$27)</f>
        <v>3.5</v>
      </c>
      <c r="R41" s="58">
        <f>IF(controls!$B$6=1,'normal case'!$AS$3*(1+('main page'!$K$35/100))^S41-'normal case'!$AS$3*(1+('main page'!$K$35/100))^S40,'normal case'!$AS$3*(1+('main page'!$G$8/100))*(1+('main page'!$K$35/100))^S41-'normal case'!$AS$3*(1+('main page'!$G$8/100))*(1+('main page'!$K$35/100))^S40)</f>
        <v>0</v>
      </c>
      <c r="S41" s="60">
        <v>33</v>
      </c>
      <c r="T41" s="58">
        <f>'normal case'!AC40</f>
        <v>0</v>
      </c>
      <c r="U41" s="58">
        <f>'normal case'!AD40</f>
        <v>0</v>
      </c>
    </row>
    <row r="42" spans="1:21">
      <c r="A42" s="46">
        <v>39</v>
      </c>
      <c r="B42" s="61">
        <f ca="1">IF(controls!$B$33=1,B41*(1+T42)+R42,B41*(1+T42))</f>
        <v>101</v>
      </c>
      <c r="C42" s="61">
        <f t="shared" ca="1" si="3"/>
        <v>101</v>
      </c>
      <c r="D42" s="77">
        <f t="shared" ca="1" si="2"/>
        <v>-1.4635591660816516E-7</v>
      </c>
      <c r="E42" s="61">
        <f t="shared" ca="1" si="0"/>
        <v>101.000000057742</v>
      </c>
      <c r="F42" s="61">
        <f ca="1">IF(controls!$B$33=1,'delay in perception'!H42,G42)</f>
        <v>101.000000057742</v>
      </c>
      <c r="G42" s="61">
        <f ca="1">I42-'main page'!$K$27*L41</f>
        <v>101.000000057742</v>
      </c>
      <c r="H42" s="61">
        <f ca="1">J42-'main page'!$K$27*L41</f>
        <v>101.000000057742</v>
      </c>
      <c r="I42" s="61">
        <f t="shared" ca="1" si="5"/>
        <v>108</v>
      </c>
      <c r="J42" s="61">
        <f t="shared" ca="1" si="4"/>
        <v>108</v>
      </c>
      <c r="K42" s="61">
        <f ca="1">IF(ABS('main page'!$K$29*K41+(1-'main page'!$K$29)*(controls!$B$9/100)*100+'main page'!$K$25*(E42-B42)-K41)&lt;0.0000001,K41,'main page'!$K$29*K41+(1-'main page'!$K$29)*(controls!$B$9/100)*100+'main page'!$K$25*(E42-B42))</f>
        <v>1.9999998845160007</v>
      </c>
      <c r="L42" s="61">
        <f ca="1">IF(controls!$B$10=1,L41,M42-'main page'!$K$29*K42-(1-'main page'!$K$29)*controls!$B$9)</f>
        <v>3.4999999711290002</v>
      </c>
      <c r="M42" s="61">
        <f t="shared" ca="1" si="1"/>
        <v>5.4999998556450009</v>
      </c>
      <c r="N42" s="61">
        <f ca="1">IF(controls!$B$10=1,'delay in perception'!L42+'delay in perception'!K42,'delay in perception'!O42)</f>
        <v>5.4999998556450009</v>
      </c>
      <c r="O42" s="87">
        <f ca="1">'main page'!$K$29*K42+(1-'main page'!$K$29)*controls!$B$9+P42+(('main page'!$K$25*'main page'!$U$13*'main page'!$K$29)/('main page'!$K$27*(1+('main page'!$K$25^2)*'main page'!$U$13)))*(K42-(controls!$B$9/100)*100)</f>
        <v>5.4999998556450009</v>
      </c>
      <c r="P42" s="81">
        <f ca="1">IF(controls!$B$33=1,(J43-E42*U43-C43+B42*T43)/'main page'!$K$27,(I43-E42*U43-C43+B42*T43)/'main page'!$K$27)</f>
        <v>3.5</v>
      </c>
      <c r="R42" s="58">
        <f>IF(controls!$B$6=1,'normal case'!$AS$3*(1+('main page'!$K$35/100))^S42-'normal case'!$AS$3*(1+('main page'!$K$35/100))^S41,'normal case'!$AS$3*(1+('main page'!$G$8/100))*(1+('main page'!$K$35/100))^S42-'normal case'!$AS$3*(1+('main page'!$G$8/100))*(1+('main page'!$K$35/100))^S41)</f>
        <v>0</v>
      </c>
      <c r="S42" s="60">
        <v>34</v>
      </c>
      <c r="T42" s="58">
        <f ca="1">'normal case'!AC41</f>
        <v>0</v>
      </c>
      <c r="U42" s="58">
        <f ca="1">'normal case'!AD41</f>
        <v>0</v>
      </c>
    </row>
    <row r="43" spans="1:21">
      <c r="A43" s="46">
        <v>40</v>
      </c>
      <c r="B43" s="61">
        <f ca="1">IF(controls!$B$33=1,B42*(1+T43)+R43,B42*(1+T43))</f>
        <v>101</v>
      </c>
      <c r="C43" s="61">
        <f t="shared" ca="1" si="3"/>
        <v>101</v>
      </c>
      <c r="D43" s="77">
        <f t="shared" ca="1" si="2"/>
        <v>-1.4635591660816516E-7</v>
      </c>
      <c r="E43" s="61">
        <f t="shared" ca="1" si="0"/>
        <v>101.000000057742</v>
      </c>
      <c r="F43" s="61">
        <f ca="1">IF(controls!$B$33=1,'delay in perception'!H43,G43)</f>
        <v>101.000000057742</v>
      </c>
      <c r="G43" s="61">
        <f ca="1">I43-'main page'!$K$27*L42</f>
        <v>101.000000057742</v>
      </c>
      <c r="H43" s="61">
        <f ca="1">J43-'main page'!$K$27*L42</f>
        <v>101.000000057742</v>
      </c>
      <c r="I43" s="61">
        <f t="shared" ca="1" si="5"/>
        <v>108</v>
      </c>
      <c r="J43" s="61">
        <f t="shared" ca="1" si="4"/>
        <v>108</v>
      </c>
      <c r="K43" s="61">
        <f ca="1">IF(ABS('main page'!$K$29*K42+(1-'main page'!$K$29)*(controls!$B$9/100)*100+'main page'!$K$25*(E43-B43)-K42)&lt;0.0000001,K42,'main page'!$K$29*K42+(1-'main page'!$K$29)*(controls!$B$9/100)*100+'main page'!$K$25*(E43-B43))</f>
        <v>1.9999998845160007</v>
      </c>
      <c r="L43" s="61">
        <f ca="1">IF(controls!$B$10=1,L42,M43-'main page'!$K$29*K43-(1-'main page'!$K$29)*controls!$B$9)</f>
        <v>3.4999999711290002</v>
      </c>
      <c r="M43" s="61">
        <f t="shared" ca="1" si="1"/>
        <v>5.4999998556450009</v>
      </c>
      <c r="N43" s="61">
        <f ca="1">IF(controls!$B$10=1,'delay in perception'!L43+'delay in perception'!K43,'delay in perception'!O43)</f>
        <v>5.4999998556450009</v>
      </c>
      <c r="O43" s="87">
        <f ca="1">'main page'!$K$29*K43+(1-'main page'!$K$29)*controls!$B$9+P43+(('main page'!$K$25*'main page'!$U$13*'main page'!$K$29)/('main page'!$K$27*(1+('main page'!$K$25^2)*'main page'!$U$13)))*(K43-(controls!$B$9/100)*100)</f>
        <v>5.4999998556450009</v>
      </c>
      <c r="P43" s="81">
        <f ca="1">IF(controls!$B$33=1,(J44-E43*U44-C44+B43*T44)/'main page'!$K$27,(I44-E43*U44-C44+B43*T44)/'main page'!$K$27)</f>
        <v>3.5</v>
      </c>
      <c r="R43" s="58">
        <f>IF(controls!$B$6=1,'normal case'!$AS$3*(1+('main page'!$K$35/100))^S43-'normal case'!$AS$3*(1+('main page'!$K$35/100))^S42,'normal case'!$AS$3*(1+('main page'!$G$8/100))*(1+('main page'!$K$35/100))^S43-'normal case'!$AS$3*(1+('main page'!$G$8/100))*(1+('main page'!$K$35/100))^S42)</f>
        <v>0</v>
      </c>
      <c r="S43" s="60">
        <v>35</v>
      </c>
      <c r="T43" s="58">
        <f>'normal case'!AC42</f>
        <v>0</v>
      </c>
      <c r="U43" s="58">
        <f>'normal case'!AD42</f>
        <v>0</v>
      </c>
    </row>
    <row r="44" spans="1:21">
      <c r="A44" s="46">
        <v>41</v>
      </c>
      <c r="B44" s="61">
        <f ca="1">IF(controls!$B$33=1,B43*(1+T44)+R44,B43*(1+T44))</f>
        <v>101</v>
      </c>
      <c r="C44" s="61">
        <f t="shared" ca="1" si="3"/>
        <v>101</v>
      </c>
      <c r="D44" s="77">
        <f t="shared" ca="1" si="2"/>
        <v>-1.4635591660816516E-7</v>
      </c>
      <c r="E44" s="61">
        <f t="shared" ca="1" si="0"/>
        <v>101.000000057742</v>
      </c>
      <c r="F44" s="61">
        <f ca="1">IF(controls!$B$33=1,'delay in perception'!H44,G44)</f>
        <v>101.000000057742</v>
      </c>
      <c r="G44" s="61">
        <f ca="1">I44-'main page'!$K$27*L43</f>
        <v>101.000000057742</v>
      </c>
      <c r="H44" s="61">
        <f ca="1">J44-'main page'!$K$27*L43</f>
        <v>101.000000057742</v>
      </c>
      <c r="I44" s="61">
        <f t="shared" ca="1" si="5"/>
        <v>108</v>
      </c>
      <c r="J44" s="61">
        <f t="shared" ca="1" si="4"/>
        <v>108</v>
      </c>
      <c r="K44" s="61">
        <f ca="1">IF(ABS('main page'!$K$29*K43+(1-'main page'!$K$29)*(controls!$B$9/100)*100+'main page'!$K$25*(E44-B44)-K43)&lt;0.0000001,K43,'main page'!$K$29*K43+(1-'main page'!$K$29)*(controls!$B$9/100)*100+'main page'!$K$25*(E44-B44))</f>
        <v>1.9999998845160007</v>
      </c>
      <c r="L44" s="61">
        <f ca="1">IF(controls!$B$10=1,L43,M44-'main page'!$K$29*K44-(1-'main page'!$K$29)*controls!$B$9)</f>
        <v>3.4999999711290002</v>
      </c>
      <c r="M44" s="61">
        <f t="shared" ca="1" si="1"/>
        <v>5.4999998556450009</v>
      </c>
      <c r="N44" s="61">
        <f ca="1">IF(controls!$B$10=1,'delay in perception'!L44+'delay in perception'!K44,'delay in perception'!O44)</f>
        <v>5.4999998556450009</v>
      </c>
      <c r="O44" s="87">
        <f ca="1">'main page'!$K$29*K44+(1-'main page'!$K$29)*controls!$B$9+P44+(('main page'!$K$25*'main page'!$U$13*'main page'!$K$29)/('main page'!$K$27*(1+('main page'!$K$25^2)*'main page'!$U$13)))*(K44-(controls!$B$9/100)*100)</f>
        <v>5.4999998556450009</v>
      </c>
      <c r="P44" s="81">
        <f ca="1">IF(controls!$B$33=1,(J45-E44*U45-C45+B44*T45)/'main page'!$K$27,(I45-E44*U45-C45+B44*T45)/'main page'!$K$27)</f>
        <v>3.5</v>
      </c>
      <c r="R44" s="58">
        <f>IF(controls!$B$6=1,'normal case'!$AS$3*(1+('main page'!$K$35/100))^S44-'normal case'!$AS$3*(1+('main page'!$K$35/100))^S43,'normal case'!$AS$3*(1+('main page'!$G$8/100))*(1+('main page'!$K$35/100))^S44-'normal case'!$AS$3*(1+('main page'!$G$8/100))*(1+('main page'!$K$35/100))^S43)</f>
        <v>0</v>
      </c>
      <c r="S44" s="60">
        <v>36</v>
      </c>
      <c r="T44" s="58">
        <f>'normal case'!AC43</f>
        <v>0</v>
      </c>
      <c r="U44" s="58">
        <f>'normal case'!AD43</f>
        <v>0</v>
      </c>
    </row>
    <row r="45" spans="1:21">
      <c r="A45" s="46">
        <v>42</v>
      </c>
      <c r="B45" s="61">
        <f ca="1">IF(controls!$B$33=1,B44*(1+T45)+R45,B44*(1+T45))</f>
        <v>101</v>
      </c>
      <c r="C45" s="61">
        <f t="shared" ca="1" si="3"/>
        <v>101</v>
      </c>
      <c r="D45" s="77">
        <f t="shared" ca="1" si="2"/>
        <v>-1.4635591660816516E-7</v>
      </c>
      <c r="E45" s="61">
        <f t="shared" ca="1" si="0"/>
        <v>101.000000057742</v>
      </c>
      <c r="F45" s="61">
        <f ca="1">IF(controls!$B$33=1,'delay in perception'!H45,G45)</f>
        <v>101.000000057742</v>
      </c>
      <c r="G45" s="61">
        <f ca="1">I45-'main page'!$K$27*L44</f>
        <v>101.000000057742</v>
      </c>
      <c r="H45" s="61">
        <f ca="1">J45-'main page'!$K$27*L44</f>
        <v>101.000000057742</v>
      </c>
      <c r="I45" s="61">
        <f t="shared" ca="1" si="5"/>
        <v>108</v>
      </c>
      <c r="J45" s="61">
        <f t="shared" ca="1" si="4"/>
        <v>108</v>
      </c>
      <c r="K45" s="61">
        <f ca="1">IF(ABS('main page'!$K$29*K44+(1-'main page'!$K$29)*(controls!$B$9/100)*100+'main page'!$K$25*(E45-B45)-K44)&lt;0.0000001,K44,'main page'!$K$29*K44+(1-'main page'!$K$29)*(controls!$B$9/100)*100+'main page'!$K$25*(E45-B45))</f>
        <v>1.9999998845160007</v>
      </c>
      <c r="L45" s="61">
        <f ca="1">IF(controls!$B$10=1,L44,M45-'main page'!$K$29*K45-(1-'main page'!$K$29)*controls!$B$9)</f>
        <v>3.4999999711290002</v>
      </c>
      <c r="M45" s="61">
        <f t="shared" ca="1" si="1"/>
        <v>5.4999998556450009</v>
      </c>
      <c r="N45" s="61">
        <f ca="1">IF(controls!$B$10=1,'delay in perception'!L45+'delay in perception'!K45,'delay in perception'!O45)</f>
        <v>5.4999998556450009</v>
      </c>
      <c r="O45" s="87">
        <f ca="1">'main page'!$K$29*K45+(1-'main page'!$K$29)*controls!$B$9+P45+(('main page'!$K$25*'main page'!$U$13*'main page'!$K$29)/('main page'!$K$27*(1+('main page'!$K$25^2)*'main page'!$U$13)))*(K45-(controls!$B$9/100)*100)</f>
        <v>5.4999998556450009</v>
      </c>
      <c r="P45" s="81">
        <f ca="1">IF(controls!$B$33=1,(J46-E45*U46-C46+B45*T46)/'main page'!$K$27,(I46-E45*U46-C46+B45*T46)/'main page'!$K$27)</f>
        <v>3.5</v>
      </c>
      <c r="R45" s="58">
        <f>IF(controls!$B$6=1,'normal case'!$AS$3*(1+('main page'!$K$35/100))^S45-'normal case'!$AS$3*(1+('main page'!$K$35/100))^S44,'normal case'!$AS$3*(1+('main page'!$G$8/100))*(1+('main page'!$K$35/100))^S45-'normal case'!$AS$3*(1+('main page'!$G$8/100))*(1+('main page'!$K$35/100))^S44)</f>
        <v>0</v>
      </c>
      <c r="S45" s="60">
        <v>37</v>
      </c>
      <c r="T45" s="58">
        <f ca="1">'normal case'!AC44</f>
        <v>0</v>
      </c>
      <c r="U45" s="58">
        <f ca="1">'normal case'!AD44</f>
        <v>0</v>
      </c>
    </row>
    <row r="46" spans="1:21">
      <c r="A46" s="46">
        <v>43</v>
      </c>
      <c r="B46" s="61">
        <f ca="1">IF(controls!$B$33=1,B45*(1+T46)+R46,B45*(1+T46))</f>
        <v>101</v>
      </c>
      <c r="C46" s="61">
        <f t="shared" ca="1" si="3"/>
        <v>101</v>
      </c>
      <c r="D46" s="77">
        <f t="shared" ca="1" si="2"/>
        <v>-1.4635591660816516E-7</v>
      </c>
      <c r="E46" s="61">
        <f t="shared" ca="1" si="0"/>
        <v>101.000000057742</v>
      </c>
      <c r="F46" s="61">
        <f ca="1">IF(controls!$B$33=1,'delay in perception'!H46,G46)</f>
        <v>101.000000057742</v>
      </c>
      <c r="G46" s="61">
        <f ca="1">I46-'main page'!$K$27*L45</f>
        <v>101.000000057742</v>
      </c>
      <c r="H46" s="61">
        <f ca="1">J46-'main page'!$K$27*L45</f>
        <v>101.000000057742</v>
      </c>
      <c r="I46" s="61">
        <f t="shared" ca="1" si="5"/>
        <v>108</v>
      </c>
      <c r="J46" s="61">
        <f t="shared" ref="J46:J77" ca="1" si="6">J45+H45*U46+R46</f>
        <v>108</v>
      </c>
      <c r="K46" s="61">
        <f ca="1">IF(ABS('main page'!$K$29*K45+(1-'main page'!$K$29)*(controls!$B$9/100)*100+'main page'!$K$25*(E46-B46)-K45)&lt;0.0000001,K45,'main page'!$K$29*K45+(1-'main page'!$K$29)*(controls!$B$9/100)*100+'main page'!$K$25*(E46-B46))</f>
        <v>1.9999998845160007</v>
      </c>
      <c r="L46" s="61">
        <f ca="1">IF(controls!$B$10=1,L45,M46-'main page'!$K$29*K46-(1-'main page'!$K$29)*controls!$B$9)</f>
        <v>3.4999999711290002</v>
      </c>
      <c r="M46" s="61">
        <f t="shared" ca="1" si="1"/>
        <v>5.4999998556450009</v>
      </c>
      <c r="N46" s="61">
        <f ca="1">IF(controls!$B$10=1,'delay in perception'!L46+'delay in perception'!K46,'delay in perception'!O46)</f>
        <v>5.4999998556450009</v>
      </c>
      <c r="O46" s="87">
        <f ca="1">'main page'!$K$29*K46+(1-'main page'!$K$29)*controls!$B$9+P46+(('main page'!$K$25*'main page'!$U$13*'main page'!$K$29)/('main page'!$K$27*(1+('main page'!$K$25^2)*'main page'!$U$13)))*(K46-(controls!$B$9/100)*100)</f>
        <v>5.4999998556450009</v>
      </c>
      <c r="P46" s="81">
        <f ca="1">IF(controls!$B$33=1,(J47-E46*U47-C47+B46*T47)/'main page'!$K$27,(I47-E46*U47-C47+B46*T47)/'main page'!$K$27)</f>
        <v>3.5</v>
      </c>
      <c r="R46" s="58">
        <f>IF(controls!$B$6=1,'normal case'!$AS$3*(1+('main page'!$K$35/100))^S46-'normal case'!$AS$3*(1+('main page'!$K$35/100))^S45,'normal case'!$AS$3*(1+('main page'!$G$8/100))*(1+('main page'!$K$35/100))^S46-'normal case'!$AS$3*(1+('main page'!$G$8/100))*(1+('main page'!$K$35/100))^S45)</f>
        <v>0</v>
      </c>
      <c r="S46" s="60">
        <v>38</v>
      </c>
      <c r="T46" s="58">
        <f>'normal case'!AC45</f>
        <v>0</v>
      </c>
      <c r="U46" s="58">
        <f>'normal case'!AD45</f>
        <v>0</v>
      </c>
    </row>
    <row r="47" spans="1:21">
      <c r="A47" s="46">
        <v>44</v>
      </c>
      <c r="B47" s="61">
        <f ca="1">IF(controls!$B$33=1,B46*(1+T47)+R47,B46*(1+T47))</f>
        <v>101</v>
      </c>
      <c r="C47" s="61">
        <f t="shared" ca="1" si="3"/>
        <v>101</v>
      </c>
      <c r="D47" s="77">
        <f t="shared" ca="1" si="2"/>
        <v>-1.4635591660816516E-7</v>
      </c>
      <c r="E47" s="61">
        <f t="shared" ca="1" si="0"/>
        <v>101.000000057742</v>
      </c>
      <c r="F47" s="61">
        <f ca="1">IF(controls!$B$33=1,'delay in perception'!H47,G47)</f>
        <v>101.000000057742</v>
      </c>
      <c r="G47" s="61">
        <f ca="1">I47-'main page'!$K$27*L46</f>
        <v>101.000000057742</v>
      </c>
      <c r="H47" s="61">
        <f ca="1">J47-'main page'!$K$27*L46</f>
        <v>101.000000057742</v>
      </c>
      <c r="I47" s="61">
        <f t="shared" ca="1" si="5"/>
        <v>108</v>
      </c>
      <c r="J47" s="61">
        <f t="shared" ca="1" si="6"/>
        <v>108</v>
      </c>
      <c r="K47" s="61">
        <f ca="1">IF(ABS('main page'!$K$29*K46+(1-'main page'!$K$29)*(controls!$B$9/100)*100+'main page'!$K$25*(E47-B47)-K46)&lt;0.0000001,K46,'main page'!$K$29*K46+(1-'main page'!$K$29)*(controls!$B$9/100)*100+'main page'!$K$25*(E47-B47))</f>
        <v>1.9999998845160007</v>
      </c>
      <c r="L47" s="61">
        <f ca="1">IF(controls!$B$10=1,L46,M47-'main page'!$K$29*K47-(1-'main page'!$K$29)*controls!$B$9)</f>
        <v>3.4999999711290002</v>
      </c>
      <c r="M47" s="61">
        <f t="shared" ca="1" si="1"/>
        <v>5.4999998556450009</v>
      </c>
      <c r="N47" s="61">
        <f ca="1">IF(controls!$B$10=1,'delay in perception'!L47+'delay in perception'!K47,'delay in perception'!O47)</f>
        <v>5.4999998556450009</v>
      </c>
      <c r="O47" s="87">
        <f ca="1">'main page'!$K$29*K47+(1-'main page'!$K$29)*controls!$B$9+P47+(('main page'!$K$25*'main page'!$U$13*'main page'!$K$29)/('main page'!$K$27*(1+('main page'!$K$25^2)*'main page'!$U$13)))*(K47-(controls!$B$9/100)*100)</f>
        <v>5.4999998556450009</v>
      </c>
      <c r="P47" s="81">
        <f ca="1">IF(controls!$B$33=1,(J48-E47*U48-C48+B47*T48)/'main page'!$K$27,(I48-E47*U48-C48+B47*T48)/'main page'!$K$27)</f>
        <v>3.5</v>
      </c>
      <c r="R47" s="58">
        <f>IF(controls!$B$6=1,'normal case'!$AS$3*(1+('main page'!$K$35/100))^S47-'normal case'!$AS$3*(1+('main page'!$K$35/100))^S46,'normal case'!$AS$3*(1+('main page'!$G$8/100))*(1+('main page'!$K$35/100))^S47-'normal case'!$AS$3*(1+('main page'!$G$8/100))*(1+('main page'!$K$35/100))^S46)</f>
        <v>0</v>
      </c>
      <c r="S47" s="60">
        <v>39</v>
      </c>
      <c r="T47" s="58">
        <f>'normal case'!AC46</f>
        <v>0</v>
      </c>
      <c r="U47" s="58">
        <f>'normal case'!AD46</f>
        <v>0</v>
      </c>
    </row>
    <row r="48" spans="1:21">
      <c r="A48" s="46">
        <v>45</v>
      </c>
      <c r="B48" s="61">
        <f ca="1">IF(controls!$B$33=1,B47*(1+T48)+R48,B47*(1+T48))</f>
        <v>101</v>
      </c>
      <c r="C48" s="61">
        <f t="shared" ca="1" si="3"/>
        <v>101</v>
      </c>
      <c r="D48" s="77">
        <f t="shared" ca="1" si="2"/>
        <v>-1.4635591660816516E-7</v>
      </c>
      <c r="E48" s="61">
        <f t="shared" ca="1" si="0"/>
        <v>101.000000057742</v>
      </c>
      <c r="F48" s="61">
        <f ca="1">IF(controls!$B$33=1,'delay in perception'!H48,G48)</f>
        <v>101.000000057742</v>
      </c>
      <c r="G48" s="61">
        <f ca="1">I48-'main page'!$K$27*L47</f>
        <v>101.000000057742</v>
      </c>
      <c r="H48" s="61">
        <f ca="1">J48-'main page'!$K$27*L47</f>
        <v>101.000000057742</v>
      </c>
      <c r="I48" s="61">
        <f t="shared" ca="1" si="5"/>
        <v>108</v>
      </c>
      <c r="J48" s="61">
        <f t="shared" ca="1" si="6"/>
        <v>108</v>
      </c>
      <c r="K48" s="61">
        <f ca="1">IF(ABS('main page'!$K$29*K47+(1-'main page'!$K$29)*(controls!$B$9/100)*100+'main page'!$K$25*(E48-B48)-K47)&lt;0.0000001,K47,'main page'!$K$29*K47+(1-'main page'!$K$29)*(controls!$B$9/100)*100+'main page'!$K$25*(E48-B48))</f>
        <v>1.9999998845160007</v>
      </c>
      <c r="L48" s="61">
        <f ca="1">IF(controls!$B$10=1,L47,M48-'main page'!$K$29*K48-(1-'main page'!$K$29)*controls!$B$9)</f>
        <v>3.4999999711290002</v>
      </c>
      <c r="M48" s="61">
        <f t="shared" ca="1" si="1"/>
        <v>5.4999998556450009</v>
      </c>
      <c r="N48" s="61">
        <f ca="1">IF(controls!$B$10=1,'delay in perception'!L48+'delay in perception'!K48,'delay in perception'!O48)</f>
        <v>5.4999998556450009</v>
      </c>
      <c r="O48" s="87">
        <f ca="1">'main page'!$K$29*K48+(1-'main page'!$K$29)*controls!$B$9+P48+(('main page'!$K$25*'main page'!$U$13*'main page'!$K$29)/('main page'!$K$27*(1+('main page'!$K$25^2)*'main page'!$U$13)))*(K48-(controls!$B$9/100)*100)</f>
        <v>5.4999998556450009</v>
      </c>
      <c r="P48" s="81">
        <f ca="1">IF(controls!$B$33=1,(J49-E48*U49-C49+B48*T49)/'main page'!$K$27,(I49-E48*U49-C49+B48*T49)/'main page'!$K$27)</f>
        <v>3.5</v>
      </c>
      <c r="R48" s="58">
        <f>IF(controls!$B$6=1,'normal case'!$AS$3*(1+('main page'!$K$35/100))^S48-'normal case'!$AS$3*(1+('main page'!$K$35/100))^S47,'normal case'!$AS$3*(1+('main page'!$G$8/100))*(1+('main page'!$K$35/100))^S48-'normal case'!$AS$3*(1+('main page'!$G$8/100))*(1+('main page'!$K$35/100))^S47)</f>
        <v>0</v>
      </c>
      <c r="S48" s="60">
        <v>40</v>
      </c>
      <c r="T48" s="58">
        <f ca="1">'normal case'!AC47</f>
        <v>0</v>
      </c>
      <c r="U48" s="58">
        <f ca="1">'normal case'!AD47</f>
        <v>0</v>
      </c>
    </row>
    <row r="49" spans="1:21">
      <c r="A49" s="46">
        <v>46</v>
      </c>
      <c r="B49" s="61">
        <f ca="1">IF(controls!$B$33=1,B48*(1+T49)+R49,B48*(1+T49))</f>
        <v>101</v>
      </c>
      <c r="C49" s="61">
        <f t="shared" ca="1" si="3"/>
        <v>101</v>
      </c>
      <c r="D49" s="77">
        <f t="shared" ca="1" si="2"/>
        <v>-1.4635591660816516E-7</v>
      </c>
      <c r="E49" s="61">
        <f t="shared" ca="1" si="0"/>
        <v>101.000000057742</v>
      </c>
      <c r="F49" s="61">
        <f ca="1">IF(controls!$B$33=1,'delay in perception'!H49,G49)</f>
        <v>101.000000057742</v>
      </c>
      <c r="G49" s="61">
        <f ca="1">I49-'main page'!$K$27*L48</f>
        <v>101.000000057742</v>
      </c>
      <c r="H49" s="61">
        <f ca="1">J49-'main page'!$K$27*L48</f>
        <v>101.000000057742</v>
      </c>
      <c r="I49" s="61">
        <f t="shared" ca="1" si="5"/>
        <v>108</v>
      </c>
      <c r="J49" s="61">
        <f t="shared" ca="1" si="6"/>
        <v>108</v>
      </c>
      <c r="K49" s="61">
        <f ca="1">IF(ABS('main page'!$K$29*K48+(1-'main page'!$K$29)*(controls!$B$9/100)*100+'main page'!$K$25*(E49-B49)-K48)&lt;0.0000001,K48,'main page'!$K$29*K48+(1-'main page'!$K$29)*(controls!$B$9/100)*100+'main page'!$K$25*(E49-B49))</f>
        <v>1.9999998845160007</v>
      </c>
      <c r="L49" s="61">
        <f ca="1">IF(controls!$B$10=1,L48,M49-'main page'!$K$29*K49-(1-'main page'!$K$29)*controls!$B$9)</f>
        <v>3.4999999711290002</v>
      </c>
      <c r="M49" s="61">
        <f t="shared" ca="1" si="1"/>
        <v>5.4999998556450009</v>
      </c>
      <c r="N49" s="61">
        <f ca="1">IF(controls!$B$10=1,'delay in perception'!L49+'delay in perception'!K49,'delay in perception'!O49)</f>
        <v>5.4999998556450009</v>
      </c>
      <c r="O49" s="87">
        <f ca="1">'main page'!$K$29*K49+(1-'main page'!$K$29)*controls!$B$9+P49+(('main page'!$K$25*'main page'!$U$13*'main page'!$K$29)/('main page'!$K$27*(1+('main page'!$K$25^2)*'main page'!$U$13)))*(K49-(controls!$B$9/100)*100)</f>
        <v>5.4999998556450009</v>
      </c>
      <c r="P49" s="81">
        <f ca="1">IF(controls!$B$33=1,(J50-E49*U50-C50+B49*T50)/'main page'!$K$27,(I50-E49*U50-C50+B49*T50)/'main page'!$K$27)</f>
        <v>3.5</v>
      </c>
      <c r="R49" s="58">
        <f>IF(controls!$B$6=1,'normal case'!$AS$3*(1+('main page'!$K$35/100))^S49-'normal case'!$AS$3*(1+('main page'!$K$35/100))^S48,'normal case'!$AS$3*(1+('main page'!$G$8/100))*(1+('main page'!$K$35/100))^S49-'normal case'!$AS$3*(1+('main page'!$G$8/100))*(1+('main page'!$K$35/100))^S48)</f>
        <v>0</v>
      </c>
      <c r="S49" s="60">
        <v>41</v>
      </c>
      <c r="T49" s="58">
        <f>'normal case'!AC48</f>
        <v>0</v>
      </c>
      <c r="U49" s="58">
        <f>'normal case'!AD48</f>
        <v>0</v>
      </c>
    </row>
    <row r="50" spans="1:21">
      <c r="A50" s="46">
        <v>47</v>
      </c>
      <c r="B50" s="61">
        <f ca="1">IF(controls!$B$33=1,B49*(1+T50)+R50,B49*(1+T50))</f>
        <v>101</v>
      </c>
      <c r="C50" s="61">
        <f t="shared" ca="1" si="3"/>
        <v>101</v>
      </c>
      <c r="D50" s="77">
        <f t="shared" ca="1" si="2"/>
        <v>-1.4635591660816516E-7</v>
      </c>
      <c r="E50" s="61">
        <f t="shared" ca="1" si="0"/>
        <v>101.000000057742</v>
      </c>
      <c r="F50" s="61">
        <f ca="1">IF(controls!$B$33=1,'delay in perception'!H50,G50)</f>
        <v>101.000000057742</v>
      </c>
      <c r="G50" s="61">
        <f ca="1">I50-'main page'!$K$27*L49</f>
        <v>101.000000057742</v>
      </c>
      <c r="H50" s="61">
        <f ca="1">J50-'main page'!$K$27*L49</f>
        <v>101.000000057742</v>
      </c>
      <c r="I50" s="61">
        <f t="shared" ca="1" si="5"/>
        <v>108</v>
      </c>
      <c r="J50" s="61">
        <f t="shared" ca="1" si="6"/>
        <v>108</v>
      </c>
      <c r="K50" s="61">
        <f ca="1">IF(ABS('main page'!$K$29*K49+(1-'main page'!$K$29)*(controls!$B$9/100)*100+'main page'!$K$25*(E50-B50)-K49)&lt;0.0000001,K49,'main page'!$K$29*K49+(1-'main page'!$K$29)*(controls!$B$9/100)*100+'main page'!$K$25*(E50-B50))</f>
        <v>1.9999998845160007</v>
      </c>
      <c r="L50" s="61">
        <f ca="1">IF(controls!$B$10=1,L49,M50-'main page'!$K$29*K50-(1-'main page'!$K$29)*controls!$B$9)</f>
        <v>3.4999999711290002</v>
      </c>
      <c r="M50" s="61">
        <f t="shared" ca="1" si="1"/>
        <v>5.4999998556450009</v>
      </c>
      <c r="N50" s="61">
        <f ca="1">IF(controls!$B$10=1,'delay in perception'!L50+'delay in perception'!K50,'delay in perception'!O50)</f>
        <v>5.4999998556450009</v>
      </c>
      <c r="O50" s="87">
        <f ca="1">'main page'!$K$29*K50+(1-'main page'!$K$29)*controls!$B$9+P50+(('main page'!$K$25*'main page'!$U$13*'main page'!$K$29)/('main page'!$K$27*(1+('main page'!$K$25^2)*'main page'!$U$13)))*(K50-(controls!$B$9/100)*100)</f>
        <v>5.4999998556450009</v>
      </c>
      <c r="P50" s="81">
        <f ca="1">IF(controls!$B$33=1,(J51-E50*U51-C51+B50*T51)/'main page'!$K$27,(I51-E50*U51-C51+B50*T51)/'main page'!$K$27)</f>
        <v>3.5</v>
      </c>
      <c r="R50" s="58">
        <f>IF(controls!$B$6=1,'normal case'!$AS$3*(1+('main page'!$K$35/100))^S50-'normal case'!$AS$3*(1+('main page'!$K$35/100))^S49,'normal case'!$AS$3*(1+('main page'!$G$8/100))*(1+('main page'!$K$35/100))^S50-'normal case'!$AS$3*(1+('main page'!$G$8/100))*(1+('main page'!$K$35/100))^S49)</f>
        <v>0</v>
      </c>
      <c r="S50" s="60">
        <v>42</v>
      </c>
      <c r="T50" s="58">
        <f>'normal case'!AC49</f>
        <v>0</v>
      </c>
      <c r="U50" s="58">
        <f>'normal case'!AD49</f>
        <v>0</v>
      </c>
    </row>
    <row r="51" spans="1:21">
      <c r="A51" s="46">
        <v>48</v>
      </c>
      <c r="B51" s="61">
        <f ca="1">IF(controls!$B$33=1,B50*(1+T51)+R51,B50*(1+T51))</f>
        <v>101</v>
      </c>
      <c r="C51" s="61">
        <f t="shared" ca="1" si="3"/>
        <v>101</v>
      </c>
      <c r="D51" s="77">
        <f t="shared" ca="1" si="2"/>
        <v>-1.4635591660816516E-7</v>
      </c>
      <c r="E51" s="61">
        <f t="shared" ca="1" si="0"/>
        <v>101.000000057742</v>
      </c>
      <c r="F51" s="61">
        <f ca="1">IF(controls!$B$33=1,'delay in perception'!H51,G51)</f>
        <v>101.000000057742</v>
      </c>
      <c r="G51" s="61">
        <f ca="1">I51-'main page'!$K$27*L50</f>
        <v>101.000000057742</v>
      </c>
      <c r="H51" s="61">
        <f ca="1">J51-'main page'!$K$27*L50</f>
        <v>101.000000057742</v>
      </c>
      <c r="I51" s="61">
        <f t="shared" ca="1" si="5"/>
        <v>108</v>
      </c>
      <c r="J51" s="61">
        <f t="shared" ca="1" si="6"/>
        <v>108</v>
      </c>
      <c r="K51" s="61">
        <f ca="1">IF(ABS('main page'!$K$29*K50+(1-'main page'!$K$29)*(controls!$B$9/100)*100+'main page'!$K$25*(E51-B51)-K50)&lt;0.0000001,K50,'main page'!$K$29*K50+(1-'main page'!$K$29)*(controls!$B$9/100)*100+'main page'!$K$25*(E51-B51))</f>
        <v>1.9999998845160007</v>
      </c>
      <c r="L51" s="61">
        <f ca="1">IF(controls!$B$10=1,L50,M51-'main page'!$K$29*K51-(1-'main page'!$K$29)*controls!$B$9)</f>
        <v>3.4999999711290002</v>
      </c>
      <c r="M51" s="61">
        <f t="shared" ca="1" si="1"/>
        <v>5.4999998556450009</v>
      </c>
      <c r="N51" s="61">
        <f ca="1">IF(controls!$B$10=1,'delay in perception'!L51+'delay in perception'!K51,'delay in perception'!O51)</f>
        <v>5.4999998556450009</v>
      </c>
      <c r="O51" s="87">
        <f ca="1">'main page'!$K$29*K51+(1-'main page'!$K$29)*controls!$B$9+P51+(('main page'!$K$25*'main page'!$U$13*'main page'!$K$29)/('main page'!$K$27*(1+('main page'!$K$25^2)*'main page'!$U$13)))*(K51-(controls!$B$9/100)*100)</f>
        <v>5.4999998556450009</v>
      </c>
      <c r="P51" s="81">
        <f ca="1">IF(controls!$B$33=1,(J52-E51*U52-C52+B51*T52)/'main page'!$K$27,(I52-E51*U52-C52+B51*T52)/'main page'!$K$27)</f>
        <v>3.5</v>
      </c>
      <c r="R51" s="58">
        <f>IF(controls!$B$6=1,'normal case'!$AS$3*(1+('main page'!$K$35/100))^S51-'normal case'!$AS$3*(1+('main page'!$K$35/100))^S50,'normal case'!$AS$3*(1+('main page'!$G$8/100))*(1+('main page'!$K$35/100))^S51-'normal case'!$AS$3*(1+('main page'!$G$8/100))*(1+('main page'!$K$35/100))^S50)</f>
        <v>0</v>
      </c>
      <c r="S51" s="60">
        <v>43</v>
      </c>
      <c r="T51" s="58">
        <f ca="1">'normal case'!AC50</f>
        <v>0</v>
      </c>
      <c r="U51" s="58">
        <f ca="1">'normal case'!AD50</f>
        <v>0</v>
      </c>
    </row>
    <row r="52" spans="1:21">
      <c r="A52" s="46">
        <v>49</v>
      </c>
      <c r="B52" s="61">
        <f ca="1">IF(controls!$B$33=1,B51*(1+T52)+R52,B51*(1+T52))</f>
        <v>101</v>
      </c>
      <c r="C52" s="61">
        <f t="shared" ca="1" si="3"/>
        <v>101</v>
      </c>
      <c r="D52" s="77">
        <f t="shared" ca="1" si="2"/>
        <v>-1.4635591660816516E-7</v>
      </c>
      <c r="E52" s="61">
        <f t="shared" ca="1" si="0"/>
        <v>101.000000057742</v>
      </c>
      <c r="F52" s="61">
        <f ca="1">IF(controls!$B$33=1,'delay in perception'!H52,G52)</f>
        <v>101.000000057742</v>
      </c>
      <c r="G52" s="61">
        <f ca="1">I52-'main page'!$K$27*L51</f>
        <v>101.000000057742</v>
      </c>
      <c r="H52" s="61">
        <f ca="1">J52-'main page'!$K$27*L51</f>
        <v>101.000000057742</v>
      </c>
      <c r="I52" s="61">
        <f t="shared" ca="1" si="5"/>
        <v>108</v>
      </c>
      <c r="J52" s="61">
        <f t="shared" ca="1" si="6"/>
        <v>108</v>
      </c>
      <c r="K52" s="61">
        <f ca="1">IF(ABS('main page'!$K$29*K51+(1-'main page'!$K$29)*(controls!$B$9/100)*100+'main page'!$K$25*(E52-B52)-K51)&lt;0.0000001,K51,'main page'!$K$29*K51+(1-'main page'!$K$29)*(controls!$B$9/100)*100+'main page'!$K$25*(E52-B52))</f>
        <v>1.9999998845160007</v>
      </c>
      <c r="L52" s="61">
        <f ca="1">IF(controls!$B$10=1,L51,M52-'main page'!$K$29*K52-(1-'main page'!$K$29)*controls!$B$9)</f>
        <v>3.4999999711290002</v>
      </c>
      <c r="M52" s="61">
        <f t="shared" ca="1" si="1"/>
        <v>5.4999998556450009</v>
      </c>
      <c r="N52" s="61">
        <f ca="1">IF(controls!$B$10=1,'delay in perception'!L52+'delay in perception'!K52,'delay in perception'!O52)</f>
        <v>5.4999998556450009</v>
      </c>
      <c r="O52" s="87">
        <f ca="1">'main page'!$K$29*K52+(1-'main page'!$K$29)*controls!$B$9+P52+(('main page'!$K$25*'main page'!$U$13*'main page'!$K$29)/('main page'!$K$27*(1+('main page'!$K$25^2)*'main page'!$U$13)))*(K52-(controls!$B$9/100)*100)</f>
        <v>5.4999998556450009</v>
      </c>
      <c r="P52" s="81">
        <f ca="1">IF(controls!$B$33=1,(J53-E52*U53-C53+B52*T53)/'main page'!$K$27,(I53-E52*U53-C53+B52*T53)/'main page'!$K$27)</f>
        <v>3.5</v>
      </c>
      <c r="R52" s="58">
        <f>IF(controls!$B$6=1,'normal case'!$AS$3*(1+('main page'!$K$35/100))^S52-'normal case'!$AS$3*(1+('main page'!$K$35/100))^S51,'normal case'!$AS$3*(1+('main page'!$G$8/100))*(1+('main page'!$K$35/100))^S52-'normal case'!$AS$3*(1+('main page'!$G$8/100))*(1+('main page'!$K$35/100))^S51)</f>
        <v>0</v>
      </c>
      <c r="S52" s="60">
        <v>44</v>
      </c>
      <c r="T52" s="58">
        <f>'normal case'!AC51</f>
        <v>0</v>
      </c>
      <c r="U52" s="58">
        <f>'normal case'!AD51</f>
        <v>0</v>
      </c>
    </row>
    <row r="53" spans="1:21">
      <c r="A53" s="46">
        <v>50</v>
      </c>
      <c r="B53" s="61">
        <f ca="1">IF(controls!$B$33=1,B52*(1+T53)+R53,B52*(1+T53))</f>
        <v>101</v>
      </c>
      <c r="C53" s="61">
        <f t="shared" ca="1" si="3"/>
        <v>101</v>
      </c>
      <c r="D53" s="77">
        <f t="shared" ca="1" si="2"/>
        <v>-1.4635591660816516E-7</v>
      </c>
      <c r="E53" s="61">
        <f t="shared" ca="1" si="0"/>
        <v>101.000000057742</v>
      </c>
      <c r="F53" s="61">
        <f ca="1">IF(controls!$B$33=1,'delay in perception'!H53,G53)</f>
        <v>101.000000057742</v>
      </c>
      <c r="G53" s="61">
        <f ca="1">I53-'main page'!$K$27*L52</f>
        <v>101.000000057742</v>
      </c>
      <c r="H53" s="61">
        <f ca="1">J53-'main page'!$K$27*L52</f>
        <v>101.000000057742</v>
      </c>
      <c r="I53" s="61">
        <f t="shared" ca="1" si="5"/>
        <v>108</v>
      </c>
      <c r="J53" s="61">
        <f t="shared" ca="1" si="6"/>
        <v>108</v>
      </c>
      <c r="K53" s="61">
        <f ca="1">IF(ABS('main page'!$K$29*K52+(1-'main page'!$K$29)*(controls!$B$9/100)*100+'main page'!$K$25*(E53-B53)-K52)&lt;0.0000001,K52,'main page'!$K$29*K52+(1-'main page'!$K$29)*(controls!$B$9/100)*100+'main page'!$K$25*(E53-B53))</f>
        <v>1.9999998845160007</v>
      </c>
      <c r="L53" s="61">
        <f ca="1">IF(controls!$B$10=1,L52,M53-'main page'!$K$29*K53-(1-'main page'!$K$29)*controls!$B$9)</f>
        <v>3.4999999711290002</v>
      </c>
      <c r="M53" s="61">
        <f t="shared" ca="1" si="1"/>
        <v>5.4999998556450009</v>
      </c>
      <c r="N53" s="61">
        <f ca="1">IF(controls!$B$10=1,'delay in perception'!L53+'delay in perception'!K53,'delay in perception'!O53)</f>
        <v>5.4999998556450009</v>
      </c>
      <c r="O53" s="87">
        <f ca="1">'main page'!$K$29*K53+(1-'main page'!$K$29)*controls!$B$9+P53+(('main page'!$K$25*'main page'!$U$13*'main page'!$K$29)/('main page'!$K$27*(1+('main page'!$K$25^2)*'main page'!$U$13)))*(K53-(controls!$B$9/100)*100)</f>
        <v>5.4999998556450009</v>
      </c>
      <c r="P53" s="81">
        <f ca="1">IF(controls!$B$33=1,(J54-E53*U54-C54+B53*T54)/'main page'!$K$27,(I54-E53*U54-C54+B53*T54)/'main page'!$K$27)</f>
        <v>3.5</v>
      </c>
      <c r="R53" s="58">
        <f>IF(controls!$B$6=1,'normal case'!$AS$3*(1+('main page'!$K$35/100))^S53-'normal case'!$AS$3*(1+('main page'!$K$35/100))^S52,'normal case'!$AS$3*(1+('main page'!$G$8/100))*(1+('main page'!$K$35/100))^S53-'normal case'!$AS$3*(1+('main page'!$G$8/100))*(1+('main page'!$K$35/100))^S52)</f>
        <v>0</v>
      </c>
      <c r="S53" s="60">
        <v>45</v>
      </c>
      <c r="T53" s="58">
        <f>'normal case'!AC52</f>
        <v>0</v>
      </c>
      <c r="U53" s="58">
        <f>'normal case'!AD52</f>
        <v>0</v>
      </c>
    </row>
    <row r="54" spans="1:21">
      <c r="A54" s="46">
        <v>51</v>
      </c>
      <c r="B54" s="61">
        <f ca="1">IF(controls!$B$33=1,B53*(1+T54)+R54,B53*(1+T54))</f>
        <v>101</v>
      </c>
      <c r="C54" s="61">
        <f t="shared" ca="1" si="3"/>
        <v>101</v>
      </c>
      <c r="D54" s="77">
        <f t="shared" ca="1" si="2"/>
        <v>-1.4635591660816516E-7</v>
      </c>
      <c r="E54" s="61">
        <f t="shared" ca="1" si="0"/>
        <v>101.000000057742</v>
      </c>
      <c r="F54" s="61">
        <f ca="1">IF(controls!$B$33=1,'delay in perception'!H54,G54)</f>
        <v>101.000000057742</v>
      </c>
      <c r="G54" s="61">
        <f ca="1">I54-'main page'!$K$27*L53</f>
        <v>101.000000057742</v>
      </c>
      <c r="H54" s="61">
        <f ca="1">J54-'main page'!$K$27*L53</f>
        <v>101.000000057742</v>
      </c>
      <c r="I54" s="61">
        <f t="shared" ca="1" si="5"/>
        <v>108</v>
      </c>
      <c r="J54" s="61">
        <f t="shared" ca="1" si="6"/>
        <v>108</v>
      </c>
      <c r="K54" s="61">
        <f ca="1">IF(ABS('main page'!$K$29*K53+(1-'main page'!$K$29)*(controls!$B$9/100)*100+'main page'!$K$25*(E54-B54)-K53)&lt;0.0000001,K53,'main page'!$K$29*K53+(1-'main page'!$K$29)*(controls!$B$9/100)*100+'main page'!$K$25*(E54-B54))</f>
        <v>1.9999998845160007</v>
      </c>
      <c r="L54" s="61">
        <f ca="1">IF(controls!$B$10=1,L53,M54-'main page'!$K$29*K54-(1-'main page'!$K$29)*controls!$B$9)</f>
        <v>3.4999999711290002</v>
      </c>
      <c r="M54" s="61">
        <f t="shared" ca="1" si="1"/>
        <v>5.4999998556450009</v>
      </c>
      <c r="N54" s="61">
        <f ca="1">IF(controls!$B$10=1,'delay in perception'!L54+'delay in perception'!K54,'delay in perception'!O54)</f>
        <v>5.4999998556450009</v>
      </c>
      <c r="O54" s="87">
        <f ca="1">'main page'!$K$29*K54+(1-'main page'!$K$29)*controls!$B$9+P54+(('main page'!$K$25*'main page'!$U$13*'main page'!$K$29)/('main page'!$K$27*(1+('main page'!$K$25^2)*'main page'!$U$13)))*(K54-(controls!$B$9/100)*100)</f>
        <v>5.4999998556450009</v>
      </c>
      <c r="P54" s="81">
        <f ca="1">IF(controls!$B$33=1,(J55-E54*U55-C55+B54*T55)/'main page'!$K$27,(I55-E54*U55-C55+B54*T55)/'main page'!$K$27)</f>
        <v>3.5</v>
      </c>
      <c r="R54" s="58">
        <f>IF(controls!$B$6=1,'normal case'!$AS$3*(1+('main page'!$K$35/100))^S54-'normal case'!$AS$3*(1+('main page'!$K$35/100))^S53,'normal case'!$AS$3*(1+('main page'!$G$8/100))*(1+('main page'!$K$35/100))^S54-'normal case'!$AS$3*(1+('main page'!$G$8/100))*(1+('main page'!$K$35/100))^S53)</f>
        <v>0</v>
      </c>
      <c r="S54" s="60">
        <v>46</v>
      </c>
      <c r="T54" s="58">
        <f ca="1">'normal case'!AC53</f>
        <v>0</v>
      </c>
      <c r="U54" s="58">
        <f ca="1">'normal case'!AD53</f>
        <v>0</v>
      </c>
    </row>
    <row r="55" spans="1:21">
      <c r="A55" s="46">
        <v>52</v>
      </c>
      <c r="B55" s="61">
        <f ca="1">IF(controls!$B$33=1,B54*(1+T55)+R55,B54*(1+T55))</f>
        <v>101</v>
      </c>
      <c r="C55" s="61">
        <f t="shared" ca="1" si="3"/>
        <v>101</v>
      </c>
      <c r="D55" s="77">
        <f t="shared" ca="1" si="2"/>
        <v>-1.4635591660816516E-7</v>
      </c>
      <c r="E55" s="61">
        <f t="shared" ca="1" si="0"/>
        <v>101.000000057742</v>
      </c>
      <c r="F55" s="61">
        <f ca="1">IF(controls!$B$33=1,'delay in perception'!H55,G55)</f>
        <v>101.000000057742</v>
      </c>
      <c r="G55" s="61">
        <f ca="1">I55-'main page'!$K$27*L54</f>
        <v>101.000000057742</v>
      </c>
      <c r="H55" s="61">
        <f ca="1">J55-'main page'!$K$27*L54</f>
        <v>101.000000057742</v>
      </c>
      <c r="I55" s="61">
        <f t="shared" ca="1" si="5"/>
        <v>108</v>
      </c>
      <c r="J55" s="61">
        <f t="shared" ca="1" si="6"/>
        <v>108</v>
      </c>
      <c r="K55" s="61">
        <f ca="1">IF(ABS('main page'!$K$29*K54+(1-'main page'!$K$29)*(controls!$B$9/100)*100+'main page'!$K$25*(E55-B55)-K54)&lt;0.0000001,K54,'main page'!$K$29*K54+(1-'main page'!$K$29)*(controls!$B$9/100)*100+'main page'!$K$25*(E55-B55))</f>
        <v>1.9999998845160007</v>
      </c>
      <c r="L55" s="61">
        <f ca="1">IF(controls!$B$10=1,L54,M55-'main page'!$K$29*K55-(1-'main page'!$K$29)*controls!$B$9)</f>
        <v>3.4999999711290002</v>
      </c>
      <c r="M55" s="61">
        <f t="shared" ca="1" si="1"/>
        <v>5.4999998556450009</v>
      </c>
      <c r="N55" s="61">
        <f ca="1">IF(controls!$B$10=1,'delay in perception'!L55+'delay in perception'!K55,'delay in perception'!O55)</f>
        <v>5.4999998556450009</v>
      </c>
      <c r="O55" s="87">
        <f ca="1">'main page'!$K$29*K55+(1-'main page'!$K$29)*controls!$B$9+P55+(('main page'!$K$25*'main page'!$U$13*'main page'!$K$29)/('main page'!$K$27*(1+('main page'!$K$25^2)*'main page'!$U$13)))*(K55-(controls!$B$9/100)*100)</f>
        <v>5.4999998556450009</v>
      </c>
      <c r="P55" s="81">
        <f ca="1">IF(controls!$B$33=1,(J56-E55*U56-C56+B55*T56)/'main page'!$K$27,(I56-E55*U56-C56+B55*T56)/'main page'!$K$27)</f>
        <v>3.5</v>
      </c>
      <c r="R55" s="58">
        <f>IF(controls!$B$6=1,'normal case'!$AS$3*(1+('main page'!$K$35/100))^S55-'normal case'!$AS$3*(1+('main page'!$K$35/100))^S54,'normal case'!$AS$3*(1+('main page'!$G$8/100))*(1+('main page'!$K$35/100))^S55-'normal case'!$AS$3*(1+('main page'!$G$8/100))*(1+('main page'!$K$35/100))^S54)</f>
        <v>0</v>
      </c>
      <c r="S55" s="60">
        <v>47</v>
      </c>
      <c r="T55" s="58">
        <f>'normal case'!AC54</f>
        <v>0</v>
      </c>
      <c r="U55" s="58">
        <f>'normal case'!AD54</f>
        <v>0</v>
      </c>
    </row>
    <row r="56" spans="1:21">
      <c r="A56" s="46">
        <v>53</v>
      </c>
      <c r="B56" s="61">
        <f ca="1">IF(controls!$B$33=1,B55*(1+T56)+R56,B55*(1+T56))</f>
        <v>101</v>
      </c>
      <c r="C56" s="61">
        <f t="shared" ca="1" si="3"/>
        <v>101</v>
      </c>
      <c r="D56" s="77">
        <f t="shared" ca="1" si="2"/>
        <v>-1.4635591660816516E-7</v>
      </c>
      <c r="E56" s="61">
        <f t="shared" ca="1" si="0"/>
        <v>101.000000057742</v>
      </c>
      <c r="F56" s="61">
        <f ca="1">IF(controls!$B$33=1,'delay in perception'!H56,G56)</f>
        <v>101.000000057742</v>
      </c>
      <c r="G56" s="61">
        <f ca="1">I56-'main page'!$K$27*L55</f>
        <v>101.000000057742</v>
      </c>
      <c r="H56" s="61">
        <f ca="1">J56-'main page'!$K$27*L55</f>
        <v>101.000000057742</v>
      </c>
      <c r="I56" s="61">
        <f t="shared" ca="1" si="5"/>
        <v>108</v>
      </c>
      <c r="J56" s="61">
        <f t="shared" ca="1" si="6"/>
        <v>108</v>
      </c>
      <c r="K56" s="61">
        <f ca="1">IF(ABS('main page'!$K$29*K55+(1-'main page'!$K$29)*(controls!$B$9/100)*100+'main page'!$K$25*(E56-B56)-K55)&lt;0.0000001,K55,'main page'!$K$29*K55+(1-'main page'!$K$29)*(controls!$B$9/100)*100+'main page'!$K$25*(E56-B56))</f>
        <v>1.9999998845160007</v>
      </c>
      <c r="L56" s="61">
        <f ca="1">IF(controls!$B$10=1,L55,M56-'main page'!$K$29*K56-(1-'main page'!$K$29)*controls!$B$9)</f>
        <v>3.4999999711290002</v>
      </c>
      <c r="M56" s="61">
        <f t="shared" ca="1" si="1"/>
        <v>5.4999998556450009</v>
      </c>
      <c r="N56" s="61">
        <f ca="1">IF(controls!$B$10=1,'delay in perception'!L56+'delay in perception'!K56,'delay in perception'!O56)</f>
        <v>5.4999998556450009</v>
      </c>
      <c r="O56" s="87">
        <f ca="1">'main page'!$K$29*K56+(1-'main page'!$K$29)*controls!$B$9+P56+(('main page'!$K$25*'main page'!$U$13*'main page'!$K$29)/('main page'!$K$27*(1+('main page'!$K$25^2)*'main page'!$U$13)))*(K56-(controls!$B$9/100)*100)</f>
        <v>5.4999998556450009</v>
      </c>
      <c r="P56" s="81">
        <f ca="1">IF(controls!$B$33=1,(J57-E56*U57-C57+B56*T57)/'main page'!$K$27,(I57-E56*U57-C57+B56*T57)/'main page'!$K$27)</f>
        <v>3.5</v>
      </c>
      <c r="R56" s="58">
        <f>IF(controls!$B$6=1,'normal case'!$AS$3*(1+('main page'!$K$35/100))^S56-'normal case'!$AS$3*(1+('main page'!$K$35/100))^S55,'normal case'!$AS$3*(1+('main page'!$G$8/100))*(1+('main page'!$K$35/100))^S56-'normal case'!$AS$3*(1+('main page'!$G$8/100))*(1+('main page'!$K$35/100))^S55)</f>
        <v>0</v>
      </c>
      <c r="S56" s="60">
        <v>48</v>
      </c>
      <c r="T56" s="58">
        <f>'normal case'!AC55</f>
        <v>0</v>
      </c>
      <c r="U56" s="58">
        <f>'normal case'!AD55</f>
        <v>0</v>
      </c>
    </row>
    <row r="57" spans="1:21">
      <c r="A57" s="46">
        <v>54</v>
      </c>
      <c r="B57" s="61">
        <f ca="1">IF(controls!$B$33=1,B56*(1+T57)+R57,B56*(1+T57))</f>
        <v>101</v>
      </c>
      <c r="C57" s="61">
        <f t="shared" ca="1" si="3"/>
        <v>101</v>
      </c>
      <c r="D57" s="77">
        <f t="shared" ca="1" si="2"/>
        <v>-1.4635591660816516E-7</v>
      </c>
      <c r="E57" s="61">
        <f t="shared" ca="1" si="0"/>
        <v>101.000000057742</v>
      </c>
      <c r="F57" s="61">
        <f ca="1">IF(controls!$B$33=1,'delay in perception'!H57,G57)</f>
        <v>101.000000057742</v>
      </c>
      <c r="G57" s="61">
        <f ca="1">I57-'main page'!$K$27*L56</f>
        <v>101.000000057742</v>
      </c>
      <c r="H57" s="61">
        <f ca="1">J57-'main page'!$K$27*L56</f>
        <v>101.000000057742</v>
      </c>
      <c r="I57" s="61">
        <f t="shared" ca="1" si="5"/>
        <v>108</v>
      </c>
      <c r="J57" s="61">
        <f t="shared" ca="1" si="6"/>
        <v>108</v>
      </c>
      <c r="K57" s="61">
        <f ca="1">IF(ABS('main page'!$K$29*K56+(1-'main page'!$K$29)*(controls!$B$9/100)*100+'main page'!$K$25*(E57-B57)-K56)&lt;0.0000001,K56,'main page'!$K$29*K56+(1-'main page'!$K$29)*(controls!$B$9/100)*100+'main page'!$K$25*(E57-B57))</f>
        <v>1.9999998845160007</v>
      </c>
      <c r="L57" s="61">
        <f ca="1">IF(controls!$B$10=1,L56,M57-'main page'!$K$29*K57-(1-'main page'!$K$29)*controls!$B$9)</f>
        <v>3.4999999711290002</v>
      </c>
      <c r="M57" s="61">
        <f t="shared" ca="1" si="1"/>
        <v>5.4999998556450009</v>
      </c>
      <c r="N57" s="61">
        <f ca="1">IF(controls!$B$10=1,'delay in perception'!L57+'delay in perception'!K57,'delay in perception'!O57)</f>
        <v>5.4999998556450009</v>
      </c>
      <c r="O57" s="87">
        <f ca="1">'main page'!$K$29*K57+(1-'main page'!$K$29)*controls!$B$9+P57+(('main page'!$K$25*'main page'!$U$13*'main page'!$K$29)/('main page'!$K$27*(1+('main page'!$K$25^2)*'main page'!$U$13)))*(K57-(controls!$B$9/100)*100)</f>
        <v>5.4999998556450009</v>
      </c>
      <c r="P57" s="81">
        <f ca="1">IF(controls!$B$33=1,(J58-E57*U58-C58+B57*T58)/'main page'!$K$27,(I58-E57*U58-C58+B57*T58)/'main page'!$K$27)</f>
        <v>3.5</v>
      </c>
      <c r="R57" s="58">
        <f>IF(controls!$B$6=1,'normal case'!$AS$3*(1+('main page'!$K$35/100))^S57-'normal case'!$AS$3*(1+('main page'!$K$35/100))^S56,'normal case'!$AS$3*(1+('main page'!$G$8/100))*(1+('main page'!$K$35/100))^S57-'normal case'!$AS$3*(1+('main page'!$G$8/100))*(1+('main page'!$K$35/100))^S56)</f>
        <v>0</v>
      </c>
      <c r="S57" s="60">
        <v>49</v>
      </c>
      <c r="T57" s="58">
        <f ca="1">'normal case'!AC56</f>
        <v>0</v>
      </c>
      <c r="U57" s="58">
        <f ca="1">'normal case'!AD56</f>
        <v>0</v>
      </c>
    </row>
    <row r="58" spans="1:21">
      <c r="A58" s="46">
        <v>55</v>
      </c>
      <c r="B58" s="61">
        <f ca="1">IF(controls!$B$33=1,B57*(1+T58)+R58,B57*(1+T58))</f>
        <v>101</v>
      </c>
      <c r="C58" s="61">
        <f t="shared" ca="1" si="3"/>
        <v>101</v>
      </c>
      <c r="D58" s="77">
        <f t="shared" ca="1" si="2"/>
        <v>-1.4635591660816516E-7</v>
      </c>
      <c r="E58" s="61">
        <f t="shared" ca="1" si="0"/>
        <v>101.000000057742</v>
      </c>
      <c r="F58" s="61">
        <f ca="1">IF(controls!$B$33=1,'delay in perception'!H58,G58)</f>
        <v>101.000000057742</v>
      </c>
      <c r="G58" s="61">
        <f ca="1">I58-'main page'!$K$27*L57</f>
        <v>101.000000057742</v>
      </c>
      <c r="H58" s="61">
        <f ca="1">J58-'main page'!$K$27*L57</f>
        <v>101.000000057742</v>
      </c>
      <c r="I58" s="61">
        <f t="shared" ca="1" si="5"/>
        <v>108</v>
      </c>
      <c r="J58" s="61">
        <f t="shared" ca="1" si="6"/>
        <v>108</v>
      </c>
      <c r="K58" s="61">
        <f ca="1">IF(ABS('main page'!$K$29*K57+(1-'main page'!$K$29)*(controls!$B$9/100)*100+'main page'!$K$25*(E58-B58)-K57)&lt;0.0000001,K57,'main page'!$K$29*K57+(1-'main page'!$K$29)*(controls!$B$9/100)*100+'main page'!$K$25*(E58-B58))</f>
        <v>1.9999998845160007</v>
      </c>
      <c r="L58" s="61">
        <f ca="1">IF(controls!$B$10=1,L57,M58-'main page'!$K$29*K58-(1-'main page'!$K$29)*controls!$B$9)</f>
        <v>3.4999999711290002</v>
      </c>
      <c r="M58" s="61">
        <f t="shared" ca="1" si="1"/>
        <v>5.4999998556450009</v>
      </c>
      <c r="N58" s="61">
        <f ca="1">IF(controls!$B$10=1,'delay in perception'!L58+'delay in perception'!K58,'delay in perception'!O58)</f>
        <v>5.4999998556450009</v>
      </c>
      <c r="O58" s="87">
        <f ca="1">'main page'!$K$29*K58+(1-'main page'!$K$29)*controls!$B$9+P58+(('main page'!$K$25*'main page'!$U$13*'main page'!$K$29)/('main page'!$K$27*(1+('main page'!$K$25^2)*'main page'!$U$13)))*(K58-(controls!$B$9/100)*100)</f>
        <v>5.4999998556450009</v>
      </c>
      <c r="P58" s="81">
        <f ca="1">IF(controls!$B$33=1,(J59-E58*U59-C59+B58*T59)/'main page'!$K$27,(I59-E58*U59-C59+B58*T59)/'main page'!$K$27)</f>
        <v>3.5</v>
      </c>
      <c r="R58" s="58">
        <f>IF(controls!$B$6=1,'normal case'!$AS$3*(1+('main page'!$K$35/100))^S58-'normal case'!$AS$3*(1+('main page'!$K$35/100))^S57,'normal case'!$AS$3*(1+('main page'!$G$8/100))*(1+('main page'!$K$35/100))^S58-'normal case'!$AS$3*(1+('main page'!$G$8/100))*(1+('main page'!$K$35/100))^S57)</f>
        <v>0</v>
      </c>
      <c r="S58" s="60">
        <v>50</v>
      </c>
      <c r="T58" s="58">
        <f>'normal case'!AC57</f>
        <v>0</v>
      </c>
      <c r="U58" s="58">
        <f>'normal case'!AD57</f>
        <v>0</v>
      </c>
    </row>
    <row r="59" spans="1:21">
      <c r="A59" s="46">
        <v>56</v>
      </c>
      <c r="B59" s="61">
        <f ca="1">IF(controls!$B$33=1,B58*(1+T59)+R59,B58*(1+T59))</f>
        <v>101</v>
      </c>
      <c r="C59" s="61">
        <f t="shared" ca="1" si="3"/>
        <v>101</v>
      </c>
      <c r="D59" s="77">
        <f t="shared" ca="1" si="2"/>
        <v>-1.4635591660816516E-7</v>
      </c>
      <c r="E59" s="61">
        <f t="shared" ca="1" si="0"/>
        <v>101.000000057742</v>
      </c>
      <c r="F59" s="61">
        <f ca="1">IF(controls!$B$33=1,'delay in perception'!H59,G59)</f>
        <v>101.000000057742</v>
      </c>
      <c r="G59" s="61">
        <f ca="1">I59-'main page'!$K$27*L58</f>
        <v>101.000000057742</v>
      </c>
      <c r="H59" s="61">
        <f ca="1">J59-'main page'!$K$27*L58</f>
        <v>101.000000057742</v>
      </c>
      <c r="I59" s="61">
        <f t="shared" ca="1" si="5"/>
        <v>108</v>
      </c>
      <c r="J59" s="61">
        <f t="shared" ca="1" si="6"/>
        <v>108</v>
      </c>
      <c r="K59" s="61">
        <f ca="1">IF(ABS('main page'!$K$29*K58+(1-'main page'!$K$29)*(controls!$B$9/100)*100+'main page'!$K$25*(E59-B59)-K58)&lt;0.0000001,K58,'main page'!$K$29*K58+(1-'main page'!$K$29)*(controls!$B$9/100)*100+'main page'!$K$25*(E59-B59))</f>
        <v>1.9999998845160007</v>
      </c>
      <c r="L59" s="61">
        <f ca="1">IF(controls!$B$10=1,L58,M59-'main page'!$K$29*K59-(1-'main page'!$K$29)*controls!$B$9)</f>
        <v>3.4999999711290002</v>
      </c>
      <c r="M59" s="61">
        <f t="shared" ca="1" si="1"/>
        <v>5.4999998556450009</v>
      </c>
      <c r="N59" s="61">
        <f ca="1">IF(controls!$B$10=1,'delay in perception'!L59+'delay in perception'!K59,'delay in perception'!O59)</f>
        <v>5.4999998556450009</v>
      </c>
      <c r="O59" s="87">
        <f ca="1">'main page'!$K$29*K59+(1-'main page'!$K$29)*controls!$B$9+P59+(('main page'!$K$25*'main page'!$U$13*'main page'!$K$29)/('main page'!$K$27*(1+('main page'!$K$25^2)*'main page'!$U$13)))*(K59-(controls!$B$9/100)*100)</f>
        <v>5.4999998556450009</v>
      </c>
      <c r="P59" s="81">
        <f ca="1">IF(controls!$B$33=1,(J60-E59*U60-C60+B59*T60)/'main page'!$K$27,(I60-E59*U60-C60+B59*T60)/'main page'!$K$27)</f>
        <v>3.5</v>
      </c>
      <c r="R59" s="58">
        <f>IF(controls!$B$6=1,'normal case'!$AS$3*(1+('main page'!$K$35/100))^S59-'normal case'!$AS$3*(1+('main page'!$K$35/100))^S58,'normal case'!$AS$3*(1+('main page'!$G$8/100))*(1+('main page'!$K$35/100))^S59-'normal case'!$AS$3*(1+('main page'!$G$8/100))*(1+('main page'!$K$35/100))^S58)</f>
        <v>0</v>
      </c>
      <c r="S59" s="60">
        <v>51</v>
      </c>
      <c r="T59" s="58">
        <f>'normal case'!AC58</f>
        <v>0</v>
      </c>
      <c r="U59" s="58">
        <f>'normal case'!AD58</f>
        <v>0</v>
      </c>
    </row>
    <row r="60" spans="1:21">
      <c r="A60" s="46">
        <v>57</v>
      </c>
      <c r="B60" s="61">
        <f ca="1">IF(controls!$B$33=1,B59*(1+T60)+R60,B59*(1+T60))</f>
        <v>101</v>
      </c>
      <c r="C60" s="61">
        <f t="shared" ca="1" si="3"/>
        <v>101</v>
      </c>
      <c r="D60" s="77">
        <f t="shared" ca="1" si="2"/>
        <v>-1.4635591660816516E-7</v>
      </c>
      <c r="E60" s="61">
        <f t="shared" ca="1" si="0"/>
        <v>101.000000057742</v>
      </c>
      <c r="F60" s="61">
        <f ca="1">IF(controls!$B$33=1,'delay in perception'!H60,G60)</f>
        <v>101.000000057742</v>
      </c>
      <c r="G60" s="61">
        <f ca="1">I60-'main page'!$K$27*L59</f>
        <v>101.000000057742</v>
      </c>
      <c r="H60" s="61">
        <f ca="1">J60-'main page'!$K$27*L59</f>
        <v>101.000000057742</v>
      </c>
      <c r="I60" s="61">
        <f t="shared" ca="1" si="5"/>
        <v>108</v>
      </c>
      <c r="J60" s="61">
        <f t="shared" ca="1" si="6"/>
        <v>108</v>
      </c>
      <c r="K60" s="61">
        <f ca="1">IF(ABS('main page'!$K$29*K59+(1-'main page'!$K$29)*(controls!$B$9/100)*100+'main page'!$K$25*(E60-B60)-K59)&lt;0.0000001,K59,'main page'!$K$29*K59+(1-'main page'!$K$29)*(controls!$B$9/100)*100+'main page'!$K$25*(E60-B60))</f>
        <v>1.9999998845160007</v>
      </c>
      <c r="L60" s="61">
        <f ca="1">IF(controls!$B$10=1,L59,M60-'main page'!$K$29*K60-(1-'main page'!$K$29)*controls!$B$9)</f>
        <v>3.4999999711290002</v>
      </c>
      <c r="M60" s="61">
        <f t="shared" ca="1" si="1"/>
        <v>5.4999998556450009</v>
      </c>
      <c r="N60" s="61">
        <f ca="1">IF(controls!$B$10=1,'delay in perception'!L60+'delay in perception'!K60,'delay in perception'!O60)</f>
        <v>5.4999998556450009</v>
      </c>
      <c r="O60" s="87">
        <f ca="1">'main page'!$K$29*K60+(1-'main page'!$K$29)*controls!$B$9+P60+(('main page'!$K$25*'main page'!$U$13*'main page'!$K$29)/('main page'!$K$27*(1+('main page'!$K$25^2)*'main page'!$U$13)))*(K60-(controls!$B$9/100)*100)</f>
        <v>5.4999998556450009</v>
      </c>
      <c r="P60" s="81">
        <f ca="1">IF(controls!$B$33=1,(J61-E60*U61-C61+B60*T61)/'main page'!$K$27,(I61-E60*U61-C61+B60*T61)/'main page'!$K$27)</f>
        <v>3.5</v>
      </c>
      <c r="R60" s="58">
        <f>IF(controls!$B$6=1,'normal case'!$AS$3*(1+('main page'!$K$35/100))^S60-'normal case'!$AS$3*(1+('main page'!$K$35/100))^S59,'normal case'!$AS$3*(1+('main page'!$G$8/100))*(1+('main page'!$K$35/100))^S60-'normal case'!$AS$3*(1+('main page'!$G$8/100))*(1+('main page'!$K$35/100))^S59)</f>
        <v>0</v>
      </c>
      <c r="S60" s="60">
        <v>52</v>
      </c>
      <c r="T60" s="58">
        <f ca="1">'normal case'!AC59</f>
        <v>0</v>
      </c>
      <c r="U60" s="58">
        <f ca="1">'normal case'!AD59</f>
        <v>0</v>
      </c>
    </row>
    <row r="61" spans="1:21">
      <c r="A61" s="46">
        <v>58</v>
      </c>
      <c r="B61" s="61">
        <f ca="1">IF(controls!$B$33=1,B60*(1+T61)+R61,B60*(1+T61))</f>
        <v>101</v>
      </c>
      <c r="C61" s="61">
        <f t="shared" ca="1" si="3"/>
        <v>101</v>
      </c>
      <c r="D61" s="77">
        <f t="shared" ca="1" si="2"/>
        <v>-1.4635591660816516E-7</v>
      </c>
      <c r="E61" s="61">
        <f t="shared" ca="1" si="0"/>
        <v>101.000000057742</v>
      </c>
      <c r="F61" s="61">
        <f ca="1">IF(controls!$B$33=1,'delay in perception'!H61,G61)</f>
        <v>101.000000057742</v>
      </c>
      <c r="G61" s="61">
        <f ca="1">I61-'main page'!$K$27*L60</f>
        <v>101.000000057742</v>
      </c>
      <c r="H61" s="61">
        <f ca="1">J61-'main page'!$K$27*L60</f>
        <v>101.000000057742</v>
      </c>
      <c r="I61" s="61">
        <f t="shared" ca="1" si="5"/>
        <v>108</v>
      </c>
      <c r="J61" s="61">
        <f t="shared" ca="1" si="6"/>
        <v>108</v>
      </c>
      <c r="K61" s="61">
        <f ca="1">IF(ABS('main page'!$K$29*K60+(1-'main page'!$K$29)*(controls!$B$9/100)*100+'main page'!$K$25*(E61-B61)-K60)&lt;0.0000001,K60,'main page'!$K$29*K60+(1-'main page'!$K$29)*(controls!$B$9/100)*100+'main page'!$K$25*(E61-B61))</f>
        <v>1.9999998845160007</v>
      </c>
      <c r="L61" s="61">
        <f ca="1">IF(controls!$B$10=1,L60,M61-'main page'!$K$29*K61-(1-'main page'!$K$29)*controls!$B$9)</f>
        <v>3.4999999711290002</v>
      </c>
      <c r="M61" s="61">
        <f t="shared" ca="1" si="1"/>
        <v>5.4999998556450009</v>
      </c>
      <c r="N61" s="61">
        <f ca="1">IF(controls!$B$10=1,'delay in perception'!L61+'delay in perception'!K61,'delay in perception'!O61)</f>
        <v>5.4999998556450009</v>
      </c>
      <c r="O61" s="87">
        <f ca="1">'main page'!$K$29*K61+(1-'main page'!$K$29)*controls!$B$9+P61+(('main page'!$K$25*'main page'!$U$13*'main page'!$K$29)/('main page'!$K$27*(1+('main page'!$K$25^2)*'main page'!$U$13)))*(K61-(controls!$B$9/100)*100)</f>
        <v>5.4999998556450009</v>
      </c>
      <c r="P61" s="81">
        <f ca="1">IF(controls!$B$33=1,(J62-E61*U62-C62+B61*T62)/'main page'!$K$27,(I62-E61*U62-C62+B61*T62)/'main page'!$K$27)</f>
        <v>3.5</v>
      </c>
      <c r="R61" s="58">
        <f>IF(controls!$B$6=1,'normal case'!$AS$3*(1+('main page'!$K$35/100))^S61-'normal case'!$AS$3*(1+('main page'!$K$35/100))^S60,'normal case'!$AS$3*(1+('main page'!$G$8/100))*(1+('main page'!$K$35/100))^S61-'normal case'!$AS$3*(1+('main page'!$G$8/100))*(1+('main page'!$K$35/100))^S60)</f>
        <v>0</v>
      </c>
      <c r="S61" s="60">
        <v>53</v>
      </c>
      <c r="T61" s="58">
        <f>'normal case'!AC60</f>
        <v>0</v>
      </c>
      <c r="U61" s="58">
        <f>'normal case'!AD60</f>
        <v>0</v>
      </c>
    </row>
    <row r="62" spans="1:21">
      <c r="A62" s="46">
        <v>59</v>
      </c>
      <c r="B62" s="61">
        <f ca="1">IF(controls!$B$33=1,B61*(1+T62)+R62,B61*(1+T62))</f>
        <v>101</v>
      </c>
      <c r="C62" s="61">
        <f t="shared" ca="1" si="3"/>
        <v>101</v>
      </c>
      <c r="D62" s="77">
        <f t="shared" ca="1" si="2"/>
        <v>-1.4635591660816516E-7</v>
      </c>
      <c r="E62" s="61">
        <f t="shared" ca="1" si="0"/>
        <v>101.000000057742</v>
      </c>
      <c r="F62" s="61">
        <f ca="1">IF(controls!$B$33=1,'delay in perception'!H62,G62)</f>
        <v>101.000000057742</v>
      </c>
      <c r="G62" s="61">
        <f ca="1">I62-'main page'!$K$27*L61</f>
        <v>101.000000057742</v>
      </c>
      <c r="H62" s="61">
        <f ca="1">J62-'main page'!$K$27*L61</f>
        <v>101.000000057742</v>
      </c>
      <c r="I62" s="61">
        <f t="shared" ca="1" si="5"/>
        <v>108</v>
      </c>
      <c r="J62" s="61">
        <f t="shared" ca="1" si="6"/>
        <v>108</v>
      </c>
      <c r="K62" s="61">
        <f ca="1">IF(ABS('main page'!$K$29*K61+(1-'main page'!$K$29)*(controls!$B$9/100)*100+'main page'!$K$25*(E62-B62)-K61)&lt;0.0000001,K61,'main page'!$K$29*K61+(1-'main page'!$K$29)*(controls!$B$9/100)*100+'main page'!$K$25*(E62-B62))</f>
        <v>1.9999998845160007</v>
      </c>
      <c r="L62" s="61">
        <f ca="1">IF(controls!$B$10=1,L61,M62-'main page'!$K$29*K62-(1-'main page'!$K$29)*controls!$B$9)</f>
        <v>3.4999999711290002</v>
      </c>
      <c r="M62" s="61">
        <f t="shared" ca="1" si="1"/>
        <v>5.4999998556450009</v>
      </c>
      <c r="N62" s="61">
        <f ca="1">IF(controls!$B$10=1,'delay in perception'!L62+'delay in perception'!K62,'delay in perception'!O62)</f>
        <v>5.4999998556450009</v>
      </c>
      <c r="O62" s="87">
        <f ca="1">'main page'!$K$29*K62+(1-'main page'!$K$29)*controls!$B$9+P62+(('main page'!$K$25*'main page'!$U$13*'main page'!$K$29)/('main page'!$K$27*(1+('main page'!$K$25^2)*'main page'!$U$13)))*(K62-(controls!$B$9/100)*100)</f>
        <v>5.4999998556450009</v>
      </c>
      <c r="P62" s="81">
        <f ca="1">IF(controls!$B$33=1,(J63-E62*U63-C63+B62*T63)/'main page'!$K$27,(I63-E62*U63-C63+B62*T63)/'main page'!$K$27)</f>
        <v>3.5</v>
      </c>
      <c r="R62" s="58">
        <f>IF(controls!$B$6=1,'normal case'!$AS$3*(1+('main page'!$K$35/100))^S62-'normal case'!$AS$3*(1+('main page'!$K$35/100))^S61,'normal case'!$AS$3*(1+('main page'!$G$8/100))*(1+('main page'!$K$35/100))^S62-'normal case'!$AS$3*(1+('main page'!$G$8/100))*(1+('main page'!$K$35/100))^S61)</f>
        <v>0</v>
      </c>
      <c r="S62" s="60">
        <v>54</v>
      </c>
      <c r="T62" s="58">
        <f>'normal case'!AC61</f>
        <v>0</v>
      </c>
      <c r="U62" s="58">
        <f>'normal case'!AD61</f>
        <v>0</v>
      </c>
    </row>
    <row r="63" spans="1:21">
      <c r="A63" s="46">
        <v>60</v>
      </c>
      <c r="B63" s="61">
        <f ca="1">IF(controls!$B$33=1,B62*(1+T63)+R63,B62*(1+T63))</f>
        <v>101</v>
      </c>
      <c r="C63" s="61">
        <f t="shared" ca="1" si="3"/>
        <v>101</v>
      </c>
      <c r="D63" s="77">
        <f t="shared" ca="1" si="2"/>
        <v>-1.4635591660816516E-7</v>
      </c>
      <c r="E63" s="61">
        <f t="shared" ca="1" si="0"/>
        <v>101.000000057742</v>
      </c>
      <c r="F63" s="61">
        <f ca="1">IF(controls!$B$33=1,'delay in perception'!H63,G63)</f>
        <v>101.000000057742</v>
      </c>
      <c r="G63" s="61">
        <f ca="1">I63-'main page'!$K$27*L62</f>
        <v>101.000000057742</v>
      </c>
      <c r="H63" s="61">
        <f ca="1">J63-'main page'!$K$27*L62</f>
        <v>101.000000057742</v>
      </c>
      <c r="I63" s="61">
        <f t="shared" ca="1" si="5"/>
        <v>108</v>
      </c>
      <c r="J63" s="61">
        <f t="shared" ca="1" si="6"/>
        <v>108</v>
      </c>
      <c r="K63" s="61">
        <f ca="1">IF(ABS('main page'!$K$29*K62+(1-'main page'!$K$29)*(controls!$B$9/100)*100+'main page'!$K$25*(E63-B63)-K62)&lt;0.0000001,K62,'main page'!$K$29*K62+(1-'main page'!$K$29)*(controls!$B$9/100)*100+'main page'!$K$25*(E63-B63))</f>
        <v>1.9999998845160007</v>
      </c>
      <c r="L63" s="61">
        <f ca="1">IF(controls!$B$10=1,L62,M63-'main page'!$K$29*K63-(1-'main page'!$K$29)*controls!$B$9)</f>
        <v>3.4999999711290002</v>
      </c>
      <c r="M63" s="61">
        <f t="shared" ca="1" si="1"/>
        <v>5.4999998556450009</v>
      </c>
      <c r="N63" s="61">
        <f ca="1">IF(controls!$B$10=1,'delay in perception'!L63+'delay in perception'!K63,'delay in perception'!O63)</f>
        <v>5.4999998556450009</v>
      </c>
      <c r="O63" s="87">
        <f ca="1">'main page'!$K$29*K63+(1-'main page'!$K$29)*controls!$B$9+P63+(('main page'!$K$25*'main page'!$U$13*'main page'!$K$29)/('main page'!$K$27*(1+('main page'!$K$25^2)*'main page'!$U$13)))*(K63-(controls!$B$9/100)*100)</f>
        <v>5.4999998556450009</v>
      </c>
      <c r="P63" s="81">
        <f ca="1">IF(controls!$B$33=1,(J64-E63*U64-C64+B63*T64)/'main page'!$K$27,(I64-E63*U64-C64+B63*T64)/'main page'!$K$27)</f>
        <v>3.5</v>
      </c>
      <c r="R63" s="58">
        <f>IF(controls!$B$6=1,'normal case'!$AS$3*(1+('main page'!$K$35/100))^S63-'normal case'!$AS$3*(1+('main page'!$K$35/100))^S62,'normal case'!$AS$3*(1+('main page'!$G$8/100))*(1+('main page'!$K$35/100))^S63-'normal case'!$AS$3*(1+('main page'!$G$8/100))*(1+('main page'!$K$35/100))^S62)</f>
        <v>0</v>
      </c>
      <c r="S63" s="60">
        <v>55</v>
      </c>
      <c r="T63" s="58">
        <f ca="1">'normal case'!AC62</f>
        <v>0</v>
      </c>
      <c r="U63" s="58">
        <f ca="1">'normal case'!AD62</f>
        <v>0</v>
      </c>
    </row>
    <row r="64" spans="1:21">
      <c r="A64" s="46">
        <v>61</v>
      </c>
      <c r="B64" s="61">
        <f ca="1">IF(controls!$B$33=1,B63*(1+T64)+R64,B63*(1+T64))</f>
        <v>101</v>
      </c>
      <c r="C64" s="61">
        <f t="shared" ca="1" si="3"/>
        <v>101</v>
      </c>
      <c r="D64" s="77">
        <f t="shared" ca="1" si="2"/>
        <v>-1.4635591660816516E-7</v>
      </c>
      <c r="E64" s="61">
        <f t="shared" ca="1" si="0"/>
        <v>101.000000057742</v>
      </c>
      <c r="F64" s="61">
        <f ca="1">IF(controls!$B$33=1,'delay in perception'!H64,G64)</f>
        <v>101.000000057742</v>
      </c>
      <c r="G64" s="61">
        <f ca="1">I64-'main page'!$K$27*L63</f>
        <v>101.000000057742</v>
      </c>
      <c r="H64" s="61">
        <f ca="1">J64-'main page'!$K$27*L63</f>
        <v>101.000000057742</v>
      </c>
      <c r="I64" s="61">
        <f t="shared" ca="1" si="5"/>
        <v>108</v>
      </c>
      <c r="J64" s="61">
        <f t="shared" ca="1" si="6"/>
        <v>108</v>
      </c>
      <c r="K64" s="61">
        <f ca="1">IF(ABS('main page'!$K$29*K63+(1-'main page'!$K$29)*(controls!$B$9/100)*100+'main page'!$K$25*(E64-B64)-K63)&lt;0.0000001,K63,'main page'!$K$29*K63+(1-'main page'!$K$29)*(controls!$B$9/100)*100+'main page'!$K$25*(E64-B64))</f>
        <v>1.9999998845160007</v>
      </c>
      <c r="L64" s="61">
        <f ca="1">IF(controls!$B$10=1,L63,M64-'main page'!$K$29*K64-(1-'main page'!$K$29)*controls!$B$9)</f>
        <v>3.4999999711290002</v>
      </c>
      <c r="M64" s="61">
        <f t="shared" ca="1" si="1"/>
        <v>5.4999998556450009</v>
      </c>
      <c r="N64" s="61">
        <f ca="1">IF(controls!$B$10=1,'delay in perception'!L64+'delay in perception'!K64,'delay in perception'!O64)</f>
        <v>5.4999998556450009</v>
      </c>
      <c r="O64" s="87">
        <f ca="1">'main page'!$K$29*K64+(1-'main page'!$K$29)*controls!$B$9+P64+(('main page'!$K$25*'main page'!$U$13*'main page'!$K$29)/('main page'!$K$27*(1+('main page'!$K$25^2)*'main page'!$U$13)))*(K64-(controls!$B$9/100)*100)</f>
        <v>5.4999998556450009</v>
      </c>
      <c r="P64" s="81">
        <f ca="1">IF(controls!$B$33=1,(J65-E64*U65-C65+B64*T65)/'main page'!$K$27,(I65-E64*U65-C65+B64*T65)/'main page'!$K$27)</f>
        <v>3.5</v>
      </c>
      <c r="R64" s="58">
        <f>IF(controls!$B$6=1,'normal case'!$AS$3*(1+('main page'!$K$35/100))^S64-'normal case'!$AS$3*(1+('main page'!$K$35/100))^S63,'normal case'!$AS$3*(1+('main page'!$G$8/100))*(1+('main page'!$K$35/100))^S64-'normal case'!$AS$3*(1+('main page'!$G$8/100))*(1+('main page'!$K$35/100))^S63)</f>
        <v>0</v>
      </c>
      <c r="S64" s="60">
        <v>56</v>
      </c>
      <c r="T64" s="58">
        <f>'normal case'!AC63</f>
        <v>0</v>
      </c>
      <c r="U64" s="58">
        <f>'normal case'!AD63</f>
        <v>0</v>
      </c>
    </row>
    <row r="65" spans="1:21">
      <c r="A65" s="46">
        <v>62</v>
      </c>
      <c r="B65" s="61">
        <f ca="1">IF(controls!$B$33=1,B64*(1+T65)+R65,B64*(1+T65))</f>
        <v>101</v>
      </c>
      <c r="C65" s="61">
        <f t="shared" ca="1" si="3"/>
        <v>101</v>
      </c>
      <c r="D65" s="77">
        <f t="shared" ca="1" si="2"/>
        <v>-1.4635591660816516E-7</v>
      </c>
      <c r="E65" s="61">
        <f t="shared" ca="1" si="0"/>
        <v>101.000000057742</v>
      </c>
      <c r="F65" s="61">
        <f ca="1">IF(controls!$B$33=1,'delay in perception'!H65,G65)</f>
        <v>101.000000057742</v>
      </c>
      <c r="G65" s="61">
        <f ca="1">I65-'main page'!$K$27*L64</f>
        <v>101.000000057742</v>
      </c>
      <c r="H65" s="61">
        <f ca="1">J65-'main page'!$K$27*L64</f>
        <v>101.000000057742</v>
      </c>
      <c r="I65" s="61">
        <f t="shared" ca="1" si="5"/>
        <v>108</v>
      </c>
      <c r="J65" s="61">
        <f t="shared" ca="1" si="6"/>
        <v>108</v>
      </c>
      <c r="K65" s="61">
        <f ca="1">IF(ABS('main page'!$K$29*K64+(1-'main page'!$K$29)*(controls!$B$9/100)*100+'main page'!$K$25*(E65-B65)-K64)&lt;0.0000001,K64,'main page'!$K$29*K64+(1-'main page'!$K$29)*(controls!$B$9/100)*100+'main page'!$K$25*(E65-B65))</f>
        <v>1.9999998845160007</v>
      </c>
      <c r="L65" s="61">
        <f ca="1">IF(controls!$B$10=1,L64,M65-'main page'!$K$29*K65-(1-'main page'!$K$29)*controls!$B$9)</f>
        <v>3.4999999711290002</v>
      </c>
      <c r="M65" s="61">
        <f t="shared" ca="1" si="1"/>
        <v>5.4999998556450009</v>
      </c>
      <c r="N65" s="61">
        <f ca="1">IF(controls!$B$10=1,'delay in perception'!L65+'delay in perception'!K65,'delay in perception'!O65)</f>
        <v>5.4999998556450009</v>
      </c>
      <c r="O65" s="87">
        <f ca="1">'main page'!$K$29*K65+(1-'main page'!$K$29)*controls!$B$9+P65+(('main page'!$K$25*'main page'!$U$13*'main page'!$K$29)/('main page'!$K$27*(1+('main page'!$K$25^2)*'main page'!$U$13)))*(K65-(controls!$B$9/100)*100)</f>
        <v>5.4999998556450009</v>
      </c>
      <c r="P65" s="81">
        <f ca="1">IF(controls!$B$33=1,(J66-E65*U66-C66+B65*T66)/'main page'!$K$27,(I66-E65*U66-C66+B65*T66)/'main page'!$K$27)</f>
        <v>3.5</v>
      </c>
      <c r="R65" s="58">
        <f>IF(controls!$B$6=1,'normal case'!$AS$3*(1+('main page'!$K$35/100))^S65-'normal case'!$AS$3*(1+('main page'!$K$35/100))^S64,'normal case'!$AS$3*(1+('main page'!$G$8/100))*(1+('main page'!$K$35/100))^S65-'normal case'!$AS$3*(1+('main page'!$G$8/100))*(1+('main page'!$K$35/100))^S64)</f>
        <v>0</v>
      </c>
      <c r="S65" s="60">
        <v>57</v>
      </c>
      <c r="T65" s="58">
        <f>'normal case'!AC64</f>
        <v>0</v>
      </c>
      <c r="U65" s="58">
        <f>'normal case'!AD64</f>
        <v>0</v>
      </c>
    </row>
    <row r="66" spans="1:21">
      <c r="A66" s="46">
        <v>63</v>
      </c>
      <c r="B66" s="61">
        <f ca="1">IF(controls!$B$33=1,B65*(1+T66)+R66,B65*(1+T66))</f>
        <v>101</v>
      </c>
      <c r="C66" s="61">
        <f t="shared" ca="1" si="3"/>
        <v>101</v>
      </c>
      <c r="D66" s="77">
        <f t="shared" ca="1" si="2"/>
        <v>-1.4635591660816516E-7</v>
      </c>
      <c r="E66" s="61">
        <f t="shared" ca="1" si="0"/>
        <v>101.000000057742</v>
      </c>
      <c r="F66" s="61">
        <f ca="1">IF(controls!$B$33=1,'delay in perception'!H66,G66)</f>
        <v>101.000000057742</v>
      </c>
      <c r="G66" s="61">
        <f ca="1">I66-'main page'!$K$27*L65</f>
        <v>101.000000057742</v>
      </c>
      <c r="H66" s="61">
        <f ca="1">J66-'main page'!$K$27*L65</f>
        <v>101.000000057742</v>
      </c>
      <c r="I66" s="61">
        <f t="shared" ca="1" si="5"/>
        <v>108</v>
      </c>
      <c r="J66" s="61">
        <f t="shared" ca="1" si="6"/>
        <v>108</v>
      </c>
      <c r="K66" s="61">
        <f ca="1">IF(ABS('main page'!$K$29*K65+(1-'main page'!$K$29)*(controls!$B$9/100)*100+'main page'!$K$25*(E66-B66)-K65)&lt;0.0000001,K65,'main page'!$K$29*K65+(1-'main page'!$K$29)*(controls!$B$9/100)*100+'main page'!$K$25*(E66-B66))</f>
        <v>1.9999998845160007</v>
      </c>
      <c r="L66" s="61">
        <f ca="1">IF(controls!$B$10=1,L65,M66-'main page'!$K$29*K66-(1-'main page'!$K$29)*controls!$B$9)</f>
        <v>3.4999999711290002</v>
      </c>
      <c r="M66" s="61">
        <f t="shared" ca="1" si="1"/>
        <v>5.4999998556450009</v>
      </c>
      <c r="N66" s="61">
        <f ca="1">IF(controls!$B$10=1,'delay in perception'!L66+'delay in perception'!K66,'delay in perception'!O66)</f>
        <v>5.4999998556450009</v>
      </c>
      <c r="O66" s="87">
        <f ca="1">'main page'!$K$29*K66+(1-'main page'!$K$29)*controls!$B$9+P66+(('main page'!$K$25*'main page'!$U$13*'main page'!$K$29)/('main page'!$K$27*(1+('main page'!$K$25^2)*'main page'!$U$13)))*(K66-(controls!$B$9/100)*100)</f>
        <v>5.4999998556450009</v>
      </c>
      <c r="P66" s="81">
        <f ca="1">IF(controls!$B$33=1,(J67-E66*U67-C67+B66*T67)/'main page'!$K$27,(I67-E66*U67-C67+B66*T67)/'main page'!$K$27)</f>
        <v>3.5</v>
      </c>
      <c r="R66" s="58">
        <f>IF(controls!$B$6=1,'normal case'!$AS$3*(1+('main page'!$K$35/100))^S66-'normal case'!$AS$3*(1+('main page'!$K$35/100))^S65,'normal case'!$AS$3*(1+('main page'!$G$8/100))*(1+('main page'!$K$35/100))^S66-'normal case'!$AS$3*(1+('main page'!$G$8/100))*(1+('main page'!$K$35/100))^S65)</f>
        <v>0</v>
      </c>
      <c r="S66" s="60">
        <v>58</v>
      </c>
      <c r="T66" s="58">
        <f ca="1">'normal case'!AC65</f>
        <v>0</v>
      </c>
      <c r="U66" s="58">
        <f ca="1">'normal case'!AD65</f>
        <v>0</v>
      </c>
    </row>
    <row r="67" spans="1:21">
      <c r="A67" s="46">
        <v>64</v>
      </c>
      <c r="B67" s="61">
        <f ca="1">IF(controls!$B$33=1,B66*(1+T67)+R67,B66*(1+T67))</f>
        <v>101</v>
      </c>
      <c r="C67" s="61">
        <f t="shared" ca="1" si="3"/>
        <v>101</v>
      </c>
      <c r="D67" s="77">
        <f t="shared" ca="1" si="2"/>
        <v>-1.4635591660816516E-7</v>
      </c>
      <c r="E67" s="61">
        <f t="shared" ca="1" si="0"/>
        <v>101.000000057742</v>
      </c>
      <c r="F67" s="61">
        <f ca="1">IF(controls!$B$33=1,'delay in perception'!H67,G67)</f>
        <v>101.000000057742</v>
      </c>
      <c r="G67" s="61">
        <f ca="1">I67-'main page'!$K$27*L66</f>
        <v>101.000000057742</v>
      </c>
      <c r="H67" s="61">
        <f ca="1">J67-'main page'!$K$27*L66</f>
        <v>101.000000057742</v>
      </c>
      <c r="I67" s="61">
        <f t="shared" ca="1" si="5"/>
        <v>108</v>
      </c>
      <c r="J67" s="61">
        <f t="shared" ca="1" si="6"/>
        <v>108</v>
      </c>
      <c r="K67" s="61">
        <f ca="1">IF(ABS('main page'!$K$29*K66+(1-'main page'!$K$29)*(controls!$B$9/100)*100+'main page'!$K$25*(E67-B67)-K66)&lt;0.0000001,K66,'main page'!$K$29*K66+(1-'main page'!$K$29)*(controls!$B$9/100)*100+'main page'!$K$25*(E67-B67))</f>
        <v>1.9999998845160007</v>
      </c>
      <c r="L67" s="61">
        <f ca="1">IF(controls!$B$10=1,L66,M67-'main page'!$K$29*K67-(1-'main page'!$K$29)*controls!$B$9)</f>
        <v>3.4999999711290002</v>
      </c>
      <c r="M67" s="61">
        <f t="shared" ca="1" si="1"/>
        <v>5.4999998556450009</v>
      </c>
      <c r="N67" s="61">
        <f ca="1">IF(controls!$B$10=1,'delay in perception'!L67+'delay in perception'!K67,'delay in perception'!O67)</f>
        <v>5.4999998556450009</v>
      </c>
      <c r="O67" s="87">
        <f ca="1">'main page'!$K$29*K67+(1-'main page'!$K$29)*controls!$B$9+P67+(('main page'!$K$25*'main page'!$U$13*'main page'!$K$29)/('main page'!$K$27*(1+('main page'!$K$25^2)*'main page'!$U$13)))*(K67-(controls!$B$9/100)*100)</f>
        <v>5.4999998556450009</v>
      </c>
      <c r="P67" s="81">
        <f ca="1">IF(controls!$B$33=1,(J68-E67*U68-C68+B67*T68)/'main page'!$K$27,(I68-E67*U68-C68+B67*T68)/'main page'!$K$27)</f>
        <v>3.5</v>
      </c>
      <c r="R67" s="58">
        <f>IF(controls!$B$6=1,'normal case'!$AS$3*(1+('main page'!$K$35/100))^S67-'normal case'!$AS$3*(1+('main page'!$K$35/100))^S66,'normal case'!$AS$3*(1+('main page'!$G$8/100))*(1+('main page'!$K$35/100))^S67-'normal case'!$AS$3*(1+('main page'!$G$8/100))*(1+('main page'!$K$35/100))^S66)</f>
        <v>0</v>
      </c>
      <c r="S67" s="60">
        <v>59</v>
      </c>
      <c r="T67" s="58">
        <f>'normal case'!AC66</f>
        <v>0</v>
      </c>
      <c r="U67" s="58">
        <f>'normal case'!AD66</f>
        <v>0</v>
      </c>
    </row>
    <row r="68" spans="1:21">
      <c r="A68" s="46">
        <v>65</v>
      </c>
      <c r="B68" s="61">
        <f ca="1">IF(controls!$B$33=1,B67*(1+T68)+R68,B67*(1+T68))</f>
        <v>101</v>
      </c>
      <c r="C68" s="61">
        <f t="shared" ca="1" si="3"/>
        <v>101</v>
      </c>
      <c r="D68" s="77">
        <f t="shared" ca="1" si="2"/>
        <v>-1.4635591660816516E-7</v>
      </c>
      <c r="E68" s="61">
        <f t="shared" ca="1" si="0"/>
        <v>101.000000057742</v>
      </c>
      <c r="F68" s="61">
        <f ca="1">IF(controls!$B$33=1,'delay in perception'!H68,G68)</f>
        <v>101.000000057742</v>
      </c>
      <c r="G68" s="61">
        <f ca="1">I68-'main page'!$K$27*L67</f>
        <v>101.000000057742</v>
      </c>
      <c r="H68" s="61">
        <f ca="1">J68-'main page'!$K$27*L67</f>
        <v>101.000000057742</v>
      </c>
      <c r="I68" s="61">
        <f t="shared" ca="1" si="5"/>
        <v>108</v>
      </c>
      <c r="J68" s="61">
        <f t="shared" ca="1" si="6"/>
        <v>108</v>
      </c>
      <c r="K68" s="61">
        <f ca="1">IF(ABS('main page'!$K$29*K67+(1-'main page'!$K$29)*(controls!$B$9/100)*100+'main page'!$K$25*(E68-B68)-K67)&lt;0.0000001,K67,'main page'!$K$29*K67+(1-'main page'!$K$29)*(controls!$B$9/100)*100+'main page'!$K$25*(E68-B68))</f>
        <v>1.9999998845160007</v>
      </c>
      <c r="L68" s="61">
        <f ca="1">IF(controls!$B$10=1,L67,M68-'main page'!$K$29*K68-(1-'main page'!$K$29)*controls!$B$9)</f>
        <v>3.4999999711290002</v>
      </c>
      <c r="M68" s="61">
        <f t="shared" ca="1" si="1"/>
        <v>5.4999998556450009</v>
      </c>
      <c r="N68" s="61">
        <f ca="1">IF(controls!$B$10=1,'delay in perception'!L68+'delay in perception'!K68,'delay in perception'!O68)</f>
        <v>5.4999998556450009</v>
      </c>
      <c r="O68" s="87">
        <f ca="1">'main page'!$K$29*K68+(1-'main page'!$K$29)*controls!$B$9+P68+(('main page'!$K$25*'main page'!$U$13*'main page'!$K$29)/('main page'!$K$27*(1+('main page'!$K$25^2)*'main page'!$U$13)))*(K68-(controls!$B$9/100)*100)</f>
        <v>5.4999998556450009</v>
      </c>
      <c r="P68" s="81">
        <f ca="1">IF(controls!$B$33=1,(J69-E68*U69-C69+B68*T69)/'main page'!$K$27,(I69-E68*U69-C69+B68*T69)/'main page'!$K$27)</f>
        <v>3.5</v>
      </c>
      <c r="R68" s="58">
        <f>IF(controls!$B$6=1,'normal case'!$AS$3*(1+('main page'!$K$35/100))^S68-'normal case'!$AS$3*(1+('main page'!$K$35/100))^S67,'normal case'!$AS$3*(1+('main page'!$G$8/100))*(1+('main page'!$K$35/100))^S68-'normal case'!$AS$3*(1+('main page'!$G$8/100))*(1+('main page'!$K$35/100))^S67)</f>
        <v>0</v>
      </c>
      <c r="S68" s="60">
        <v>60</v>
      </c>
      <c r="T68" s="58">
        <f>'normal case'!AC67</f>
        <v>0</v>
      </c>
      <c r="U68" s="58">
        <f>'normal case'!AD67</f>
        <v>0</v>
      </c>
    </row>
    <row r="69" spans="1:21">
      <c r="A69" s="46">
        <v>66</v>
      </c>
      <c r="B69" s="61">
        <f ca="1">IF(controls!$B$33=1,B68*(1+T69)+R69,B68*(1+T69))</f>
        <v>101</v>
      </c>
      <c r="C69" s="61">
        <f t="shared" ca="1" si="3"/>
        <v>101</v>
      </c>
      <c r="D69" s="77">
        <f t="shared" ca="1" si="2"/>
        <v>-1.4635591660816516E-7</v>
      </c>
      <c r="E69" s="61">
        <f t="shared" ref="E69:E102" ca="1" si="7">IF(F69&gt;0,F69,0.1)</f>
        <v>101.000000057742</v>
      </c>
      <c r="F69" s="61">
        <f ca="1">IF(controls!$B$33=1,'delay in perception'!H69,G69)</f>
        <v>101.000000057742</v>
      </c>
      <c r="G69" s="61">
        <f ca="1">I69-'main page'!$K$27*L68</f>
        <v>101.000000057742</v>
      </c>
      <c r="H69" s="61">
        <f ca="1">J69-'main page'!$K$27*L68</f>
        <v>101.000000057742</v>
      </c>
      <c r="I69" s="61">
        <f t="shared" ca="1" si="5"/>
        <v>108</v>
      </c>
      <c r="J69" s="61">
        <f t="shared" ca="1" si="6"/>
        <v>108</v>
      </c>
      <c r="K69" s="61">
        <f ca="1">IF(ABS('main page'!$K$29*K68+(1-'main page'!$K$29)*(controls!$B$9/100)*100+'main page'!$K$25*(E69-B69)-K68)&lt;0.0000001,K68,'main page'!$K$29*K68+(1-'main page'!$K$29)*(controls!$B$9/100)*100+'main page'!$K$25*(E69-B69))</f>
        <v>1.9999998845160007</v>
      </c>
      <c r="L69" s="61">
        <f ca="1">IF(controls!$B$10=1,L68,M69-'main page'!$K$29*K69-(1-'main page'!$K$29)*controls!$B$9)</f>
        <v>3.4999999711290002</v>
      </c>
      <c r="M69" s="61">
        <f t="shared" ca="1" si="1"/>
        <v>5.4999998556450009</v>
      </c>
      <c r="N69" s="61">
        <f ca="1">IF(controls!$B$10=1,'delay in perception'!L69+'delay in perception'!K69,'delay in perception'!O69)</f>
        <v>5.4999998556450009</v>
      </c>
      <c r="O69" s="87">
        <f ca="1">'main page'!$K$29*K69+(1-'main page'!$K$29)*controls!$B$9+P69+(('main page'!$K$25*'main page'!$U$13*'main page'!$K$29)/('main page'!$K$27*(1+('main page'!$K$25^2)*'main page'!$U$13)))*(K69-(controls!$B$9/100)*100)</f>
        <v>5.4999998556450009</v>
      </c>
      <c r="P69" s="81">
        <f ca="1">IF(controls!$B$33=1,(J70-E69*U70-C70+B69*T70)/'main page'!$K$27,(I70-E69*U70-C70+B69*T70)/'main page'!$K$27)</f>
        <v>3.5</v>
      </c>
      <c r="R69" s="58">
        <f>IF(controls!$B$6=1,'normal case'!$AS$3*(1+('main page'!$K$35/100))^S69-'normal case'!$AS$3*(1+('main page'!$K$35/100))^S68,'normal case'!$AS$3*(1+('main page'!$G$8/100))*(1+('main page'!$K$35/100))^S69-'normal case'!$AS$3*(1+('main page'!$G$8/100))*(1+('main page'!$K$35/100))^S68)</f>
        <v>0</v>
      </c>
      <c r="S69" s="60">
        <v>61</v>
      </c>
      <c r="T69" s="58">
        <f ca="1">'normal case'!AC68</f>
        <v>0</v>
      </c>
      <c r="U69" s="58">
        <f ca="1">'normal case'!AD68</f>
        <v>0</v>
      </c>
    </row>
    <row r="70" spans="1:21">
      <c r="A70" s="46">
        <v>67</v>
      </c>
      <c r="B70" s="61">
        <f ca="1">IF(controls!$B$33=1,B69*(1+T70)+R70,B69*(1+T70))</f>
        <v>101</v>
      </c>
      <c r="C70" s="61">
        <f t="shared" ca="1" si="3"/>
        <v>101</v>
      </c>
      <c r="D70" s="77">
        <f t="shared" ca="1" si="2"/>
        <v>-1.4635591660816516E-7</v>
      </c>
      <c r="E70" s="61">
        <f t="shared" ca="1" si="7"/>
        <v>101.000000057742</v>
      </c>
      <c r="F70" s="61">
        <f ca="1">IF(controls!$B$33=1,'delay in perception'!H70,G70)</f>
        <v>101.000000057742</v>
      </c>
      <c r="G70" s="61">
        <f ca="1">I70-'main page'!$K$27*L69</f>
        <v>101.000000057742</v>
      </c>
      <c r="H70" s="61">
        <f ca="1">J70-'main page'!$K$27*L69</f>
        <v>101.000000057742</v>
      </c>
      <c r="I70" s="61">
        <f t="shared" ca="1" si="5"/>
        <v>108</v>
      </c>
      <c r="J70" s="61">
        <f t="shared" ca="1" si="6"/>
        <v>108</v>
      </c>
      <c r="K70" s="61">
        <f ca="1">IF(ABS('main page'!$K$29*K69+(1-'main page'!$K$29)*(controls!$B$9/100)*100+'main page'!$K$25*(E70-B70)-K69)&lt;0.0000001,K69,'main page'!$K$29*K69+(1-'main page'!$K$29)*(controls!$B$9/100)*100+'main page'!$K$25*(E70-B70))</f>
        <v>1.9999998845160007</v>
      </c>
      <c r="L70" s="61">
        <f ca="1">IF(controls!$B$10=1,L69,M70-'main page'!$K$29*K70-(1-'main page'!$K$29)*controls!$B$9)</f>
        <v>3.4999999711290002</v>
      </c>
      <c r="M70" s="61">
        <f t="shared" ref="M70:M102" ca="1" si="8">IF(N70&lt;0,0,N70)</f>
        <v>5.4999998556450009</v>
      </c>
      <c r="N70" s="61">
        <f ca="1">IF(controls!$B$10=1,'delay in perception'!L70+'delay in perception'!K70,'delay in perception'!O70)</f>
        <v>5.4999998556450009</v>
      </c>
      <c r="O70" s="87">
        <f ca="1">'main page'!$K$29*K70+(1-'main page'!$K$29)*controls!$B$9+P70+(('main page'!$K$25*'main page'!$U$13*'main page'!$K$29)/('main page'!$K$27*(1+('main page'!$K$25^2)*'main page'!$U$13)))*(K70-(controls!$B$9/100)*100)</f>
        <v>5.4999998556450009</v>
      </c>
      <c r="P70" s="81">
        <f ca="1">IF(controls!$B$33=1,(J71-E70*U71-C71+B70*T71)/'main page'!$K$27,(I71-E70*U71-C71+B70*T71)/'main page'!$K$27)</f>
        <v>3.5</v>
      </c>
      <c r="R70" s="58">
        <f>IF(controls!$B$6=1,'normal case'!$AS$3*(1+('main page'!$K$35/100))^S70-'normal case'!$AS$3*(1+('main page'!$K$35/100))^S69,'normal case'!$AS$3*(1+('main page'!$G$8/100))*(1+('main page'!$K$35/100))^S70-'normal case'!$AS$3*(1+('main page'!$G$8/100))*(1+('main page'!$K$35/100))^S69)</f>
        <v>0</v>
      </c>
      <c r="S70" s="60">
        <v>62</v>
      </c>
      <c r="T70" s="58">
        <f>'normal case'!AC69</f>
        <v>0</v>
      </c>
      <c r="U70" s="58">
        <f>'normal case'!AD69</f>
        <v>0</v>
      </c>
    </row>
    <row r="71" spans="1:21">
      <c r="A71" s="46">
        <v>68</v>
      </c>
      <c r="B71" s="61">
        <f ca="1">IF(controls!$B$33=1,B70*(1+T71)+R71,B70*(1+T71))</f>
        <v>101</v>
      </c>
      <c r="C71" s="61">
        <f t="shared" ca="1" si="3"/>
        <v>101</v>
      </c>
      <c r="D71" s="77">
        <f t="shared" ref="D71:D102" ca="1" si="9">IF(ABS((E71/E70-1)-D70)&lt;0.000001,D70,E71/E70-1)</f>
        <v>-1.4635591660816516E-7</v>
      </c>
      <c r="E71" s="61">
        <f t="shared" ca="1" si="7"/>
        <v>101.000000057742</v>
      </c>
      <c r="F71" s="61">
        <f ca="1">IF(controls!$B$33=1,'delay in perception'!H71,G71)</f>
        <v>101.000000057742</v>
      </c>
      <c r="G71" s="61">
        <f ca="1">I71-'main page'!$K$27*L70</f>
        <v>101.000000057742</v>
      </c>
      <c r="H71" s="61">
        <f ca="1">J71-'main page'!$K$27*L70</f>
        <v>101.000000057742</v>
      </c>
      <c r="I71" s="61">
        <f t="shared" ca="1" si="5"/>
        <v>108</v>
      </c>
      <c r="J71" s="61">
        <f t="shared" ca="1" si="6"/>
        <v>108</v>
      </c>
      <c r="K71" s="61">
        <f ca="1">IF(ABS('main page'!$K$29*K70+(1-'main page'!$K$29)*(controls!$B$9/100)*100+'main page'!$K$25*(E71-B71)-K70)&lt;0.0000001,K70,'main page'!$K$29*K70+(1-'main page'!$K$29)*(controls!$B$9/100)*100+'main page'!$K$25*(E71-B71))</f>
        <v>1.9999998845160007</v>
      </c>
      <c r="L71" s="61">
        <f ca="1">IF(controls!$B$10=1,L70,M71-'main page'!$K$29*K71-(1-'main page'!$K$29)*controls!$B$9)</f>
        <v>3.4999999711290002</v>
      </c>
      <c r="M71" s="61">
        <f t="shared" ca="1" si="8"/>
        <v>5.4999998556450009</v>
      </c>
      <c r="N71" s="61">
        <f ca="1">IF(controls!$B$10=1,'delay in perception'!L71+'delay in perception'!K71,'delay in perception'!O71)</f>
        <v>5.4999998556450009</v>
      </c>
      <c r="O71" s="87">
        <f ca="1">'main page'!$K$29*K71+(1-'main page'!$K$29)*controls!$B$9+P71+(('main page'!$K$25*'main page'!$U$13*'main page'!$K$29)/('main page'!$K$27*(1+('main page'!$K$25^2)*'main page'!$U$13)))*(K71-(controls!$B$9/100)*100)</f>
        <v>5.4999998556450009</v>
      </c>
      <c r="P71" s="81">
        <f ca="1">IF(controls!$B$33=1,(J72-E71*U72-C72+B71*T72)/'main page'!$K$27,(I72-E71*U72-C72+B71*T72)/'main page'!$K$27)</f>
        <v>3.5</v>
      </c>
      <c r="R71" s="58">
        <f>IF(controls!$B$6=1,'normal case'!$AS$3*(1+('main page'!$K$35/100))^S71-'normal case'!$AS$3*(1+('main page'!$K$35/100))^S70,'normal case'!$AS$3*(1+('main page'!$G$8/100))*(1+('main page'!$K$35/100))^S71-'normal case'!$AS$3*(1+('main page'!$G$8/100))*(1+('main page'!$K$35/100))^S70)</f>
        <v>0</v>
      </c>
      <c r="S71" s="60">
        <v>63</v>
      </c>
      <c r="T71" s="58">
        <f>'normal case'!AC70</f>
        <v>0</v>
      </c>
      <c r="U71" s="58">
        <f>'normal case'!AD70</f>
        <v>0</v>
      </c>
    </row>
    <row r="72" spans="1:21">
      <c r="A72" s="46">
        <v>69</v>
      </c>
      <c r="B72" s="61">
        <f ca="1">IF(controls!$B$33=1,B71*(1+T72)+R72,B71*(1+T72))</f>
        <v>101</v>
      </c>
      <c r="C72" s="61">
        <f t="shared" ca="1" si="3"/>
        <v>101</v>
      </c>
      <c r="D72" s="77">
        <f t="shared" ca="1" si="9"/>
        <v>-1.4635591660816516E-7</v>
      </c>
      <c r="E72" s="61">
        <f t="shared" ca="1" si="7"/>
        <v>101.000000057742</v>
      </c>
      <c r="F72" s="61">
        <f ca="1">IF(controls!$B$33=1,'delay in perception'!H72,G72)</f>
        <v>101.000000057742</v>
      </c>
      <c r="G72" s="61">
        <f ca="1">I72-'main page'!$K$27*L71</f>
        <v>101.000000057742</v>
      </c>
      <c r="H72" s="61">
        <f ca="1">J72-'main page'!$K$27*L71</f>
        <v>101.000000057742</v>
      </c>
      <c r="I72" s="61">
        <f t="shared" ca="1" si="5"/>
        <v>108</v>
      </c>
      <c r="J72" s="61">
        <f t="shared" ca="1" si="6"/>
        <v>108</v>
      </c>
      <c r="K72" s="61">
        <f ca="1">IF(ABS('main page'!$K$29*K71+(1-'main page'!$K$29)*(controls!$B$9/100)*100+'main page'!$K$25*(E72-B72)-K71)&lt;0.0000001,K71,'main page'!$K$29*K71+(1-'main page'!$K$29)*(controls!$B$9/100)*100+'main page'!$K$25*(E72-B72))</f>
        <v>1.9999998845160007</v>
      </c>
      <c r="L72" s="61">
        <f ca="1">IF(controls!$B$10=1,L71,M72-'main page'!$K$29*K72-(1-'main page'!$K$29)*controls!$B$9)</f>
        <v>3.4999999711290002</v>
      </c>
      <c r="M72" s="61">
        <f t="shared" ca="1" si="8"/>
        <v>5.4999998556450009</v>
      </c>
      <c r="N72" s="61">
        <f ca="1">IF(controls!$B$10=1,'delay in perception'!L72+'delay in perception'!K72,'delay in perception'!O72)</f>
        <v>5.4999998556450009</v>
      </c>
      <c r="O72" s="87">
        <f ca="1">'main page'!$K$29*K72+(1-'main page'!$K$29)*controls!$B$9+P72+(('main page'!$K$25*'main page'!$U$13*'main page'!$K$29)/('main page'!$K$27*(1+('main page'!$K$25^2)*'main page'!$U$13)))*(K72-(controls!$B$9/100)*100)</f>
        <v>5.4999998556450009</v>
      </c>
      <c r="P72" s="81">
        <f ca="1">IF(controls!$B$33=1,(J73-E72*U73-C73+B72*T73)/'main page'!$K$27,(I73-E72*U73-C73+B72*T73)/'main page'!$K$27)</f>
        <v>3.5</v>
      </c>
      <c r="R72" s="58">
        <f>IF(controls!$B$6=1,'normal case'!$AS$3*(1+('main page'!$K$35/100))^S72-'normal case'!$AS$3*(1+('main page'!$K$35/100))^S71,'normal case'!$AS$3*(1+('main page'!$G$8/100))*(1+('main page'!$K$35/100))^S72-'normal case'!$AS$3*(1+('main page'!$G$8/100))*(1+('main page'!$K$35/100))^S71)</f>
        <v>0</v>
      </c>
      <c r="S72" s="60">
        <v>64</v>
      </c>
      <c r="T72" s="58">
        <f ca="1">'normal case'!AC71</f>
        <v>0</v>
      </c>
      <c r="U72" s="58">
        <f ca="1">'normal case'!AD71</f>
        <v>0</v>
      </c>
    </row>
    <row r="73" spans="1:21">
      <c r="A73" s="46">
        <v>70</v>
      </c>
      <c r="B73" s="61">
        <f ca="1">IF(controls!$B$33=1,B72*(1+T73)+R73,B72*(1+T73))</f>
        <v>101</v>
      </c>
      <c r="C73" s="61">
        <f t="shared" ca="1" si="3"/>
        <v>101</v>
      </c>
      <c r="D73" s="77">
        <f t="shared" ca="1" si="9"/>
        <v>-1.4635591660816516E-7</v>
      </c>
      <c r="E73" s="61">
        <f t="shared" ca="1" si="7"/>
        <v>101.000000057742</v>
      </c>
      <c r="F73" s="61">
        <f ca="1">IF(controls!$B$33=1,'delay in perception'!H73,G73)</f>
        <v>101.000000057742</v>
      </c>
      <c r="G73" s="61">
        <f ca="1">I73-'main page'!$K$27*L72</f>
        <v>101.000000057742</v>
      </c>
      <c r="H73" s="61">
        <f ca="1">J73-'main page'!$K$27*L72</f>
        <v>101.000000057742</v>
      </c>
      <c r="I73" s="61">
        <f t="shared" ca="1" si="5"/>
        <v>108</v>
      </c>
      <c r="J73" s="61">
        <f t="shared" ca="1" si="6"/>
        <v>108</v>
      </c>
      <c r="K73" s="61">
        <f ca="1">IF(ABS('main page'!$K$29*K72+(1-'main page'!$K$29)*(controls!$B$9/100)*100+'main page'!$K$25*(E73-B73)-K72)&lt;0.0000001,K72,'main page'!$K$29*K72+(1-'main page'!$K$29)*(controls!$B$9/100)*100+'main page'!$K$25*(E73-B73))</f>
        <v>1.9999998845160007</v>
      </c>
      <c r="L73" s="61">
        <f ca="1">IF(controls!$B$10=1,L72,M73-'main page'!$K$29*K73-(1-'main page'!$K$29)*controls!$B$9)</f>
        <v>3.4999999711290002</v>
      </c>
      <c r="M73" s="61">
        <f t="shared" ca="1" si="8"/>
        <v>5.4999998556450009</v>
      </c>
      <c r="N73" s="61">
        <f ca="1">IF(controls!$B$10=1,'delay in perception'!L73+'delay in perception'!K73,'delay in perception'!O73)</f>
        <v>5.4999998556450009</v>
      </c>
      <c r="O73" s="87">
        <f ca="1">'main page'!$K$29*K73+(1-'main page'!$K$29)*controls!$B$9+P73+(('main page'!$K$25*'main page'!$U$13*'main page'!$K$29)/('main page'!$K$27*(1+('main page'!$K$25^2)*'main page'!$U$13)))*(K73-(controls!$B$9/100)*100)</f>
        <v>5.4999998556450009</v>
      </c>
      <c r="P73" s="81">
        <f ca="1">IF(controls!$B$33=1,(J74-E73*U74-C74+B73*T74)/'main page'!$K$27,(I74-E73*U74-C74+B73*T74)/'main page'!$K$27)</f>
        <v>3.5</v>
      </c>
      <c r="R73" s="58">
        <f>IF(controls!$B$6=1,'normal case'!$AS$3*(1+('main page'!$K$35/100))^S73-'normal case'!$AS$3*(1+('main page'!$K$35/100))^S72,'normal case'!$AS$3*(1+('main page'!$G$8/100))*(1+('main page'!$K$35/100))^S73-'normal case'!$AS$3*(1+('main page'!$G$8/100))*(1+('main page'!$K$35/100))^S72)</f>
        <v>0</v>
      </c>
      <c r="S73" s="60">
        <v>65</v>
      </c>
      <c r="T73" s="58">
        <f>'normal case'!AC72</f>
        <v>0</v>
      </c>
      <c r="U73" s="58">
        <f>'normal case'!AD72</f>
        <v>0</v>
      </c>
    </row>
    <row r="74" spans="1:21">
      <c r="A74" s="46">
        <v>71</v>
      </c>
      <c r="B74" s="61">
        <f ca="1">IF(controls!$B$33=1,B73*(1+T74)+R74,B73*(1+T74))</f>
        <v>101</v>
      </c>
      <c r="C74" s="61">
        <f t="shared" ca="1" si="3"/>
        <v>101</v>
      </c>
      <c r="D74" s="77">
        <f t="shared" ca="1" si="9"/>
        <v>-1.4635591660816516E-7</v>
      </c>
      <c r="E74" s="61">
        <f t="shared" ca="1" si="7"/>
        <v>101.000000057742</v>
      </c>
      <c r="F74" s="61">
        <f ca="1">IF(controls!$B$33=1,'delay in perception'!H74,G74)</f>
        <v>101.000000057742</v>
      </c>
      <c r="G74" s="61">
        <f ca="1">I74-'main page'!$K$27*L73</f>
        <v>101.000000057742</v>
      </c>
      <c r="H74" s="61">
        <f ca="1">J74-'main page'!$K$27*L73</f>
        <v>101.000000057742</v>
      </c>
      <c r="I74" s="61">
        <f t="shared" ca="1" si="5"/>
        <v>108</v>
      </c>
      <c r="J74" s="61">
        <f t="shared" ca="1" si="6"/>
        <v>108</v>
      </c>
      <c r="K74" s="61">
        <f ca="1">IF(ABS('main page'!$K$29*K73+(1-'main page'!$K$29)*(controls!$B$9/100)*100+'main page'!$K$25*(E74-B74)-K73)&lt;0.0000001,K73,'main page'!$K$29*K73+(1-'main page'!$K$29)*(controls!$B$9/100)*100+'main page'!$K$25*(E74-B74))</f>
        <v>1.9999998845160007</v>
      </c>
      <c r="L74" s="61">
        <f ca="1">IF(controls!$B$10=1,L73,M74-'main page'!$K$29*K74-(1-'main page'!$K$29)*controls!$B$9)</f>
        <v>3.4999999711290002</v>
      </c>
      <c r="M74" s="61">
        <f t="shared" ca="1" si="8"/>
        <v>5.4999998556450009</v>
      </c>
      <c r="N74" s="61">
        <f ca="1">IF(controls!$B$10=1,'delay in perception'!L74+'delay in perception'!K74,'delay in perception'!O74)</f>
        <v>5.4999998556450009</v>
      </c>
      <c r="O74" s="87">
        <f ca="1">'main page'!$K$29*K74+(1-'main page'!$K$29)*controls!$B$9+P74+(('main page'!$K$25*'main page'!$U$13*'main page'!$K$29)/('main page'!$K$27*(1+('main page'!$K$25^2)*'main page'!$U$13)))*(K74-(controls!$B$9/100)*100)</f>
        <v>5.4999998556450009</v>
      </c>
      <c r="P74" s="81">
        <f ca="1">IF(controls!$B$33=1,(J75-E74*U75-C75+B74*T75)/'main page'!$K$27,(I75-E74*U75-C75+B74*T75)/'main page'!$K$27)</f>
        <v>3.5</v>
      </c>
      <c r="R74" s="58">
        <f>IF(controls!$B$6=1,'normal case'!$AS$3*(1+('main page'!$K$35/100))^S74-'normal case'!$AS$3*(1+('main page'!$K$35/100))^S73,'normal case'!$AS$3*(1+('main page'!$G$8/100))*(1+('main page'!$K$35/100))^S74-'normal case'!$AS$3*(1+('main page'!$G$8/100))*(1+('main page'!$K$35/100))^S73)</f>
        <v>0</v>
      </c>
      <c r="S74" s="60">
        <v>66</v>
      </c>
      <c r="T74" s="58">
        <f>'normal case'!AC73</f>
        <v>0</v>
      </c>
      <c r="U74" s="58">
        <f>'normal case'!AD73</f>
        <v>0</v>
      </c>
    </row>
    <row r="75" spans="1:21">
      <c r="A75" s="46">
        <v>72</v>
      </c>
      <c r="B75" s="61">
        <f ca="1">IF(controls!$B$33=1,B74*(1+T75)+R75,B74*(1+T75))</f>
        <v>101</v>
      </c>
      <c r="C75" s="61">
        <f t="shared" ca="1" si="3"/>
        <v>101</v>
      </c>
      <c r="D75" s="77">
        <f t="shared" ca="1" si="9"/>
        <v>-1.4635591660816516E-7</v>
      </c>
      <c r="E75" s="61">
        <f t="shared" ca="1" si="7"/>
        <v>101.000000057742</v>
      </c>
      <c r="F75" s="61">
        <f ca="1">IF(controls!$B$33=1,'delay in perception'!H75,G75)</f>
        <v>101.000000057742</v>
      </c>
      <c r="G75" s="61">
        <f ca="1">I75-'main page'!$K$27*L74</f>
        <v>101.000000057742</v>
      </c>
      <c r="H75" s="61">
        <f ca="1">J75-'main page'!$K$27*L74</f>
        <v>101.000000057742</v>
      </c>
      <c r="I75" s="61">
        <f t="shared" ca="1" si="5"/>
        <v>108</v>
      </c>
      <c r="J75" s="61">
        <f t="shared" ca="1" si="6"/>
        <v>108</v>
      </c>
      <c r="K75" s="61">
        <f ca="1">IF(ABS('main page'!$K$29*K74+(1-'main page'!$K$29)*(controls!$B$9/100)*100+'main page'!$K$25*(E75-B75)-K74)&lt;0.0000001,K74,'main page'!$K$29*K74+(1-'main page'!$K$29)*(controls!$B$9/100)*100+'main page'!$K$25*(E75-B75))</f>
        <v>1.9999998845160007</v>
      </c>
      <c r="L75" s="61">
        <f ca="1">IF(controls!$B$10=1,L74,M75-'main page'!$K$29*K75-(1-'main page'!$K$29)*controls!$B$9)</f>
        <v>3.4999999711290002</v>
      </c>
      <c r="M75" s="61">
        <f t="shared" ca="1" si="8"/>
        <v>5.4999998556450009</v>
      </c>
      <c r="N75" s="61">
        <f ca="1">IF(controls!$B$10=1,'delay in perception'!L75+'delay in perception'!K75,'delay in perception'!O75)</f>
        <v>5.4999998556450009</v>
      </c>
      <c r="O75" s="87">
        <f ca="1">'main page'!$K$29*K75+(1-'main page'!$K$29)*controls!$B$9+P75+(('main page'!$K$25*'main page'!$U$13*'main page'!$K$29)/('main page'!$K$27*(1+('main page'!$K$25^2)*'main page'!$U$13)))*(K75-(controls!$B$9/100)*100)</f>
        <v>5.4999998556450009</v>
      </c>
      <c r="P75" s="81">
        <f ca="1">IF(controls!$B$33=1,(J76-E75*U76-C76+B75*T76)/'main page'!$K$27,(I76-E75*U76-C76+B75*T76)/'main page'!$K$27)</f>
        <v>3.5</v>
      </c>
      <c r="R75" s="58">
        <f>IF(controls!$B$6=1,'normal case'!$AS$3*(1+('main page'!$K$35/100))^S75-'normal case'!$AS$3*(1+('main page'!$K$35/100))^S74,'normal case'!$AS$3*(1+('main page'!$G$8/100))*(1+('main page'!$K$35/100))^S75-'normal case'!$AS$3*(1+('main page'!$G$8/100))*(1+('main page'!$K$35/100))^S74)</f>
        <v>0</v>
      </c>
      <c r="S75" s="60">
        <v>67</v>
      </c>
      <c r="T75" s="58">
        <f ca="1">'normal case'!AC74</f>
        <v>0</v>
      </c>
      <c r="U75" s="58">
        <f ca="1">'normal case'!AD74</f>
        <v>0</v>
      </c>
    </row>
    <row r="76" spans="1:21">
      <c r="A76" s="46">
        <v>73</v>
      </c>
      <c r="B76" s="61">
        <f ca="1">IF(controls!$B$33=1,B75*(1+T76)+R76,B75*(1+T76))</f>
        <v>101</v>
      </c>
      <c r="C76" s="61">
        <f t="shared" ca="1" si="3"/>
        <v>101</v>
      </c>
      <c r="D76" s="77">
        <f t="shared" ca="1" si="9"/>
        <v>-1.4635591660816516E-7</v>
      </c>
      <c r="E76" s="61">
        <f t="shared" ca="1" si="7"/>
        <v>101.000000057742</v>
      </c>
      <c r="F76" s="61">
        <f ca="1">IF(controls!$B$33=1,'delay in perception'!H76,G76)</f>
        <v>101.000000057742</v>
      </c>
      <c r="G76" s="61">
        <f ca="1">I76-'main page'!$K$27*L75</f>
        <v>101.000000057742</v>
      </c>
      <c r="H76" s="61">
        <f ca="1">J76-'main page'!$K$27*L75</f>
        <v>101.000000057742</v>
      </c>
      <c r="I76" s="61">
        <f t="shared" ca="1" si="5"/>
        <v>108</v>
      </c>
      <c r="J76" s="61">
        <f t="shared" ca="1" si="6"/>
        <v>108</v>
      </c>
      <c r="K76" s="61">
        <f ca="1">IF(ABS('main page'!$K$29*K75+(1-'main page'!$K$29)*(controls!$B$9/100)*100+'main page'!$K$25*(E76-B76)-K75)&lt;0.0000001,K75,'main page'!$K$29*K75+(1-'main page'!$K$29)*(controls!$B$9/100)*100+'main page'!$K$25*(E76-B76))</f>
        <v>1.9999998845160007</v>
      </c>
      <c r="L76" s="61">
        <f ca="1">IF(controls!$B$10=1,L75,M76-'main page'!$K$29*K76-(1-'main page'!$K$29)*controls!$B$9)</f>
        <v>3.4999999711290002</v>
      </c>
      <c r="M76" s="61">
        <f t="shared" ca="1" si="8"/>
        <v>5.4999998556450009</v>
      </c>
      <c r="N76" s="61">
        <f ca="1">IF(controls!$B$10=1,'delay in perception'!L76+'delay in perception'!K76,'delay in perception'!O76)</f>
        <v>5.4999998556450009</v>
      </c>
      <c r="O76" s="87">
        <f ca="1">'main page'!$K$29*K76+(1-'main page'!$K$29)*controls!$B$9+P76+(('main page'!$K$25*'main page'!$U$13*'main page'!$K$29)/('main page'!$K$27*(1+('main page'!$K$25^2)*'main page'!$U$13)))*(K76-(controls!$B$9/100)*100)</f>
        <v>5.4999998556450009</v>
      </c>
      <c r="P76" s="81">
        <f ca="1">IF(controls!$B$33=1,(J77-E76*U77-C77+B76*T77)/'main page'!$K$27,(I77-E76*U77-C77+B76*T77)/'main page'!$K$27)</f>
        <v>3.5</v>
      </c>
      <c r="R76" s="58">
        <f>IF(controls!$B$6=1,'normal case'!$AS$3*(1+('main page'!$K$35/100))^S76-'normal case'!$AS$3*(1+('main page'!$K$35/100))^S75,'normal case'!$AS$3*(1+('main page'!$G$8/100))*(1+('main page'!$K$35/100))^S76-'normal case'!$AS$3*(1+('main page'!$G$8/100))*(1+('main page'!$K$35/100))^S75)</f>
        <v>0</v>
      </c>
      <c r="S76" s="60">
        <v>68</v>
      </c>
      <c r="T76" s="58">
        <f>'normal case'!AC75</f>
        <v>0</v>
      </c>
      <c r="U76" s="58">
        <f>'normal case'!AD75</f>
        <v>0</v>
      </c>
    </row>
    <row r="77" spans="1:21">
      <c r="A77" s="46">
        <v>74</v>
      </c>
      <c r="B77" s="61">
        <f ca="1">IF(controls!$B$33=1,B76*(1+T77)+R77,B76*(1+T77))</f>
        <v>101</v>
      </c>
      <c r="C77" s="61">
        <f t="shared" ca="1" si="3"/>
        <v>101</v>
      </c>
      <c r="D77" s="77">
        <f t="shared" ca="1" si="9"/>
        <v>-1.4635591660816516E-7</v>
      </c>
      <c r="E77" s="61">
        <f t="shared" ca="1" si="7"/>
        <v>101.000000057742</v>
      </c>
      <c r="F77" s="61">
        <f ca="1">IF(controls!$B$33=1,'delay in perception'!H77,G77)</f>
        <v>101.000000057742</v>
      </c>
      <c r="G77" s="61">
        <f ca="1">I77-'main page'!$K$27*L76</f>
        <v>101.000000057742</v>
      </c>
      <c r="H77" s="61">
        <f ca="1">J77-'main page'!$K$27*L76</f>
        <v>101.000000057742</v>
      </c>
      <c r="I77" s="61">
        <f t="shared" ca="1" si="5"/>
        <v>108</v>
      </c>
      <c r="J77" s="61">
        <f t="shared" ca="1" si="6"/>
        <v>108</v>
      </c>
      <c r="K77" s="61">
        <f ca="1">IF(ABS('main page'!$K$29*K76+(1-'main page'!$K$29)*(controls!$B$9/100)*100+'main page'!$K$25*(E77-B77)-K76)&lt;0.0000001,K76,'main page'!$K$29*K76+(1-'main page'!$K$29)*(controls!$B$9/100)*100+'main page'!$K$25*(E77-B77))</f>
        <v>1.9999998845160007</v>
      </c>
      <c r="L77" s="61">
        <f ca="1">IF(controls!$B$10=1,L76,M77-'main page'!$K$29*K77-(1-'main page'!$K$29)*controls!$B$9)</f>
        <v>3.4999999711290002</v>
      </c>
      <c r="M77" s="61">
        <f t="shared" ca="1" si="8"/>
        <v>5.4999998556450009</v>
      </c>
      <c r="N77" s="61">
        <f ca="1">IF(controls!$B$10=1,'delay in perception'!L77+'delay in perception'!K77,'delay in perception'!O77)</f>
        <v>5.4999998556450009</v>
      </c>
      <c r="O77" s="87">
        <f ca="1">'main page'!$K$29*K77+(1-'main page'!$K$29)*controls!$B$9+P77+(('main page'!$K$25*'main page'!$U$13*'main page'!$K$29)/('main page'!$K$27*(1+('main page'!$K$25^2)*'main page'!$U$13)))*(K77-(controls!$B$9/100)*100)</f>
        <v>5.4999998556450009</v>
      </c>
      <c r="P77" s="81">
        <f ca="1">IF(controls!$B$33=1,(J78-E77*U78-C78+B77*T78)/'main page'!$K$27,(I78-E77*U78-C78+B77*T78)/'main page'!$K$27)</f>
        <v>3.5</v>
      </c>
      <c r="R77" s="58">
        <f>IF(controls!$B$6=1,'normal case'!$AS$3*(1+('main page'!$K$35/100))^S77-'normal case'!$AS$3*(1+('main page'!$K$35/100))^S76,'normal case'!$AS$3*(1+('main page'!$G$8/100))*(1+('main page'!$K$35/100))^S77-'normal case'!$AS$3*(1+('main page'!$G$8/100))*(1+('main page'!$K$35/100))^S76)</f>
        <v>0</v>
      </c>
      <c r="S77" s="60">
        <v>69</v>
      </c>
      <c r="T77" s="58">
        <f>'normal case'!AC76</f>
        <v>0</v>
      </c>
      <c r="U77" s="58">
        <f>'normal case'!AD76</f>
        <v>0</v>
      </c>
    </row>
    <row r="78" spans="1:21">
      <c r="A78" s="46">
        <v>75</v>
      </c>
      <c r="B78" s="61">
        <f ca="1">IF(controls!$B$33=1,B77*(1+T78)+R78,B77*(1+T78))</f>
        <v>101</v>
      </c>
      <c r="C78" s="61">
        <f t="shared" ref="C78:C102" ca="1" si="10">B78</f>
        <v>101</v>
      </c>
      <c r="D78" s="77">
        <f t="shared" ca="1" si="9"/>
        <v>-1.4635591660816516E-7</v>
      </c>
      <c r="E78" s="61">
        <f t="shared" ca="1" si="7"/>
        <v>101.000000057742</v>
      </c>
      <c r="F78" s="61">
        <f ca="1">IF(controls!$B$33=1,'delay in perception'!H78,G78)</f>
        <v>101.000000057742</v>
      </c>
      <c r="G78" s="61">
        <f ca="1">I78-'main page'!$K$27*L77</f>
        <v>101.000000057742</v>
      </c>
      <c r="H78" s="61">
        <f ca="1">J78-'main page'!$K$27*L77</f>
        <v>101.000000057742</v>
      </c>
      <c r="I78" s="61">
        <f t="shared" ca="1" si="5"/>
        <v>108</v>
      </c>
      <c r="J78" s="61">
        <f t="shared" ref="J78:J102" ca="1" si="11">J77+H77*U78+R78</f>
        <v>108</v>
      </c>
      <c r="K78" s="61">
        <f ca="1">IF(ABS('main page'!$K$29*K77+(1-'main page'!$K$29)*(controls!$B$9/100)*100+'main page'!$K$25*(E78-B78)-K77)&lt;0.0000001,K77,'main page'!$K$29*K77+(1-'main page'!$K$29)*(controls!$B$9/100)*100+'main page'!$K$25*(E78-B78))</f>
        <v>1.9999998845160007</v>
      </c>
      <c r="L78" s="61">
        <f ca="1">IF(controls!$B$10=1,L77,M78-'main page'!$K$29*K78-(1-'main page'!$K$29)*controls!$B$9)</f>
        <v>3.4999999711290002</v>
      </c>
      <c r="M78" s="61">
        <f t="shared" ca="1" si="8"/>
        <v>5.4999998556450009</v>
      </c>
      <c r="N78" s="61">
        <f ca="1">IF(controls!$B$10=1,'delay in perception'!L78+'delay in perception'!K78,'delay in perception'!O78)</f>
        <v>5.4999998556450009</v>
      </c>
      <c r="O78" s="87">
        <f ca="1">'main page'!$K$29*K78+(1-'main page'!$K$29)*controls!$B$9+P78+(('main page'!$K$25*'main page'!$U$13*'main page'!$K$29)/('main page'!$K$27*(1+('main page'!$K$25^2)*'main page'!$U$13)))*(K78-(controls!$B$9/100)*100)</f>
        <v>5.4999998556450009</v>
      </c>
      <c r="P78" s="81">
        <f ca="1">IF(controls!$B$33=1,(J79-E78*U79-C79+B78*T79)/'main page'!$K$27,(I79-E78*U79-C79+B78*T79)/'main page'!$K$27)</f>
        <v>3.5</v>
      </c>
      <c r="R78" s="58">
        <f>IF(controls!$B$6=1,'normal case'!$AS$3*(1+('main page'!$K$35/100))^S78-'normal case'!$AS$3*(1+('main page'!$K$35/100))^S77,'normal case'!$AS$3*(1+('main page'!$G$8/100))*(1+('main page'!$K$35/100))^S78-'normal case'!$AS$3*(1+('main page'!$G$8/100))*(1+('main page'!$K$35/100))^S77)</f>
        <v>0</v>
      </c>
      <c r="S78" s="60">
        <v>70</v>
      </c>
      <c r="T78" s="58">
        <f ca="1">'normal case'!AC77</f>
        <v>0</v>
      </c>
      <c r="U78" s="58">
        <f ca="1">'normal case'!AD77</f>
        <v>0</v>
      </c>
    </row>
    <row r="79" spans="1:21">
      <c r="A79" s="46">
        <v>76</v>
      </c>
      <c r="B79" s="61">
        <f ca="1">IF(controls!$B$33=1,B78*(1+T79)+R79,B78*(1+T79))</f>
        <v>101</v>
      </c>
      <c r="C79" s="61">
        <f t="shared" ca="1" si="10"/>
        <v>101</v>
      </c>
      <c r="D79" s="77">
        <f t="shared" ca="1" si="9"/>
        <v>-1.4635591660816516E-7</v>
      </c>
      <c r="E79" s="61">
        <f t="shared" ca="1" si="7"/>
        <v>101.000000057742</v>
      </c>
      <c r="F79" s="61">
        <f ca="1">IF(controls!$B$33=1,'delay in perception'!H79,G79)</f>
        <v>101.000000057742</v>
      </c>
      <c r="G79" s="61">
        <f ca="1">I79-'main page'!$K$27*L78</f>
        <v>101.000000057742</v>
      </c>
      <c r="H79" s="61">
        <f ca="1">J79-'main page'!$K$27*L78</f>
        <v>101.000000057742</v>
      </c>
      <c r="I79" s="61">
        <f t="shared" ca="1" si="5"/>
        <v>108</v>
      </c>
      <c r="J79" s="61">
        <f t="shared" ca="1" si="11"/>
        <v>108</v>
      </c>
      <c r="K79" s="61">
        <f ca="1">IF(ABS('main page'!$K$29*K78+(1-'main page'!$K$29)*(controls!$B$9/100)*100+'main page'!$K$25*(E79-B79)-K78)&lt;0.0000001,K78,'main page'!$K$29*K78+(1-'main page'!$K$29)*(controls!$B$9/100)*100+'main page'!$K$25*(E79-B79))</f>
        <v>1.9999998845160007</v>
      </c>
      <c r="L79" s="61">
        <f ca="1">IF(controls!$B$10=1,L78,M79-'main page'!$K$29*K79-(1-'main page'!$K$29)*controls!$B$9)</f>
        <v>3.4999999711290002</v>
      </c>
      <c r="M79" s="61">
        <f t="shared" ca="1" si="8"/>
        <v>5.4999998556450009</v>
      </c>
      <c r="N79" s="61">
        <f ca="1">IF(controls!$B$10=1,'delay in perception'!L79+'delay in perception'!K79,'delay in perception'!O79)</f>
        <v>5.4999998556450009</v>
      </c>
      <c r="O79" s="87">
        <f ca="1">'main page'!$K$29*K79+(1-'main page'!$K$29)*controls!$B$9+P79+(('main page'!$K$25*'main page'!$U$13*'main page'!$K$29)/('main page'!$K$27*(1+('main page'!$K$25^2)*'main page'!$U$13)))*(K79-(controls!$B$9/100)*100)</f>
        <v>5.4999998556450009</v>
      </c>
      <c r="P79" s="81">
        <f ca="1">IF(controls!$B$33=1,(J80-E79*U80-C80+B79*T80)/'main page'!$K$27,(I80-E79*U80-C80+B79*T80)/'main page'!$K$27)</f>
        <v>3.5</v>
      </c>
      <c r="R79" s="58">
        <f>IF(controls!$B$6=1,'normal case'!$AS$3*(1+('main page'!$K$35/100))^S79-'normal case'!$AS$3*(1+('main page'!$K$35/100))^S78,'normal case'!$AS$3*(1+('main page'!$G$8/100))*(1+('main page'!$K$35/100))^S79-'normal case'!$AS$3*(1+('main page'!$G$8/100))*(1+('main page'!$K$35/100))^S78)</f>
        <v>0</v>
      </c>
      <c r="S79" s="60">
        <v>71</v>
      </c>
      <c r="T79" s="58">
        <f>'normal case'!AC78</f>
        <v>0</v>
      </c>
      <c r="U79" s="58">
        <f>'normal case'!AD78</f>
        <v>0</v>
      </c>
    </row>
    <row r="80" spans="1:21">
      <c r="A80" s="46">
        <v>77</v>
      </c>
      <c r="B80" s="61">
        <f ca="1">IF(controls!$B$33=1,B79*(1+T80)+R80,B79*(1+T80))</f>
        <v>101</v>
      </c>
      <c r="C80" s="61">
        <f t="shared" ca="1" si="10"/>
        <v>101</v>
      </c>
      <c r="D80" s="77">
        <f t="shared" ca="1" si="9"/>
        <v>-1.4635591660816516E-7</v>
      </c>
      <c r="E80" s="61">
        <f t="shared" ca="1" si="7"/>
        <v>101.000000057742</v>
      </c>
      <c r="F80" s="61">
        <f ca="1">IF(controls!$B$33=1,'delay in perception'!H80,G80)</f>
        <v>101.000000057742</v>
      </c>
      <c r="G80" s="61">
        <f ca="1">I80-'main page'!$K$27*L79</f>
        <v>101.000000057742</v>
      </c>
      <c r="H80" s="61">
        <f ca="1">J80-'main page'!$K$27*L79</f>
        <v>101.000000057742</v>
      </c>
      <c r="I80" s="61">
        <f t="shared" ca="1" si="5"/>
        <v>108</v>
      </c>
      <c r="J80" s="61">
        <f t="shared" ca="1" si="11"/>
        <v>108</v>
      </c>
      <c r="K80" s="61">
        <f ca="1">IF(ABS('main page'!$K$29*K79+(1-'main page'!$K$29)*(controls!$B$9/100)*100+'main page'!$K$25*(E80-B80)-K79)&lt;0.0000001,K79,'main page'!$K$29*K79+(1-'main page'!$K$29)*(controls!$B$9/100)*100+'main page'!$K$25*(E80-B80))</f>
        <v>1.9999998845160007</v>
      </c>
      <c r="L80" s="61">
        <f ca="1">IF(controls!$B$10=1,L79,M80-'main page'!$K$29*K80-(1-'main page'!$K$29)*controls!$B$9)</f>
        <v>3.4999999711290002</v>
      </c>
      <c r="M80" s="61">
        <f t="shared" ca="1" si="8"/>
        <v>5.4999998556450009</v>
      </c>
      <c r="N80" s="61">
        <f ca="1">IF(controls!$B$10=1,'delay in perception'!L80+'delay in perception'!K80,'delay in perception'!O80)</f>
        <v>5.4999998556450009</v>
      </c>
      <c r="O80" s="87">
        <f ca="1">'main page'!$K$29*K80+(1-'main page'!$K$29)*controls!$B$9+P80+(('main page'!$K$25*'main page'!$U$13*'main page'!$K$29)/('main page'!$K$27*(1+('main page'!$K$25^2)*'main page'!$U$13)))*(K80-(controls!$B$9/100)*100)</f>
        <v>5.4999998556450009</v>
      </c>
      <c r="P80" s="81">
        <f ca="1">IF(controls!$B$33=1,(J81-E80*U81-C81+B80*T81)/'main page'!$K$27,(I81-E80*U81-C81+B80*T81)/'main page'!$K$27)</f>
        <v>3.5</v>
      </c>
      <c r="R80" s="58">
        <f>IF(controls!$B$6=1,'normal case'!$AS$3*(1+('main page'!$K$35/100))^S80-'normal case'!$AS$3*(1+('main page'!$K$35/100))^S79,'normal case'!$AS$3*(1+('main page'!$G$8/100))*(1+('main page'!$K$35/100))^S80-'normal case'!$AS$3*(1+('main page'!$G$8/100))*(1+('main page'!$K$35/100))^S79)</f>
        <v>0</v>
      </c>
      <c r="S80" s="60">
        <v>72</v>
      </c>
      <c r="T80" s="58">
        <f>'normal case'!AC79</f>
        <v>0</v>
      </c>
      <c r="U80" s="58">
        <f>'normal case'!AD79</f>
        <v>0</v>
      </c>
    </row>
    <row r="81" spans="1:21">
      <c r="A81" s="46">
        <v>78</v>
      </c>
      <c r="B81" s="61">
        <f ca="1">IF(controls!$B$33=1,B80*(1+T81)+R81,B80*(1+T81))</f>
        <v>101</v>
      </c>
      <c r="C81" s="61">
        <f t="shared" ca="1" si="10"/>
        <v>101</v>
      </c>
      <c r="D81" s="77">
        <f t="shared" ca="1" si="9"/>
        <v>-1.4635591660816516E-7</v>
      </c>
      <c r="E81" s="61">
        <f t="shared" ca="1" si="7"/>
        <v>101.000000057742</v>
      </c>
      <c r="F81" s="61">
        <f ca="1">IF(controls!$B$33=1,'delay in perception'!H81,G81)</f>
        <v>101.000000057742</v>
      </c>
      <c r="G81" s="61">
        <f ca="1">I81-'main page'!$K$27*L80</f>
        <v>101.000000057742</v>
      </c>
      <c r="H81" s="61">
        <f ca="1">J81-'main page'!$K$27*L80</f>
        <v>101.000000057742</v>
      </c>
      <c r="I81" s="61">
        <f t="shared" ca="1" si="5"/>
        <v>108</v>
      </c>
      <c r="J81" s="61">
        <f t="shared" ca="1" si="11"/>
        <v>108</v>
      </c>
      <c r="K81" s="61">
        <f ca="1">IF(ABS('main page'!$K$29*K80+(1-'main page'!$K$29)*(controls!$B$9/100)*100+'main page'!$K$25*(E81-B81)-K80)&lt;0.0000001,K80,'main page'!$K$29*K80+(1-'main page'!$K$29)*(controls!$B$9/100)*100+'main page'!$K$25*(E81-B81))</f>
        <v>1.9999998845160007</v>
      </c>
      <c r="L81" s="61">
        <f ca="1">IF(controls!$B$10=1,L80,M81-'main page'!$K$29*K81-(1-'main page'!$K$29)*controls!$B$9)</f>
        <v>3.4999999711290002</v>
      </c>
      <c r="M81" s="61">
        <f t="shared" ca="1" si="8"/>
        <v>5.4999998556450009</v>
      </c>
      <c r="N81" s="61">
        <f ca="1">IF(controls!$B$10=1,'delay in perception'!L81+'delay in perception'!K81,'delay in perception'!O81)</f>
        <v>5.4999998556450009</v>
      </c>
      <c r="O81" s="87">
        <f ca="1">'main page'!$K$29*K81+(1-'main page'!$K$29)*controls!$B$9+P81+(('main page'!$K$25*'main page'!$U$13*'main page'!$K$29)/('main page'!$K$27*(1+('main page'!$K$25^2)*'main page'!$U$13)))*(K81-(controls!$B$9/100)*100)</f>
        <v>5.4999998556450009</v>
      </c>
      <c r="P81" s="81">
        <f ca="1">IF(controls!$B$33=1,(J82-E81*U82-C82+B81*T82)/'main page'!$K$27,(I82-E81*U82-C82+B81*T82)/'main page'!$K$27)</f>
        <v>3.5</v>
      </c>
      <c r="R81" s="58">
        <f>IF(controls!$B$6=1,'normal case'!$AS$3*(1+('main page'!$K$35/100))^S81-'normal case'!$AS$3*(1+('main page'!$K$35/100))^S80,'normal case'!$AS$3*(1+('main page'!$G$8/100))*(1+('main page'!$K$35/100))^S81-'normal case'!$AS$3*(1+('main page'!$G$8/100))*(1+('main page'!$K$35/100))^S80)</f>
        <v>0</v>
      </c>
      <c r="S81" s="60">
        <v>73</v>
      </c>
      <c r="T81" s="58">
        <f ca="1">'normal case'!AC80</f>
        <v>0</v>
      </c>
      <c r="U81" s="58">
        <f ca="1">'normal case'!AD80</f>
        <v>0</v>
      </c>
    </row>
    <row r="82" spans="1:21">
      <c r="A82" s="46">
        <v>79</v>
      </c>
      <c r="B82" s="61">
        <f ca="1">IF(controls!$B$33=1,B81*(1+T82)+R82,B81*(1+T82))</f>
        <v>101</v>
      </c>
      <c r="C82" s="61">
        <f t="shared" ca="1" si="10"/>
        <v>101</v>
      </c>
      <c r="D82" s="77">
        <f t="shared" ca="1" si="9"/>
        <v>-1.4635591660816516E-7</v>
      </c>
      <c r="E82" s="61">
        <f t="shared" ca="1" si="7"/>
        <v>101.000000057742</v>
      </c>
      <c r="F82" s="61">
        <f ca="1">IF(controls!$B$33=1,'delay in perception'!H82,G82)</f>
        <v>101.000000057742</v>
      </c>
      <c r="G82" s="61">
        <f ca="1">I82-'main page'!$K$27*L81</f>
        <v>101.000000057742</v>
      </c>
      <c r="H82" s="61">
        <f ca="1">J82-'main page'!$K$27*L81</f>
        <v>101.000000057742</v>
      </c>
      <c r="I82" s="61">
        <f t="shared" ca="1" si="5"/>
        <v>108</v>
      </c>
      <c r="J82" s="61">
        <f t="shared" ca="1" si="11"/>
        <v>108</v>
      </c>
      <c r="K82" s="61">
        <f ca="1">IF(ABS('main page'!$K$29*K81+(1-'main page'!$K$29)*(controls!$B$9/100)*100+'main page'!$K$25*(E82-B82)-K81)&lt;0.0000001,K81,'main page'!$K$29*K81+(1-'main page'!$K$29)*(controls!$B$9/100)*100+'main page'!$K$25*(E82-B82))</f>
        <v>1.9999998845160007</v>
      </c>
      <c r="L82" s="61">
        <f ca="1">IF(controls!$B$10=1,L81,M82-'main page'!$K$29*K82-(1-'main page'!$K$29)*controls!$B$9)</f>
        <v>3.4999999711290002</v>
      </c>
      <c r="M82" s="61">
        <f t="shared" ca="1" si="8"/>
        <v>5.4999998556450009</v>
      </c>
      <c r="N82" s="61">
        <f ca="1">IF(controls!$B$10=1,'delay in perception'!L82+'delay in perception'!K82,'delay in perception'!O82)</f>
        <v>5.4999998556450009</v>
      </c>
      <c r="O82" s="87">
        <f ca="1">'main page'!$K$29*K82+(1-'main page'!$K$29)*controls!$B$9+P82+(('main page'!$K$25*'main page'!$U$13*'main page'!$K$29)/('main page'!$K$27*(1+('main page'!$K$25^2)*'main page'!$U$13)))*(K82-(controls!$B$9/100)*100)</f>
        <v>5.4999998556450009</v>
      </c>
      <c r="P82" s="81">
        <f ca="1">IF(controls!$B$33=1,(J83-E82*U83-C83+B82*T83)/'main page'!$K$27,(I83-E82*U83-C83+B82*T83)/'main page'!$K$27)</f>
        <v>3.5</v>
      </c>
      <c r="R82" s="58">
        <f>IF(controls!$B$6=1,'normal case'!$AS$3*(1+('main page'!$K$35/100))^S82-'normal case'!$AS$3*(1+('main page'!$K$35/100))^S81,'normal case'!$AS$3*(1+('main page'!$G$8/100))*(1+('main page'!$K$35/100))^S82-'normal case'!$AS$3*(1+('main page'!$G$8/100))*(1+('main page'!$K$35/100))^S81)</f>
        <v>0</v>
      </c>
      <c r="S82" s="60">
        <v>74</v>
      </c>
      <c r="T82" s="58">
        <f>'normal case'!AC81</f>
        <v>0</v>
      </c>
      <c r="U82" s="58">
        <f>'normal case'!AD81</f>
        <v>0</v>
      </c>
    </row>
    <row r="83" spans="1:21">
      <c r="A83" s="46">
        <v>80</v>
      </c>
      <c r="B83" s="61">
        <f ca="1">IF(controls!$B$33=1,B82*(1+T83)+R83,B82*(1+T83))</f>
        <v>101</v>
      </c>
      <c r="C83" s="61">
        <f t="shared" ca="1" si="10"/>
        <v>101</v>
      </c>
      <c r="D83" s="77">
        <f t="shared" ca="1" si="9"/>
        <v>-1.4635591660816516E-7</v>
      </c>
      <c r="E83" s="61">
        <f t="shared" ca="1" si="7"/>
        <v>101.000000057742</v>
      </c>
      <c r="F83" s="61">
        <f ca="1">IF(controls!$B$33=1,'delay in perception'!H83,G83)</f>
        <v>101.000000057742</v>
      </c>
      <c r="G83" s="61">
        <f ca="1">I83-'main page'!$K$27*L82</f>
        <v>101.000000057742</v>
      </c>
      <c r="H83" s="61">
        <f ca="1">J83-'main page'!$K$27*L82</f>
        <v>101.000000057742</v>
      </c>
      <c r="I83" s="61">
        <f t="shared" ca="1" si="5"/>
        <v>108</v>
      </c>
      <c r="J83" s="61">
        <f t="shared" ca="1" si="11"/>
        <v>108</v>
      </c>
      <c r="K83" s="61">
        <f ca="1">IF(ABS('main page'!$K$29*K82+(1-'main page'!$K$29)*(controls!$B$9/100)*100+'main page'!$K$25*(E83-B83)-K82)&lt;0.0000001,K82,'main page'!$K$29*K82+(1-'main page'!$K$29)*(controls!$B$9/100)*100+'main page'!$K$25*(E83-B83))</f>
        <v>1.9999998845160007</v>
      </c>
      <c r="L83" s="61">
        <f ca="1">IF(controls!$B$10=1,L82,M83-'main page'!$K$29*K83-(1-'main page'!$K$29)*controls!$B$9)</f>
        <v>3.4999999711290002</v>
      </c>
      <c r="M83" s="61">
        <f t="shared" ca="1" si="8"/>
        <v>5.4999998556450009</v>
      </c>
      <c r="N83" s="61">
        <f ca="1">IF(controls!$B$10=1,'delay in perception'!L83+'delay in perception'!K83,'delay in perception'!O83)</f>
        <v>5.4999998556450009</v>
      </c>
      <c r="O83" s="87">
        <f ca="1">'main page'!$K$29*K83+(1-'main page'!$K$29)*controls!$B$9+P83+(('main page'!$K$25*'main page'!$U$13*'main page'!$K$29)/('main page'!$K$27*(1+('main page'!$K$25^2)*'main page'!$U$13)))*(K83-(controls!$B$9/100)*100)</f>
        <v>5.4999998556450009</v>
      </c>
      <c r="P83" s="81">
        <f ca="1">IF(controls!$B$33=1,(J84-E83*U84-C84+B83*T84)/'main page'!$K$27,(I84-E83*U84-C84+B83*T84)/'main page'!$K$27)</f>
        <v>3.5</v>
      </c>
      <c r="R83" s="58">
        <f>IF(controls!$B$6=1,'normal case'!$AS$3*(1+('main page'!$K$35/100))^S83-'normal case'!$AS$3*(1+('main page'!$K$35/100))^S82,'normal case'!$AS$3*(1+('main page'!$G$8/100))*(1+('main page'!$K$35/100))^S83-'normal case'!$AS$3*(1+('main page'!$G$8/100))*(1+('main page'!$K$35/100))^S82)</f>
        <v>0</v>
      </c>
      <c r="S83" s="60">
        <v>75</v>
      </c>
      <c r="T83" s="58">
        <f>'normal case'!AC82</f>
        <v>0</v>
      </c>
      <c r="U83" s="58">
        <f>'normal case'!AD82</f>
        <v>0</v>
      </c>
    </row>
    <row r="84" spans="1:21">
      <c r="A84" s="46">
        <v>81</v>
      </c>
      <c r="B84" s="61">
        <f ca="1">IF(controls!$B$33=1,B83*(1+T84)+R84,B83*(1+T84))</f>
        <v>101</v>
      </c>
      <c r="C84" s="61">
        <f t="shared" ca="1" si="10"/>
        <v>101</v>
      </c>
      <c r="D84" s="77">
        <f t="shared" ca="1" si="9"/>
        <v>-1.4635591660816516E-7</v>
      </c>
      <c r="E84" s="61">
        <f t="shared" ca="1" si="7"/>
        <v>101.000000057742</v>
      </c>
      <c r="F84" s="61">
        <f ca="1">IF(controls!$B$33=1,'delay in perception'!H84,G84)</f>
        <v>101.000000057742</v>
      </c>
      <c r="G84" s="61">
        <f ca="1">I84-'main page'!$K$27*L83</f>
        <v>101.000000057742</v>
      </c>
      <c r="H84" s="61">
        <f ca="1">J84-'main page'!$K$27*L83</f>
        <v>101.000000057742</v>
      </c>
      <c r="I84" s="61">
        <f t="shared" ca="1" si="5"/>
        <v>108</v>
      </c>
      <c r="J84" s="61">
        <f t="shared" ca="1" si="11"/>
        <v>108</v>
      </c>
      <c r="K84" s="61">
        <f ca="1">IF(ABS('main page'!$K$29*K83+(1-'main page'!$K$29)*(controls!$B$9/100)*100+'main page'!$K$25*(E84-B84)-K83)&lt;0.0000001,K83,'main page'!$K$29*K83+(1-'main page'!$K$29)*(controls!$B$9/100)*100+'main page'!$K$25*(E84-B84))</f>
        <v>1.9999998845160007</v>
      </c>
      <c r="L84" s="61">
        <f ca="1">IF(controls!$B$10=1,L83,M84-'main page'!$K$29*K84-(1-'main page'!$K$29)*controls!$B$9)</f>
        <v>3.4999999711290002</v>
      </c>
      <c r="M84" s="61">
        <f t="shared" ca="1" si="8"/>
        <v>5.4999998556450009</v>
      </c>
      <c r="N84" s="61">
        <f ca="1">IF(controls!$B$10=1,'delay in perception'!L84+'delay in perception'!K84,'delay in perception'!O84)</f>
        <v>5.4999998556450009</v>
      </c>
      <c r="O84" s="87">
        <f ca="1">'main page'!$K$29*K84+(1-'main page'!$K$29)*controls!$B$9+P84+(('main page'!$K$25*'main page'!$U$13*'main page'!$K$29)/('main page'!$K$27*(1+('main page'!$K$25^2)*'main page'!$U$13)))*(K84-(controls!$B$9/100)*100)</f>
        <v>5.4999998556450009</v>
      </c>
      <c r="P84" s="81">
        <f ca="1">IF(controls!$B$33=1,(J85-E84*U85-C85+B84*T85)/'main page'!$K$27,(I85-E84*U85-C85+B84*T85)/'main page'!$K$27)</f>
        <v>3.5</v>
      </c>
      <c r="R84" s="58">
        <f>IF(controls!$B$6=1,'normal case'!$AS$3*(1+('main page'!$K$35/100))^S84-'normal case'!$AS$3*(1+('main page'!$K$35/100))^S83,'normal case'!$AS$3*(1+('main page'!$G$8/100))*(1+('main page'!$K$35/100))^S84-'normal case'!$AS$3*(1+('main page'!$G$8/100))*(1+('main page'!$K$35/100))^S83)</f>
        <v>0</v>
      </c>
      <c r="S84" s="60">
        <v>76</v>
      </c>
      <c r="T84" s="58">
        <f ca="1">'normal case'!AC83</f>
        <v>0</v>
      </c>
      <c r="U84" s="58">
        <f ca="1">'normal case'!AD83</f>
        <v>0</v>
      </c>
    </row>
    <row r="85" spans="1:21">
      <c r="A85" s="46">
        <v>82</v>
      </c>
      <c r="B85" s="61">
        <f ca="1">IF(controls!$B$33=1,B84*(1+T85)+R85,B84*(1+T85))</f>
        <v>101</v>
      </c>
      <c r="C85" s="61">
        <f t="shared" ca="1" si="10"/>
        <v>101</v>
      </c>
      <c r="D85" s="77">
        <f t="shared" ca="1" si="9"/>
        <v>-1.4635591660816516E-7</v>
      </c>
      <c r="E85" s="61">
        <f t="shared" ca="1" si="7"/>
        <v>101.000000057742</v>
      </c>
      <c r="F85" s="61">
        <f ca="1">IF(controls!$B$33=1,'delay in perception'!H85,G85)</f>
        <v>101.000000057742</v>
      </c>
      <c r="G85" s="61">
        <f ca="1">I85-'main page'!$K$27*L84</f>
        <v>101.000000057742</v>
      </c>
      <c r="H85" s="61">
        <f ca="1">J85-'main page'!$K$27*L84</f>
        <v>101.000000057742</v>
      </c>
      <c r="I85" s="61">
        <f t="shared" ca="1" si="5"/>
        <v>108</v>
      </c>
      <c r="J85" s="61">
        <f t="shared" ca="1" si="11"/>
        <v>108</v>
      </c>
      <c r="K85" s="61">
        <f ca="1">IF(ABS('main page'!$K$29*K84+(1-'main page'!$K$29)*(controls!$B$9/100)*100+'main page'!$K$25*(E85-B85)-K84)&lt;0.0000001,K84,'main page'!$K$29*K84+(1-'main page'!$K$29)*(controls!$B$9/100)*100+'main page'!$K$25*(E85-B85))</f>
        <v>1.9999998845160007</v>
      </c>
      <c r="L85" s="61">
        <f ca="1">IF(controls!$B$10=1,L84,M85-'main page'!$K$29*K85-(1-'main page'!$K$29)*controls!$B$9)</f>
        <v>3.4999999711290002</v>
      </c>
      <c r="M85" s="61">
        <f t="shared" ca="1" si="8"/>
        <v>5.4999998556450009</v>
      </c>
      <c r="N85" s="61">
        <f ca="1">IF(controls!$B$10=1,'delay in perception'!L85+'delay in perception'!K85,'delay in perception'!O85)</f>
        <v>5.4999998556450009</v>
      </c>
      <c r="O85" s="87">
        <f ca="1">'main page'!$K$29*K85+(1-'main page'!$K$29)*controls!$B$9+P85+(('main page'!$K$25*'main page'!$U$13*'main page'!$K$29)/('main page'!$K$27*(1+('main page'!$K$25^2)*'main page'!$U$13)))*(K85-(controls!$B$9/100)*100)</f>
        <v>5.4999998556450009</v>
      </c>
      <c r="P85" s="81">
        <f ca="1">IF(controls!$B$33=1,(J86-E85*U86-C86+B85*T86)/'main page'!$K$27,(I86-E85*U86-C86+B85*T86)/'main page'!$K$27)</f>
        <v>3.5</v>
      </c>
      <c r="R85" s="58">
        <f>IF(controls!$B$6=1,'normal case'!$AS$3*(1+('main page'!$K$35/100))^S85-'normal case'!$AS$3*(1+('main page'!$K$35/100))^S84,'normal case'!$AS$3*(1+('main page'!$G$8/100))*(1+('main page'!$K$35/100))^S85-'normal case'!$AS$3*(1+('main page'!$G$8/100))*(1+('main page'!$K$35/100))^S84)</f>
        <v>0</v>
      </c>
      <c r="S85" s="60">
        <v>77</v>
      </c>
      <c r="T85" s="58">
        <f>'normal case'!AC84</f>
        <v>0</v>
      </c>
      <c r="U85" s="58">
        <f>'normal case'!AD84</f>
        <v>0</v>
      </c>
    </row>
    <row r="86" spans="1:21">
      <c r="A86" s="46">
        <v>83</v>
      </c>
      <c r="B86" s="61">
        <f ca="1">IF(controls!$B$33=1,B85*(1+T86)+R86,B85*(1+T86))</f>
        <v>101</v>
      </c>
      <c r="C86" s="61">
        <f t="shared" ca="1" si="10"/>
        <v>101</v>
      </c>
      <c r="D86" s="77">
        <f t="shared" ca="1" si="9"/>
        <v>-1.4635591660816516E-7</v>
      </c>
      <c r="E86" s="61">
        <f t="shared" ca="1" si="7"/>
        <v>101.000000057742</v>
      </c>
      <c r="F86" s="61">
        <f ca="1">IF(controls!$B$33=1,'delay in perception'!H86,G86)</f>
        <v>101.000000057742</v>
      </c>
      <c r="G86" s="61">
        <f ca="1">I86-'main page'!$K$27*L85</f>
        <v>101.000000057742</v>
      </c>
      <c r="H86" s="61">
        <f ca="1">J86-'main page'!$K$27*L85</f>
        <v>101.000000057742</v>
      </c>
      <c r="I86" s="61">
        <f t="shared" ca="1" si="5"/>
        <v>108</v>
      </c>
      <c r="J86" s="61">
        <f t="shared" ca="1" si="11"/>
        <v>108</v>
      </c>
      <c r="K86" s="61">
        <f ca="1">IF(ABS('main page'!$K$29*K85+(1-'main page'!$K$29)*(controls!$B$9/100)*100+'main page'!$K$25*(E86-B86)-K85)&lt;0.0000001,K85,'main page'!$K$29*K85+(1-'main page'!$K$29)*(controls!$B$9/100)*100+'main page'!$K$25*(E86-B86))</f>
        <v>1.9999998845160007</v>
      </c>
      <c r="L86" s="61">
        <f ca="1">IF(controls!$B$10=1,L85,M86-'main page'!$K$29*K86-(1-'main page'!$K$29)*controls!$B$9)</f>
        <v>3.4999999711290002</v>
      </c>
      <c r="M86" s="61">
        <f t="shared" ca="1" si="8"/>
        <v>5.4999998556450009</v>
      </c>
      <c r="N86" s="61">
        <f ca="1">IF(controls!$B$10=1,'delay in perception'!L86+'delay in perception'!K86,'delay in perception'!O86)</f>
        <v>5.4999998556450009</v>
      </c>
      <c r="O86" s="87">
        <f ca="1">'main page'!$K$29*K86+(1-'main page'!$K$29)*controls!$B$9+P86+(('main page'!$K$25*'main page'!$U$13*'main page'!$K$29)/('main page'!$K$27*(1+('main page'!$K$25^2)*'main page'!$U$13)))*(K86-(controls!$B$9/100)*100)</f>
        <v>5.4999998556450009</v>
      </c>
      <c r="P86" s="81">
        <f ca="1">IF(controls!$B$33=1,(J87-E86*U87-C87+B86*T87)/'main page'!$K$27,(I87-E86*U87-C87+B86*T87)/'main page'!$K$27)</f>
        <v>3.5</v>
      </c>
      <c r="R86" s="58">
        <f>IF(controls!$B$6=1,'normal case'!$AS$3*(1+('main page'!$K$35/100))^S86-'normal case'!$AS$3*(1+('main page'!$K$35/100))^S85,'normal case'!$AS$3*(1+('main page'!$G$8/100))*(1+('main page'!$K$35/100))^S86-'normal case'!$AS$3*(1+('main page'!$G$8/100))*(1+('main page'!$K$35/100))^S85)</f>
        <v>0</v>
      </c>
      <c r="S86" s="60">
        <v>78</v>
      </c>
      <c r="T86" s="58">
        <f>'normal case'!AC85</f>
        <v>0</v>
      </c>
      <c r="U86" s="58">
        <f>'normal case'!AD85</f>
        <v>0</v>
      </c>
    </row>
    <row r="87" spans="1:21">
      <c r="A87" s="46">
        <v>84</v>
      </c>
      <c r="B87" s="61">
        <f ca="1">IF(controls!$B$33=1,B86*(1+T87)+R87,B86*(1+T87))</f>
        <v>101</v>
      </c>
      <c r="C87" s="61">
        <f t="shared" ca="1" si="10"/>
        <v>101</v>
      </c>
      <c r="D87" s="77">
        <f t="shared" ca="1" si="9"/>
        <v>-1.4635591660816516E-7</v>
      </c>
      <c r="E87" s="61">
        <f t="shared" ca="1" si="7"/>
        <v>101.000000057742</v>
      </c>
      <c r="F87" s="61">
        <f ca="1">IF(controls!$B$33=1,'delay in perception'!H87,G87)</f>
        <v>101.000000057742</v>
      </c>
      <c r="G87" s="61">
        <f ca="1">I87-'main page'!$K$27*L86</f>
        <v>101.000000057742</v>
      </c>
      <c r="H87" s="61">
        <f ca="1">J87-'main page'!$K$27*L86</f>
        <v>101.000000057742</v>
      </c>
      <c r="I87" s="61">
        <f t="shared" ca="1" si="5"/>
        <v>108</v>
      </c>
      <c r="J87" s="61">
        <f t="shared" ca="1" si="11"/>
        <v>108</v>
      </c>
      <c r="K87" s="61">
        <f ca="1">IF(ABS('main page'!$K$29*K86+(1-'main page'!$K$29)*(controls!$B$9/100)*100+'main page'!$K$25*(E87-B87)-K86)&lt;0.0000001,K86,'main page'!$K$29*K86+(1-'main page'!$K$29)*(controls!$B$9/100)*100+'main page'!$K$25*(E87-B87))</f>
        <v>1.9999998845160007</v>
      </c>
      <c r="L87" s="61">
        <f ca="1">IF(controls!$B$10=1,L86,M87-'main page'!$K$29*K87-(1-'main page'!$K$29)*controls!$B$9)</f>
        <v>3.4999999711290002</v>
      </c>
      <c r="M87" s="61">
        <f t="shared" ca="1" si="8"/>
        <v>5.4999998556450009</v>
      </c>
      <c r="N87" s="61">
        <f ca="1">IF(controls!$B$10=1,'delay in perception'!L87+'delay in perception'!K87,'delay in perception'!O87)</f>
        <v>5.4999998556450009</v>
      </c>
      <c r="O87" s="87">
        <f ca="1">'main page'!$K$29*K87+(1-'main page'!$K$29)*controls!$B$9+P87+(('main page'!$K$25*'main page'!$U$13*'main page'!$K$29)/('main page'!$K$27*(1+('main page'!$K$25^2)*'main page'!$U$13)))*(K87-(controls!$B$9/100)*100)</f>
        <v>5.4999998556450009</v>
      </c>
      <c r="P87" s="81">
        <f ca="1">IF(controls!$B$33=1,(J88-E87*U88-C88+B87*T88)/'main page'!$K$27,(I88-E87*U88-C88+B87*T88)/'main page'!$K$27)</f>
        <v>3.5</v>
      </c>
      <c r="R87" s="58">
        <f>IF(controls!$B$6=1,'normal case'!$AS$3*(1+('main page'!$K$35/100))^S87-'normal case'!$AS$3*(1+('main page'!$K$35/100))^S86,'normal case'!$AS$3*(1+('main page'!$G$8/100))*(1+('main page'!$K$35/100))^S87-'normal case'!$AS$3*(1+('main page'!$G$8/100))*(1+('main page'!$K$35/100))^S86)</f>
        <v>0</v>
      </c>
      <c r="S87" s="60">
        <v>79</v>
      </c>
      <c r="T87" s="58">
        <f ca="1">'normal case'!AC86</f>
        <v>0</v>
      </c>
      <c r="U87" s="58">
        <f ca="1">'normal case'!AD86</f>
        <v>0</v>
      </c>
    </row>
    <row r="88" spans="1:21">
      <c r="A88" s="46">
        <v>85</v>
      </c>
      <c r="B88" s="61">
        <f ca="1">IF(controls!$B$33=1,B87*(1+T88)+R88,B87*(1+T88))</f>
        <v>101</v>
      </c>
      <c r="C88" s="61">
        <f t="shared" ca="1" si="10"/>
        <v>101</v>
      </c>
      <c r="D88" s="77">
        <f t="shared" ca="1" si="9"/>
        <v>-1.4635591660816516E-7</v>
      </c>
      <c r="E88" s="61">
        <f t="shared" ca="1" si="7"/>
        <v>101.000000057742</v>
      </c>
      <c r="F88" s="61">
        <f ca="1">IF(controls!$B$33=1,'delay in perception'!H88,G88)</f>
        <v>101.000000057742</v>
      </c>
      <c r="G88" s="61">
        <f ca="1">I88-'main page'!$K$27*L87</f>
        <v>101.000000057742</v>
      </c>
      <c r="H88" s="61">
        <f ca="1">J88-'main page'!$K$27*L87</f>
        <v>101.000000057742</v>
      </c>
      <c r="I88" s="61">
        <f t="shared" ca="1" si="5"/>
        <v>108</v>
      </c>
      <c r="J88" s="61">
        <f t="shared" ca="1" si="11"/>
        <v>108</v>
      </c>
      <c r="K88" s="61">
        <f ca="1">IF(ABS('main page'!$K$29*K87+(1-'main page'!$K$29)*(controls!$B$9/100)*100+'main page'!$K$25*(E88-B88)-K87)&lt;0.0000001,K87,'main page'!$K$29*K87+(1-'main page'!$K$29)*(controls!$B$9/100)*100+'main page'!$K$25*(E88-B88))</f>
        <v>1.9999998845160007</v>
      </c>
      <c r="L88" s="61">
        <f ca="1">IF(controls!$B$10=1,L87,M88-'main page'!$K$29*K88-(1-'main page'!$K$29)*controls!$B$9)</f>
        <v>3.4999999711290002</v>
      </c>
      <c r="M88" s="61">
        <f t="shared" ca="1" si="8"/>
        <v>5.4999998556450009</v>
      </c>
      <c r="N88" s="61">
        <f ca="1">IF(controls!$B$10=1,'delay in perception'!L88+'delay in perception'!K88,'delay in perception'!O88)</f>
        <v>5.4999998556450009</v>
      </c>
      <c r="O88" s="87">
        <f ca="1">'main page'!$K$29*K88+(1-'main page'!$K$29)*controls!$B$9+P88+(('main page'!$K$25*'main page'!$U$13*'main page'!$K$29)/('main page'!$K$27*(1+('main page'!$K$25^2)*'main page'!$U$13)))*(K88-(controls!$B$9/100)*100)</f>
        <v>5.4999998556450009</v>
      </c>
      <c r="P88" s="81">
        <f ca="1">IF(controls!$B$33=1,(J89-E88*U89-C89+B88*T89)/'main page'!$K$27,(I89-E88*U89-C89+B88*T89)/'main page'!$K$27)</f>
        <v>3.5</v>
      </c>
      <c r="R88" s="58">
        <f>IF(controls!$B$6=1,'normal case'!$AS$3*(1+('main page'!$K$35/100))^S88-'normal case'!$AS$3*(1+('main page'!$K$35/100))^S87,'normal case'!$AS$3*(1+('main page'!$G$8/100))*(1+('main page'!$K$35/100))^S88-'normal case'!$AS$3*(1+('main page'!$G$8/100))*(1+('main page'!$K$35/100))^S87)</f>
        <v>0</v>
      </c>
      <c r="S88" s="60">
        <v>80</v>
      </c>
      <c r="T88" s="58">
        <f>'normal case'!AC87</f>
        <v>0</v>
      </c>
      <c r="U88" s="58">
        <f>'normal case'!AD87</f>
        <v>0</v>
      </c>
    </row>
    <row r="89" spans="1:21">
      <c r="A89" s="46">
        <v>86</v>
      </c>
      <c r="B89" s="61">
        <f ca="1">IF(controls!$B$33=1,B88*(1+T89)+R89,B88*(1+T89))</f>
        <v>101</v>
      </c>
      <c r="C89" s="61">
        <f t="shared" ca="1" si="10"/>
        <v>101</v>
      </c>
      <c r="D89" s="77">
        <f t="shared" ca="1" si="9"/>
        <v>-1.4635591660816516E-7</v>
      </c>
      <c r="E89" s="61">
        <f t="shared" ca="1" si="7"/>
        <v>101.000000057742</v>
      </c>
      <c r="F89" s="61">
        <f ca="1">IF(controls!$B$33=1,'delay in perception'!H89,G89)</f>
        <v>101.000000057742</v>
      </c>
      <c r="G89" s="61">
        <f ca="1">I89-'main page'!$K$27*L88</f>
        <v>101.000000057742</v>
      </c>
      <c r="H89" s="61">
        <f ca="1">J89-'main page'!$K$27*L88</f>
        <v>101.000000057742</v>
      </c>
      <c r="I89" s="61">
        <f t="shared" ca="1" si="5"/>
        <v>108</v>
      </c>
      <c r="J89" s="61">
        <f t="shared" ca="1" si="11"/>
        <v>108</v>
      </c>
      <c r="K89" s="61">
        <f ca="1">IF(ABS('main page'!$K$29*K88+(1-'main page'!$K$29)*(controls!$B$9/100)*100+'main page'!$K$25*(E89-B89)-K88)&lt;0.0000001,K88,'main page'!$K$29*K88+(1-'main page'!$K$29)*(controls!$B$9/100)*100+'main page'!$K$25*(E89-B89))</f>
        <v>1.9999998845160007</v>
      </c>
      <c r="L89" s="61">
        <f ca="1">IF(controls!$B$10=1,L88,M89-'main page'!$K$29*K89-(1-'main page'!$K$29)*controls!$B$9)</f>
        <v>3.4999999711290002</v>
      </c>
      <c r="M89" s="61">
        <f t="shared" ca="1" si="8"/>
        <v>5.4999998556450009</v>
      </c>
      <c r="N89" s="61">
        <f ca="1">IF(controls!$B$10=1,'delay in perception'!L89+'delay in perception'!K89,'delay in perception'!O89)</f>
        <v>5.4999998556450009</v>
      </c>
      <c r="O89" s="87">
        <f ca="1">'main page'!$K$29*K89+(1-'main page'!$K$29)*controls!$B$9+P89+(('main page'!$K$25*'main page'!$U$13*'main page'!$K$29)/('main page'!$K$27*(1+('main page'!$K$25^2)*'main page'!$U$13)))*(K89-(controls!$B$9/100)*100)</f>
        <v>5.4999998556450009</v>
      </c>
      <c r="P89" s="81">
        <f ca="1">IF(controls!$B$33=1,(J90-E89*U90-C90+B89*T90)/'main page'!$K$27,(I90-E89*U90-C90+B89*T90)/'main page'!$K$27)</f>
        <v>3.5</v>
      </c>
      <c r="R89" s="58">
        <f>IF(controls!$B$6=1,'normal case'!$AS$3*(1+('main page'!$K$35/100))^S89-'normal case'!$AS$3*(1+('main page'!$K$35/100))^S88,'normal case'!$AS$3*(1+('main page'!$G$8/100))*(1+('main page'!$K$35/100))^S89-'normal case'!$AS$3*(1+('main page'!$G$8/100))*(1+('main page'!$K$35/100))^S88)</f>
        <v>0</v>
      </c>
      <c r="S89" s="60">
        <v>81</v>
      </c>
      <c r="T89" s="58">
        <f>'normal case'!AC88</f>
        <v>0</v>
      </c>
      <c r="U89" s="58">
        <f>'normal case'!AD88</f>
        <v>0</v>
      </c>
    </row>
    <row r="90" spans="1:21">
      <c r="A90" s="46">
        <v>87</v>
      </c>
      <c r="B90" s="61">
        <f ca="1">IF(controls!$B$33=1,B89*(1+T90)+R90,B89*(1+T90))</f>
        <v>101</v>
      </c>
      <c r="C90" s="61">
        <f t="shared" ca="1" si="10"/>
        <v>101</v>
      </c>
      <c r="D90" s="77">
        <f t="shared" ca="1" si="9"/>
        <v>-1.4635591660816516E-7</v>
      </c>
      <c r="E90" s="61">
        <f t="shared" ca="1" si="7"/>
        <v>101.000000057742</v>
      </c>
      <c r="F90" s="61">
        <f ca="1">IF(controls!$B$33=1,'delay in perception'!H90,G90)</f>
        <v>101.000000057742</v>
      </c>
      <c r="G90" s="61">
        <f ca="1">I90-'main page'!$K$27*L89</f>
        <v>101.000000057742</v>
      </c>
      <c r="H90" s="61">
        <f ca="1">J90-'main page'!$K$27*L89</f>
        <v>101.000000057742</v>
      </c>
      <c r="I90" s="61">
        <f t="shared" ref="I90:I102" ca="1" si="12">I89+E89*U90</f>
        <v>108</v>
      </c>
      <c r="J90" s="61">
        <f t="shared" ca="1" si="11"/>
        <v>108</v>
      </c>
      <c r="K90" s="61">
        <f ca="1">IF(ABS('main page'!$K$29*K89+(1-'main page'!$K$29)*(controls!$B$9/100)*100+'main page'!$K$25*(E90-B90)-K89)&lt;0.0000001,K89,'main page'!$K$29*K89+(1-'main page'!$K$29)*(controls!$B$9/100)*100+'main page'!$K$25*(E90-B90))</f>
        <v>1.9999998845160007</v>
      </c>
      <c r="L90" s="61">
        <f ca="1">IF(controls!$B$10=1,L89,M90-'main page'!$K$29*K90-(1-'main page'!$K$29)*controls!$B$9)</f>
        <v>3.4999999711290002</v>
      </c>
      <c r="M90" s="61">
        <f t="shared" ca="1" si="8"/>
        <v>5.4999998556450009</v>
      </c>
      <c r="N90" s="61">
        <f ca="1">IF(controls!$B$10=1,'delay in perception'!L90+'delay in perception'!K90,'delay in perception'!O90)</f>
        <v>5.4999998556450009</v>
      </c>
      <c r="O90" s="87">
        <f ca="1">'main page'!$K$29*K90+(1-'main page'!$K$29)*controls!$B$9+P90+(('main page'!$K$25*'main page'!$U$13*'main page'!$K$29)/('main page'!$K$27*(1+('main page'!$K$25^2)*'main page'!$U$13)))*(K90-(controls!$B$9/100)*100)</f>
        <v>5.4999998556450009</v>
      </c>
      <c r="P90" s="81">
        <f ca="1">IF(controls!$B$33=1,(J91-E90*U91-C91+B90*T91)/'main page'!$K$27,(I91-E90*U91-C91+B90*T91)/'main page'!$K$27)</f>
        <v>3.5</v>
      </c>
      <c r="R90" s="58">
        <f>IF(controls!$B$6=1,'normal case'!$AS$3*(1+('main page'!$K$35/100))^S90-'normal case'!$AS$3*(1+('main page'!$K$35/100))^S89,'normal case'!$AS$3*(1+('main page'!$G$8/100))*(1+('main page'!$K$35/100))^S90-'normal case'!$AS$3*(1+('main page'!$G$8/100))*(1+('main page'!$K$35/100))^S89)</f>
        <v>0</v>
      </c>
      <c r="S90" s="60">
        <v>82</v>
      </c>
      <c r="T90" s="58">
        <f ca="1">'normal case'!AC89</f>
        <v>0</v>
      </c>
      <c r="U90" s="58">
        <f ca="1">'normal case'!AD89</f>
        <v>0</v>
      </c>
    </row>
    <row r="91" spans="1:21">
      <c r="A91" s="46">
        <v>88</v>
      </c>
      <c r="B91" s="61">
        <f ca="1">IF(controls!$B$33=1,B90*(1+T91)+R91,B90*(1+T91))</f>
        <v>101</v>
      </c>
      <c r="C91" s="61">
        <f t="shared" ca="1" si="10"/>
        <v>101</v>
      </c>
      <c r="D91" s="77">
        <f t="shared" ca="1" si="9"/>
        <v>-1.4635591660816516E-7</v>
      </c>
      <c r="E91" s="61">
        <f t="shared" ca="1" si="7"/>
        <v>101.000000057742</v>
      </c>
      <c r="F91" s="61">
        <f ca="1">IF(controls!$B$33=1,'delay in perception'!H91,G91)</f>
        <v>101.000000057742</v>
      </c>
      <c r="G91" s="61">
        <f ca="1">I91-'main page'!$K$27*L90</f>
        <v>101.000000057742</v>
      </c>
      <c r="H91" s="61">
        <f ca="1">J91-'main page'!$K$27*L90</f>
        <v>101.000000057742</v>
      </c>
      <c r="I91" s="61">
        <f t="shared" ca="1" si="12"/>
        <v>108</v>
      </c>
      <c r="J91" s="61">
        <f t="shared" ca="1" si="11"/>
        <v>108</v>
      </c>
      <c r="K91" s="61">
        <f ca="1">IF(ABS('main page'!$K$29*K90+(1-'main page'!$K$29)*(controls!$B$9/100)*100+'main page'!$K$25*(E91-B91)-K90)&lt;0.0000001,K90,'main page'!$K$29*K90+(1-'main page'!$K$29)*(controls!$B$9/100)*100+'main page'!$K$25*(E91-B91))</f>
        <v>1.9999998845160007</v>
      </c>
      <c r="L91" s="61">
        <f ca="1">IF(controls!$B$10=1,L90,M91-'main page'!$K$29*K91-(1-'main page'!$K$29)*controls!$B$9)</f>
        <v>3.4999999711290002</v>
      </c>
      <c r="M91" s="61">
        <f t="shared" ca="1" si="8"/>
        <v>5.4999998556450009</v>
      </c>
      <c r="N91" s="61">
        <f ca="1">IF(controls!$B$10=1,'delay in perception'!L91+'delay in perception'!K91,'delay in perception'!O91)</f>
        <v>5.4999998556450009</v>
      </c>
      <c r="O91" s="87">
        <f ca="1">'main page'!$K$29*K91+(1-'main page'!$K$29)*controls!$B$9+P91+(('main page'!$K$25*'main page'!$U$13*'main page'!$K$29)/('main page'!$K$27*(1+('main page'!$K$25^2)*'main page'!$U$13)))*(K91-(controls!$B$9/100)*100)</f>
        <v>5.4999998556450009</v>
      </c>
      <c r="P91" s="81">
        <f ca="1">IF(controls!$B$33=1,(J92-E91*U92-C92+B91*T92)/'main page'!$K$27,(I92-E91*U92-C92+B91*T92)/'main page'!$K$27)</f>
        <v>3.5</v>
      </c>
      <c r="R91" s="58">
        <f>IF(controls!$B$6=1,'normal case'!$AS$3*(1+('main page'!$K$35/100))^S91-'normal case'!$AS$3*(1+('main page'!$K$35/100))^S90,'normal case'!$AS$3*(1+('main page'!$G$8/100))*(1+('main page'!$K$35/100))^S91-'normal case'!$AS$3*(1+('main page'!$G$8/100))*(1+('main page'!$K$35/100))^S90)</f>
        <v>0</v>
      </c>
      <c r="S91" s="60">
        <v>83</v>
      </c>
      <c r="T91" s="58">
        <f>'normal case'!AC90</f>
        <v>0</v>
      </c>
      <c r="U91" s="58">
        <f>'normal case'!AD90</f>
        <v>0</v>
      </c>
    </row>
    <row r="92" spans="1:21">
      <c r="A92" s="46">
        <v>89</v>
      </c>
      <c r="B92" s="61">
        <f ca="1">IF(controls!$B$33=1,B91*(1+T92)+R92,B91*(1+T92))</f>
        <v>101</v>
      </c>
      <c r="C92" s="61">
        <f t="shared" ca="1" si="10"/>
        <v>101</v>
      </c>
      <c r="D92" s="77">
        <f t="shared" ca="1" si="9"/>
        <v>-1.4635591660816516E-7</v>
      </c>
      <c r="E92" s="61">
        <f t="shared" ca="1" si="7"/>
        <v>101.000000057742</v>
      </c>
      <c r="F92" s="61">
        <f ca="1">IF(controls!$B$33=1,'delay in perception'!H92,G92)</f>
        <v>101.000000057742</v>
      </c>
      <c r="G92" s="61">
        <f ca="1">I92-'main page'!$K$27*L91</f>
        <v>101.000000057742</v>
      </c>
      <c r="H92" s="61">
        <f ca="1">J92-'main page'!$K$27*L91</f>
        <v>101.000000057742</v>
      </c>
      <c r="I92" s="61">
        <f t="shared" ca="1" si="12"/>
        <v>108</v>
      </c>
      <c r="J92" s="61">
        <f t="shared" ca="1" si="11"/>
        <v>108</v>
      </c>
      <c r="K92" s="61">
        <f ca="1">IF(ABS('main page'!$K$29*K91+(1-'main page'!$K$29)*(controls!$B$9/100)*100+'main page'!$K$25*(E92-B92)-K91)&lt;0.0000001,K91,'main page'!$K$29*K91+(1-'main page'!$K$29)*(controls!$B$9/100)*100+'main page'!$K$25*(E92-B92))</f>
        <v>1.9999998845160007</v>
      </c>
      <c r="L92" s="61">
        <f ca="1">IF(controls!$B$10=1,L91,M92-'main page'!$K$29*K92-(1-'main page'!$K$29)*controls!$B$9)</f>
        <v>3.4999999711290002</v>
      </c>
      <c r="M92" s="61">
        <f t="shared" ca="1" si="8"/>
        <v>5.4999998556450009</v>
      </c>
      <c r="N92" s="61">
        <f ca="1">IF(controls!$B$10=1,'delay in perception'!L92+'delay in perception'!K92,'delay in perception'!O92)</f>
        <v>5.4999998556450009</v>
      </c>
      <c r="O92" s="87">
        <f ca="1">'main page'!$K$29*K92+(1-'main page'!$K$29)*controls!$B$9+P92+(('main page'!$K$25*'main page'!$U$13*'main page'!$K$29)/('main page'!$K$27*(1+('main page'!$K$25^2)*'main page'!$U$13)))*(K92-(controls!$B$9/100)*100)</f>
        <v>5.4999998556450009</v>
      </c>
      <c r="P92" s="81">
        <f ca="1">IF(controls!$B$33=1,(J93-E92*U93-C93+B92*T93)/'main page'!$K$27,(I93-E92*U93-C93+B92*T93)/'main page'!$K$27)</f>
        <v>3.5</v>
      </c>
      <c r="R92" s="58">
        <f>IF(controls!$B$6=1,'normal case'!$AS$3*(1+('main page'!$K$35/100))^S92-'normal case'!$AS$3*(1+('main page'!$K$35/100))^S91,'normal case'!$AS$3*(1+('main page'!$G$8/100))*(1+('main page'!$K$35/100))^S92-'normal case'!$AS$3*(1+('main page'!$G$8/100))*(1+('main page'!$K$35/100))^S91)</f>
        <v>0</v>
      </c>
      <c r="S92" s="60">
        <v>84</v>
      </c>
      <c r="T92" s="58">
        <f>'normal case'!AC91</f>
        <v>0</v>
      </c>
      <c r="U92" s="58">
        <f>'normal case'!AD91</f>
        <v>0</v>
      </c>
    </row>
    <row r="93" spans="1:21">
      <c r="A93" s="46">
        <v>90</v>
      </c>
      <c r="B93" s="61">
        <f ca="1">IF(controls!$B$33=1,B92*(1+T93)+R93,B92*(1+T93))</f>
        <v>101</v>
      </c>
      <c r="C93" s="61">
        <f t="shared" ca="1" si="10"/>
        <v>101</v>
      </c>
      <c r="D93" s="77">
        <f t="shared" ca="1" si="9"/>
        <v>-1.4635591660816516E-7</v>
      </c>
      <c r="E93" s="61">
        <f t="shared" ca="1" si="7"/>
        <v>101.000000057742</v>
      </c>
      <c r="F93" s="61">
        <f ca="1">IF(controls!$B$33=1,'delay in perception'!H93,G93)</f>
        <v>101.000000057742</v>
      </c>
      <c r="G93" s="61">
        <f ca="1">I93-'main page'!$K$27*L92</f>
        <v>101.000000057742</v>
      </c>
      <c r="H93" s="61">
        <f ca="1">J93-'main page'!$K$27*L92</f>
        <v>101.000000057742</v>
      </c>
      <c r="I93" s="61">
        <f t="shared" ca="1" si="12"/>
        <v>108</v>
      </c>
      <c r="J93" s="61">
        <f t="shared" ca="1" si="11"/>
        <v>108</v>
      </c>
      <c r="K93" s="61">
        <f ca="1">IF(ABS('main page'!$K$29*K92+(1-'main page'!$K$29)*(controls!$B$9/100)*100+'main page'!$K$25*(E93-B93)-K92)&lt;0.0000001,K92,'main page'!$K$29*K92+(1-'main page'!$K$29)*(controls!$B$9/100)*100+'main page'!$K$25*(E93-B93))</f>
        <v>1.9999998845160007</v>
      </c>
      <c r="L93" s="61">
        <f ca="1">IF(controls!$B$10=1,L92,M93-'main page'!$K$29*K93-(1-'main page'!$K$29)*controls!$B$9)</f>
        <v>3.4999999711290002</v>
      </c>
      <c r="M93" s="61">
        <f t="shared" ca="1" si="8"/>
        <v>5.4999998556450009</v>
      </c>
      <c r="N93" s="61">
        <f ca="1">IF(controls!$B$10=1,'delay in perception'!L93+'delay in perception'!K93,'delay in perception'!O93)</f>
        <v>5.4999998556450009</v>
      </c>
      <c r="O93" s="87">
        <f ca="1">'main page'!$K$29*K93+(1-'main page'!$K$29)*controls!$B$9+P93+(('main page'!$K$25*'main page'!$U$13*'main page'!$K$29)/('main page'!$K$27*(1+('main page'!$K$25^2)*'main page'!$U$13)))*(K93-(controls!$B$9/100)*100)</f>
        <v>5.4999998556450009</v>
      </c>
      <c r="P93" s="81">
        <f ca="1">IF(controls!$B$33=1,(J94-E93*U94-C94+B93*T94)/'main page'!$K$27,(I94-E93*U94-C94+B93*T94)/'main page'!$K$27)</f>
        <v>3.5</v>
      </c>
      <c r="R93" s="58">
        <f>IF(controls!$B$6=1,'normal case'!$AS$3*(1+('main page'!$K$35/100))^S93-'normal case'!$AS$3*(1+('main page'!$K$35/100))^S92,'normal case'!$AS$3*(1+('main page'!$G$8/100))*(1+('main page'!$K$35/100))^S93-'normal case'!$AS$3*(1+('main page'!$G$8/100))*(1+('main page'!$K$35/100))^S92)</f>
        <v>0</v>
      </c>
      <c r="S93" s="60">
        <v>85</v>
      </c>
      <c r="T93" s="58">
        <f ca="1">'normal case'!AC92</f>
        <v>0</v>
      </c>
      <c r="U93" s="58">
        <f ca="1">'normal case'!AD92</f>
        <v>0</v>
      </c>
    </row>
    <row r="94" spans="1:21">
      <c r="A94" s="46">
        <v>91</v>
      </c>
      <c r="B94" s="61">
        <f ca="1">IF(controls!$B$33=1,B93*(1+T94)+R94,B93*(1+T94))</f>
        <v>101</v>
      </c>
      <c r="C94" s="61">
        <f t="shared" ca="1" si="10"/>
        <v>101</v>
      </c>
      <c r="D94" s="77">
        <f t="shared" ca="1" si="9"/>
        <v>-1.4635591660816516E-7</v>
      </c>
      <c r="E94" s="61">
        <f t="shared" ca="1" si="7"/>
        <v>101.000000057742</v>
      </c>
      <c r="F94" s="61">
        <f ca="1">IF(controls!$B$33=1,'delay in perception'!H94,G94)</f>
        <v>101.000000057742</v>
      </c>
      <c r="G94" s="61">
        <f ca="1">I94-'main page'!$K$27*L93</f>
        <v>101.000000057742</v>
      </c>
      <c r="H94" s="61">
        <f ca="1">J94-'main page'!$K$27*L93</f>
        <v>101.000000057742</v>
      </c>
      <c r="I94" s="61">
        <f t="shared" ca="1" si="12"/>
        <v>108</v>
      </c>
      <c r="J94" s="61">
        <f t="shared" ca="1" si="11"/>
        <v>108</v>
      </c>
      <c r="K94" s="61">
        <f ca="1">IF(ABS('main page'!$K$29*K93+(1-'main page'!$K$29)*(controls!$B$9/100)*100+'main page'!$K$25*(E94-B94)-K93)&lt;0.0000001,K93,'main page'!$K$29*K93+(1-'main page'!$K$29)*(controls!$B$9/100)*100+'main page'!$K$25*(E94-B94))</f>
        <v>1.9999998845160007</v>
      </c>
      <c r="L94" s="61">
        <f ca="1">IF(controls!$B$10=1,L93,M94-'main page'!$K$29*K94-(1-'main page'!$K$29)*controls!$B$9)</f>
        <v>3.4999999711290002</v>
      </c>
      <c r="M94" s="61">
        <f t="shared" ca="1" si="8"/>
        <v>5.4999998556450009</v>
      </c>
      <c r="N94" s="61">
        <f ca="1">IF(controls!$B$10=1,'delay in perception'!L94+'delay in perception'!K94,'delay in perception'!O94)</f>
        <v>5.4999998556450009</v>
      </c>
      <c r="O94" s="87">
        <f ca="1">'main page'!$K$29*K94+(1-'main page'!$K$29)*controls!$B$9+P94+(('main page'!$K$25*'main page'!$U$13*'main page'!$K$29)/('main page'!$K$27*(1+('main page'!$K$25^2)*'main page'!$U$13)))*(K94-(controls!$B$9/100)*100)</f>
        <v>5.4999998556450009</v>
      </c>
      <c r="P94" s="81">
        <f ca="1">IF(controls!$B$33=1,(J95-E94*U95-C95+B94*T95)/'main page'!$K$27,(I95-E94*U95-C95+B94*T95)/'main page'!$K$27)</f>
        <v>3.5</v>
      </c>
      <c r="R94" s="58">
        <f>IF(controls!$B$6=1,'normal case'!$AS$3*(1+('main page'!$K$35/100))^S94-'normal case'!$AS$3*(1+('main page'!$K$35/100))^S93,'normal case'!$AS$3*(1+('main page'!$G$8/100))*(1+('main page'!$K$35/100))^S94-'normal case'!$AS$3*(1+('main page'!$G$8/100))*(1+('main page'!$K$35/100))^S93)</f>
        <v>0</v>
      </c>
      <c r="S94" s="60">
        <v>86</v>
      </c>
      <c r="T94" s="58">
        <f>'normal case'!AC93</f>
        <v>0</v>
      </c>
      <c r="U94" s="58">
        <f>'normal case'!AD93</f>
        <v>0</v>
      </c>
    </row>
    <row r="95" spans="1:21">
      <c r="A95" s="46">
        <v>92</v>
      </c>
      <c r="B95" s="61">
        <f ca="1">IF(controls!$B$33=1,B94*(1+T95)+R95,B94*(1+T95))</f>
        <v>101</v>
      </c>
      <c r="C95" s="61">
        <f t="shared" ca="1" si="10"/>
        <v>101</v>
      </c>
      <c r="D95" s="77">
        <f t="shared" ca="1" si="9"/>
        <v>-1.4635591660816516E-7</v>
      </c>
      <c r="E95" s="61">
        <f t="shared" ca="1" si="7"/>
        <v>101.000000057742</v>
      </c>
      <c r="F95" s="61">
        <f ca="1">IF(controls!$B$33=1,'delay in perception'!H95,G95)</f>
        <v>101.000000057742</v>
      </c>
      <c r="G95" s="61">
        <f ca="1">I95-'main page'!$K$27*L94</f>
        <v>101.000000057742</v>
      </c>
      <c r="H95" s="61">
        <f ca="1">J95-'main page'!$K$27*L94</f>
        <v>101.000000057742</v>
      </c>
      <c r="I95" s="61">
        <f t="shared" ca="1" si="12"/>
        <v>108</v>
      </c>
      <c r="J95" s="61">
        <f t="shared" ca="1" si="11"/>
        <v>108</v>
      </c>
      <c r="K95" s="61">
        <f ca="1">IF(ABS('main page'!$K$29*K94+(1-'main page'!$K$29)*(controls!$B$9/100)*100+'main page'!$K$25*(E95-B95)-K94)&lt;0.0000001,K94,'main page'!$K$29*K94+(1-'main page'!$K$29)*(controls!$B$9/100)*100+'main page'!$K$25*(E95-B95))</f>
        <v>1.9999998845160007</v>
      </c>
      <c r="L95" s="61">
        <f ca="1">IF(controls!$B$10=1,L94,M95-'main page'!$K$29*K95-(1-'main page'!$K$29)*controls!$B$9)</f>
        <v>3.4999999711290002</v>
      </c>
      <c r="M95" s="61">
        <f t="shared" ca="1" si="8"/>
        <v>5.4999998556450009</v>
      </c>
      <c r="N95" s="61">
        <f ca="1">IF(controls!$B$10=1,'delay in perception'!L95+'delay in perception'!K95,'delay in perception'!O95)</f>
        <v>5.4999998556450009</v>
      </c>
      <c r="O95" s="87">
        <f ca="1">'main page'!$K$29*K95+(1-'main page'!$K$29)*controls!$B$9+P95+(('main page'!$K$25*'main page'!$U$13*'main page'!$K$29)/('main page'!$K$27*(1+('main page'!$K$25^2)*'main page'!$U$13)))*(K95-(controls!$B$9/100)*100)</f>
        <v>5.4999998556450009</v>
      </c>
      <c r="P95" s="81">
        <f ca="1">IF(controls!$B$33=1,(J96-E95*U96-C96+B95*T96)/'main page'!$K$27,(I96-E95*U96-C96+B95*T96)/'main page'!$K$27)</f>
        <v>3.5</v>
      </c>
      <c r="R95" s="58">
        <f>IF(controls!$B$6=1,'normal case'!$AS$3*(1+('main page'!$K$35/100))^S95-'normal case'!$AS$3*(1+('main page'!$K$35/100))^S94,'normal case'!$AS$3*(1+('main page'!$G$8/100))*(1+('main page'!$K$35/100))^S95-'normal case'!$AS$3*(1+('main page'!$G$8/100))*(1+('main page'!$K$35/100))^S94)</f>
        <v>0</v>
      </c>
      <c r="S95" s="60">
        <v>87</v>
      </c>
      <c r="T95" s="58">
        <f>'normal case'!AC94</f>
        <v>0</v>
      </c>
      <c r="U95" s="58">
        <f>'normal case'!AD94</f>
        <v>0</v>
      </c>
    </row>
    <row r="96" spans="1:21">
      <c r="A96" s="46">
        <v>93</v>
      </c>
      <c r="B96" s="61">
        <f ca="1">IF(controls!$B$33=1,B95*(1+T96)+R96,B95*(1+T96))</f>
        <v>101</v>
      </c>
      <c r="C96" s="61">
        <f t="shared" ca="1" si="10"/>
        <v>101</v>
      </c>
      <c r="D96" s="77">
        <f t="shared" ca="1" si="9"/>
        <v>-1.4635591660816516E-7</v>
      </c>
      <c r="E96" s="61">
        <f t="shared" ca="1" si="7"/>
        <v>101.000000057742</v>
      </c>
      <c r="F96" s="61">
        <f ca="1">IF(controls!$B$33=1,'delay in perception'!H96,G96)</f>
        <v>101.000000057742</v>
      </c>
      <c r="G96" s="61">
        <f ca="1">I96-'main page'!$K$27*L95</f>
        <v>101.000000057742</v>
      </c>
      <c r="H96" s="61">
        <f ca="1">J96-'main page'!$K$27*L95</f>
        <v>101.000000057742</v>
      </c>
      <c r="I96" s="61">
        <f t="shared" ca="1" si="12"/>
        <v>108</v>
      </c>
      <c r="J96" s="61">
        <f t="shared" ca="1" si="11"/>
        <v>108</v>
      </c>
      <c r="K96" s="61">
        <f ca="1">IF(ABS('main page'!$K$29*K95+(1-'main page'!$K$29)*(controls!$B$9/100)*100+'main page'!$K$25*(E96-B96)-K95)&lt;0.0000001,K95,'main page'!$K$29*K95+(1-'main page'!$K$29)*(controls!$B$9/100)*100+'main page'!$K$25*(E96-B96))</f>
        <v>1.9999998845160007</v>
      </c>
      <c r="L96" s="61">
        <f ca="1">IF(controls!$B$10=1,L95,M96-'main page'!$K$29*K96-(1-'main page'!$K$29)*controls!$B$9)</f>
        <v>3.4999999711290002</v>
      </c>
      <c r="M96" s="61">
        <f t="shared" ca="1" si="8"/>
        <v>5.4999998556450009</v>
      </c>
      <c r="N96" s="61">
        <f ca="1">IF(controls!$B$10=1,'delay in perception'!L96+'delay in perception'!K96,'delay in perception'!O96)</f>
        <v>5.4999998556450009</v>
      </c>
      <c r="O96" s="87">
        <f ca="1">'main page'!$K$29*K96+(1-'main page'!$K$29)*controls!$B$9+P96+(('main page'!$K$25*'main page'!$U$13*'main page'!$K$29)/('main page'!$K$27*(1+('main page'!$K$25^2)*'main page'!$U$13)))*(K96-(controls!$B$9/100)*100)</f>
        <v>5.4999998556450009</v>
      </c>
      <c r="P96" s="81">
        <f ca="1">IF(controls!$B$33=1,(J97-E96*U97-C97+B96*T97)/'main page'!$K$27,(I97-E96*U97-C97+B96*T97)/'main page'!$K$27)</f>
        <v>3.5</v>
      </c>
      <c r="R96" s="58">
        <f>IF(controls!$B$6=1,'normal case'!$AS$3*(1+('main page'!$K$35/100))^S96-'normal case'!$AS$3*(1+('main page'!$K$35/100))^S95,'normal case'!$AS$3*(1+('main page'!$G$8/100))*(1+('main page'!$K$35/100))^S96-'normal case'!$AS$3*(1+('main page'!$G$8/100))*(1+('main page'!$K$35/100))^S95)</f>
        <v>0</v>
      </c>
      <c r="S96" s="60">
        <v>88</v>
      </c>
      <c r="T96" s="58">
        <f ca="1">'normal case'!AC95</f>
        <v>0</v>
      </c>
      <c r="U96" s="58">
        <f ca="1">'normal case'!AD95</f>
        <v>0</v>
      </c>
    </row>
    <row r="97" spans="1:21">
      <c r="A97" s="46">
        <v>94</v>
      </c>
      <c r="B97" s="61">
        <f ca="1">IF(controls!$B$33=1,B96*(1+T97)+R97,B96*(1+T97))</f>
        <v>101</v>
      </c>
      <c r="C97" s="61">
        <f t="shared" ca="1" si="10"/>
        <v>101</v>
      </c>
      <c r="D97" s="77">
        <f t="shared" ca="1" si="9"/>
        <v>-1.4635591660816516E-7</v>
      </c>
      <c r="E97" s="61">
        <f t="shared" ca="1" si="7"/>
        <v>101.000000057742</v>
      </c>
      <c r="F97" s="61">
        <f ca="1">IF(controls!$B$33=1,'delay in perception'!H97,G97)</f>
        <v>101.000000057742</v>
      </c>
      <c r="G97" s="61">
        <f ca="1">I97-'main page'!$K$27*L96</f>
        <v>101.000000057742</v>
      </c>
      <c r="H97" s="61">
        <f ca="1">J97-'main page'!$K$27*L96</f>
        <v>101.000000057742</v>
      </c>
      <c r="I97" s="61">
        <f t="shared" ca="1" si="12"/>
        <v>108</v>
      </c>
      <c r="J97" s="61">
        <f t="shared" ca="1" si="11"/>
        <v>108</v>
      </c>
      <c r="K97" s="61">
        <f ca="1">IF(ABS('main page'!$K$29*K96+(1-'main page'!$K$29)*(controls!$B$9/100)*100+'main page'!$K$25*(E97-B97)-K96)&lt;0.0000001,K96,'main page'!$K$29*K96+(1-'main page'!$K$29)*(controls!$B$9/100)*100+'main page'!$K$25*(E97-B97))</f>
        <v>1.9999998845160007</v>
      </c>
      <c r="L97" s="61">
        <f ca="1">IF(controls!$B$10=1,L96,M97-'main page'!$K$29*K97-(1-'main page'!$K$29)*controls!$B$9)</f>
        <v>3.4999999711290002</v>
      </c>
      <c r="M97" s="61">
        <f t="shared" ca="1" si="8"/>
        <v>5.4999998556450009</v>
      </c>
      <c r="N97" s="61">
        <f ca="1">IF(controls!$B$10=1,'delay in perception'!L97+'delay in perception'!K97,'delay in perception'!O97)</f>
        <v>5.4999998556450009</v>
      </c>
      <c r="O97" s="87">
        <f ca="1">'main page'!$K$29*K97+(1-'main page'!$K$29)*controls!$B$9+P97+(('main page'!$K$25*'main page'!$U$13*'main page'!$K$29)/('main page'!$K$27*(1+('main page'!$K$25^2)*'main page'!$U$13)))*(K97-(controls!$B$9/100)*100)</f>
        <v>5.4999998556450009</v>
      </c>
      <c r="P97" s="81">
        <f ca="1">IF(controls!$B$33=1,(J98-E97*U98-C98+B97*T98)/'main page'!$K$27,(I98-E97*U98-C98+B97*T98)/'main page'!$K$27)</f>
        <v>3.5</v>
      </c>
      <c r="R97" s="58">
        <f>IF(controls!$B$6=1,'normal case'!$AS$3*(1+('main page'!$K$35/100))^S97-'normal case'!$AS$3*(1+('main page'!$K$35/100))^S96,'normal case'!$AS$3*(1+('main page'!$G$8/100))*(1+('main page'!$K$35/100))^S97-'normal case'!$AS$3*(1+('main page'!$G$8/100))*(1+('main page'!$K$35/100))^S96)</f>
        <v>0</v>
      </c>
      <c r="S97" s="60">
        <v>89</v>
      </c>
      <c r="T97" s="58">
        <f>'normal case'!AC96</f>
        <v>0</v>
      </c>
      <c r="U97" s="58">
        <f>'normal case'!AD96</f>
        <v>0</v>
      </c>
    </row>
    <row r="98" spans="1:21">
      <c r="A98" s="46">
        <v>95</v>
      </c>
      <c r="B98" s="61">
        <f ca="1">IF(controls!$B$33=1,B97*(1+T98)+R98,B97*(1+T98))</f>
        <v>101</v>
      </c>
      <c r="C98" s="61">
        <f t="shared" ca="1" si="10"/>
        <v>101</v>
      </c>
      <c r="D98" s="77">
        <f t="shared" ca="1" si="9"/>
        <v>-1.4635591660816516E-7</v>
      </c>
      <c r="E98" s="61">
        <f t="shared" ca="1" si="7"/>
        <v>101.000000057742</v>
      </c>
      <c r="F98" s="61">
        <f ca="1">IF(controls!$B$33=1,'delay in perception'!H98,G98)</f>
        <v>101.000000057742</v>
      </c>
      <c r="G98" s="61">
        <f ca="1">I98-'main page'!$K$27*L97</f>
        <v>101.000000057742</v>
      </c>
      <c r="H98" s="61">
        <f ca="1">J98-'main page'!$K$27*L97</f>
        <v>101.000000057742</v>
      </c>
      <c r="I98" s="61">
        <f t="shared" ca="1" si="12"/>
        <v>108</v>
      </c>
      <c r="J98" s="61">
        <f t="shared" ca="1" si="11"/>
        <v>108</v>
      </c>
      <c r="K98" s="61">
        <f ca="1">IF(ABS('main page'!$K$29*K97+(1-'main page'!$K$29)*(controls!$B$9/100)*100+'main page'!$K$25*(E98-B98)-K97)&lt;0.0000001,K97,'main page'!$K$29*K97+(1-'main page'!$K$29)*(controls!$B$9/100)*100+'main page'!$K$25*(E98-B98))</f>
        <v>1.9999998845160007</v>
      </c>
      <c r="L98" s="61">
        <f ca="1">IF(controls!$B$10=1,L97,M98-'main page'!$K$29*K98-(1-'main page'!$K$29)*controls!$B$9)</f>
        <v>3.4999999711290002</v>
      </c>
      <c r="M98" s="61">
        <f t="shared" ca="1" si="8"/>
        <v>5.4999998556450009</v>
      </c>
      <c r="N98" s="61">
        <f ca="1">IF(controls!$B$10=1,'delay in perception'!L98+'delay in perception'!K98,'delay in perception'!O98)</f>
        <v>5.4999998556450009</v>
      </c>
      <c r="O98" s="87">
        <f ca="1">'main page'!$K$29*K98+(1-'main page'!$K$29)*controls!$B$9+P98+(('main page'!$K$25*'main page'!$U$13*'main page'!$K$29)/('main page'!$K$27*(1+('main page'!$K$25^2)*'main page'!$U$13)))*(K98-(controls!$B$9/100)*100)</f>
        <v>5.4999998556450009</v>
      </c>
      <c r="P98" s="81">
        <f ca="1">IF(controls!$B$33=1,(J99-E98*U99-C99+B98*T99)/'main page'!$K$27,(I99-E98*U99-C99+B98*T99)/'main page'!$K$27)</f>
        <v>3.5</v>
      </c>
      <c r="R98" s="58">
        <f>IF(controls!$B$6=1,'normal case'!$AS$3*(1+('main page'!$K$35/100))^S98-'normal case'!$AS$3*(1+('main page'!$K$35/100))^S97,'normal case'!$AS$3*(1+('main page'!$G$8/100))*(1+('main page'!$K$35/100))^S98-'normal case'!$AS$3*(1+('main page'!$G$8/100))*(1+('main page'!$K$35/100))^S97)</f>
        <v>0</v>
      </c>
      <c r="S98" s="60">
        <v>90</v>
      </c>
      <c r="T98" s="58">
        <f>'normal case'!AC97</f>
        <v>0</v>
      </c>
      <c r="U98" s="58">
        <f>'normal case'!AD97</f>
        <v>0</v>
      </c>
    </row>
    <row r="99" spans="1:21">
      <c r="A99" s="46">
        <v>96</v>
      </c>
      <c r="B99" s="61">
        <f ca="1">IF(controls!$B$33=1,B98*(1+T99)+R99,B98*(1+T99))</f>
        <v>101</v>
      </c>
      <c r="C99" s="61">
        <f t="shared" ca="1" si="10"/>
        <v>101</v>
      </c>
      <c r="D99" s="77">
        <f t="shared" ca="1" si="9"/>
        <v>-1.4635591660816516E-7</v>
      </c>
      <c r="E99" s="61">
        <f t="shared" ca="1" si="7"/>
        <v>101.000000057742</v>
      </c>
      <c r="F99" s="61">
        <f ca="1">IF(controls!$B$33=1,'delay in perception'!H99,G99)</f>
        <v>101.000000057742</v>
      </c>
      <c r="G99" s="61">
        <f ca="1">I99-'main page'!$K$27*L98</f>
        <v>101.000000057742</v>
      </c>
      <c r="H99" s="61">
        <f ca="1">J99-'main page'!$K$27*L98</f>
        <v>101.000000057742</v>
      </c>
      <c r="I99" s="61">
        <f t="shared" ca="1" si="12"/>
        <v>108</v>
      </c>
      <c r="J99" s="61">
        <f t="shared" ca="1" si="11"/>
        <v>108</v>
      </c>
      <c r="K99" s="61">
        <f ca="1">IF(ABS('main page'!$K$29*K98+(1-'main page'!$K$29)*(controls!$B$9/100)*100+'main page'!$K$25*(E99-B99)-K98)&lt;0.0000001,K98,'main page'!$K$29*K98+(1-'main page'!$K$29)*(controls!$B$9/100)*100+'main page'!$K$25*(E99-B99))</f>
        <v>1.9999998845160007</v>
      </c>
      <c r="L99" s="61">
        <f ca="1">IF(controls!$B$10=1,L98,M99-'main page'!$K$29*K99-(1-'main page'!$K$29)*controls!$B$9)</f>
        <v>3.4999999711290002</v>
      </c>
      <c r="M99" s="61">
        <f t="shared" ca="1" si="8"/>
        <v>5.4999998556450009</v>
      </c>
      <c r="N99" s="61">
        <f ca="1">IF(controls!$B$10=1,'delay in perception'!L99+'delay in perception'!K99,'delay in perception'!O99)</f>
        <v>5.4999998556450009</v>
      </c>
      <c r="O99" s="87">
        <f ca="1">'main page'!$K$29*K99+(1-'main page'!$K$29)*controls!$B$9+P99+(('main page'!$K$25*'main page'!$U$13*'main page'!$K$29)/('main page'!$K$27*(1+('main page'!$K$25^2)*'main page'!$U$13)))*(K99-(controls!$B$9/100)*100)</f>
        <v>5.4999998556450009</v>
      </c>
      <c r="P99" s="81">
        <f ca="1">IF(controls!$B$33=1,(J100-E99*U100-C100+B99*T100)/'main page'!$K$27,(I100-E99*U100-C100+B99*T100)/'main page'!$K$27)</f>
        <v>3.5</v>
      </c>
      <c r="R99" s="58">
        <f>IF(controls!$B$6=1,'normal case'!$AS$3*(1+('main page'!$K$35/100))^S99-'normal case'!$AS$3*(1+('main page'!$K$35/100))^S98,'normal case'!$AS$3*(1+('main page'!$G$8/100))*(1+('main page'!$K$35/100))^S99-'normal case'!$AS$3*(1+('main page'!$G$8/100))*(1+('main page'!$K$35/100))^S98)</f>
        <v>0</v>
      </c>
      <c r="S99" s="60">
        <v>91</v>
      </c>
      <c r="T99" s="58">
        <f ca="1">'normal case'!AC98</f>
        <v>0</v>
      </c>
      <c r="U99" s="58">
        <f ca="1">'normal case'!AD98</f>
        <v>0</v>
      </c>
    </row>
    <row r="100" spans="1:21">
      <c r="A100" s="46">
        <v>97</v>
      </c>
      <c r="B100" s="61">
        <f ca="1">IF(controls!$B$33=1,B99*(1+T100)+R100,B99*(1+T100))</f>
        <v>101</v>
      </c>
      <c r="C100" s="61">
        <f t="shared" ca="1" si="10"/>
        <v>101</v>
      </c>
      <c r="D100" s="77">
        <f t="shared" ca="1" si="9"/>
        <v>-1.4635591660816516E-7</v>
      </c>
      <c r="E100" s="61">
        <f t="shared" ca="1" si="7"/>
        <v>101.000000057742</v>
      </c>
      <c r="F100" s="61">
        <f ca="1">IF(controls!$B$33=1,'delay in perception'!H100,G100)</f>
        <v>101.000000057742</v>
      </c>
      <c r="G100" s="61">
        <f ca="1">I100-'main page'!$K$27*L99</f>
        <v>101.000000057742</v>
      </c>
      <c r="H100" s="61">
        <f ca="1">J100-'main page'!$K$27*L99</f>
        <v>101.000000057742</v>
      </c>
      <c r="I100" s="61">
        <f t="shared" ca="1" si="12"/>
        <v>108</v>
      </c>
      <c r="J100" s="61">
        <f t="shared" ca="1" si="11"/>
        <v>108</v>
      </c>
      <c r="K100" s="61">
        <f ca="1">IF(ABS('main page'!$K$29*K99+(1-'main page'!$K$29)*(controls!$B$9/100)*100+'main page'!$K$25*(E100-B100)-K99)&lt;0.0000001,K99,'main page'!$K$29*K99+(1-'main page'!$K$29)*(controls!$B$9/100)*100+'main page'!$K$25*(E100-B100))</f>
        <v>1.9999998845160007</v>
      </c>
      <c r="L100" s="61">
        <f ca="1">IF(controls!$B$10=1,L99,M100-'main page'!$K$29*K100-(1-'main page'!$K$29)*controls!$B$9)</f>
        <v>3.4999999711290002</v>
      </c>
      <c r="M100" s="61">
        <f t="shared" ca="1" si="8"/>
        <v>5.4999998556450009</v>
      </c>
      <c r="N100" s="61">
        <f ca="1">IF(controls!$B$10=1,'delay in perception'!L100+'delay in perception'!K100,'delay in perception'!O100)</f>
        <v>5.4999998556450009</v>
      </c>
      <c r="O100" s="87">
        <f ca="1">'main page'!$K$29*K100+(1-'main page'!$K$29)*controls!$B$9+P100+(('main page'!$K$25*'main page'!$U$13*'main page'!$K$29)/('main page'!$K$27*(1+('main page'!$K$25^2)*'main page'!$U$13)))*(K100-(controls!$B$9/100)*100)</f>
        <v>5.4999998556450009</v>
      </c>
      <c r="P100" s="81">
        <f ca="1">IF(controls!$B$33=1,(J101-E100*U101-C101+B100*T101)/'main page'!$K$27,(I101-E100*U101-C101+B100*T101)/'main page'!$K$27)</f>
        <v>3.5</v>
      </c>
      <c r="R100" s="58">
        <f>IF(controls!$B$6=1,'normal case'!$AS$3*(1+('main page'!$K$35/100))^S100-'normal case'!$AS$3*(1+('main page'!$K$35/100))^S99,'normal case'!$AS$3*(1+('main page'!$G$8/100))*(1+('main page'!$K$35/100))^S100-'normal case'!$AS$3*(1+('main page'!$G$8/100))*(1+('main page'!$K$35/100))^S99)</f>
        <v>0</v>
      </c>
      <c r="S100" s="60">
        <v>92</v>
      </c>
      <c r="T100" s="58">
        <f>'normal case'!AC99</f>
        <v>0</v>
      </c>
      <c r="U100" s="58">
        <f>'normal case'!AD99</f>
        <v>0</v>
      </c>
    </row>
    <row r="101" spans="1:21">
      <c r="A101" s="46">
        <v>98</v>
      </c>
      <c r="B101" s="61">
        <f ca="1">IF(controls!$B$33=1,B100*(1+T101)+R101,B100*(1+T101))</f>
        <v>101</v>
      </c>
      <c r="C101" s="61">
        <f t="shared" ca="1" si="10"/>
        <v>101</v>
      </c>
      <c r="D101" s="77">
        <f t="shared" ca="1" si="9"/>
        <v>-1.4635591660816516E-7</v>
      </c>
      <c r="E101" s="61">
        <f t="shared" ca="1" si="7"/>
        <v>101.000000057742</v>
      </c>
      <c r="F101" s="61">
        <f ca="1">IF(controls!$B$33=1,'delay in perception'!H101,G101)</f>
        <v>101.000000057742</v>
      </c>
      <c r="G101" s="61">
        <f ca="1">I101-'main page'!$K$27*L100</f>
        <v>101.000000057742</v>
      </c>
      <c r="H101" s="61">
        <f ca="1">J101-'main page'!$K$27*L100</f>
        <v>101.000000057742</v>
      </c>
      <c r="I101" s="61">
        <f t="shared" ca="1" si="12"/>
        <v>108</v>
      </c>
      <c r="J101" s="61">
        <f t="shared" ca="1" si="11"/>
        <v>108</v>
      </c>
      <c r="K101" s="61">
        <f ca="1">IF(ABS('main page'!$K$29*K100+(1-'main page'!$K$29)*(controls!$B$9/100)*100+'main page'!$K$25*(E101-B101)-K100)&lt;0.0000001,K100,'main page'!$K$29*K100+(1-'main page'!$K$29)*(controls!$B$9/100)*100+'main page'!$K$25*(E101-B101))</f>
        <v>1.9999998845160007</v>
      </c>
      <c r="L101" s="61">
        <f ca="1">IF(controls!$B$10=1,L100,M101-'main page'!$K$29*K101-(1-'main page'!$K$29)*controls!$B$9)</f>
        <v>3.4999999711290002</v>
      </c>
      <c r="M101" s="61">
        <f t="shared" ca="1" si="8"/>
        <v>5.4999998556450009</v>
      </c>
      <c r="N101" s="61">
        <f ca="1">IF(controls!$B$10=1,'delay in perception'!L101+'delay in perception'!K101,'delay in perception'!O101)</f>
        <v>5.4999998556450009</v>
      </c>
      <c r="O101" s="87">
        <f ca="1">'main page'!$K$29*K101+(1-'main page'!$K$29)*controls!$B$9+P101+(('main page'!$K$25*'main page'!$U$13*'main page'!$K$29)/('main page'!$K$27*(1+('main page'!$K$25^2)*'main page'!$U$13)))*(K101-(controls!$B$9/100)*100)</f>
        <v>5.4999998556450009</v>
      </c>
      <c r="P101" s="81">
        <f ca="1">IF(controls!$B$33=1,(J102-E101*U102-C102+B101*T102)/'main page'!$K$27,(I102-E101*U102-C102+B101*T102)/'main page'!$K$27)</f>
        <v>3.5</v>
      </c>
      <c r="R101" s="58">
        <f>IF(controls!$B$6=1,'normal case'!$AS$3*(1+('main page'!$K$35/100))^S101-'normal case'!$AS$3*(1+('main page'!$K$35/100))^S100,'normal case'!$AS$3*(1+('main page'!$G$8/100))*(1+('main page'!$K$35/100))^S101-'normal case'!$AS$3*(1+('main page'!$G$8/100))*(1+('main page'!$K$35/100))^S100)</f>
        <v>0</v>
      </c>
      <c r="S101" s="60">
        <v>93</v>
      </c>
      <c r="T101" s="58">
        <f>'normal case'!AC100</f>
        <v>0</v>
      </c>
      <c r="U101" s="58">
        <f>'normal case'!AD100</f>
        <v>0</v>
      </c>
    </row>
    <row r="102" spans="1:21">
      <c r="A102" s="46">
        <v>99</v>
      </c>
      <c r="B102" s="61">
        <f ca="1">IF(controls!$B$33=1,B101*(1+T102)+R102,B101*(1+T102))</f>
        <v>101</v>
      </c>
      <c r="C102" s="61">
        <f t="shared" ca="1" si="10"/>
        <v>101</v>
      </c>
      <c r="D102" s="77">
        <f t="shared" ca="1" si="9"/>
        <v>-1.4635591660816516E-7</v>
      </c>
      <c r="E102" s="61">
        <f t="shared" ca="1" si="7"/>
        <v>101.000000057742</v>
      </c>
      <c r="F102" s="61">
        <f ca="1">IF(controls!$B$33=1,'delay in perception'!H102,G102)</f>
        <v>101.000000057742</v>
      </c>
      <c r="G102" s="61">
        <f ca="1">I102-'main page'!$K$27*L101</f>
        <v>101.000000057742</v>
      </c>
      <c r="H102" s="61">
        <f ca="1">J102-'main page'!$K$27*L101</f>
        <v>101.000000057742</v>
      </c>
      <c r="I102" s="61">
        <f t="shared" ca="1" si="12"/>
        <v>108</v>
      </c>
      <c r="J102" s="61">
        <f t="shared" ca="1" si="11"/>
        <v>108</v>
      </c>
      <c r="K102" s="61">
        <f ca="1">IF(ABS('main page'!$K$29*K101+(1-'main page'!$K$29)*(controls!$B$9/100)*100+'main page'!$K$25*(E102-B102)-K101)&lt;0.0000001,K101,'main page'!$K$29*K101+(1-'main page'!$K$29)*(controls!$B$9/100)*100+'main page'!$K$25*(E102-B102))</f>
        <v>1.9999998845160007</v>
      </c>
      <c r="L102" s="61">
        <f ca="1">IF(controls!$B$10=1,L101,M102-'main page'!$K$29*K102-(1-'main page'!$K$29)*controls!$B$9)</f>
        <v>-2.8870999813079834E-8</v>
      </c>
      <c r="M102" s="61">
        <f t="shared" ca="1" si="8"/>
        <v>1.9999998556450009</v>
      </c>
      <c r="N102" s="61">
        <f ca="1">IF(controls!$B$10=1,'delay in perception'!L102+'delay in perception'!K102,'delay in perception'!O102)</f>
        <v>1.9999998556450009</v>
      </c>
      <c r="O102" s="87">
        <f ca="1">'main page'!$K$29*K102+(1-'main page'!$K$29)*controls!$B$9+P102+(('main page'!$K$25*'main page'!$U$13*'main page'!$K$29)/('main page'!$K$27*(1+('main page'!$K$25^2)*'main page'!$U$13)))*(K102-(controls!$B$9/100)*100)</f>
        <v>1.9999998556450009</v>
      </c>
      <c r="P102" s="81">
        <f ca="1">IF(controls!$B$33=1,(J103-E102*U103-C103+B102*T103)/'main page'!$K$27,(I103-E102*U103-C103+B102*T103)/'main page'!$K$27)</f>
        <v>0</v>
      </c>
      <c r="R102" s="58">
        <f>IF(controls!$B$6=1,'normal case'!$AS$3*(1+('main page'!$K$35/100))^S102-'normal case'!$AS$3*(1+('main page'!$K$35/100))^S101,'normal case'!$AS$3*(1+('main page'!$G$8/100))*(1+('main page'!$K$35/100))^S102-'normal case'!$AS$3*(1+('main page'!$G$8/100))*(1+('main page'!$K$35/100))^S101)</f>
        <v>0</v>
      </c>
      <c r="S102" s="60">
        <v>94</v>
      </c>
      <c r="T102" s="58">
        <f ca="1">'normal case'!AC101</f>
        <v>0</v>
      </c>
      <c r="U102" s="58">
        <f ca="1">'normal case'!AD101</f>
        <v>0</v>
      </c>
    </row>
  </sheetData>
  <sheetProtection selectLockedCells="1"/>
  <mergeCells count="6">
    <mergeCell ref="B2:C2"/>
    <mergeCell ref="T2:U2"/>
    <mergeCell ref="R2:S3"/>
    <mergeCell ref="M2:O2"/>
    <mergeCell ref="E2:J2"/>
    <mergeCell ref="P2:P3"/>
  </mergeCells>
  <phoneticPr fontId="3" type="noConversion"/>
  <pageMargins left="0.75" right="0.75" top="1" bottom="1" header="0" footer="0"/>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8"/>
  <dimension ref="A1:U65"/>
  <sheetViews>
    <sheetView showGridLines="0" showRowColHeaders="0" zoomScale="95" zoomScaleNormal="95" workbookViewId="0">
      <selection activeCell="G8" sqref="G8"/>
    </sheetView>
  </sheetViews>
  <sheetFormatPr defaultColWidth="10.90625" defaultRowHeight="12.5"/>
  <cols>
    <col min="1" max="1" width="23.81640625" customWidth="1"/>
    <col min="2" max="2" width="4.26953125" customWidth="1"/>
    <col min="3" max="3" width="2.26953125" customWidth="1"/>
    <col min="4" max="4" width="0.1796875" customWidth="1"/>
    <col min="5" max="5" width="5" customWidth="1"/>
    <col min="6" max="6" width="15.7265625" customWidth="1"/>
  </cols>
  <sheetData>
    <row r="1" spans="1:21">
      <c r="A1" s="116"/>
      <c r="B1" s="116"/>
      <c r="C1" s="116"/>
      <c r="D1" s="116"/>
      <c r="E1" s="116"/>
      <c r="F1" s="116"/>
      <c r="G1" s="116"/>
      <c r="H1" s="116"/>
      <c r="I1" s="116"/>
      <c r="J1" s="116"/>
      <c r="K1" s="116"/>
      <c r="L1" s="116"/>
      <c r="M1" s="116"/>
      <c r="N1" s="116"/>
      <c r="O1" s="116"/>
      <c r="P1" s="116"/>
      <c r="Q1" s="116"/>
      <c r="R1" s="116"/>
      <c r="S1" s="116"/>
      <c r="T1" s="116"/>
      <c r="U1" s="116"/>
    </row>
    <row r="2" spans="1:21">
      <c r="A2" s="116"/>
      <c r="B2" s="116"/>
      <c r="C2" s="116"/>
      <c r="D2" s="116"/>
      <c r="E2" s="116"/>
      <c r="F2" s="116"/>
      <c r="G2" s="116"/>
      <c r="H2" s="116"/>
      <c r="I2" s="116"/>
      <c r="J2" s="116"/>
      <c r="K2" s="116"/>
      <c r="L2" s="116"/>
      <c r="M2" s="116"/>
      <c r="N2" s="116"/>
      <c r="O2" s="116"/>
      <c r="P2" s="116"/>
      <c r="Q2" s="116"/>
      <c r="R2" s="116"/>
      <c r="S2" s="116"/>
      <c r="T2" s="116"/>
      <c r="U2" s="116"/>
    </row>
    <row r="3" spans="1:21">
      <c r="A3" s="116"/>
      <c r="B3" s="116"/>
      <c r="C3" s="116"/>
      <c r="D3" s="116"/>
      <c r="E3" s="116"/>
      <c r="F3" s="116"/>
      <c r="G3" s="116"/>
      <c r="H3" s="116"/>
      <c r="I3" s="116"/>
      <c r="J3" s="116"/>
      <c r="K3" s="116"/>
      <c r="L3" s="116"/>
      <c r="M3" s="116"/>
      <c r="N3" s="116"/>
      <c r="O3" s="116"/>
      <c r="P3" s="116"/>
      <c r="Q3" s="116"/>
      <c r="R3" s="116"/>
      <c r="S3" s="116"/>
      <c r="T3" s="116"/>
      <c r="U3" s="116"/>
    </row>
    <row r="4" spans="1:21">
      <c r="A4" s="116"/>
      <c r="B4" s="116"/>
      <c r="C4" s="116"/>
      <c r="D4" s="116"/>
      <c r="E4" s="116"/>
      <c r="F4" s="116"/>
      <c r="G4" s="116"/>
      <c r="H4" s="116"/>
      <c r="I4" s="116"/>
      <c r="J4" s="116"/>
      <c r="K4" s="116"/>
      <c r="L4" s="116"/>
      <c r="M4" s="116"/>
      <c r="N4" s="116"/>
      <c r="O4" s="116"/>
      <c r="P4" s="116"/>
      <c r="Q4" s="116"/>
      <c r="R4" s="116"/>
      <c r="S4" s="116"/>
      <c r="T4" s="116"/>
      <c r="U4" s="116"/>
    </row>
    <row r="5" spans="1:21">
      <c r="A5" s="116"/>
      <c r="B5" s="116"/>
      <c r="C5" s="116"/>
      <c r="D5" s="116"/>
      <c r="E5" s="116"/>
      <c r="F5" s="116"/>
      <c r="G5" s="116"/>
      <c r="H5" s="116"/>
      <c r="I5" s="116"/>
      <c r="J5" s="116"/>
      <c r="K5" s="116"/>
      <c r="L5" s="116"/>
      <c r="M5" s="116"/>
      <c r="N5" s="116"/>
      <c r="O5" s="116"/>
      <c r="P5" s="116"/>
      <c r="Q5" s="116"/>
      <c r="R5" s="116"/>
      <c r="S5" s="116"/>
      <c r="T5" s="116"/>
      <c r="U5" s="116"/>
    </row>
    <row r="6" spans="1:21">
      <c r="A6" s="116"/>
      <c r="B6" s="116"/>
      <c r="C6" s="116"/>
      <c r="D6" s="116"/>
      <c r="E6" s="116"/>
      <c r="F6" s="116"/>
      <c r="G6" s="116"/>
      <c r="H6" s="116"/>
      <c r="I6" s="116"/>
      <c r="J6" s="116"/>
      <c r="K6" s="116"/>
      <c r="L6" s="116"/>
      <c r="M6" s="116"/>
      <c r="N6" s="116"/>
      <c r="O6" s="116"/>
      <c r="P6" s="116"/>
      <c r="Q6" s="116"/>
      <c r="R6" s="116"/>
      <c r="S6" s="116"/>
      <c r="T6" s="116"/>
      <c r="U6" s="116"/>
    </row>
    <row r="7" spans="1:21">
      <c r="A7" s="116"/>
      <c r="B7" s="116"/>
      <c r="C7" s="116"/>
      <c r="D7" s="116"/>
      <c r="E7" s="116"/>
      <c r="F7" s="116"/>
      <c r="G7" s="116"/>
      <c r="H7" s="116"/>
      <c r="I7" s="116"/>
      <c r="J7" s="116"/>
      <c r="K7" s="116"/>
      <c r="L7" s="116"/>
      <c r="M7" s="116"/>
      <c r="N7" s="116"/>
      <c r="O7" s="116"/>
      <c r="P7" s="116"/>
      <c r="Q7" s="116"/>
      <c r="R7" s="116"/>
      <c r="S7" s="116"/>
      <c r="T7" s="116"/>
      <c r="U7" s="116"/>
    </row>
    <row r="8" spans="1:21">
      <c r="A8" s="116"/>
      <c r="B8" s="116"/>
      <c r="C8" s="116"/>
      <c r="D8" s="116"/>
      <c r="E8" s="116"/>
      <c r="F8" s="116"/>
      <c r="G8" s="116"/>
      <c r="H8" s="116"/>
      <c r="I8" s="116"/>
      <c r="J8" s="116"/>
      <c r="K8" s="116"/>
      <c r="L8" s="116"/>
      <c r="M8" s="116"/>
      <c r="N8" s="116"/>
      <c r="O8" s="116"/>
      <c r="P8" s="116"/>
      <c r="Q8" s="116"/>
      <c r="R8" s="116"/>
      <c r="S8" s="116"/>
      <c r="T8" s="116"/>
      <c r="U8" s="116"/>
    </row>
    <row r="9" spans="1:21">
      <c r="A9" s="116"/>
      <c r="B9" s="116"/>
      <c r="C9" s="116"/>
      <c r="D9" s="116"/>
      <c r="E9" s="116"/>
      <c r="F9" s="116"/>
      <c r="G9" s="116"/>
      <c r="H9" s="116"/>
      <c r="I9" s="116"/>
      <c r="J9" s="116"/>
      <c r="K9" s="116"/>
      <c r="L9" s="116"/>
      <c r="M9" s="116"/>
      <c r="N9" s="116"/>
      <c r="O9" s="116"/>
      <c r="P9" s="116"/>
      <c r="Q9" s="116"/>
      <c r="R9" s="116"/>
      <c r="S9" s="116"/>
      <c r="T9" s="116"/>
      <c r="U9" s="116"/>
    </row>
    <row r="10" spans="1:21">
      <c r="A10" s="116"/>
      <c r="B10" s="116"/>
      <c r="C10" s="116"/>
      <c r="D10" s="116"/>
      <c r="E10" s="116"/>
      <c r="F10" s="116"/>
      <c r="G10" s="116"/>
      <c r="H10" s="116"/>
      <c r="I10" s="116"/>
      <c r="J10" s="116"/>
      <c r="K10" s="116"/>
      <c r="L10" s="116"/>
      <c r="M10" s="116"/>
      <c r="N10" s="116"/>
      <c r="O10" s="116"/>
      <c r="P10" s="116"/>
      <c r="Q10" s="116"/>
      <c r="R10" s="116"/>
      <c r="S10" s="116"/>
      <c r="T10" s="116"/>
      <c r="U10" s="116"/>
    </row>
    <row r="11" spans="1:21">
      <c r="A11" s="116"/>
      <c r="B11" s="116"/>
      <c r="C11" s="116"/>
      <c r="D11" s="116"/>
      <c r="E11" s="116"/>
      <c r="F11" s="116"/>
      <c r="G11" s="116"/>
      <c r="H11" s="116"/>
      <c r="I11" s="116"/>
      <c r="J11" s="116"/>
      <c r="K11" s="116"/>
      <c r="L11" s="116"/>
      <c r="M11" s="116"/>
      <c r="N11" s="116"/>
      <c r="O11" s="116"/>
      <c r="P11" s="116"/>
      <c r="Q11" s="116"/>
      <c r="R11" s="116"/>
      <c r="S11" s="116"/>
      <c r="T11" s="116"/>
      <c r="U11" s="116"/>
    </row>
    <row r="12" spans="1:21">
      <c r="A12" s="116"/>
      <c r="B12" s="116"/>
      <c r="C12" s="116"/>
      <c r="D12" s="116"/>
      <c r="E12" s="116"/>
      <c r="F12" s="116"/>
      <c r="G12" s="116"/>
      <c r="H12" s="116"/>
      <c r="I12" s="116"/>
      <c r="J12" s="116"/>
      <c r="K12" s="116"/>
      <c r="L12" s="116"/>
      <c r="M12" s="116"/>
      <c r="N12" s="116"/>
      <c r="O12" s="116"/>
      <c r="P12" s="116"/>
      <c r="Q12" s="116"/>
      <c r="R12" s="116"/>
      <c r="S12" s="116"/>
      <c r="T12" s="116"/>
      <c r="U12" s="116"/>
    </row>
    <row r="13" spans="1:21">
      <c r="A13" s="116"/>
      <c r="B13" s="116"/>
      <c r="C13" s="116"/>
      <c r="D13" s="116"/>
      <c r="E13" s="116"/>
      <c r="F13" s="116"/>
      <c r="G13" s="116"/>
      <c r="H13" s="116"/>
      <c r="I13" s="116"/>
      <c r="J13" s="116"/>
      <c r="K13" s="116"/>
      <c r="L13" s="116"/>
      <c r="M13" s="116"/>
      <c r="N13" s="116"/>
      <c r="O13" s="116"/>
      <c r="P13" s="116"/>
      <c r="Q13" s="116"/>
      <c r="R13" s="116"/>
      <c r="S13" s="116"/>
      <c r="T13" s="116"/>
      <c r="U13" s="116"/>
    </row>
    <row r="14" spans="1:21">
      <c r="A14" s="116"/>
      <c r="B14" s="116"/>
      <c r="C14" s="116"/>
      <c r="D14" s="116"/>
      <c r="E14" s="116"/>
      <c r="F14" s="116"/>
      <c r="G14" s="116"/>
      <c r="H14" s="116"/>
      <c r="I14" s="116"/>
      <c r="J14" s="116"/>
      <c r="K14" s="116"/>
      <c r="L14" s="116"/>
      <c r="M14" s="116"/>
      <c r="N14" s="116"/>
      <c r="O14" s="116"/>
      <c r="P14" s="116"/>
      <c r="Q14" s="116"/>
      <c r="R14" s="116"/>
      <c r="S14" s="116"/>
      <c r="T14" s="116"/>
      <c r="U14" s="116"/>
    </row>
    <row r="15" spans="1:21" ht="13" thickBot="1">
      <c r="A15" s="116"/>
      <c r="B15" s="116"/>
      <c r="C15" s="116"/>
      <c r="D15" s="116"/>
      <c r="E15" s="116"/>
      <c r="F15" s="116"/>
      <c r="G15" s="116"/>
      <c r="H15" s="116"/>
      <c r="I15" s="116"/>
      <c r="J15" s="116"/>
      <c r="K15" s="116"/>
      <c r="L15" s="116"/>
      <c r="M15" s="116"/>
      <c r="N15" s="116"/>
      <c r="O15" s="116"/>
      <c r="P15" s="116"/>
      <c r="Q15" s="116"/>
      <c r="R15" s="116"/>
      <c r="S15" s="116"/>
      <c r="T15" s="116"/>
      <c r="U15" s="116"/>
    </row>
    <row r="16" spans="1:21" ht="14" thickTop="1" thickBot="1">
      <c r="A16" s="627" t="s">
        <v>123</v>
      </c>
      <c r="B16" s="628"/>
      <c r="C16" s="628"/>
      <c r="D16" s="628"/>
      <c r="E16" s="629"/>
      <c r="F16" s="116"/>
      <c r="G16" s="116"/>
      <c r="H16" s="116"/>
      <c r="I16" s="116"/>
      <c r="J16" s="116"/>
      <c r="K16" s="116"/>
      <c r="L16" s="116"/>
      <c r="M16" s="116"/>
      <c r="N16" s="116"/>
      <c r="O16" s="116"/>
      <c r="P16" s="116"/>
      <c r="Q16" s="116"/>
      <c r="R16" s="116"/>
      <c r="S16" s="116"/>
      <c r="T16" s="116"/>
      <c r="U16" s="116"/>
    </row>
    <row r="17" spans="1:21" ht="13" thickTop="1">
      <c r="A17" s="630" t="str">
        <f>'main page'!A2</f>
        <v>Main page-Closed economy</v>
      </c>
      <c r="B17" s="631"/>
      <c r="C17" s="631"/>
      <c r="D17" s="631"/>
      <c r="E17" s="632"/>
      <c r="F17" s="116"/>
      <c r="G17" s="116"/>
      <c r="H17" s="116"/>
      <c r="I17" s="116"/>
      <c r="J17" s="116"/>
      <c r="K17" s="116"/>
      <c r="L17" s="116"/>
      <c r="M17" s="116"/>
      <c r="N17" s="116"/>
      <c r="O17" s="116"/>
      <c r="P17" s="116"/>
      <c r="Q17" s="116"/>
      <c r="R17" s="116"/>
      <c r="S17" s="116"/>
      <c r="T17" s="116"/>
      <c r="U17" s="116"/>
    </row>
    <row r="18" spans="1:21">
      <c r="A18" s="633"/>
      <c r="B18" s="634"/>
      <c r="C18" s="634"/>
      <c r="D18" s="634"/>
      <c r="E18" s="635"/>
      <c r="F18" s="116"/>
      <c r="G18" s="116"/>
      <c r="H18" s="116"/>
      <c r="I18" s="116"/>
      <c r="J18" s="116"/>
      <c r="K18" s="116"/>
      <c r="L18" s="116"/>
      <c r="M18" s="116"/>
      <c r="N18" s="116"/>
      <c r="O18" s="116"/>
      <c r="P18" s="116"/>
      <c r="Q18" s="116"/>
      <c r="R18" s="116"/>
      <c r="S18" s="116"/>
      <c r="T18" s="116"/>
      <c r="U18" s="116"/>
    </row>
    <row r="19" spans="1:21" ht="13">
      <c r="A19" s="636" t="s">
        <v>101</v>
      </c>
      <c r="B19" s="622"/>
      <c r="C19" s="623"/>
      <c r="D19" s="646" t="str">
        <f>IF('main page'!$G$8="","no","yes")</f>
        <v>yes</v>
      </c>
      <c r="E19" s="647"/>
      <c r="F19" s="116"/>
      <c r="G19" s="116"/>
      <c r="H19" s="116"/>
      <c r="I19" s="116"/>
      <c r="J19" s="116"/>
      <c r="K19" s="116"/>
      <c r="L19" s="116"/>
      <c r="M19" s="116"/>
      <c r="N19" s="116"/>
      <c r="O19" s="116"/>
      <c r="P19" s="116"/>
      <c r="Q19" s="116"/>
      <c r="R19" s="116"/>
      <c r="S19" s="116"/>
      <c r="T19" s="116"/>
      <c r="U19" s="116"/>
    </row>
    <row r="20" spans="1:21" ht="13">
      <c r="A20" s="636" t="s">
        <v>100</v>
      </c>
      <c r="B20" s="622"/>
      <c r="C20" s="623"/>
      <c r="D20" s="648" t="str">
        <f>IF('main page'!$K$8="","no","yes")</f>
        <v>no</v>
      </c>
      <c r="E20" s="649"/>
      <c r="F20" s="116"/>
      <c r="G20" s="116"/>
      <c r="H20" s="116"/>
      <c r="I20" s="116"/>
      <c r="J20" s="116"/>
      <c r="K20" s="116"/>
      <c r="L20" s="116"/>
      <c r="M20" s="116"/>
      <c r="N20" s="116"/>
      <c r="O20" s="116"/>
      <c r="P20" s="116"/>
      <c r="Q20" s="116"/>
      <c r="R20" s="116"/>
      <c r="S20" s="116"/>
      <c r="T20" s="116"/>
      <c r="U20" s="116"/>
    </row>
    <row r="21" spans="1:21" ht="13">
      <c r="A21" s="636" t="s">
        <v>184</v>
      </c>
      <c r="B21" s="622"/>
      <c r="C21" s="623"/>
      <c r="D21" s="648" t="str">
        <f>IF(controls!$B$4=2,"no",IF('main page'!$H$16="","no","yes"))</f>
        <v>no</v>
      </c>
      <c r="E21" s="649"/>
      <c r="F21" s="116"/>
      <c r="G21" s="116"/>
      <c r="H21" s="116"/>
      <c r="I21" s="116"/>
      <c r="J21" s="116"/>
      <c r="K21" s="116"/>
      <c r="L21" s="116"/>
      <c r="M21" s="116"/>
      <c r="N21" s="116"/>
      <c r="O21" s="116"/>
      <c r="P21" s="116"/>
      <c r="Q21" s="116"/>
      <c r="R21" s="116"/>
      <c r="S21" s="116"/>
      <c r="T21" s="116"/>
      <c r="U21" s="116"/>
    </row>
    <row r="22" spans="1:21" ht="13">
      <c r="A22" s="636" t="s">
        <v>102</v>
      </c>
      <c r="B22" s="622"/>
      <c r="C22" s="623"/>
      <c r="D22" s="650" t="str">
        <f>IF(controls!$B$8=FALSE,"no",IF(controls!$B$8=TRUE,"yes",""))</f>
        <v>no</v>
      </c>
      <c r="E22" s="651"/>
      <c r="F22" s="116"/>
      <c r="G22" s="116"/>
      <c r="H22" s="116"/>
      <c r="I22" s="116"/>
      <c r="J22" s="116"/>
      <c r="K22" s="116"/>
      <c r="L22" s="116"/>
      <c r="M22" s="116"/>
      <c r="N22" s="116"/>
      <c r="O22" s="116"/>
      <c r="P22" s="116"/>
      <c r="Q22" s="116"/>
      <c r="R22" s="116"/>
      <c r="S22" s="116"/>
      <c r="T22" s="116"/>
      <c r="U22" s="116"/>
    </row>
    <row r="23" spans="1:21" ht="13">
      <c r="A23" s="652" t="str">
        <f>IF('main page'!S43=1,"","Stabilization fiscal measure")</f>
        <v>Stabilization fiscal measure</v>
      </c>
      <c r="B23" s="622"/>
      <c r="C23" s="623"/>
      <c r="D23" s="650" t="str">
        <f>IF('main page'!S43=1,"",IF('main page'!$U$22="","no","yes"))</f>
        <v>no</v>
      </c>
      <c r="E23" s="651"/>
      <c r="F23" s="116"/>
      <c r="G23" s="116"/>
      <c r="H23" s="116"/>
      <c r="I23" s="116"/>
      <c r="J23" s="116"/>
      <c r="K23" s="116"/>
      <c r="L23" s="116"/>
      <c r="M23" s="116"/>
      <c r="N23" s="116"/>
      <c r="O23" s="116"/>
      <c r="P23" s="116"/>
      <c r="Q23" s="116"/>
      <c r="R23" s="116"/>
      <c r="S23" s="116"/>
      <c r="T23" s="116"/>
      <c r="U23" s="116"/>
    </row>
    <row r="24" spans="1:21" ht="13">
      <c r="A24" s="653" t="s">
        <v>105</v>
      </c>
      <c r="B24" s="654"/>
      <c r="C24" s="655"/>
      <c r="D24" s="644">
        <f>'main page'!U31/100</f>
        <v>0.2</v>
      </c>
      <c r="E24" s="645"/>
      <c r="F24" s="116"/>
      <c r="G24" s="116"/>
      <c r="H24" s="116"/>
      <c r="I24" s="116"/>
      <c r="J24" s="116"/>
      <c r="K24" s="116"/>
      <c r="L24" s="116"/>
      <c r="M24" s="116"/>
      <c r="N24" s="116"/>
      <c r="O24" s="116"/>
      <c r="P24" s="116"/>
      <c r="Q24" s="116"/>
      <c r="R24" s="116"/>
      <c r="S24" s="116"/>
      <c r="T24" s="116"/>
      <c r="U24" s="116"/>
    </row>
    <row r="25" spans="1:21" ht="13">
      <c r="A25" s="653" t="s">
        <v>10</v>
      </c>
      <c r="B25" s="654"/>
      <c r="C25" s="655"/>
      <c r="D25" s="644">
        <f>'main page'!U32/100</f>
        <v>0.2</v>
      </c>
      <c r="E25" s="645"/>
      <c r="F25" s="116"/>
      <c r="G25" s="116"/>
      <c r="H25" s="116"/>
      <c r="I25" s="116"/>
      <c r="J25" s="116"/>
      <c r="K25" s="116"/>
      <c r="L25" s="116"/>
      <c r="M25" s="116"/>
      <c r="N25" s="116"/>
      <c r="O25" s="116"/>
      <c r="P25" s="116"/>
      <c r="Q25" s="116"/>
      <c r="R25" s="116"/>
      <c r="S25" s="116"/>
      <c r="T25" s="116"/>
      <c r="U25" s="116"/>
    </row>
    <row r="26" spans="1:21" ht="13">
      <c r="A26" s="653" t="s">
        <v>11</v>
      </c>
      <c r="B26" s="654"/>
      <c r="C26" s="655"/>
      <c r="D26" s="642">
        <f>'main page'!U33/100</f>
        <v>0</v>
      </c>
      <c r="E26" s="643"/>
      <c r="F26" s="116"/>
      <c r="G26" s="116"/>
      <c r="H26" s="116"/>
      <c r="I26" s="116"/>
      <c r="J26" s="116"/>
      <c r="K26" s="116"/>
      <c r="L26" s="116"/>
      <c r="M26" s="116"/>
      <c r="N26" s="116"/>
      <c r="O26" s="116"/>
      <c r="P26" s="116"/>
      <c r="Q26" s="116"/>
      <c r="R26" s="116"/>
      <c r="S26" s="116"/>
      <c r="T26" s="116"/>
      <c r="U26" s="116"/>
    </row>
    <row r="27" spans="1:21">
      <c r="A27" s="116"/>
      <c r="B27" s="116"/>
      <c r="C27" s="116"/>
      <c r="D27" s="116"/>
      <c r="E27" s="116"/>
      <c r="F27" s="116"/>
      <c r="G27" s="116"/>
      <c r="H27" s="116"/>
      <c r="I27" s="116"/>
      <c r="J27" s="116"/>
      <c r="K27" s="116"/>
      <c r="L27" s="116"/>
      <c r="M27" s="116"/>
      <c r="N27" s="116"/>
      <c r="O27" s="116"/>
      <c r="P27" s="116"/>
      <c r="Q27" s="116"/>
      <c r="R27" s="116"/>
      <c r="S27" s="116"/>
      <c r="T27" s="116"/>
      <c r="U27" s="116"/>
    </row>
    <row r="28" spans="1:21">
      <c r="A28" s="116"/>
      <c r="B28" s="116"/>
      <c r="C28" s="116"/>
      <c r="D28" s="116"/>
      <c r="E28" s="116"/>
      <c r="F28" s="116"/>
      <c r="G28" s="116"/>
      <c r="H28" s="116"/>
      <c r="I28" s="116"/>
      <c r="J28" s="116"/>
      <c r="K28" s="116"/>
      <c r="L28" s="116"/>
      <c r="M28" s="116"/>
      <c r="N28" s="116"/>
      <c r="O28" s="116"/>
      <c r="P28" s="116"/>
      <c r="Q28" s="116"/>
      <c r="R28" s="116"/>
      <c r="S28" s="116"/>
      <c r="T28" s="116"/>
      <c r="U28" s="116"/>
    </row>
    <row r="29" spans="1:21">
      <c r="A29" s="116"/>
      <c r="B29" s="116"/>
      <c r="C29" s="116"/>
      <c r="D29" s="116"/>
      <c r="E29" s="116"/>
      <c r="F29" s="116"/>
      <c r="G29" s="116"/>
      <c r="H29" s="116"/>
      <c r="I29" s="116"/>
      <c r="J29" s="116"/>
      <c r="K29" s="116"/>
      <c r="L29" s="116"/>
      <c r="M29" s="116"/>
      <c r="N29" s="116"/>
      <c r="O29" s="116"/>
      <c r="P29" s="116"/>
      <c r="Q29" s="116"/>
      <c r="R29" s="116"/>
      <c r="S29" s="116"/>
      <c r="T29" s="116"/>
      <c r="U29" s="116"/>
    </row>
    <row r="30" spans="1:21">
      <c r="A30" s="116"/>
      <c r="B30" s="116"/>
      <c r="C30" s="116"/>
      <c r="D30" s="116"/>
      <c r="E30" s="116"/>
      <c r="F30" s="116"/>
      <c r="G30" s="116"/>
      <c r="H30" s="116"/>
      <c r="I30" s="116"/>
      <c r="J30" s="116"/>
      <c r="K30" s="116"/>
      <c r="L30" s="116"/>
      <c r="M30" s="116"/>
      <c r="N30" s="116"/>
      <c r="O30" s="116"/>
      <c r="P30" s="116"/>
      <c r="Q30" s="116"/>
      <c r="R30" s="116"/>
      <c r="S30" s="116"/>
      <c r="T30" s="116"/>
      <c r="U30" s="116"/>
    </row>
    <row r="31" spans="1:21">
      <c r="A31" s="116"/>
      <c r="B31" s="116"/>
      <c r="C31" s="116"/>
      <c r="D31" s="116"/>
      <c r="E31" s="116"/>
      <c r="F31" s="116"/>
      <c r="G31" s="116"/>
      <c r="H31" s="116"/>
      <c r="I31" s="116"/>
      <c r="J31" s="116"/>
      <c r="K31" s="116"/>
      <c r="L31" s="116"/>
      <c r="M31" s="116"/>
      <c r="N31" s="116"/>
      <c r="O31" s="116"/>
      <c r="P31" s="116"/>
      <c r="Q31" s="116"/>
      <c r="R31" s="116"/>
      <c r="S31" s="116"/>
      <c r="T31" s="116"/>
      <c r="U31" s="116"/>
    </row>
    <row r="32" spans="1:21">
      <c r="A32" s="116"/>
      <c r="B32" s="116"/>
      <c r="C32" s="116"/>
      <c r="D32" s="116"/>
      <c r="E32" s="116"/>
      <c r="F32" s="116"/>
      <c r="G32" s="116"/>
      <c r="H32" s="116"/>
      <c r="I32" s="116"/>
      <c r="J32" s="116"/>
      <c r="K32" s="116"/>
      <c r="L32" s="116"/>
      <c r="M32" s="116"/>
      <c r="N32" s="116"/>
      <c r="O32" s="116"/>
      <c r="P32" s="116"/>
      <c r="Q32" s="116"/>
      <c r="R32" s="116"/>
      <c r="S32" s="116"/>
      <c r="T32" s="116"/>
      <c r="U32" s="116"/>
    </row>
    <row r="33" spans="1:21">
      <c r="A33" s="116"/>
      <c r="B33" s="116"/>
      <c r="C33" s="116"/>
      <c r="D33" s="116"/>
      <c r="E33" s="116"/>
      <c r="F33" s="116"/>
      <c r="G33" s="116"/>
      <c r="H33" s="116"/>
      <c r="I33" s="116"/>
      <c r="J33" s="116"/>
      <c r="K33" s="116"/>
      <c r="L33" s="116"/>
      <c r="M33" s="116"/>
      <c r="N33" s="116"/>
      <c r="O33" s="116"/>
      <c r="P33" s="116"/>
      <c r="Q33" s="116"/>
      <c r="R33" s="116"/>
      <c r="S33" s="116"/>
      <c r="T33" s="116"/>
      <c r="U33" s="116"/>
    </row>
    <row r="34" spans="1:21">
      <c r="A34" s="116"/>
      <c r="B34" s="116"/>
      <c r="C34" s="116"/>
      <c r="D34" s="116"/>
      <c r="E34" s="116"/>
      <c r="F34" s="116"/>
      <c r="G34" s="116"/>
      <c r="H34" s="116"/>
      <c r="I34" s="116"/>
      <c r="J34" s="116"/>
      <c r="K34" s="116"/>
      <c r="L34" s="116"/>
      <c r="M34" s="116"/>
      <c r="N34" s="116"/>
      <c r="O34" s="116"/>
      <c r="P34" s="116"/>
      <c r="Q34" s="116"/>
      <c r="R34" s="116"/>
      <c r="S34" s="116"/>
      <c r="T34" s="116"/>
      <c r="U34" s="116"/>
    </row>
    <row r="35" spans="1:21">
      <c r="A35" s="116"/>
      <c r="B35" s="116"/>
      <c r="C35" s="116"/>
      <c r="D35" s="116"/>
      <c r="E35" s="116"/>
      <c r="F35" s="116"/>
      <c r="G35" s="116"/>
      <c r="H35" s="116"/>
      <c r="I35" s="116"/>
      <c r="J35" s="116"/>
      <c r="K35" s="116"/>
      <c r="L35" s="116"/>
      <c r="M35" s="116"/>
      <c r="N35" s="116"/>
      <c r="O35" s="116"/>
      <c r="P35" s="116"/>
      <c r="Q35" s="116"/>
      <c r="R35" s="116"/>
      <c r="S35" s="116"/>
      <c r="T35" s="116"/>
      <c r="U35" s="116"/>
    </row>
    <row r="36" spans="1:21">
      <c r="A36" s="116"/>
      <c r="B36" s="116"/>
      <c r="C36" s="116"/>
      <c r="D36" s="116"/>
      <c r="E36" s="116"/>
      <c r="F36" s="116"/>
      <c r="G36" s="116"/>
      <c r="H36" s="116"/>
      <c r="I36" s="116"/>
      <c r="J36" s="116"/>
      <c r="K36" s="116"/>
      <c r="L36" s="116"/>
      <c r="M36" s="116"/>
      <c r="N36" s="116"/>
      <c r="O36" s="116"/>
      <c r="P36" s="116"/>
      <c r="Q36" s="116"/>
      <c r="R36" s="116"/>
      <c r="S36" s="116"/>
      <c r="T36" s="116"/>
      <c r="U36" s="116"/>
    </row>
    <row r="37" spans="1:21">
      <c r="A37" s="116"/>
      <c r="B37" s="116"/>
      <c r="C37" s="116"/>
      <c r="D37" s="116"/>
      <c r="E37" s="116"/>
      <c r="F37" s="116"/>
      <c r="G37" s="116"/>
      <c r="H37" s="116"/>
      <c r="I37" s="116"/>
      <c r="J37" s="116"/>
      <c r="K37" s="116"/>
      <c r="L37" s="116"/>
      <c r="M37" s="116">
        <f>'main page'!S42</f>
        <v>0</v>
      </c>
      <c r="N37" s="116"/>
      <c r="O37" s="116"/>
      <c r="P37" s="116"/>
      <c r="Q37" s="116"/>
      <c r="R37" s="116"/>
      <c r="S37" s="116"/>
      <c r="T37" s="116"/>
      <c r="U37" s="116"/>
    </row>
    <row r="38" spans="1:21">
      <c r="A38" s="116"/>
      <c r="B38" s="116"/>
      <c r="C38" s="116"/>
      <c r="D38" s="116"/>
      <c r="E38" s="116"/>
      <c r="F38" s="116"/>
      <c r="G38" s="116"/>
      <c r="H38" s="116"/>
      <c r="I38" s="116"/>
      <c r="J38" s="116"/>
      <c r="K38" s="116"/>
      <c r="L38" s="116"/>
      <c r="M38" s="116"/>
      <c r="N38" s="116"/>
      <c r="O38" s="116"/>
      <c r="P38" s="116"/>
      <c r="Q38" s="116"/>
      <c r="R38" s="116"/>
      <c r="S38" s="116"/>
      <c r="T38" s="116"/>
      <c r="U38" s="116"/>
    </row>
    <row r="39" spans="1:21">
      <c r="A39" s="116"/>
      <c r="B39" s="116"/>
      <c r="C39" s="116"/>
      <c r="D39" s="116"/>
      <c r="E39" s="116"/>
      <c r="F39" s="116"/>
      <c r="G39" s="116"/>
      <c r="H39" s="116"/>
      <c r="I39" s="116"/>
      <c r="J39" s="116"/>
      <c r="K39" s="116"/>
      <c r="L39" s="116"/>
      <c r="M39" s="116"/>
      <c r="N39" s="116"/>
      <c r="O39" s="116"/>
      <c r="P39" s="116"/>
      <c r="Q39" s="116"/>
      <c r="R39" s="116"/>
      <c r="S39" s="116"/>
      <c r="T39" s="116"/>
      <c r="U39" s="116"/>
    </row>
    <row r="40" spans="1:21">
      <c r="A40" s="116"/>
      <c r="B40" s="116"/>
      <c r="C40" s="116"/>
      <c r="D40" s="116"/>
      <c r="E40" s="116"/>
      <c r="F40" s="116"/>
      <c r="G40" s="116"/>
      <c r="H40" s="116"/>
      <c r="I40" s="116"/>
      <c r="J40" s="116"/>
      <c r="K40" s="116"/>
      <c r="L40" s="116"/>
      <c r="M40" s="116"/>
      <c r="N40" s="116"/>
      <c r="O40" s="116"/>
      <c r="P40" s="116"/>
      <c r="Q40" s="116"/>
      <c r="R40" s="116"/>
      <c r="S40" s="116"/>
      <c r="T40" s="116"/>
      <c r="U40" s="116"/>
    </row>
    <row r="41" spans="1:21">
      <c r="A41" s="116"/>
      <c r="B41" s="116"/>
      <c r="C41" s="116"/>
      <c r="D41" s="116"/>
      <c r="E41" s="116"/>
      <c r="F41" s="116"/>
      <c r="G41" s="116"/>
      <c r="H41" s="116"/>
      <c r="I41" s="116"/>
      <c r="J41" s="116"/>
      <c r="K41" s="116"/>
      <c r="L41" s="116"/>
      <c r="M41" s="116"/>
      <c r="N41" s="116"/>
      <c r="O41" s="116"/>
      <c r="P41" s="116"/>
      <c r="Q41" s="116"/>
      <c r="R41" s="116"/>
      <c r="S41" s="116"/>
      <c r="T41" s="116"/>
      <c r="U41" s="116"/>
    </row>
    <row r="42" spans="1:21">
      <c r="A42" s="116"/>
      <c r="B42" s="116"/>
      <c r="C42" s="116"/>
      <c r="D42" s="116"/>
      <c r="E42" s="116"/>
      <c r="F42" s="116"/>
      <c r="G42" s="116"/>
      <c r="H42" s="116"/>
      <c r="I42" s="116"/>
      <c r="J42" s="116"/>
      <c r="K42" s="116"/>
      <c r="L42" s="116"/>
      <c r="M42" s="116"/>
      <c r="N42" s="116"/>
      <c r="O42" s="116"/>
      <c r="P42" s="116"/>
      <c r="Q42" s="116"/>
      <c r="R42" s="116"/>
      <c r="S42" s="116"/>
      <c r="T42" s="116"/>
      <c r="U42" s="116"/>
    </row>
    <row r="43" spans="1:21">
      <c r="A43" s="116"/>
      <c r="B43" s="116"/>
      <c r="C43" s="116"/>
      <c r="D43" s="116"/>
      <c r="E43" s="116"/>
      <c r="F43" s="116"/>
      <c r="G43" s="116"/>
      <c r="H43" s="116"/>
      <c r="I43" s="116"/>
      <c r="J43" s="116"/>
      <c r="K43" s="116"/>
      <c r="L43" s="116"/>
      <c r="M43" s="116"/>
      <c r="N43" s="116"/>
      <c r="O43" s="116"/>
      <c r="P43" s="116"/>
      <c r="Q43" s="116"/>
      <c r="R43" s="116"/>
      <c r="S43" s="116"/>
      <c r="T43" s="116"/>
      <c r="U43" s="116"/>
    </row>
    <row r="44" spans="1:21">
      <c r="A44" s="116"/>
      <c r="B44" s="116"/>
      <c r="C44" s="116"/>
      <c r="D44" s="116"/>
      <c r="E44" s="116"/>
      <c r="F44" s="116"/>
      <c r="G44" s="116"/>
      <c r="H44" s="116"/>
      <c r="I44" s="116"/>
      <c r="J44" s="116"/>
      <c r="K44" s="116"/>
      <c r="L44" s="116"/>
      <c r="M44" s="116"/>
      <c r="N44" s="116"/>
      <c r="O44" s="116"/>
      <c r="P44" s="116"/>
      <c r="Q44" s="116"/>
      <c r="R44" s="116"/>
      <c r="S44" s="116"/>
      <c r="T44" s="116"/>
      <c r="U44" s="116"/>
    </row>
    <row r="45" spans="1:21">
      <c r="A45" s="116"/>
      <c r="B45" s="116"/>
      <c r="C45" s="116"/>
      <c r="D45" s="116"/>
      <c r="E45" s="116"/>
      <c r="F45" s="116"/>
      <c r="G45" s="116"/>
      <c r="H45" s="116"/>
      <c r="I45" s="116"/>
      <c r="J45" s="116"/>
      <c r="K45" s="116"/>
      <c r="L45" s="116"/>
      <c r="M45" s="116"/>
      <c r="N45" s="116"/>
      <c r="O45" s="116"/>
      <c r="P45" s="116"/>
      <c r="Q45" s="116"/>
      <c r="R45" s="116"/>
      <c r="S45" s="116"/>
      <c r="T45" s="116"/>
      <c r="U45" s="116"/>
    </row>
    <row r="46" spans="1:21">
      <c r="A46" s="116"/>
      <c r="B46" s="116"/>
      <c r="C46" s="116"/>
      <c r="D46" s="116"/>
      <c r="E46" s="116"/>
      <c r="F46" s="116"/>
      <c r="G46" s="116"/>
      <c r="H46" s="116"/>
      <c r="I46" s="116"/>
      <c r="J46" s="116"/>
      <c r="K46" s="116"/>
      <c r="L46" s="116"/>
      <c r="M46" s="116"/>
      <c r="N46" s="116"/>
      <c r="O46" s="116"/>
      <c r="P46" s="116"/>
      <c r="Q46" s="116"/>
      <c r="R46" s="116"/>
      <c r="S46" s="116"/>
      <c r="T46" s="116"/>
      <c r="U46" s="116"/>
    </row>
    <row r="47" spans="1:21">
      <c r="A47" s="116"/>
      <c r="B47" s="116"/>
      <c r="C47" s="116"/>
      <c r="D47" s="116"/>
      <c r="E47" s="116"/>
      <c r="F47" s="116"/>
      <c r="G47" s="116"/>
      <c r="H47" s="116"/>
      <c r="I47" s="116"/>
      <c r="J47" s="116"/>
      <c r="K47" s="116"/>
      <c r="L47" s="116"/>
      <c r="M47" s="116"/>
      <c r="N47" s="116"/>
      <c r="O47" s="116"/>
      <c r="P47" s="116"/>
      <c r="Q47" s="116"/>
      <c r="R47" s="116"/>
      <c r="S47" s="116"/>
      <c r="T47" s="116"/>
      <c r="U47" s="116"/>
    </row>
    <row r="48" spans="1:21">
      <c r="A48" s="116"/>
      <c r="B48" s="116"/>
      <c r="C48" s="116"/>
      <c r="D48" s="116"/>
      <c r="E48" s="116"/>
      <c r="F48" s="116"/>
      <c r="G48" s="116"/>
      <c r="H48" s="116"/>
      <c r="I48" s="116"/>
      <c r="J48" s="116"/>
      <c r="K48" s="116"/>
      <c r="L48" s="116"/>
      <c r="M48" s="116"/>
      <c r="N48" s="116"/>
      <c r="O48" s="116"/>
      <c r="P48" s="116"/>
      <c r="Q48" s="116"/>
      <c r="R48" s="116"/>
      <c r="S48" s="116"/>
      <c r="T48" s="116"/>
      <c r="U48" s="116"/>
    </row>
    <row r="49" spans="1:21">
      <c r="A49" s="116"/>
      <c r="B49" s="116"/>
      <c r="C49" s="116"/>
      <c r="D49" s="116"/>
      <c r="E49" s="116"/>
      <c r="F49" s="116"/>
      <c r="G49" s="116"/>
      <c r="H49" s="116"/>
      <c r="I49" s="116"/>
      <c r="J49" s="116"/>
      <c r="K49" s="116"/>
      <c r="L49" s="116"/>
      <c r="M49" s="116"/>
      <c r="N49" s="116"/>
      <c r="O49" s="116"/>
      <c r="P49" s="116"/>
      <c r="Q49" s="116"/>
      <c r="R49" s="116"/>
      <c r="S49" s="116"/>
      <c r="T49" s="116"/>
      <c r="U49" s="116"/>
    </row>
    <row r="50" spans="1:21">
      <c r="A50" s="116"/>
      <c r="B50" s="116"/>
      <c r="C50" s="116"/>
      <c r="D50" s="116"/>
      <c r="E50" s="116"/>
      <c r="F50" s="116"/>
      <c r="G50" s="116"/>
      <c r="H50" s="116"/>
      <c r="I50" s="116"/>
      <c r="J50" s="116"/>
      <c r="K50" s="116"/>
      <c r="L50" s="116"/>
      <c r="M50" s="116"/>
      <c r="N50" s="116"/>
      <c r="O50" s="116"/>
      <c r="P50" s="116"/>
      <c r="Q50" s="116"/>
      <c r="R50" s="116"/>
      <c r="S50" s="116"/>
      <c r="T50" s="116"/>
      <c r="U50" s="116"/>
    </row>
    <row r="51" spans="1:21">
      <c r="A51" s="116"/>
      <c r="B51" s="116"/>
      <c r="C51" s="116"/>
      <c r="D51" s="116"/>
      <c r="E51" s="116"/>
      <c r="F51" s="116"/>
      <c r="G51" s="116"/>
      <c r="H51" s="116"/>
      <c r="I51" s="116"/>
      <c r="J51" s="116"/>
      <c r="K51" s="116"/>
      <c r="L51" s="116"/>
      <c r="M51" s="116"/>
      <c r="N51" s="116"/>
      <c r="O51" s="116"/>
      <c r="P51" s="116"/>
      <c r="Q51" s="116"/>
      <c r="R51" s="116"/>
      <c r="S51" s="116"/>
      <c r="T51" s="116"/>
      <c r="U51" s="116"/>
    </row>
    <row r="52" spans="1:21">
      <c r="A52" s="116"/>
      <c r="B52" s="116"/>
      <c r="C52" s="116"/>
      <c r="D52" s="116"/>
      <c r="E52" s="116"/>
      <c r="F52" s="116"/>
      <c r="G52" s="116"/>
      <c r="H52" s="116"/>
      <c r="I52" s="116"/>
      <c r="J52" s="116"/>
      <c r="K52" s="116"/>
      <c r="L52" s="116"/>
      <c r="M52" s="116"/>
      <c r="N52" s="116"/>
      <c r="O52" s="116"/>
      <c r="P52" s="116"/>
      <c r="Q52" s="116"/>
      <c r="R52" s="116"/>
      <c r="S52" s="116"/>
      <c r="T52" s="116"/>
      <c r="U52" s="116"/>
    </row>
    <row r="53" spans="1:21">
      <c r="A53" s="116"/>
      <c r="B53" s="116"/>
      <c r="C53" s="116"/>
      <c r="D53" s="116"/>
      <c r="E53" s="116"/>
      <c r="F53" s="116"/>
      <c r="G53" s="116"/>
      <c r="H53" s="116"/>
      <c r="I53" s="116"/>
      <c r="J53" s="116"/>
      <c r="K53" s="116"/>
      <c r="L53" s="116"/>
      <c r="M53" s="116"/>
      <c r="N53" s="116"/>
      <c r="O53" s="116"/>
      <c r="P53" s="116"/>
      <c r="Q53" s="116"/>
      <c r="R53" s="116"/>
      <c r="S53" s="116"/>
      <c r="T53" s="116"/>
      <c r="U53" s="116"/>
    </row>
    <row r="54" spans="1:21">
      <c r="A54" s="116"/>
      <c r="B54" s="116"/>
      <c r="C54" s="116"/>
      <c r="D54" s="116"/>
      <c r="E54" s="116"/>
      <c r="F54" s="116"/>
      <c r="G54" s="116"/>
      <c r="H54" s="116"/>
      <c r="I54" s="116"/>
      <c r="J54" s="116"/>
      <c r="K54" s="116"/>
      <c r="L54" s="116"/>
      <c r="M54" s="116"/>
      <c r="N54" s="116"/>
      <c r="O54" s="116"/>
      <c r="P54" s="116"/>
      <c r="Q54" s="116"/>
      <c r="R54" s="116"/>
      <c r="S54" s="116"/>
      <c r="T54" s="116"/>
      <c r="U54" s="116"/>
    </row>
    <row r="55" spans="1:21">
      <c r="A55" s="116"/>
      <c r="B55" s="116"/>
      <c r="C55" s="116"/>
      <c r="D55" s="116"/>
      <c r="E55" s="116"/>
      <c r="F55" s="116"/>
      <c r="G55" s="116"/>
      <c r="H55" s="116"/>
      <c r="I55" s="116"/>
      <c r="J55" s="116"/>
      <c r="K55" s="116"/>
      <c r="L55" s="116"/>
      <c r="M55" s="116"/>
      <c r="N55" s="116"/>
      <c r="O55" s="116"/>
      <c r="P55" s="116"/>
      <c r="Q55" s="116"/>
      <c r="R55" s="116"/>
      <c r="S55" s="116"/>
      <c r="T55" s="116"/>
      <c r="U55" s="116"/>
    </row>
    <row r="56" spans="1:21">
      <c r="A56" s="116"/>
      <c r="B56" s="116"/>
      <c r="C56" s="116"/>
      <c r="D56" s="116"/>
      <c r="E56" s="116"/>
      <c r="F56" s="116"/>
      <c r="G56" s="116"/>
      <c r="H56" s="116"/>
      <c r="I56" s="116"/>
      <c r="J56" s="116"/>
      <c r="K56" s="116"/>
      <c r="L56" s="116"/>
      <c r="M56" s="116"/>
      <c r="N56" s="116"/>
      <c r="O56" s="116"/>
      <c r="P56" s="116"/>
      <c r="Q56" s="116"/>
      <c r="R56" s="116"/>
      <c r="S56" s="116"/>
      <c r="T56" s="116"/>
      <c r="U56" s="116"/>
    </row>
    <row r="57" spans="1:21">
      <c r="A57" s="116"/>
      <c r="B57" s="116"/>
      <c r="C57" s="116"/>
      <c r="D57" s="116"/>
      <c r="E57" s="116"/>
      <c r="F57" s="116"/>
      <c r="G57" s="116"/>
      <c r="H57" s="116"/>
      <c r="I57" s="116"/>
      <c r="J57" s="116"/>
      <c r="K57" s="116"/>
      <c r="L57" s="116"/>
      <c r="M57" s="116"/>
      <c r="N57" s="116"/>
      <c r="O57" s="116"/>
      <c r="P57" s="116"/>
      <c r="Q57" s="116"/>
      <c r="R57" s="116"/>
      <c r="S57" s="116"/>
      <c r="T57" s="116"/>
      <c r="U57" s="116"/>
    </row>
    <row r="58" spans="1:21">
      <c r="A58" s="116"/>
      <c r="B58" s="116"/>
      <c r="C58" s="116"/>
      <c r="D58" s="116"/>
      <c r="E58" s="116"/>
      <c r="F58" s="116"/>
      <c r="G58" s="116"/>
      <c r="H58" s="116"/>
      <c r="I58" s="116"/>
      <c r="J58" s="116"/>
      <c r="K58" s="116"/>
      <c r="L58" s="116"/>
      <c r="M58" s="116"/>
      <c r="N58" s="116"/>
      <c r="O58" s="116"/>
      <c r="P58" s="116"/>
      <c r="Q58" s="116"/>
      <c r="R58" s="116"/>
      <c r="S58" s="116"/>
      <c r="T58" s="116"/>
      <c r="U58" s="116"/>
    </row>
    <row r="59" spans="1:21">
      <c r="A59" s="116"/>
      <c r="B59" s="116"/>
      <c r="C59" s="116"/>
      <c r="D59" s="116"/>
      <c r="E59" s="116"/>
      <c r="F59" s="116"/>
      <c r="G59" s="116"/>
      <c r="H59" s="116"/>
      <c r="I59" s="116"/>
      <c r="J59" s="116"/>
      <c r="K59" s="116"/>
      <c r="L59" s="116"/>
      <c r="M59" s="116"/>
      <c r="N59" s="116"/>
      <c r="O59" s="116"/>
      <c r="P59" s="116"/>
      <c r="Q59" s="116"/>
      <c r="R59" s="116"/>
      <c r="S59" s="116"/>
      <c r="T59" s="116"/>
      <c r="U59" s="116"/>
    </row>
    <row r="60" spans="1:21">
      <c r="A60" s="116"/>
      <c r="B60" s="116"/>
      <c r="C60" s="116"/>
      <c r="D60" s="116"/>
      <c r="E60" s="116"/>
      <c r="F60" s="116"/>
      <c r="G60" s="116"/>
      <c r="H60" s="116"/>
      <c r="I60" s="116"/>
      <c r="J60" s="116"/>
      <c r="K60" s="116"/>
      <c r="L60" s="116"/>
      <c r="M60" s="116"/>
      <c r="N60" s="116"/>
      <c r="O60" s="116"/>
      <c r="P60" s="116"/>
      <c r="Q60" s="116"/>
      <c r="R60" s="116"/>
      <c r="S60" s="116"/>
      <c r="T60" s="116"/>
      <c r="U60" s="116"/>
    </row>
    <row r="61" spans="1:21">
      <c r="A61" s="116"/>
      <c r="B61" s="116"/>
      <c r="C61" s="116"/>
      <c r="D61" s="116"/>
      <c r="E61" s="116"/>
      <c r="F61" s="116"/>
      <c r="G61" s="116"/>
      <c r="H61" s="116"/>
      <c r="I61" s="116"/>
      <c r="J61" s="116"/>
      <c r="K61" s="116"/>
      <c r="L61" s="116"/>
      <c r="M61" s="116"/>
      <c r="N61" s="116"/>
      <c r="O61" s="116"/>
      <c r="P61" s="116"/>
      <c r="Q61" s="116"/>
      <c r="R61" s="116"/>
      <c r="S61" s="116"/>
      <c r="T61" s="116"/>
      <c r="U61" s="116"/>
    </row>
    <row r="62" spans="1:21">
      <c r="A62" s="116"/>
      <c r="B62" s="116"/>
      <c r="C62" s="116"/>
      <c r="D62" s="116"/>
      <c r="E62" s="116"/>
      <c r="F62" s="116"/>
      <c r="G62" s="116"/>
      <c r="H62" s="116"/>
      <c r="I62" s="116"/>
      <c r="J62" s="116"/>
      <c r="K62" s="116"/>
      <c r="L62" s="116"/>
      <c r="M62" s="116"/>
      <c r="N62" s="116"/>
      <c r="O62" s="116"/>
      <c r="P62" s="116"/>
      <c r="Q62" s="116"/>
      <c r="R62" s="116"/>
      <c r="S62" s="116"/>
      <c r="T62" s="116"/>
      <c r="U62" s="116"/>
    </row>
    <row r="63" spans="1:21">
      <c r="A63" s="116"/>
      <c r="B63" s="116"/>
      <c r="C63" s="116"/>
      <c r="D63" s="116"/>
      <c r="E63" s="116"/>
      <c r="F63" s="116"/>
      <c r="G63" s="116"/>
      <c r="H63" s="116"/>
      <c r="I63" s="116"/>
      <c r="J63" s="116"/>
      <c r="K63" s="116"/>
      <c r="L63" s="116"/>
      <c r="M63" s="116"/>
      <c r="N63" s="116"/>
      <c r="O63" s="116"/>
      <c r="P63" s="116"/>
      <c r="Q63" s="116"/>
      <c r="R63" s="116"/>
      <c r="S63" s="116"/>
      <c r="T63" s="116"/>
      <c r="U63" s="116"/>
    </row>
    <row r="64" spans="1:21">
      <c r="A64" s="116"/>
      <c r="B64" s="116"/>
      <c r="C64" s="116"/>
      <c r="D64" s="116"/>
      <c r="E64" s="116"/>
      <c r="F64" s="116"/>
      <c r="G64" s="116"/>
      <c r="H64" s="116"/>
      <c r="I64" s="116"/>
      <c r="J64" s="116"/>
      <c r="K64" s="116"/>
      <c r="L64" s="116"/>
      <c r="M64" s="116"/>
      <c r="N64" s="116"/>
      <c r="O64" s="116"/>
      <c r="P64" s="116"/>
      <c r="Q64" s="116"/>
      <c r="R64" s="116"/>
      <c r="S64" s="116"/>
      <c r="T64" s="116"/>
      <c r="U64" s="116"/>
    </row>
    <row r="65" spans="6:21">
      <c r="F65" s="116"/>
      <c r="G65" s="116"/>
      <c r="H65" s="116"/>
      <c r="I65" s="116"/>
      <c r="J65" s="116"/>
      <c r="K65" s="116"/>
      <c r="L65" s="116"/>
      <c r="M65" s="116"/>
      <c r="N65" s="116"/>
      <c r="O65" s="116"/>
      <c r="P65" s="116"/>
      <c r="Q65" s="116"/>
      <c r="R65" s="116"/>
      <c r="S65" s="116"/>
      <c r="T65" s="116"/>
      <c r="U65" s="116"/>
    </row>
  </sheetData>
  <sheetProtection selectLockedCells="1"/>
  <mergeCells count="18">
    <mergeCell ref="A25:C25"/>
    <mergeCell ref="A26:C26"/>
    <mergeCell ref="A16:E16"/>
    <mergeCell ref="D26:E26"/>
    <mergeCell ref="D24:E24"/>
    <mergeCell ref="D25:E25"/>
    <mergeCell ref="D19:E19"/>
    <mergeCell ref="D20:E20"/>
    <mergeCell ref="D21:E21"/>
    <mergeCell ref="D22:E22"/>
    <mergeCell ref="A17:E18"/>
    <mergeCell ref="D23:E23"/>
    <mergeCell ref="A19:C19"/>
    <mergeCell ref="A20:C20"/>
    <mergeCell ref="A21:C21"/>
    <mergeCell ref="A22:C22"/>
    <mergeCell ref="A23:C23"/>
    <mergeCell ref="A24:C24"/>
  </mergeCells>
  <phoneticPr fontId="3" type="noConversion"/>
  <conditionalFormatting sqref="A1:E15 F1:U65 A27:E64">
    <cfRule type="expression" dxfId="29" priority="1" stopIfTrue="1">
      <formula>$M$37</formula>
    </cfRule>
  </conditionalFormatting>
  <pageMargins left="0.75" right="0.75" top="1" bottom="1" header="0" footer="0"/>
  <pageSetup paperSize="9"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40" r:id="rId4" name="Button 1028">
              <controlPr defaultSize="0" print="0" autoFill="0" autoPict="0" macro="[0]!go_main_page">
                <anchor moveWithCells="1" sizeWithCells="1">
                  <from>
                    <xdr:col>0</xdr:col>
                    <xdr:colOff>57150</xdr:colOff>
                    <xdr:row>0</xdr:row>
                    <xdr:rowOff>50800</xdr:rowOff>
                  </from>
                  <to>
                    <xdr:col>0</xdr:col>
                    <xdr:colOff>1371600</xdr:colOff>
                    <xdr:row>3</xdr:row>
                    <xdr:rowOff>69850</xdr:rowOff>
                  </to>
                </anchor>
              </controlPr>
            </control>
          </mc:Choice>
        </mc:AlternateContent>
        <mc:AlternateContent xmlns:mc="http://schemas.openxmlformats.org/markup-compatibility/2006">
          <mc:Choice Requires="x14">
            <control shapeId="14341" r:id="rId5" name="Button 1029">
              <controlPr defaultSize="0" print="0" autoFill="0" autoPict="0" macro="[0]!go_figures_inflation_income_rates">
                <anchor moveWithCells="1" sizeWithCells="1">
                  <from>
                    <xdr:col>0</xdr:col>
                    <xdr:colOff>57150</xdr:colOff>
                    <xdr:row>4</xdr:row>
                    <xdr:rowOff>19050</xdr:rowOff>
                  </from>
                  <to>
                    <xdr:col>0</xdr:col>
                    <xdr:colOff>1371600</xdr:colOff>
                    <xdr:row>7</xdr:row>
                    <xdr:rowOff>19050</xdr:rowOff>
                  </to>
                </anchor>
              </controlPr>
            </control>
          </mc:Choice>
        </mc:AlternateContent>
        <mc:AlternateContent xmlns:mc="http://schemas.openxmlformats.org/markup-compatibility/2006">
          <mc:Choice Requires="x14">
            <control shapeId="14342" r:id="rId6" name="Button 1030">
              <controlPr defaultSize="0" print="0" autoFill="0" autoPict="0" macro="[0]!go_numerical_results">
                <anchor moveWithCells="1" sizeWithCells="1">
                  <from>
                    <xdr:col>0</xdr:col>
                    <xdr:colOff>57150</xdr:colOff>
                    <xdr:row>11</xdr:row>
                    <xdr:rowOff>69850</xdr:rowOff>
                  </from>
                  <to>
                    <xdr:col>0</xdr:col>
                    <xdr:colOff>1371600</xdr:colOff>
                    <xdr:row>14</xdr:row>
                    <xdr:rowOff>88900</xdr:rowOff>
                  </to>
                </anchor>
              </controlPr>
            </control>
          </mc:Choice>
        </mc:AlternateContent>
        <mc:AlternateContent xmlns:mc="http://schemas.openxmlformats.org/markup-compatibility/2006">
          <mc:Choice Requires="x14">
            <control shapeId="14359" r:id="rId7" name="Button 1047">
              <controlPr defaultSize="0" print="0" autoFill="0" autoPict="0" macro="[0]!go_exrate_figures">
                <anchor moveWithCells="1" sizeWithCells="1">
                  <from>
                    <xdr:col>0</xdr:col>
                    <xdr:colOff>57150</xdr:colOff>
                    <xdr:row>7</xdr:row>
                    <xdr:rowOff>133350</xdr:rowOff>
                  </from>
                  <to>
                    <xdr:col>0</xdr:col>
                    <xdr:colOff>1371600</xdr:colOff>
                    <xdr:row>10</xdr:row>
                    <xdr:rowOff>133350</xdr:rowOff>
                  </to>
                </anchor>
              </controlPr>
            </control>
          </mc:Choice>
        </mc:AlternateContent>
        <mc:AlternateContent xmlns:mc="http://schemas.openxmlformats.org/markup-compatibility/2006">
          <mc:Choice Requires="x14">
            <control shapeId="14360" r:id="rId8" name="Button 1048">
              <controlPr defaultSize="0" print="0" autoFill="0" autoPict="0" macro="[0]!change_timespan">
                <anchor moveWithCells="1" sizeWithCells="1">
                  <from>
                    <xdr:col>0</xdr:col>
                    <xdr:colOff>57150</xdr:colOff>
                    <xdr:row>27</xdr:row>
                    <xdr:rowOff>57150</xdr:rowOff>
                  </from>
                  <to>
                    <xdr:col>0</xdr:col>
                    <xdr:colOff>1371600</xdr:colOff>
                    <xdr:row>30</xdr:row>
                    <xdr:rowOff>95250</xdr:rowOff>
                  </to>
                </anchor>
              </controlPr>
            </control>
          </mc:Choice>
        </mc:AlternateContent>
        <mc:AlternateContent xmlns:mc="http://schemas.openxmlformats.org/markup-compatibility/2006">
          <mc:Choice Requires="x14">
            <control shapeId="14361" r:id="rId9" name="Button 1049">
              <controlPr defaultSize="0" print="0" autoFill="0" autoPict="0" macro="[0]!public_debt_aclaración">
                <anchor moveWithCells="1" sizeWithCells="1">
                  <from>
                    <xdr:col>11</xdr:col>
                    <xdr:colOff>247650</xdr:colOff>
                    <xdr:row>23</xdr:row>
                    <xdr:rowOff>31750</xdr:rowOff>
                  </from>
                  <to>
                    <xdr:col>11</xdr:col>
                    <xdr:colOff>412750</xdr:colOff>
                    <xdr:row>24</xdr:row>
                    <xdr:rowOff>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
  <dimension ref="A1:AM502"/>
  <sheetViews>
    <sheetView showGridLines="0" showRowColHeaders="0" workbookViewId="0">
      <pane xSplit="1" ySplit="3" topLeftCell="B4" activePane="bottomRight" state="frozenSplit"/>
      <selection activeCell="C45" sqref="C45"/>
      <selection pane="topRight" activeCell="C45" sqref="C45"/>
      <selection pane="bottomLeft" activeCell="C45" sqref="C45"/>
      <selection pane="bottomRight"/>
    </sheetView>
  </sheetViews>
  <sheetFormatPr defaultColWidth="0" defaultRowHeight="13"/>
  <cols>
    <col min="1" max="2" width="14.453125" style="29" customWidth="1"/>
    <col min="3" max="3" width="12.54296875" style="32" bestFit="1" customWidth="1"/>
    <col min="4" max="4" width="12.54296875" style="33" bestFit="1" customWidth="1"/>
    <col min="5" max="5" width="12.54296875" style="33" customWidth="1"/>
    <col min="6" max="6" width="16.54296875" style="33" customWidth="1"/>
    <col min="7" max="7" width="16.54296875" style="31" customWidth="1"/>
    <col min="8" max="8" width="27.26953125" style="31" customWidth="1"/>
    <col min="9" max="9" width="35.453125" style="31" bestFit="1" customWidth="1"/>
    <col min="10" max="10" width="18" style="31" customWidth="1"/>
    <col min="11" max="11" width="23.1796875" style="31" bestFit="1" customWidth="1"/>
    <col min="12" max="12" width="18" style="31" bestFit="1" customWidth="1"/>
    <col min="13" max="13" width="19" style="32" customWidth="1"/>
    <col min="14" max="14" width="22.54296875" style="32" bestFit="1" customWidth="1"/>
    <col min="15" max="15" width="18.81640625" style="31" bestFit="1" customWidth="1"/>
    <col min="16" max="16" width="20.1796875" style="31" bestFit="1" customWidth="1"/>
    <col min="17" max="17" width="9.26953125" style="31" bestFit="1" customWidth="1"/>
    <col min="18" max="18" width="8.453125" style="35" customWidth="1"/>
    <col min="19" max="19" width="22.54296875" style="30" customWidth="1"/>
    <col min="20" max="20" width="14" style="30" customWidth="1"/>
    <col min="21" max="21" width="6.26953125" customWidth="1"/>
    <col min="22" max="22" width="12.54296875" customWidth="1"/>
    <col min="23" max="23" width="19.54296875" customWidth="1"/>
    <col min="24" max="25" width="15.81640625" customWidth="1"/>
    <col min="26" max="26" width="8.81640625" customWidth="1"/>
    <col min="27" max="27" width="6.54296875" customWidth="1"/>
    <col min="28" max="28" width="12.54296875" customWidth="1"/>
    <col min="29" max="29" width="20.1796875" style="96" customWidth="1"/>
    <col min="30" max="30" width="16.1796875" customWidth="1"/>
  </cols>
  <sheetData>
    <row r="1" spans="1:39" ht="30.75" customHeight="1" thickBot="1">
      <c r="AE1" t="s">
        <v>109</v>
      </c>
      <c r="AM1" t="s">
        <v>108</v>
      </c>
    </row>
    <row r="2" spans="1:39" ht="14" thickTop="1" thickBot="1">
      <c r="A2" s="4"/>
      <c r="B2" s="661" t="s">
        <v>20</v>
      </c>
      <c r="C2" s="657"/>
      <c r="D2" s="657"/>
      <c r="E2" s="658"/>
      <c r="F2" s="658"/>
      <c r="G2" s="658"/>
      <c r="H2" s="658"/>
      <c r="I2" s="658"/>
      <c r="J2" s="658"/>
      <c r="K2" s="658"/>
      <c r="L2" s="658"/>
      <c r="M2" s="162"/>
      <c r="N2" s="162"/>
      <c r="O2" s="152"/>
      <c r="P2" s="152"/>
      <c r="Q2" s="153"/>
      <c r="R2" s="656" t="s">
        <v>21</v>
      </c>
      <c r="S2" s="657"/>
      <c r="T2" s="657"/>
      <c r="U2" s="658"/>
      <c r="V2" s="658"/>
      <c r="W2" s="658"/>
      <c r="X2" s="659"/>
      <c r="Y2" s="394"/>
      <c r="Z2" s="657" t="s">
        <v>22</v>
      </c>
      <c r="AA2" s="658"/>
      <c r="AB2" s="658"/>
      <c r="AC2" s="658"/>
      <c r="AD2" s="660"/>
    </row>
    <row r="3" spans="1:39" ht="14" thickTop="1" thickBot="1">
      <c r="A3" s="7" t="s">
        <v>14</v>
      </c>
      <c r="B3" s="9" t="s">
        <v>16</v>
      </c>
      <c r="C3" s="10" t="s">
        <v>13</v>
      </c>
      <c r="D3" s="5" t="s">
        <v>17</v>
      </c>
      <c r="E3" s="8" t="s">
        <v>15</v>
      </c>
      <c r="F3" s="5" t="s">
        <v>234</v>
      </c>
      <c r="G3" s="11" t="s">
        <v>233</v>
      </c>
      <c r="H3" s="11" t="s">
        <v>25</v>
      </c>
      <c r="I3" s="12" t="s">
        <v>26</v>
      </c>
      <c r="J3" s="13" t="s">
        <v>164</v>
      </c>
      <c r="K3" s="11" t="s">
        <v>23</v>
      </c>
      <c r="L3" s="11" t="s">
        <v>24</v>
      </c>
      <c r="M3" s="10" t="s">
        <v>161</v>
      </c>
      <c r="N3" s="10" t="s">
        <v>162</v>
      </c>
      <c r="O3" s="11" t="s">
        <v>147</v>
      </c>
      <c r="P3" s="11" t="s">
        <v>163</v>
      </c>
      <c r="Q3" s="12" t="s">
        <v>148</v>
      </c>
      <c r="R3" s="157" t="s">
        <v>15</v>
      </c>
      <c r="S3" s="14" t="s">
        <v>27</v>
      </c>
      <c r="T3" s="14" t="s">
        <v>28</v>
      </c>
      <c r="U3" s="10" t="s">
        <v>13</v>
      </c>
      <c r="V3" s="5" t="s">
        <v>17</v>
      </c>
      <c r="W3" s="5" t="s">
        <v>235</v>
      </c>
      <c r="X3" s="6" t="s">
        <v>233</v>
      </c>
      <c r="Y3" s="9" t="s">
        <v>16</v>
      </c>
      <c r="Z3" s="161" t="s">
        <v>15</v>
      </c>
      <c r="AA3" s="10" t="s">
        <v>13</v>
      </c>
      <c r="AB3" s="5" t="s">
        <v>17</v>
      </c>
      <c r="AC3" s="11" t="s">
        <v>235</v>
      </c>
      <c r="AD3" s="5" t="s">
        <v>233</v>
      </c>
    </row>
    <row r="4" spans="1:39" ht="14" thickTop="1" thickBot="1">
      <c r="A4" s="15">
        <v>1</v>
      </c>
      <c r="B4" s="17">
        <f>('normal case'!D3-'normal case'!B3)/'normal case'!B3</f>
        <v>0</v>
      </c>
      <c r="C4" s="18">
        <f>'normal case'!D3</f>
        <v>100</v>
      </c>
      <c r="D4" s="19"/>
      <c r="E4" s="16">
        <f>'normal case'!L3/100</f>
        <v>0.02</v>
      </c>
      <c r="F4" s="25">
        <f>'normal case'!U3/100</f>
        <v>0.06</v>
      </c>
      <c r="G4" s="17">
        <f>'normal case'!T3/100</f>
        <v>0.04</v>
      </c>
      <c r="H4" s="17">
        <f>'public finance'!D2</f>
        <v>0</v>
      </c>
      <c r="I4" s="20">
        <f>'public finance'!E2</f>
        <v>0</v>
      </c>
      <c r="J4" s="20">
        <f>'public finance'!H2</f>
        <v>0</v>
      </c>
      <c r="K4" s="119">
        <f>'public finance'!C2/'normal case'!D3</f>
        <v>0.2</v>
      </c>
      <c r="L4" s="156">
        <f>'public finance'!A2/'normal case'!D3</f>
        <v>0.2</v>
      </c>
      <c r="M4" s="163" t="str">
        <f>IF(controls!$B$44=0,"",'normal case'!AJ3)</f>
        <v/>
      </c>
      <c r="N4" s="163" t="str">
        <f>IF(controls!$B$44=0,"",'normal case'!AM3)</f>
        <v/>
      </c>
      <c r="O4" s="160" t="str">
        <f>IF(controls!$B$44=0,"",'external balance'!D3)</f>
        <v/>
      </c>
      <c r="P4" s="160" t="str">
        <f>IF(controls!$B$44=0,"",'external balance'!F3)</f>
        <v/>
      </c>
      <c r="Q4" s="159" t="str">
        <f>IF(controls!$B$44=0,"",'external balance'!H3)</f>
        <v/>
      </c>
      <c r="R4" s="158" t="str">
        <f>IF('inflation, income and interest'!$A$38=2,"",'delay in perception'!K4/100)</f>
        <v/>
      </c>
      <c r="S4" s="17" t="str">
        <f>IF('inflation, income and interest'!$A$38=2,"",('delay in perception'!E4-'delay in perception'!C4)/'delay in perception'!C4)</f>
        <v/>
      </c>
      <c r="T4" s="17" t="str">
        <f>IF('inflation, income and interest'!$A$38=2,"",('delay in perception'!E4-'delay in perception'!B4)/'delay in perception'!B4)</f>
        <v/>
      </c>
      <c r="U4" s="18" t="str">
        <f>IF('inflation, income and interest'!$A$38=2,"",'delay in perception'!E4)</f>
        <v/>
      </c>
      <c r="V4" s="19"/>
      <c r="W4" s="25" t="str">
        <f>IF('inflation, income and interest'!$A$38=2,"",'delay in perception'!M4/100)</f>
        <v/>
      </c>
      <c r="X4" s="21" t="str">
        <f>IF('inflation, income and interest'!$A$38=2,"",'delay in perception'!L4/100)</f>
        <v/>
      </c>
      <c r="Y4" s="158" t="str">
        <f>IF('inflation, income and interest'!$B$38=2,"",(hystere!E4-hystere!B4)/hystere!B4)</f>
        <v/>
      </c>
      <c r="Z4" s="395" t="str">
        <f>IF('inflation, income and interest'!$B$38=2,"",hystere!M4/100)</f>
        <v/>
      </c>
      <c r="AA4" s="18" t="str">
        <f>IF('inflation, income and interest'!$B$38=2,"",hystere!E4)</f>
        <v/>
      </c>
      <c r="AB4" s="19"/>
      <c r="AC4" s="17" t="str">
        <f>IF('inflation, income and interest'!$B$38=2,"",hystere!O4/100)</f>
        <v/>
      </c>
      <c r="AD4" s="17" t="str">
        <f>IF('inflation, income and interest'!$B$38=2,"",hystere!N4/100)</f>
        <v/>
      </c>
    </row>
    <row r="5" spans="1:39" ht="14" thickTop="1" thickBot="1">
      <c r="A5" s="15">
        <v>2</v>
      </c>
      <c r="B5" s="17">
        <f>('normal case'!D4-'normal case'!B4)/'normal case'!B4</f>
        <v>0</v>
      </c>
      <c r="C5" s="23">
        <f>'normal case'!D4</f>
        <v>100</v>
      </c>
      <c r="D5" s="24">
        <f>'normal case'!C4</f>
        <v>0</v>
      </c>
      <c r="E5" s="22">
        <f>'normal case'!L4/100</f>
        <v>0.02</v>
      </c>
      <c r="F5" s="25">
        <f ca="1">'normal case'!U4/100</f>
        <v>0.06</v>
      </c>
      <c r="G5" s="25">
        <f ca="1">'normal case'!T4/100</f>
        <v>0.04</v>
      </c>
      <c r="H5" s="25">
        <f>'public finance'!D3</f>
        <v>0</v>
      </c>
      <c r="I5" s="20">
        <f ca="1">'public finance'!E3</f>
        <v>0</v>
      </c>
      <c r="J5" s="118">
        <f>'public finance'!H3</f>
        <v>0</v>
      </c>
      <c r="K5" s="17">
        <f>'public finance'!C3/'normal case'!D4</f>
        <v>0.2</v>
      </c>
      <c r="L5" s="20">
        <f>'public finance'!A3/'normal case'!D4</f>
        <v>0.2</v>
      </c>
      <c r="M5" s="18" t="str">
        <f>IF(controls!$B$44=0,"",'normal case'!AJ4)</f>
        <v/>
      </c>
      <c r="N5" s="18" t="str">
        <f>IF(controls!$B$44=0,"",'normal case'!AM4)</f>
        <v/>
      </c>
      <c r="O5" s="160" t="str">
        <f>IF(controls!$B$44=0,"",'external balance'!D4)</f>
        <v/>
      </c>
      <c r="P5" s="160" t="str">
        <f>IF(controls!$B$44=0,"",'external balance'!F4)</f>
        <v/>
      </c>
      <c r="Q5" s="159" t="str">
        <f>IF(controls!$B$44=0,"",'external balance'!H4)</f>
        <v/>
      </c>
      <c r="R5" s="158" t="str">
        <f>IF('inflation, income and interest'!$A$38=2,"",'delay in perception'!K5/100)</f>
        <v/>
      </c>
      <c r="S5" s="17" t="str">
        <f>IF('inflation, income and interest'!$A$38=2,"",('delay in perception'!E5-'delay in perception'!C5)/'delay in perception'!C5)</f>
        <v/>
      </c>
      <c r="T5" s="17" t="str">
        <f>IF('inflation, income and interest'!$A$38=2,"",('delay in perception'!E5-'delay in perception'!B5)/'delay in perception'!B5)</f>
        <v/>
      </c>
      <c r="U5" s="18" t="str">
        <f>IF('inflation, income and interest'!$A$38=2,"",'delay in perception'!E5)</f>
        <v/>
      </c>
      <c r="V5" s="24" t="str">
        <f>IF('inflation, income and interest'!$A$38=2,"",'delay in perception'!D5)</f>
        <v/>
      </c>
      <c r="W5" s="25" t="str">
        <f>IF('inflation, income and interest'!$A$38=2,"",'delay in perception'!M5/100)</f>
        <v/>
      </c>
      <c r="X5" s="21" t="str">
        <f>IF('inflation, income and interest'!$A$38=2,"",'delay in perception'!L5/100)</f>
        <v/>
      </c>
      <c r="Y5" s="158" t="str">
        <f>IF('inflation, income and interest'!$B$38=2,"",(hystere!E5-hystere!B5)/hystere!B5)</f>
        <v/>
      </c>
      <c r="Z5" s="396" t="str">
        <f>IF('inflation, income and interest'!$B$38=2,"",hystere!M5/100)</f>
        <v/>
      </c>
      <c r="AA5" s="18" t="str">
        <f>IF('inflation, income and interest'!$B$38=2,"",hystere!E5)</f>
        <v/>
      </c>
      <c r="AB5" s="24" t="str">
        <f>IF('inflation, income and interest'!$B$38=2,"",hystere!C5)</f>
        <v/>
      </c>
      <c r="AC5" s="17" t="str">
        <f>IF('inflation, income and interest'!$B$38=2,"",hystere!O5/100)</f>
        <v/>
      </c>
      <c r="AD5" s="17" t="str">
        <f>IF('inflation, income and interest'!$B$38=2,"",hystere!N5/100)</f>
        <v/>
      </c>
    </row>
    <row r="6" spans="1:39" ht="14" thickTop="1" thickBot="1">
      <c r="A6" s="15">
        <v>3</v>
      </c>
      <c r="B6" s="17">
        <f ca="1">('normal case'!D5-'normal case'!B5)/'normal case'!B5</f>
        <v>0</v>
      </c>
      <c r="C6" s="23">
        <f ca="1">'normal case'!D5</f>
        <v>100</v>
      </c>
      <c r="D6" s="24">
        <f ca="1">'normal case'!C5</f>
        <v>0</v>
      </c>
      <c r="E6" s="22">
        <f ca="1">'normal case'!L5/100</f>
        <v>0.02</v>
      </c>
      <c r="F6" s="25">
        <f ca="1">'normal case'!U5/100</f>
        <v>0.06</v>
      </c>
      <c r="G6" s="25">
        <f ca="1">'normal case'!T5/100</f>
        <v>0.04</v>
      </c>
      <c r="H6" s="25">
        <f ca="1">'public finance'!D4</f>
        <v>0</v>
      </c>
      <c r="I6" s="20">
        <f ca="1">'public finance'!E4</f>
        <v>0</v>
      </c>
      <c r="J6" s="118">
        <f ca="1">'public finance'!H4</f>
        <v>0</v>
      </c>
      <c r="K6" s="17">
        <f ca="1">'public finance'!C4/'normal case'!D5</f>
        <v>0.2</v>
      </c>
      <c r="L6" s="20">
        <f ca="1">'public finance'!A4/'normal case'!D5</f>
        <v>0.2</v>
      </c>
      <c r="M6" s="18" t="str">
        <f>IF(controls!$B$44=0,"",'normal case'!AJ5)</f>
        <v/>
      </c>
      <c r="N6" s="18" t="str">
        <f>IF(controls!$B$44=0,"",'normal case'!AM5)</f>
        <v/>
      </c>
      <c r="O6" s="160" t="str">
        <f>IF(controls!$B$44=0,"",'external balance'!D5)</f>
        <v/>
      </c>
      <c r="P6" s="160" t="str">
        <f>IF(controls!$B$44=0,"",'external balance'!F5)</f>
        <v/>
      </c>
      <c r="Q6" s="159" t="str">
        <f>IF(controls!$B$44=0,"",'external balance'!H5)</f>
        <v/>
      </c>
      <c r="R6" s="158" t="str">
        <f>IF('inflation, income and interest'!$A$38=2,"",'delay in perception'!K6/100)</f>
        <v/>
      </c>
      <c r="S6" s="17" t="str">
        <f>IF('inflation, income and interest'!$A$38=2,"",('delay in perception'!E6-'delay in perception'!C6)/'delay in perception'!C6)</f>
        <v/>
      </c>
      <c r="T6" s="17" t="str">
        <f>IF('inflation, income and interest'!$A$38=2,"",('delay in perception'!E6-'delay in perception'!B6)/'delay in perception'!B6)</f>
        <v/>
      </c>
      <c r="U6" s="18" t="str">
        <f>IF('inflation, income and interest'!$A$38=2,"",'delay in perception'!E6)</f>
        <v/>
      </c>
      <c r="V6" s="24" t="str">
        <f>IF('inflation, income and interest'!$A$38=2,"",'delay in perception'!D6)</f>
        <v/>
      </c>
      <c r="W6" s="25" t="str">
        <f>IF('inflation, income and interest'!$A$38=2,"",'delay in perception'!M6/100)</f>
        <v/>
      </c>
      <c r="X6" s="21" t="str">
        <f>IF('inflation, income and interest'!$A$38=2,"",'delay in perception'!L6/100)</f>
        <v/>
      </c>
      <c r="Y6" s="158" t="str">
        <f>IF('inflation, income and interest'!$B$38=2,"",(hystere!E6-hystere!B6)/hystere!B6)</f>
        <v/>
      </c>
      <c r="Z6" s="396" t="str">
        <f>IF('inflation, income and interest'!$B$38=2,"",hystere!M6/100)</f>
        <v/>
      </c>
      <c r="AA6" s="18" t="str">
        <f>IF('inflation, income and interest'!$B$38=2,"",hystere!E6)</f>
        <v/>
      </c>
      <c r="AB6" s="24" t="str">
        <f>IF('inflation, income and interest'!$B$38=2,"",hystere!C6)</f>
        <v/>
      </c>
      <c r="AC6" s="17" t="str">
        <f>IF('inflation, income and interest'!$B$38=2,"",hystere!O6/100)</f>
        <v/>
      </c>
      <c r="AD6" s="17" t="str">
        <f>IF('inflation, income and interest'!$B$38=2,"",hystere!N6/100)</f>
        <v/>
      </c>
    </row>
    <row r="7" spans="1:39" ht="14" thickTop="1" thickBot="1">
      <c r="A7" s="15">
        <v>4</v>
      </c>
      <c r="B7" s="17">
        <f ca="1">('normal case'!D6-'normal case'!B6)/'normal case'!B6</f>
        <v>0</v>
      </c>
      <c r="C7" s="23">
        <f ca="1">'normal case'!D6</f>
        <v>100</v>
      </c>
      <c r="D7" s="24">
        <f ca="1">'normal case'!C6</f>
        <v>0</v>
      </c>
      <c r="E7" s="22">
        <f ca="1">'normal case'!L6/100</f>
        <v>0.02</v>
      </c>
      <c r="F7" s="25">
        <f ca="1">'normal case'!U6/100</f>
        <v>0.06</v>
      </c>
      <c r="G7" s="25">
        <f ca="1">'normal case'!T6/100</f>
        <v>0.04</v>
      </c>
      <c r="H7" s="25">
        <f ca="1">'public finance'!D5</f>
        <v>0</v>
      </c>
      <c r="I7" s="20">
        <f ca="1">'public finance'!E5</f>
        <v>0</v>
      </c>
      <c r="J7" s="118">
        <f ca="1">'public finance'!H5</f>
        <v>0</v>
      </c>
      <c r="K7" s="17">
        <f ca="1">'public finance'!C5/'normal case'!D6</f>
        <v>0.2</v>
      </c>
      <c r="L7" s="20">
        <f ca="1">'public finance'!A5/'normal case'!D6</f>
        <v>0.2</v>
      </c>
      <c r="M7" s="18" t="str">
        <f>IF(controls!$B$44=0,"",'normal case'!AJ6)</f>
        <v/>
      </c>
      <c r="N7" s="18" t="str">
        <f>IF(controls!$B$44=0,"",'normal case'!AM6)</f>
        <v/>
      </c>
      <c r="O7" s="160" t="str">
        <f>IF(controls!$B$44=0,"",'external balance'!D6)</f>
        <v/>
      </c>
      <c r="P7" s="160" t="str">
        <f>IF(controls!$B$44=0,"",'external balance'!F6)</f>
        <v/>
      </c>
      <c r="Q7" s="159" t="str">
        <f>IF(controls!$B$44=0,"",'external balance'!H6)</f>
        <v/>
      </c>
      <c r="R7" s="158" t="str">
        <f>IF('inflation, income and interest'!$A$38=2,"",'delay in perception'!K7/100)</f>
        <v/>
      </c>
      <c r="S7" s="17" t="str">
        <f>IF('inflation, income and interest'!$A$38=2,"",('delay in perception'!E7-'delay in perception'!C7)/'delay in perception'!C7)</f>
        <v/>
      </c>
      <c r="T7" s="17" t="str">
        <f>IF('inflation, income and interest'!$A$38=2,"",('delay in perception'!E7-'delay in perception'!B7)/'delay in perception'!B7)</f>
        <v/>
      </c>
      <c r="U7" s="18" t="str">
        <f>IF('inflation, income and interest'!$A$38=2,"",'delay in perception'!E7)</f>
        <v/>
      </c>
      <c r="V7" s="24" t="str">
        <f>IF('inflation, income and interest'!$A$38=2,"",'delay in perception'!D7)</f>
        <v/>
      </c>
      <c r="W7" s="25" t="str">
        <f>IF('inflation, income and interest'!$A$38=2,"",'delay in perception'!M7/100)</f>
        <v/>
      </c>
      <c r="X7" s="21" t="str">
        <f>IF('inflation, income and interest'!$A$38=2,"",'delay in perception'!L7/100)</f>
        <v/>
      </c>
      <c r="Y7" s="158" t="str">
        <f>IF('inflation, income and interest'!$B$38=2,"",(hystere!E7-hystere!B7)/hystere!B7)</f>
        <v/>
      </c>
      <c r="Z7" s="396" t="str">
        <f>IF('inflation, income and interest'!$B$38=2,"",hystere!M7/100)</f>
        <v/>
      </c>
      <c r="AA7" s="18" t="str">
        <f>IF('inflation, income and interest'!$B$38=2,"",hystere!E7)</f>
        <v/>
      </c>
      <c r="AB7" s="24" t="str">
        <f>IF('inflation, income and interest'!$B$38=2,"",hystere!C7)</f>
        <v/>
      </c>
      <c r="AC7" s="17" t="str">
        <f>IF('inflation, income and interest'!$B$38=2,"",hystere!O7/100)</f>
        <v/>
      </c>
      <c r="AD7" s="17" t="str">
        <f>IF('inflation, income and interest'!$B$38=2,"",hystere!N7/100)</f>
        <v/>
      </c>
    </row>
    <row r="8" spans="1:39" ht="14" thickTop="1" thickBot="1">
      <c r="A8" s="26">
        <v>5</v>
      </c>
      <c r="B8" s="17">
        <f ca="1">('normal case'!D7-'normal case'!B7)/'normal case'!B7</f>
        <v>-9.9009900990099011E-3</v>
      </c>
      <c r="C8" s="23">
        <f ca="1">'normal case'!D7</f>
        <v>100</v>
      </c>
      <c r="D8" s="24">
        <f ca="1">'normal case'!C7</f>
        <v>0</v>
      </c>
      <c r="E8" s="22">
        <f ca="1">'normal case'!L7/100</f>
        <v>0.01</v>
      </c>
      <c r="F8" s="25">
        <f ca="1">'normal case'!U7/100</f>
        <v>4.2500000000000003E-2</v>
      </c>
      <c r="G8" s="25">
        <f ca="1">'normal case'!T7/100</f>
        <v>3.2500000000000001E-2</v>
      </c>
      <c r="H8" s="25">
        <f ca="1">'public finance'!D6</f>
        <v>0</v>
      </c>
      <c r="I8" s="20">
        <f ca="1">'public finance'!E6</f>
        <v>0</v>
      </c>
      <c r="J8" s="118">
        <f ca="1">'public finance'!H6</f>
        <v>0</v>
      </c>
      <c r="K8" s="17">
        <f ca="1">'public finance'!C6/'normal case'!D7</f>
        <v>0.2</v>
      </c>
      <c r="L8" s="20">
        <f ca="1">'public finance'!A6/'normal case'!D7</f>
        <v>0.2</v>
      </c>
      <c r="M8" s="18" t="str">
        <f>IF(controls!$B$44=0,"",'normal case'!AJ7)</f>
        <v/>
      </c>
      <c r="N8" s="18" t="str">
        <f>IF(controls!$B$44=0,"",'normal case'!AM7)</f>
        <v/>
      </c>
      <c r="O8" s="160" t="str">
        <f>IF(controls!$B$44=0,"",'external balance'!D7)</f>
        <v/>
      </c>
      <c r="P8" s="160" t="str">
        <f>IF(controls!$B$44=0,"",'external balance'!F7)</f>
        <v/>
      </c>
      <c r="Q8" s="159" t="str">
        <f>IF(controls!$B$44=0,"",'external balance'!H7)</f>
        <v/>
      </c>
      <c r="R8" s="158" t="str">
        <f>IF('inflation, income and interest'!$A$38=2,"",'delay in perception'!K8/100)</f>
        <v/>
      </c>
      <c r="S8" s="17" t="str">
        <f>IF('inflation, income and interest'!$A$38=2,"",('delay in perception'!E8-'delay in perception'!C8)/'delay in perception'!C8)</f>
        <v/>
      </c>
      <c r="T8" s="17" t="str">
        <f>IF('inflation, income and interest'!$A$38=2,"",('delay in perception'!E8-'delay in perception'!B8)/'delay in perception'!B8)</f>
        <v/>
      </c>
      <c r="U8" s="18" t="str">
        <f>IF('inflation, income and interest'!$A$38=2,"",'delay in perception'!E8)</f>
        <v/>
      </c>
      <c r="V8" s="24" t="str">
        <f>IF('inflation, income and interest'!$A$38=2,"",'delay in perception'!D8)</f>
        <v/>
      </c>
      <c r="W8" s="25" t="str">
        <f>IF('inflation, income and interest'!$A$38=2,"",'delay in perception'!M8/100)</f>
        <v/>
      </c>
      <c r="X8" s="21" t="str">
        <f>IF('inflation, income and interest'!$A$38=2,"",'delay in perception'!L8/100)</f>
        <v/>
      </c>
      <c r="Y8" s="158" t="str">
        <f>IF('inflation, income and interest'!$B$38=2,"",(hystere!E8-hystere!B8)/hystere!B8)</f>
        <v/>
      </c>
      <c r="Z8" s="396" t="str">
        <f>IF('inflation, income and interest'!$B$38=2,"",hystere!M8/100)</f>
        <v/>
      </c>
      <c r="AA8" s="18" t="str">
        <f>IF('inflation, income and interest'!$B$38=2,"",hystere!E8)</f>
        <v/>
      </c>
      <c r="AB8" s="24" t="str">
        <f>IF('inflation, income and interest'!$B$38=2,"",hystere!C8)</f>
        <v/>
      </c>
      <c r="AC8" s="17" t="str">
        <f>IF('inflation, income and interest'!$B$38=2,"",hystere!O8/100)</f>
        <v/>
      </c>
      <c r="AD8" s="17" t="str">
        <f>IF('inflation, income and interest'!$B$38=2,"",hystere!N8/100)</f>
        <v/>
      </c>
    </row>
    <row r="9" spans="1:39" ht="14" thickTop="1" thickBot="1">
      <c r="A9" s="27">
        <v>6</v>
      </c>
      <c r="B9" s="17">
        <f ca="1">('normal case'!D8-'normal case'!B8)/'normal case'!B8</f>
        <v>4.9504950495049506E-3</v>
      </c>
      <c r="C9" s="23">
        <f ca="1">'normal case'!D8</f>
        <v>101.5</v>
      </c>
      <c r="D9" s="24">
        <f ca="1">'normal case'!C8</f>
        <v>1.4999999999999902E-2</v>
      </c>
      <c r="E9" s="22">
        <f ca="1">'normal case'!L8/100</f>
        <v>1.4999999999999999E-2</v>
      </c>
      <c r="F9" s="25">
        <f ca="1">'normal case'!U8/100</f>
        <v>4.8750000000000002E-2</v>
      </c>
      <c r="G9" s="25">
        <f ca="1">'normal case'!T8/100</f>
        <v>3.3750000000000002E-2</v>
      </c>
      <c r="H9" s="25">
        <f ca="1">'public finance'!D7</f>
        <v>2.955665024630549E-3</v>
      </c>
      <c r="I9" s="20">
        <f ca="1">'public finance'!E7</f>
        <v>3.0554187192118301E-3</v>
      </c>
      <c r="J9" s="118">
        <f ca="1">'public finance'!H7</f>
        <v>-2.955665024630549E-3</v>
      </c>
      <c r="K9" s="17">
        <f ca="1">'public finance'!C7/'normal case'!D8</f>
        <v>0.19704433497536947</v>
      </c>
      <c r="L9" s="20">
        <f ca="1">'public finance'!A7/'normal case'!D8</f>
        <v>0.2</v>
      </c>
      <c r="M9" s="18" t="str">
        <f>IF(controls!$B$44=0,"",'normal case'!AJ8)</f>
        <v/>
      </c>
      <c r="N9" s="18" t="str">
        <f>IF(controls!$B$44=0,"",'normal case'!AM8)</f>
        <v/>
      </c>
      <c r="O9" s="160" t="str">
        <f>IF(controls!$B$44=0,"",'external balance'!D8)</f>
        <v/>
      </c>
      <c r="P9" s="160" t="str">
        <f>IF(controls!$B$44=0,"",'external balance'!F8)</f>
        <v/>
      </c>
      <c r="Q9" s="159" t="str">
        <f>IF(controls!$B$44=0,"",'external balance'!H8)</f>
        <v/>
      </c>
      <c r="R9" s="158" t="str">
        <f>IF('inflation, income and interest'!$A$38=2,"",'delay in perception'!K9/100)</f>
        <v/>
      </c>
      <c r="S9" s="17" t="str">
        <f>IF('inflation, income and interest'!$A$38=2,"",('delay in perception'!E9-'delay in perception'!C9)/'delay in perception'!C9)</f>
        <v/>
      </c>
      <c r="T9" s="17" t="str">
        <f>IF('inflation, income and interest'!$A$38=2,"",('delay in perception'!E9-'delay in perception'!B9)/'delay in perception'!B9)</f>
        <v/>
      </c>
      <c r="U9" s="18" t="str">
        <f>IF('inflation, income and interest'!$A$38=2,"",'delay in perception'!E9)</f>
        <v/>
      </c>
      <c r="V9" s="24" t="str">
        <f>IF('inflation, income and interest'!$A$38=2,"",'delay in perception'!D9)</f>
        <v/>
      </c>
      <c r="W9" s="25" t="str">
        <f>IF('inflation, income and interest'!$A$38=2,"",'delay in perception'!M9/100)</f>
        <v/>
      </c>
      <c r="X9" s="21" t="str">
        <f>IF('inflation, income and interest'!$A$38=2,"",'delay in perception'!L9/100)</f>
        <v/>
      </c>
      <c r="Y9" s="158" t="str">
        <f>IF('inflation, income and interest'!$B$38=2,"",(hystere!E9-hystere!B9)/hystere!B9)</f>
        <v/>
      </c>
      <c r="Z9" s="396" t="str">
        <f>IF('inflation, income and interest'!$B$38=2,"",hystere!M9/100)</f>
        <v/>
      </c>
      <c r="AA9" s="18" t="str">
        <f>IF('inflation, income and interest'!$B$38=2,"",hystere!E9)</f>
        <v/>
      </c>
      <c r="AB9" s="24" t="str">
        <f>IF('inflation, income and interest'!$B$38=2,"",hystere!C9)</f>
        <v/>
      </c>
      <c r="AC9" s="17" t="str">
        <f>IF('inflation, income and interest'!$B$38=2,"",hystere!O9/100)</f>
        <v/>
      </c>
      <c r="AD9" s="17" t="str">
        <f>IF('inflation, income and interest'!$B$38=2,"",hystere!N9/100)</f>
        <v/>
      </c>
    </row>
    <row r="10" spans="1:39" ht="14" thickTop="1" thickBot="1">
      <c r="A10" s="15">
        <v>7</v>
      </c>
      <c r="B10" s="17">
        <f ca="1">('normal case'!D9-'normal case'!B9)/'normal case'!B9</f>
        <v>2.4752475247524753E-3</v>
      </c>
      <c r="C10" s="23">
        <f ca="1">'normal case'!D9</f>
        <v>101.25</v>
      </c>
      <c r="D10" s="24">
        <f ca="1">'normal case'!C9</f>
        <v>-2.4630541871921707E-3</v>
      </c>
      <c r="E10" s="22">
        <f ca="1">'normal case'!L9/100</f>
        <v>1.7500000000000002E-2</v>
      </c>
      <c r="F10" s="25">
        <f ca="1">'normal case'!U9/100</f>
        <v>5.1874999999999998E-2</v>
      </c>
      <c r="G10" s="25">
        <f ca="1">'normal case'!T9/100</f>
        <v>3.4375000000000003E-2</v>
      </c>
      <c r="H10" s="25">
        <f ca="1">'public finance'!D8</f>
        <v>2.4691358024691358E-3</v>
      </c>
      <c r="I10" s="20">
        <f ca="1">'public finance'!E8</f>
        <v>2.6593016975308644E-3</v>
      </c>
      <c r="J10" s="118">
        <f ca="1">'public finance'!H8</f>
        <v>-5.5320987654321049E-3</v>
      </c>
      <c r="K10" s="17">
        <f ca="1">'public finance'!C8/'normal case'!D9</f>
        <v>0.19753086419753085</v>
      </c>
      <c r="L10" s="20">
        <f ca="1">'public finance'!A8/'normal case'!D9</f>
        <v>0.2</v>
      </c>
      <c r="M10" s="18" t="str">
        <f>IF(controls!$B$44=0,"",'normal case'!AJ9)</f>
        <v/>
      </c>
      <c r="N10" s="18" t="str">
        <f>IF(controls!$B$44=0,"",'normal case'!AM9)</f>
        <v/>
      </c>
      <c r="O10" s="160" t="str">
        <f>IF(controls!$B$44=0,"",'external balance'!D9)</f>
        <v/>
      </c>
      <c r="P10" s="160" t="str">
        <f>IF(controls!$B$44=0,"",'external balance'!F9)</f>
        <v/>
      </c>
      <c r="Q10" s="159" t="str">
        <f>IF(controls!$B$44=0,"",'external balance'!H9)</f>
        <v/>
      </c>
      <c r="R10" s="158" t="str">
        <f>IF('inflation, income and interest'!$A$38=2,"",'delay in perception'!K10/100)</f>
        <v/>
      </c>
      <c r="S10" s="17" t="str">
        <f>IF('inflation, income and interest'!$A$38=2,"",('delay in perception'!E10-'delay in perception'!C10)/'delay in perception'!C10)</f>
        <v/>
      </c>
      <c r="T10" s="17" t="str">
        <f>IF('inflation, income and interest'!$A$38=2,"",('delay in perception'!E10-'delay in perception'!B10)/'delay in perception'!B10)</f>
        <v/>
      </c>
      <c r="U10" s="18" t="str">
        <f>IF('inflation, income and interest'!$A$38=2,"",'delay in perception'!E10)</f>
        <v/>
      </c>
      <c r="V10" s="24" t="str">
        <f>IF('inflation, income and interest'!$A$38=2,"",'delay in perception'!D10)</f>
        <v/>
      </c>
      <c r="W10" s="25" t="str">
        <f>IF('inflation, income and interest'!$A$38=2,"",'delay in perception'!M10/100)</f>
        <v/>
      </c>
      <c r="X10" s="21" t="str">
        <f>IF('inflation, income and interest'!$A$38=2,"",'delay in perception'!L10/100)</f>
        <v/>
      </c>
      <c r="Y10" s="158" t="str">
        <f>IF('inflation, income and interest'!$B$38=2,"",(hystere!E10-hystere!B10)/hystere!B10)</f>
        <v/>
      </c>
      <c r="Z10" s="396" t="str">
        <f>IF('inflation, income and interest'!$B$38=2,"",hystere!M10/100)</f>
        <v/>
      </c>
      <c r="AA10" s="18" t="str">
        <f>IF('inflation, income and interest'!$B$38=2,"",hystere!E10)</f>
        <v/>
      </c>
      <c r="AB10" s="24" t="str">
        <f>IF('inflation, income and interest'!$B$38=2,"",hystere!C10)</f>
        <v/>
      </c>
      <c r="AC10" s="17" t="str">
        <f>IF('inflation, income and interest'!$B$38=2,"",hystere!O10/100)</f>
        <v/>
      </c>
      <c r="AD10" s="17" t="str">
        <f>IF('inflation, income and interest'!$B$38=2,"",hystere!N10/100)</f>
        <v/>
      </c>
    </row>
    <row r="11" spans="1:39" ht="14" thickTop="1" thickBot="1">
      <c r="A11" s="15">
        <v>8</v>
      </c>
      <c r="B11" s="17">
        <f ca="1">('normal case'!D10-'normal case'!B10)/'normal case'!B10</f>
        <v>1.2376237623762376E-3</v>
      </c>
      <c r="C11" s="23">
        <f ca="1">'normal case'!D10</f>
        <v>101.125</v>
      </c>
      <c r="D11" s="24">
        <f ca="1">'normal case'!C10</f>
        <v>-1.2345679012345512E-3</v>
      </c>
      <c r="E11" s="22">
        <f ca="1">'normal case'!L10/100</f>
        <v>1.8749999999999999E-2</v>
      </c>
      <c r="F11" s="25">
        <f ca="1">'normal case'!U10/100</f>
        <v>5.3437499999999999E-2</v>
      </c>
      <c r="G11" s="25">
        <f ca="1">'normal case'!T10/100</f>
        <v>3.4687500000000003E-2</v>
      </c>
      <c r="H11" s="25">
        <f ca="1">'public finance'!D9</f>
        <v>2.2249690976514354E-3</v>
      </c>
      <c r="I11" s="20">
        <f ca="1">'public finance'!E9</f>
        <v>2.5008841222284601E-3</v>
      </c>
      <c r="J11" s="118">
        <f ca="1">'public finance'!H9</f>
        <v>-7.9543070148331476E-3</v>
      </c>
      <c r="K11" s="17">
        <f ca="1">'public finance'!C9/'normal case'!D10</f>
        <v>0.19777503090234858</v>
      </c>
      <c r="L11" s="20">
        <f ca="1">'public finance'!A9/'normal case'!D10</f>
        <v>0.2</v>
      </c>
      <c r="M11" s="18" t="str">
        <f>IF(controls!$B$44=0,"",'normal case'!AJ10)</f>
        <v/>
      </c>
      <c r="N11" s="18" t="str">
        <f>IF(controls!$B$44=0,"",'normal case'!AM10)</f>
        <v/>
      </c>
      <c r="O11" s="160" t="str">
        <f>IF(controls!$B$44=0,"",'external balance'!D10)</f>
        <v/>
      </c>
      <c r="P11" s="160" t="str">
        <f>IF(controls!$B$44=0,"",'external balance'!F10)</f>
        <v/>
      </c>
      <c r="Q11" s="159" t="str">
        <f>IF(controls!$B$44=0,"",'external balance'!H10)</f>
        <v/>
      </c>
      <c r="R11" s="158" t="str">
        <f>IF('inflation, income and interest'!$A$38=2,"",'delay in perception'!K11/100)</f>
        <v/>
      </c>
      <c r="S11" s="17" t="str">
        <f>IF('inflation, income and interest'!$A$38=2,"",('delay in perception'!E11-'delay in perception'!C11)/'delay in perception'!C11)</f>
        <v/>
      </c>
      <c r="T11" s="17" t="str">
        <f>IF('inflation, income and interest'!$A$38=2,"",('delay in perception'!E11-'delay in perception'!B11)/'delay in perception'!B11)</f>
        <v/>
      </c>
      <c r="U11" s="18" t="str">
        <f>IF('inflation, income and interest'!$A$38=2,"",'delay in perception'!E11)</f>
        <v/>
      </c>
      <c r="V11" s="24" t="str">
        <f>IF('inflation, income and interest'!$A$38=2,"",'delay in perception'!D11)</f>
        <v/>
      </c>
      <c r="W11" s="25" t="str">
        <f>IF('inflation, income and interest'!$A$38=2,"",'delay in perception'!M11/100)</f>
        <v/>
      </c>
      <c r="X11" s="21" t="str">
        <f>IF('inflation, income and interest'!$A$38=2,"",'delay in perception'!L11/100)</f>
        <v/>
      </c>
      <c r="Y11" s="158" t="str">
        <f>IF('inflation, income and interest'!$B$38=2,"",(hystere!E11-hystere!B11)/hystere!B11)</f>
        <v/>
      </c>
      <c r="Z11" s="396" t="str">
        <f>IF('inflation, income and interest'!$B$38=2,"",hystere!M11/100)</f>
        <v/>
      </c>
      <c r="AA11" s="18" t="str">
        <f>IF('inflation, income and interest'!$B$38=2,"",hystere!E11)</f>
        <v/>
      </c>
      <c r="AB11" s="24" t="str">
        <f>IF('inflation, income and interest'!$B$38=2,"",hystere!C11)</f>
        <v/>
      </c>
      <c r="AC11" s="17" t="str">
        <f>IF('inflation, income and interest'!$B$38=2,"",hystere!O11/100)</f>
        <v/>
      </c>
      <c r="AD11" s="17" t="str">
        <f>IF('inflation, income and interest'!$B$38=2,"",hystere!N11/100)</f>
        <v/>
      </c>
    </row>
    <row r="12" spans="1:39" ht="14" thickTop="1" thickBot="1">
      <c r="A12" s="15">
        <v>9</v>
      </c>
      <c r="B12" s="17">
        <f ca="1">('normal case'!D11-'normal case'!B11)/'normal case'!B11</f>
        <v>6.1881188118811882E-4</v>
      </c>
      <c r="C12" s="23">
        <f ca="1">'normal case'!D11</f>
        <v>101.0625</v>
      </c>
      <c r="D12" s="24">
        <f ca="1">'normal case'!C11</f>
        <v>-6.1804697156986332E-4</v>
      </c>
      <c r="E12" s="22">
        <f ca="1">'normal case'!L11/100</f>
        <v>1.9375E-2</v>
      </c>
      <c r="F12" s="25">
        <f ca="1">'normal case'!U11/100</f>
        <v>5.4218750000000003E-2</v>
      </c>
      <c r="G12" s="25">
        <f ca="1">'normal case'!T11/100</f>
        <v>3.484375E-2</v>
      </c>
      <c r="H12" s="25">
        <f ca="1">'public finance'!D10</f>
        <v>2.1026592455164095E-3</v>
      </c>
      <c r="I12" s="20">
        <f ca="1">'public finance'!E10</f>
        <v>2.4628729258395145E-3</v>
      </c>
      <c r="J12" s="118">
        <f ca="1">'public finance'!H10</f>
        <v>-1.0337971094474764E-2</v>
      </c>
      <c r="K12" s="17">
        <f ca="1">'public finance'!C10/'normal case'!D11</f>
        <v>0.19789734075448362</v>
      </c>
      <c r="L12" s="20">
        <f ca="1">'public finance'!A10/'normal case'!D11</f>
        <v>0.2</v>
      </c>
      <c r="M12" s="18" t="str">
        <f>IF(controls!$B$44=0,"",'normal case'!AJ11)</f>
        <v/>
      </c>
      <c r="N12" s="18" t="str">
        <f>IF(controls!$B$44=0,"",'normal case'!AM11)</f>
        <v/>
      </c>
      <c r="O12" s="160" t="str">
        <f>IF(controls!$B$44=0,"",'external balance'!D11)</f>
        <v/>
      </c>
      <c r="P12" s="160" t="str">
        <f>IF(controls!$B$44=0,"",'external balance'!F11)</f>
        <v/>
      </c>
      <c r="Q12" s="159" t="str">
        <f>IF(controls!$B$44=0,"",'external balance'!H11)</f>
        <v/>
      </c>
      <c r="R12" s="158" t="str">
        <f>IF('inflation, income and interest'!$A$38=2,"",'delay in perception'!K12/100)</f>
        <v/>
      </c>
      <c r="S12" s="17" t="str">
        <f>IF('inflation, income and interest'!$A$38=2,"",('delay in perception'!E12-'delay in perception'!C12)/'delay in perception'!C12)</f>
        <v/>
      </c>
      <c r="T12" s="17" t="str">
        <f>IF('inflation, income and interest'!$A$38=2,"",('delay in perception'!E12-'delay in perception'!B12)/'delay in perception'!B12)</f>
        <v/>
      </c>
      <c r="U12" s="18" t="str">
        <f>IF('inflation, income and interest'!$A$38=2,"",'delay in perception'!E12)</f>
        <v/>
      </c>
      <c r="V12" s="24" t="str">
        <f>IF('inflation, income and interest'!$A$38=2,"",'delay in perception'!D12)</f>
        <v/>
      </c>
      <c r="W12" s="25" t="str">
        <f>IF('inflation, income and interest'!$A$38=2,"",'delay in perception'!M12/100)</f>
        <v/>
      </c>
      <c r="X12" s="21" t="str">
        <f>IF('inflation, income and interest'!$A$38=2,"",'delay in perception'!L12/100)</f>
        <v/>
      </c>
      <c r="Y12" s="158" t="str">
        <f>IF('inflation, income and interest'!$B$38=2,"",(hystere!E12-hystere!B12)/hystere!B12)</f>
        <v/>
      </c>
      <c r="Z12" s="396" t="str">
        <f>IF('inflation, income and interest'!$B$38=2,"",hystere!M12/100)</f>
        <v/>
      </c>
      <c r="AA12" s="18" t="str">
        <f>IF('inflation, income and interest'!$B$38=2,"",hystere!E12)</f>
        <v/>
      </c>
      <c r="AB12" s="24" t="str">
        <f>IF('inflation, income and interest'!$B$38=2,"",hystere!C12)</f>
        <v/>
      </c>
      <c r="AC12" s="17" t="str">
        <f>IF('inflation, income and interest'!$B$38=2,"",hystere!O12/100)</f>
        <v/>
      </c>
      <c r="AD12" s="17" t="str">
        <f>IF('inflation, income and interest'!$B$38=2,"",hystere!N12/100)</f>
        <v/>
      </c>
    </row>
    <row r="13" spans="1:39" ht="14" thickTop="1" thickBot="1">
      <c r="A13" s="28">
        <v>10</v>
      </c>
      <c r="B13" s="17">
        <f ca="1">('normal case'!D12-'normal case'!B12)/'normal case'!B12</f>
        <v>3.0940594059405941E-4</v>
      </c>
      <c r="C13" s="23">
        <f ca="1">'normal case'!D12</f>
        <v>101.03125</v>
      </c>
      <c r="D13" s="24">
        <f ca="1">'normal case'!C12</f>
        <v>-3.0921459492883052E-4</v>
      </c>
      <c r="E13" s="22">
        <f ca="1">'normal case'!L12/100</f>
        <v>1.96875E-2</v>
      </c>
      <c r="F13" s="25">
        <f ca="1">'normal case'!U12/100</f>
        <v>5.4609375000000002E-2</v>
      </c>
      <c r="G13" s="25">
        <f ca="1">'normal case'!T12/100</f>
        <v>3.4921874999999998E-2</v>
      </c>
      <c r="H13" s="25">
        <f ca="1">'public finance'!D11</f>
        <v>2.0414475719146372E-3</v>
      </c>
      <c r="I13" s="20">
        <f ca="1">'public finance'!E11</f>
        <v>2.4864549787851488E-3</v>
      </c>
      <c r="J13" s="118">
        <f ca="1">'public finance'!H11</f>
        <v>-1.2742941404793175E-2</v>
      </c>
      <c r="K13" s="17">
        <f ca="1">'public finance'!C11/'normal case'!D12</f>
        <v>0.19795855242808538</v>
      </c>
      <c r="L13" s="20">
        <f ca="1">'public finance'!A11/'normal case'!D12</f>
        <v>0.2</v>
      </c>
      <c r="M13" s="18" t="str">
        <f>IF(controls!$B$44=0,"",'normal case'!AJ12)</f>
        <v/>
      </c>
      <c r="N13" s="18" t="str">
        <f>IF(controls!$B$44=0,"",'normal case'!AM12)</f>
        <v/>
      </c>
      <c r="O13" s="160" t="str">
        <f>IF(controls!$B$44=0,"",'external balance'!D12)</f>
        <v/>
      </c>
      <c r="P13" s="160" t="str">
        <f>IF(controls!$B$44=0,"",'external balance'!F12)</f>
        <v/>
      </c>
      <c r="Q13" s="159" t="str">
        <f>IF(controls!$B$44=0,"",'external balance'!H12)</f>
        <v/>
      </c>
      <c r="R13" s="158" t="str">
        <f>IF('inflation, income and interest'!$A$38=2,"",'delay in perception'!K13/100)</f>
        <v/>
      </c>
      <c r="S13" s="17" t="str">
        <f>IF('inflation, income and interest'!$A$38=2,"",('delay in perception'!E13-'delay in perception'!C13)/'delay in perception'!C13)</f>
        <v/>
      </c>
      <c r="T13" s="17" t="str">
        <f>IF('inflation, income and interest'!$A$38=2,"",('delay in perception'!E13-'delay in perception'!B13)/'delay in perception'!B13)</f>
        <v/>
      </c>
      <c r="U13" s="18" t="str">
        <f>IF('inflation, income and interest'!$A$38=2,"",'delay in perception'!E13)</f>
        <v/>
      </c>
      <c r="V13" s="24" t="str">
        <f>IF('inflation, income and interest'!$A$38=2,"",'delay in perception'!D13)</f>
        <v/>
      </c>
      <c r="W13" s="25" t="str">
        <f>IF('inflation, income and interest'!$A$38=2,"",'delay in perception'!M13/100)</f>
        <v/>
      </c>
      <c r="X13" s="21" t="str">
        <f>IF('inflation, income and interest'!$A$38=2,"",'delay in perception'!L13/100)</f>
        <v/>
      </c>
      <c r="Y13" s="158" t="str">
        <f>IF('inflation, income and interest'!$B$38=2,"",(hystere!E13-hystere!B13)/hystere!B13)</f>
        <v/>
      </c>
      <c r="Z13" s="396" t="str">
        <f>IF('inflation, income and interest'!$B$38=2,"",hystere!M13/100)</f>
        <v/>
      </c>
      <c r="AA13" s="18" t="str">
        <f>IF('inflation, income and interest'!$B$38=2,"",hystere!E13)</f>
        <v/>
      </c>
      <c r="AB13" s="24" t="str">
        <f>IF('inflation, income and interest'!$B$38=2,"",hystere!C13)</f>
        <v/>
      </c>
      <c r="AC13" s="17" t="str">
        <f>IF('inflation, income and interest'!$B$38=2,"",hystere!O13/100)</f>
        <v/>
      </c>
      <c r="AD13" s="17" t="str">
        <f>IF('inflation, income and interest'!$B$38=2,"",hystere!N13/100)</f>
        <v/>
      </c>
    </row>
    <row r="14" spans="1:39" ht="14" thickTop="1" thickBot="1">
      <c r="A14" s="15">
        <v>11</v>
      </c>
      <c r="B14" s="17">
        <f ca="1">('normal case'!D13-'normal case'!B13)/'normal case'!B13</f>
        <v>1.547029702970297E-4</v>
      </c>
      <c r="C14" s="23">
        <f ca="1">'normal case'!D13</f>
        <v>101.015625</v>
      </c>
      <c r="D14" s="24">
        <f ca="1">'normal case'!C13</f>
        <v>-1.5465511908441254E-4</v>
      </c>
      <c r="E14" s="22">
        <f ca="1">'normal case'!L13/100</f>
        <v>1.984375E-2</v>
      </c>
      <c r="F14" s="25">
        <f ca="1">'normal case'!U13/100</f>
        <v>5.4804687499999998E-2</v>
      </c>
      <c r="G14" s="25">
        <f ca="1">'normal case'!T13/100</f>
        <v>3.4960937499999997E-2</v>
      </c>
      <c r="H14" s="25">
        <f ca="1">'public finance'!D12</f>
        <v>2.0108275328692962E-3</v>
      </c>
      <c r="I14" s="20">
        <f ca="1">'public finance'!E12</f>
        <v>2.5422623195180453E-3</v>
      </c>
      <c r="J14" s="118">
        <f ca="1">'public finance'!H12</f>
        <v>-1.5200816243807794E-2</v>
      </c>
      <c r="K14" s="17">
        <f ca="1">'public finance'!C12/'normal case'!D13</f>
        <v>0.19798917246713071</v>
      </c>
      <c r="L14" s="20">
        <f ca="1">'public finance'!A12/'normal case'!D13</f>
        <v>0.2</v>
      </c>
      <c r="M14" s="18" t="str">
        <f>IF(controls!$B$44=0,"",'normal case'!AJ13)</f>
        <v/>
      </c>
      <c r="N14" s="18" t="str">
        <f>IF(controls!$B$44=0,"",'normal case'!AM13)</f>
        <v/>
      </c>
      <c r="O14" s="160" t="str">
        <f>IF(controls!$B$44=0,"",'external balance'!D13)</f>
        <v/>
      </c>
      <c r="P14" s="160" t="str">
        <f>IF(controls!$B$44=0,"",'external balance'!F13)</f>
        <v/>
      </c>
      <c r="Q14" s="159" t="str">
        <f>IF(controls!$B$44=0,"",'external balance'!H13)</f>
        <v/>
      </c>
      <c r="R14" s="158" t="str">
        <f>IF('inflation, income and interest'!$A$38=2,"",'delay in perception'!K14/100)</f>
        <v/>
      </c>
      <c r="S14" s="17" t="str">
        <f>IF('inflation, income and interest'!$A$38=2,"",('delay in perception'!E14-'delay in perception'!C14)/'delay in perception'!C14)</f>
        <v/>
      </c>
      <c r="T14" s="17" t="str">
        <f>IF('inflation, income and interest'!$A$38=2,"",('delay in perception'!E14-'delay in perception'!B14)/'delay in perception'!B14)</f>
        <v/>
      </c>
      <c r="U14" s="18" t="str">
        <f>IF('inflation, income and interest'!$A$38=2,"",'delay in perception'!E14)</f>
        <v/>
      </c>
      <c r="V14" s="24" t="str">
        <f>IF('inflation, income and interest'!$A$38=2,"",'delay in perception'!D14)</f>
        <v/>
      </c>
      <c r="W14" s="25" t="str">
        <f>IF('inflation, income and interest'!$A$38=2,"",'delay in perception'!M14/100)</f>
        <v/>
      </c>
      <c r="X14" s="21" t="str">
        <f>IF('inflation, income and interest'!$A$38=2,"",'delay in perception'!L14/100)</f>
        <v/>
      </c>
      <c r="Y14" s="158" t="str">
        <f>IF('inflation, income and interest'!$B$38=2,"",(hystere!E14-hystere!B14)/hystere!B14)</f>
        <v/>
      </c>
      <c r="Z14" s="396" t="str">
        <f>IF('inflation, income and interest'!$B$38=2,"",hystere!M14/100)</f>
        <v/>
      </c>
      <c r="AA14" s="18" t="str">
        <f>IF('inflation, income and interest'!$B$38=2,"",hystere!E14)</f>
        <v/>
      </c>
      <c r="AB14" s="24" t="str">
        <f>IF('inflation, income and interest'!$B$38=2,"",hystere!C14)</f>
        <v/>
      </c>
      <c r="AC14" s="17" t="str">
        <f>IF('inflation, income and interest'!$B$38=2,"",hystere!O14/100)</f>
        <v/>
      </c>
      <c r="AD14" s="17" t="str">
        <f>IF('inflation, income and interest'!$B$38=2,"",hystere!N14/100)</f>
        <v/>
      </c>
    </row>
    <row r="15" spans="1:39" ht="14" thickTop="1" thickBot="1">
      <c r="A15" s="15">
        <v>12</v>
      </c>
      <c r="B15" s="17">
        <f ca="1">('normal case'!D14-'normal case'!B14)/'normal case'!B14</f>
        <v>7.7351485148514852E-5</v>
      </c>
      <c r="C15" s="23">
        <f ca="1">'normal case'!D14</f>
        <v>101.0078125</v>
      </c>
      <c r="D15" s="24">
        <f ca="1">'normal case'!C14</f>
        <v>-7.7339520494934533E-5</v>
      </c>
      <c r="E15" s="22">
        <f ca="1">'normal case'!L14/100</f>
        <v>1.9921874999999999E-2</v>
      </c>
      <c r="F15" s="25">
        <f ca="1">'normal case'!U14/100</f>
        <v>5.4902343749999999E-2</v>
      </c>
      <c r="G15" s="25">
        <f ca="1">'normal case'!T14/100</f>
        <v>3.498046875E-2</v>
      </c>
      <c r="H15" s="25">
        <f ca="1">'public finance'!D13</f>
        <v>1.9955139608631898E-3</v>
      </c>
      <c r="I15" s="20">
        <f ca="1">'public finance'!E13</f>
        <v>2.6156820550434718E-3</v>
      </c>
      <c r="J15" s="118">
        <f ca="1">'public finance'!H13</f>
        <v>-1.7728981810178922E-2</v>
      </c>
      <c r="K15" s="17">
        <f ca="1">'public finance'!C13/'normal case'!D14</f>
        <v>0.19800448603913681</v>
      </c>
      <c r="L15" s="20">
        <f ca="1">'public finance'!A13/'normal case'!D14</f>
        <v>0.2</v>
      </c>
      <c r="M15" s="18" t="str">
        <f>IF(controls!$B$44=0,"",'normal case'!AJ14)</f>
        <v/>
      </c>
      <c r="N15" s="18" t="str">
        <f>IF(controls!$B$44=0,"",'normal case'!AM14)</f>
        <v/>
      </c>
      <c r="O15" s="160" t="str">
        <f>IF(controls!$B$44=0,"",'external balance'!D14)</f>
        <v/>
      </c>
      <c r="P15" s="160" t="str">
        <f>IF(controls!$B$44=0,"",'external balance'!F14)</f>
        <v/>
      </c>
      <c r="Q15" s="159" t="str">
        <f>IF(controls!$B$44=0,"",'external balance'!H14)</f>
        <v/>
      </c>
      <c r="R15" s="158" t="str">
        <f>IF('inflation, income and interest'!$A$38=2,"",'delay in perception'!K15/100)</f>
        <v/>
      </c>
      <c r="S15" s="17" t="str">
        <f>IF('inflation, income and interest'!$A$38=2,"",('delay in perception'!E15-'delay in perception'!C15)/'delay in perception'!C15)</f>
        <v/>
      </c>
      <c r="T15" s="17" t="str">
        <f>IF('inflation, income and interest'!$A$38=2,"",('delay in perception'!E15-'delay in perception'!B15)/'delay in perception'!B15)</f>
        <v/>
      </c>
      <c r="U15" s="18" t="str">
        <f>IF('inflation, income and interest'!$A$38=2,"",'delay in perception'!E15)</f>
        <v/>
      </c>
      <c r="V15" s="24" t="str">
        <f>IF('inflation, income and interest'!$A$38=2,"",'delay in perception'!D15)</f>
        <v/>
      </c>
      <c r="W15" s="25" t="str">
        <f>IF('inflation, income and interest'!$A$38=2,"",'delay in perception'!M15/100)</f>
        <v/>
      </c>
      <c r="X15" s="21" t="str">
        <f>IF('inflation, income and interest'!$A$38=2,"",'delay in perception'!L15/100)</f>
        <v/>
      </c>
      <c r="Y15" s="158" t="str">
        <f>IF('inflation, income and interest'!$B$38=2,"",(hystere!E15-hystere!B15)/hystere!B15)</f>
        <v/>
      </c>
      <c r="Z15" s="396" t="str">
        <f>IF('inflation, income and interest'!$B$38=2,"",hystere!M15/100)</f>
        <v/>
      </c>
      <c r="AA15" s="18" t="str">
        <f>IF('inflation, income and interest'!$B$38=2,"",hystere!E15)</f>
        <v/>
      </c>
      <c r="AB15" s="24" t="str">
        <f>IF('inflation, income and interest'!$B$38=2,"",hystere!C15)</f>
        <v/>
      </c>
      <c r="AC15" s="17" t="str">
        <f>IF('inflation, income and interest'!$B$38=2,"",hystere!O15/100)</f>
        <v/>
      </c>
      <c r="AD15" s="17" t="str">
        <f>IF('inflation, income and interest'!$B$38=2,"",hystere!N15/100)</f>
        <v/>
      </c>
    </row>
    <row r="16" spans="1:39" ht="14" thickTop="1" thickBot="1">
      <c r="A16" s="15">
        <v>13</v>
      </c>
      <c r="B16" s="17">
        <f ca="1">('normal case'!D15-'normal case'!B15)/'normal case'!B15</f>
        <v>3.8675742574257426E-5</v>
      </c>
      <c r="C16" s="23">
        <f ca="1">'normal case'!D15</f>
        <v>101.00390625</v>
      </c>
      <c r="D16" s="24">
        <f ca="1">'normal case'!C15</f>
        <v>-3.8672751179524845E-5</v>
      </c>
      <c r="E16" s="22">
        <f ca="1">'normal case'!L15/100</f>
        <v>1.9960937500000001E-2</v>
      </c>
      <c r="F16" s="25">
        <f ca="1">'normal case'!U15/100</f>
        <v>5.4951171875000003E-2</v>
      </c>
      <c r="G16" s="25">
        <f ca="1">'normal case'!T15/100</f>
        <v>3.4990234374999998E-2</v>
      </c>
      <c r="H16" s="25">
        <f ca="1">'public finance'!D14</f>
        <v>1.9878562864988417E-3</v>
      </c>
      <c r="I16" s="20">
        <f ca="1">'public finance'!E14</f>
        <v>2.6994777300570483E-3</v>
      </c>
      <c r="J16" s="118">
        <f ca="1">'public finance'!H14</f>
        <v>-2.0337715830410365E-2</v>
      </c>
      <c r="K16" s="17">
        <f ca="1">'public finance'!C14/'normal case'!D15</f>
        <v>0.19801214371350118</v>
      </c>
      <c r="L16" s="20">
        <f ca="1">'public finance'!A14/'normal case'!D15</f>
        <v>0.2</v>
      </c>
      <c r="M16" s="18" t="str">
        <f>IF(controls!$B$44=0,"",'normal case'!AJ15)</f>
        <v/>
      </c>
      <c r="N16" s="18" t="str">
        <f>IF(controls!$B$44=0,"",'normal case'!AM15)</f>
        <v/>
      </c>
      <c r="O16" s="160" t="str">
        <f>IF(controls!$B$44=0,"",'external balance'!D15)</f>
        <v/>
      </c>
      <c r="P16" s="160" t="str">
        <f>IF(controls!$B$44=0,"",'external balance'!F15)</f>
        <v/>
      </c>
      <c r="Q16" s="159" t="str">
        <f>IF(controls!$B$44=0,"",'external balance'!H15)</f>
        <v/>
      </c>
      <c r="R16" s="158" t="str">
        <f>IF('inflation, income and interest'!$A$38=2,"",'delay in perception'!K16/100)</f>
        <v/>
      </c>
      <c r="S16" s="17" t="str">
        <f>IF('inflation, income and interest'!$A$38=2,"",('delay in perception'!E16-'delay in perception'!C16)/'delay in perception'!C16)</f>
        <v/>
      </c>
      <c r="T16" s="17" t="str">
        <f>IF('inflation, income and interest'!$A$38=2,"",('delay in perception'!E16-'delay in perception'!B16)/'delay in perception'!B16)</f>
        <v/>
      </c>
      <c r="U16" s="18" t="str">
        <f>IF('inflation, income and interest'!$A$38=2,"",'delay in perception'!E16)</f>
        <v/>
      </c>
      <c r="V16" s="24" t="str">
        <f>IF('inflation, income and interest'!$A$38=2,"",'delay in perception'!D16)</f>
        <v/>
      </c>
      <c r="W16" s="25" t="str">
        <f>IF('inflation, income and interest'!$A$38=2,"",'delay in perception'!M16/100)</f>
        <v/>
      </c>
      <c r="X16" s="21" t="str">
        <f>IF('inflation, income and interest'!$A$38=2,"",'delay in perception'!L16/100)</f>
        <v/>
      </c>
      <c r="Y16" s="158" t="str">
        <f>IF('inflation, income and interest'!$B$38=2,"",(hystere!E16-hystere!B16)/hystere!B16)</f>
        <v/>
      </c>
      <c r="Z16" s="396" t="str">
        <f>IF('inflation, income and interest'!$B$38=2,"",hystere!M16/100)</f>
        <v/>
      </c>
      <c r="AA16" s="18" t="str">
        <f>IF('inflation, income and interest'!$B$38=2,"",hystere!E16)</f>
        <v/>
      </c>
      <c r="AB16" s="24" t="str">
        <f>IF('inflation, income and interest'!$B$38=2,"",hystere!C16)</f>
        <v/>
      </c>
      <c r="AC16" s="17" t="str">
        <f>IF('inflation, income and interest'!$B$38=2,"",hystere!O16/100)</f>
        <v/>
      </c>
      <c r="AD16" s="17" t="str">
        <f>IF('inflation, income and interest'!$B$38=2,"",hystere!N16/100)</f>
        <v/>
      </c>
    </row>
    <row r="17" spans="1:30" ht="14" thickTop="1" thickBot="1">
      <c r="A17" s="15">
        <v>14</v>
      </c>
      <c r="B17" s="17">
        <f ca="1">('normal case'!D16-'normal case'!B16)/'normal case'!B16</f>
        <v>1.9337871287128713E-5</v>
      </c>
      <c r="C17" s="23">
        <f ca="1">'normal case'!D16</f>
        <v>101.001953125</v>
      </c>
      <c r="D17" s="24">
        <f ca="1">'normal case'!C16</f>
        <v>-1.9337123409512991E-5</v>
      </c>
      <c r="E17" s="22">
        <f ca="1">'normal case'!L16/100</f>
        <v>1.9980468750000001E-2</v>
      </c>
      <c r="F17" s="25">
        <f ca="1">'normal case'!U16/100</f>
        <v>5.4975585937500002E-2</v>
      </c>
      <c r="G17" s="25">
        <f ca="1">'normal case'!T16/100</f>
        <v>3.4995117187500001E-2</v>
      </c>
      <c r="H17" s="25">
        <f ca="1">'public finance'!D15</f>
        <v>1.9840272271962633E-3</v>
      </c>
      <c r="I17" s="20">
        <f ca="1">'public finance'!E15</f>
        <v>2.7900967616020468E-3</v>
      </c>
      <c r="J17" s="118">
        <f ca="1">'public finance'!H15</f>
        <v>-2.3033771542668398E-2</v>
      </c>
      <c r="K17" s="17">
        <f ca="1">'public finance'!C15/'normal case'!D16</f>
        <v>0.19801597277280375</v>
      </c>
      <c r="L17" s="20">
        <f ca="1">'public finance'!A15/'normal case'!D16</f>
        <v>0.2</v>
      </c>
      <c r="M17" s="18" t="str">
        <f>IF(controls!$B$44=0,"",'normal case'!AJ16)</f>
        <v/>
      </c>
      <c r="N17" s="18" t="str">
        <f>IF(controls!$B$44=0,"",'normal case'!AM16)</f>
        <v/>
      </c>
      <c r="O17" s="160" t="str">
        <f>IF(controls!$B$44=0,"",'external balance'!D16)</f>
        <v/>
      </c>
      <c r="P17" s="160" t="str">
        <f>IF(controls!$B$44=0,"",'external balance'!F16)</f>
        <v/>
      </c>
      <c r="Q17" s="159" t="str">
        <f>IF(controls!$B$44=0,"",'external balance'!H16)</f>
        <v/>
      </c>
      <c r="R17" s="158" t="str">
        <f>IF('inflation, income and interest'!$A$38=2,"",'delay in perception'!K17/100)</f>
        <v/>
      </c>
      <c r="S17" s="17" t="str">
        <f>IF('inflation, income and interest'!$A$38=2,"",('delay in perception'!E17-'delay in perception'!C17)/'delay in perception'!C17)</f>
        <v/>
      </c>
      <c r="T17" s="17" t="str">
        <f>IF('inflation, income and interest'!$A$38=2,"",('delay in perception'!E17-'delay in perception'!B17)/'delay in perception'!B17)</f>
        <v/>
      </c>
      <c r="U17" s="18" t="str">
        <f>IF('inflation, income and interest'!$A$38=2,"",'delay in perception'!E17)</f>
        <v/>
      </c>
      <c r="V17" s="24" t="str">
        <f>IF('inflation, income and interest'!$A$38=2,"",'delay in perception'!D17)</f>
        <v/>
      </c>
      <c r="W17" s="25" t="str">
        <f>IF('inflation, income and interest'!$A$38=2,"",'delay in perception'!M17/100)</f>
        <v/>
      </c>
      <c r="X17" s="21" t="str">
        <f>IF('inflation, income and interest'!$A$38=2,"",'delay in perception'!L17/100)</f>
        <v/>
      </c>
      <c r="Y17" s="158" t="str">
        <f>IF('inflation, income and interest'!$B$38=2,"",(hystere!E17-hystere!B17)/hystere!B17)</f>
        <v/>
      </c>
      <c r="Z17" s="396" t="str">
        <f>IF('inflation, income and interest'!$B$38=2,"",hystere!M17/100)</f>
        <v/>
      </c>
      <c r="AA17" s="18" t="str">
        <f>IF('inflation, income and interest'!$B$38=2,"",hystere!E17)</f>
        <v/>
      </c>
      <c r="AB17" s="24" t="str">
        <f>IF('inflation, income and interest'!$B$38=2,"",hystere!C17)</f>
        <v/>
      </c>
      <c r="AC17" s="17" t="str">
        <f>IF('inflation, income and interest'!$B$38=2,"",hystere!O17/100)</f>
        <v/>
      </c>
      <c r="AD17" s="17" t="str">
        <f>IF('inflation, income and interest'!$B$38=2,"",hystere!N17/100)</f>
        <v/>
      </c>
    </row>
    <row r="18" spans="1:30" ht="14" thickTop="1" thickBot="1">
      <c r="A18" s="15">
        <v>15</v>
      </c>
      <c r="B18" s="17">
        <f ca="1">('normal case'!D17-'normal case'!B17)/'normal case'!B17</f>
        <v>9.6689356435643566E-6</v>
      </c>
      <c r="C18" s="23">
        <f ca="1">'normal case'!D17</f>
        <v>101.0009765625</v>
      </c>
      <c r="D18" s="24">
        <f ca="1">'normal case'!C17</f>
        <v>-9.6687486705882009E-6</v>
      </c>
      <c r="E18" s="22">
        <f ca="1">'normal case'!L17/100</f>
        <v>1.9990234374999999E-2</v>
      </c>
      <c r="F18" s="25">
        <f ca="1">'normal case'!U17/100</f>
        <v>5.4987792968749998E-2</v>
      </c>
      <c r="G18" s="25">
        <f ca="1">'normal case'!T17/100</f>
        <v>3.4997558593749999E-2</v>
      </c>
      <c r="H18" s="25">
        <f ca="1">'public finance'!D16</f>
        <v>1.982112642011119E-3</v>
      </c>
      <c r="I18" s="20">
        <f ca="1">'public finance'!E16</f>
        <v>2.8858260473652686E-3</v>
      </c>
      <c r="J18" s="118">
        <f ca="1">'public finance'!H16</f>
        <v>-2.5822184222745705E-2</v>
      </c>
      <c r="K18" s="17">
        <f ca="1">'public finance'!C16/'normal case'!D17</f>
        <v>0.19801788735798889</v>
      </c>
      <c r="L18" s="20">
        <f ca="1">'public finance'!A16/'normal case'!D17</f>
        <v>0.2</v>
      </c>
      <c r="M18" s="18" t="str">
        <f>IF(controls!$B$44=0,"",'normal case'!AJ17)</f>
        <v/>
      </c>
      <c r="N18" s="18" t="str">
        <f>IF(controls!$B$44=0,"",'normal case'!AM17)</f>
        <v/>
      </c>
      <c r="O18" s="160" t="str">
        <f>IF(controls!$B$44=0,"",'external balance'!D17)</f>
        <v/>
      </c>
      <c r="P18" s="160" t="str">
        <f>IF(controls!$B$44=0,"",'external balance'!F17)</f>
        <v/>
      </c>
      <c r="Q18" s="159" t="str">
        <f>IF(controls!$B$44=0,"",'external balance'!H17)</f>
        <v/>
      </c>
      <c r="R18" s="158" t="str">
        <f>IF('inflation, income and interest'!$A$38=2,"",'delay in perception'!K18/100)</f>
        <v/>
      </c>
      <c r="S18" s="17" t="str">
        <f>IF('inflation, income and interest'!$A$38=2,"",('delay in perception'!E18-'delay in perception'!C18)/'delay in perception'!C18)</f>
        <v/>
      </c>
      <c r="T18" s="17" t="str">
        <f>IF('inflation, income and interest'!$A$38=2,"",('delay in perception'!E18-'delay in perception'!B18)/'delay in perception'!B18)</f>
        <v/>
      </c>
      <c r="U18" s="18" t="str">
        <f>IF('inflation, income and interest'!$A$38=2,"",'delay in perception'!E18)</f>
        <v/>
      </c>
      <c r="V18" s="24" t="str">
        <f>IF('inflation, income and interest'!$A$38=2,"",'delay in perception'!D18)</f>
        <v/>
      </c>
      <c r="W18" s="25" t="str">
        <f>IF('inflation, income and interest'!$A$38=2,"",'delay in perception'!M18/100)</f>
        <v/>
      </c>
      <c r="X18" s="21" t="str">
        <f>IF('inflation, income and interest'!$A$38=2,"",'delay in perception'!L18/100)</f>
        <v/>
      </c>
      <c r="Y18" s="158" t="str">
        <f>IF('inflation, income and interest'!$B$38=2,"",(hystere!E18-hystere!B18)/hystere!B18)</f>
        <v/>
      </c>
      <c r="Z18" s="396" t="str">
        <f>IF('inflation, income and interest'!$B$38=2,"",hystere!M18/100)</f>
        <v/>
      </c>
      <c r="AA18" s="18" t="str">
        <f>IF('inflation, income and interest'!$B$38=2,"",hystere!E18)</f>
        <v/>
      </c>
      <c r="AB18" s="24" t="str">
        <f>IF('inflation, income and interest'!$B$38=2,"",hystere!C18)</f>
        <v/>
      </c>
      <c r="AC18" s="17" t="str">
        <f>IF('inflation, income and interest'!$B$38=2,"",hystere!O18/100)</f>
        <v/>
      </c>
      <c r="AD18" s="17" t="str">
        <f>IF('inflation, income and interest'!$B$38=2,"",hystere!N18/100)</f>
        <v/>
      </c>
    </row>
    <row r="19" spans="1:30" ht="14" thickTop="1" thickBot="1">
      <c r="A19" s="15">
        <v>16</v>
      </c>
      <c r="B19" s="17">
        <f ca="1">('normal case'!D18-'normal case'!B18)/'normal case'!B18</f>
        <v>4.8344678217821783E-6</v>
      </c>
      <c r="C19" s="23">
        <f ca="1">'normal case'!D18</f>
        <v>101.00048828125</v>
      </c>
      <c r="D19" s="24">
        <f ca="1">'normal case'!C18</f>
        <v>-4.8344210781259278E-6</v>
      </c>
      <c r="E19" s="22">
        <f ca="1">'normal case'!L18/100</f>
        <v>1.9995117187500001E-2</v>
      </c>
      <c r="F19" s="25">
        <f ca="1">'normal case'!U18/100</f>
        <v>5.4993896484374999E-2</v>
      </c>
      <c r="G19" s="25">
        <f ca="1">'normal case'!T18/100</f>
        <v>3.4998779296874998E-2</v>
      </c>
      <c r="H19" s="25">
        <f ca="1">'public finance'!D17</f>
        <v>1.981155335534631E-3</v>
      </c>
      <c r="I19" s="20">
        <f ca="1">'public finance'!E17</f>
        <v>2.9858716684852162E-3</v>
      </c>
      <c r="J19" s="118">
        <f ca="1">'public finance'!H17</f>
        <v>-2.8707182168501943E-2</v>
      </c>
      <c r="K19" s="17">
        <f ca="1">'public finance'!C17/'normal case'!D18</f>
        <v>0.19801884466446537</v>
      </c>
      <c r="L19" s="20">
        <f ca="1">'public finance'!A17/'normal case'!D18</f>
        <v>0.2</v>
      </c>
      <c r="M19" s="18" t="str">
        <f>IF(controls!$B$44=0,"",'normal case'!AJ18)</f>
        <v/>
      </c>
      <c r="N19" s="18" t="str">
        <f>IF(controls!$B$44=0,"",'normal case'!AM18)</f>
        <v/>
      </c>
      <c r="O19" s="160" t="str">
        <f>IF(controls!$B$44=0,"",'external balance'!D18)</f>
        <v/>
      </c>
      <c r="P19" s="160" t="str">
        <f>IF(controls!$B$44=0,"",'external balance'!F18)</f>
        <v/>
      </c>
      <c r="Q19" s="159" t="str">
        <f>IF(controls!$B$44=0,"",'external balance'!H18)</f>
        <v/>
      </c>
      <c r="R19" s="158" t="str">
        <f>IF('inflation, income and interest'!$A$38=2,"",'delay in perception'!K19/100)</f>
        <v/>
      </c>
      <c r="S19" s="17" t="str">
        <f>IF('inflation, income and interest'!$A$38=2,"",('delay in perception'!E19-'delay in perception'!C19)/'delay in perception'!C19)</f>
        <v/>
      </c>
      <c r="T19" s="17" t="str">
        <f>IF('inflation, income and interest'!$A$38=2,"",('delay in perception'!E19-'delay in perception'!B19)/'delay in perception'!B19)</f>
        <v/>
      </c>
      <c r="U19" s="18" t="str">
        <f>IF('inflation, income and interest'!$A$38=2,"",'delay in perception'!E19)</f>
        <v/>
      </c>
      <c r="V19" s="24" t="str">
        <f>IF('inflation, income and interest'!$A$38=2,"",'delay in perception'!D19)</f>
        <v/>
      </c>
      <c r="W19" s="25" t="str">
        <f>IF('inflation, income and interest'!$A$38=2,"",'delay in perception'!M19/100)</f>
        <v/>
      </c>
      <c r="X19" s="21" t="str">
        <f>IF('inflation, income and interest'!$A$38=2,"",'delay in perception'!L19/100)</f>
        <v/>
      </c>
      <c r="Y19" s="158" t="str">
        <f>IF('inflation, income and interest'!$B$38=2,"",(hystere!E19-hystere!B19)/hystere!B19)</f>
        <v/>
      </c>
      <c r="Z19" s="396" t="str">
        <f>IF('inflation, income and interest'!$B$38=2,"",hystere!M19/100)</f>
        <v/>
      </c>
      <c r="AA19" s="18" t="str">
        <f>IF('inflation, income and interest'!$B$38=2,"",hystere!E19)</f>
        <v/>
      </c>
      <c r="AB19" s="24" t="str">
        <f>IF('inflation, income and interest'!$B$38=2,"",hystere!C19)</f>
        <v/>
      </c>
      <c r="AC19" s="17" t="str">
        <f>IF('inflation, income and interest'!$B$38=2,"",hystere!O19/100)</f>
        <v/>
      </c>
      <c r="AD19" s="17" t="str">
        <f>IF('inflation, income and interest'!$B$38=2,"",hystere!N19/100)</f>
        <v/>
      </c>
    </row>
    <row r="20" spans="1:30" ht="14" thickTop="1" thickBot="1">
      <c r="A20" s="15">
        <v>17</v>
      </c>
      <c r="B20" s="17">
        <f ca="1">('normal case'!D19-'normal case'!B19)/'normal case'!B19</f>
        <v>2.4172339108910891E-6</v>
      </c>
      <c r="C20" s="23">
        <f ca="1">'normal case'!D19</f>
        <v>101.000244140625</v>
      </c>
      <c r="D20" s="24">
        <f ca="1">'normal case'!C19</f>
        <v>-2.4172222249374542E-6</v>
      </c>
      <c r="E20" s="22">
        <f ca="1">'normal case'!L19/100</f>
        <v>1.9997558593749999E-2</v>
      </c>
      <c r="F20" s="25">
        <f ca="1">'normal case'!U19/100</f>
        <v>5.4996948242187503E-2</v>
      </c>
      <c r="G20" s="25">
        <f ca="1">'normal case'!T19/100</f>
        <v>3.4999389648437497E-2</v>
      </c>
      <c r="H20" s="25">
        <f ca="1">'public finance'!D18</f>
        <v>1.9806766788253451E-3</v>
      </c>
      <c r="I20" s="20">
        <f ca="1">'public finance'!E18</f>
        <v>3.0898999801936789E-3</v>
      </c>
      <c r="J20" s="118">
        <f ca="1">'public finance'!H18</f>
        <v>-3.1692647000712879E-2</v>
      </c>
      <c r="K20" s="17">
        <f ca="1">'public finance'!C18/'normal case'!D19</f>
        <v>0.19801932332117467</v>
      </c>
      <c r="L20" s="20">
        <f ca="1">'public finance'!A18/'normal case'!D19</f>
        <v>0.2</v>
      </c>
      <c r="M20" s="18" t="str">
        <f>IF(controls!$B$44=0,"",'normal case'!AJ19)</f>
        <v/>
      </c>
      <c r="N20" s="18" t="str">
        <f>IF(controls!$B$44=0,"",'normal case'!AM19)</f>
        <v/>
      </c>
      <c r="O20" s="160" t="str">
        <f>IF(controls!$B$44=0,"",'external balance'!D19)</f>
        <v/>
      </c>
      <c r="P20" s="160" t="str">
        <f>IF(controls!$B$44=0,"",'external balance'!F19)</f>
        <v/>
      </c>
      <c r="Q20" s="159" t="str">
        <f>IF(controls!$B$44=0,"",'external balance'!H19)</f>
        <v/>
      </c>
      <c r="R20" s="158" t="str">
        <f>IF('inflation, income and interest'!$A$38=2,"",'delay in perception'!K20/100)</f>
        <v/>
      </c>
      <c r="S20" s="17" t="str">
        <f>IF('inflation, income and interest'!$A$38=2,"",('delay in perception'!E20-'delay in perception'!C20)/'delay in perception'!C20)</f>
        <v/>
      </c>
      <c r="T20" s="17" t="str">
        <f>IF('inflation, income and interest'!$A$38=2,"",('delay in perception'!E20-'delay in perception'!B20)/'delay in perception'!B20)</f>
        <v/>
      </c>
      <c r="U20" s="18" t="str">
        <f>IF('inflation, income and interest'!$A$38=2,"",'delay in perception'!E20)</f>
        <v/>
      </c>
      <c r="V20" s="24" t="str">
        <f>IF('inflation, income and interest'!$A$38=2,"",'delay in perception'!D20)</f>
        <v/>
      </c>
      <c r="W20" s="25" t="str">
        <f>IF('inflation, income and interest'!$A$38=2,"",'delay in perception'!M20/100)</f>
        <v/>
      </c>
      <c r="X20" s="21" t="str">
        <f>IF('inflation, income and interest'!$A$38=2,"",'delay in perception'!L20/100)</f>
        <v/>
      </c>
      <c r="Y20" s="158" t="str">
        <f>IF('inflation, income and interest'!$B$38=2,"",(hystere!E20-hystere!B20)/hystere!B20)</f>
        <v/>
      </c>
      <c r="Z20" s="396" t="str">
        <f>IF('inflation, income and interest'!$B$38=2,"",hystere!M20/100)</f>
        <v/>
      </c>
      <c r="AA20" s="18" t="str">
        <f>IF('inflation, income and interest'!$B$38=2,"",hystere!E20)</f>
        <v/>
      </c>
      <c r="AB20" s="24" t="str">
        <f>IF('inflation, income and interest'!$B$38=2,"",hystere!C20)</f>
        <v/>
      </c>
      <c r="AC20" s="17" t="str">
        <f>IF('inflation, income and interest'!$B$38=2,"",hystere!O20/100)</f>
        <v/>
      </c>
      <c r="AD20" s="17" t="str">
        <f>IF('inflation, income and interest'!$B$38=2,"",hystere!N20/100)</f>
        <v/>
      </c>
    </row>
    <row r="21" spans="1:30" ht="14" thickTop="1" thickBot="1">
      <c r="A21" s="15">
        <v>18</v>
      </c>
      <c r="B21" s="17">
        <f ca="1">('normal case'!D20-'normal case'!B20)/'normal case'!B20</f>
        <v>1.2086169554455446E-6</v>
      </c>
      <c r="C21" s="23">
        <f ca="1">'normal case'!D20</f>
        <v>101.0001220703125</v>
      </c>
      <c r="D21" s="24">
        <f ca="1">'normal case'!C20</f>
        <v>-1.2086140339651052E-6</v>
      </c>
      <c r="E21" s="22">
        <f ca="1">'normal case'!L20/100</f>
        <v>1.9998779296875002E-2</v>
      </c>
      <c r="F21" s="25">
        <f ca="1">'normal case'!U20/100</f>
        <v>5.4998474121093752E-2</v>
      </c>
      <c r="G21" s="25">
        <f ca="1">'normal case'!T20/100</f>
        <v>3.4999694824218747E-2</v>
      </c>
      <c r="H21" s="25">
        <f ca="1">'public finance'!D19</f>
        <v>1.9804373496029163E-3</v>
      </c>
      <c r="I21" s="20">
        <f ca="1">'public finance'!E19</f>
        <v>3.1978088902515555E-3</v>
      </c>
      <c r="J21" s="118">
        <f ca="1">'public finance'!H19</f>
        <v>-3.4782347296532831E-2</v>
      </c>
      <c r="K21" s="17">
        <f ca="1">'public finance'!C19/'normal case'!D20</f>
        <v>0.19801956265039708</v>
      </c>
      <c r="L21" s="20">
        <f ca="1">'public finance'!A19/'normal case'!D20</f>
        <v>0.2</v>
      </c>
      <c r="M21" s="18" t="str">
        <f>IF(controls!$B$44=0,"",'normal case'!AJ20)</f>
        <v/>
      </c>
      <c r="N21" s="18" t="str">
        <f>IF(controls!$B$44=0,"",'normal case'!AM20)</f>
        <v/>
      </c>
      <c r="O21" s="160" t="str">
        <f>IF(controls!$B$44=0,"",'external balance'!D20)</f>
        <v/>
      </c>
      <c r="P21" s="160" t="str">
        <f>IF(controls!$B$44=0,"",'external balance'!F20)</f>
        <v/>
      </c>
      <c r="Q21" s="159" t="str">
        <f>IF(controls!$B$44=0,"",'external balance'!H20)</f>
        <v/>
      </c>
      <c r="R21" s="158" t="str">
        <f>IF('inflation, income and interest'!$A$38=2,"",'delay in perception'!K21/100)</f>
        <v/>
      </c>
      <c r="S21" s="17" t="str">
        <f>IF('inflation, income and interest'!$A$38=2,"",('delay in perception'!E21-'delay in perception'!C21)/'delay in perception'!C21)</f>
        <v/>
      </c>
      <c r="T21" s="17" t="str">
        <f>IF('inflation, income and interest'!$A$38=2,"",('delay in perception'!E21-'delay in perception'!B21)/'delay in perception'!B21)</f>
        <v/>
      </c>
      <c r="U21" s="18" t="str">
        <f>IF('inflation, income and interest'!$A$38=2,"",'delay in perception'!E21)</f>
        <v/>
      </c>
      <c r="V21" s="24" t="str">
        <f>IF('inflation, income and interest'!$A$38=2,"",'delay in perception'!D21)</f>
        <v/>
      </c>
      <c r="W21" s="25" t="str">
        <f>IF('inflation, income and interest'!$A$38=2,"",'delay in perception'!M21/100)</f>
        <v/>
      </c>
      <c r="X21" s="21" t="str">
        <f>IF('inflation, income and interest'!$A$38=2,"",'delay in perception'!L21/100)</f>
        <v/>
      </c>
      <c r="Y21" s="158" t="str">
        <f>IF('inflation, income and interest'!$B$38=2,"",(hystere!E21-hystere!B21)/hystere!B21)</f>
        <v/>
      </c>
      <c r="Z21" s="396" t="str">
        <f>IF('inflation, income and interest'!$B$38=2,"",hystere!M21/100)</f>
        <v/>
      </c>
      <c r="AA21" s="18" t="str">
        <f>IF('inflation, income and interest'!$B$38=2,"",hystere!E21)</f>
        <v/>
      </c>
      <c r="AB21" s="24" t="str">
        <f>IF('inflation, income and interest'!$B$38=2,"",hystere!C21)</f>
        <v/>
      </c>
      <c r="AC21" s="17" t="str">
        <f>IF('inflation, income and interest'!$B$38=2,"",hystere!O21/100)</f>
        <v/>
      </c>
      <c r="AD21" s="17" t="str">
        <f>IF('inflation, income and interest'!$B$38=2,"",hystere!N21/100)</f>
        <v/>
      </c>
    </row>
    <row r="22" spans="1:30" ht="14" thickTop="1" thickBot="1">
      <c r="A22" s="15">
        <v>19</v>
      </c>
      <c r="B22" s="17">
        <f ca="1">('normal case'!D21-'normal case'!B21)/'normal case'!B21</f>
        <v>6.0430847772277228E-7</v>
      </c>
      <c r="C22" s="23">
        <f ca="1">'normal case'!D21</f>
        <v>101.00006103515625</v>
      </c>
      <c r="D22" s="24">
        <f ca="1">'normal case'!C21</f>
        <v>-1.2086140339651052E-6</v>
      </c>
      <c r="E22" s="22">
        <f ca="1">'normal case'!L21/100</f>
        <v>1.9999389648437501E-2</v>
      </c>
      <c r="F22" s="25">
        <f ca="1">'normal case'!U21/100</f>
        <v>5.4999237060546873E-2</v>
      </c>
      <c r="G22" s="25">
        <f ca="1">'normal case'!T21/100</f>
        <v>3.4999847412109375E-2</v>
      </c>
      <c r="H22" s="25">
        <f ca="1">'public finance'!D20</f>
        <v>1.9803176847747591E-3</v>
      </c>
      <c r="I22" s="20">
        <f ca="1">'public finance'!E20</f>
        <v>3.3096139291685241E-3</v>
      </c>
      <c r="J22" s="118">
        <f ca="1">'public finance'!H20</f>
        <v>-3.7980058276878378E-2</v>
      </c>
      <c r="K22" s="17">
        <f ca="1">'public finance'!C20/'normal case'!D21</f>
        <v>0.19801968231522524</v>
      </c>
      <c r="L22" s="20">
        <f ca="1">'public finance'!A20/'normal case'!D21</f>
        <v>0.2</v>
      </c>
      <c r="M22" s="18" t="str">
        <f>IF(controls!$B$44=0,"",'normal case'!AJ21)</f>
        <v/>
      </c>
      <c r="N22" s="18" t="str">
        <f>IF(controls!$B$44=0,"",'normal case'!AM21)</f>
        <v/>
      </c>
      <c r="O22" s="160" t="str">
        <f>IF(controls!$B$44=0,"",'external balance'!D21)</f>
        <v/>
      </c>
      <c r="P22" s="160" t="str">
        <f>IF(controls!$B$44=0,"",'external balance'!F21)</f>
        <v/>
      </c>
      <c r="Q22" s="159" t="str">
        <f>IF(controls!$B$44=0,"",'external balance'!H21)</f>
        <v/>
      </c>
      <c r="R22" s="158" t="str">
        <f>IF('inflation, income and interest'!$A$38=2,"",'delay in perception'!K22/100)</f>
        <v/>
      </c>
      <c r="S22" s="17" t="str">
        <f>IF('inflation, income and interest'!$A$38=2,"",('delay in perception'!E22-'delay in perception'!C22)/'delay in perception'!C22)</f>
        <v/>
      </c>
      <c r="T22" s="17" t="str">
        <f>IF('inflation, income and interest'!$A$38=2,"",('delay in perception'!E22-'delay in perception'!B22)/'delay in perception'!B22)</f>
        <v/>
      </c>
      <c r="U22" s="18" t="str">
        <f>IF('inflation, income and interest'!$A$38=2,"",'delay in perception'!E22)</f>
        <v/>
      </c>
      <c r="V22" s="24" t="str">
        <f>IF('inflation, income and interest'!$A$38=2,"",'delay in perception'!D22)</f>
        <v/>
      </c>
      <c r="W22" s="25" t="str">
        <f>IF('inflation, income and interest'!$A$38=2,"",'delay in perception'!M22/100)</f>
        <v/>
      </c>
      <c r="X22" s="21" t="str">
        <f>IF('inflation, income and interest'!$A$38=2,"",'delay in perception'!L22/100)</f>
        <v/>
      </c>
      <c r="Y22" s="158" t="str">
        <f>IF('inflation, income and interest'!$B$38=2,"",(hystere!E22-hystere!B22)/hystere!B22)</f>
        <v/>
      </c>
      <c r="Z22" s="396" t="str">
        <f>IF('inflation, income and interest'!$B$38=2,"",hystere!M22/100)</f>
        <v/>
      </c>
      <c r="AA22" s="18" t="str">
        <f>IF('inflation, income and interest'!$B$38=2,"",hystere!E22)</f>
        <v/>
      </c>
      <c r="AB22" s="24" t="str">
        <f>IF('inflation, income and interest'!$B$38=2,"",hystere!C22)</f>
        <v/>
      </c>
      <c r="AC22" s="17" t="str">
        <f>IF('inflation, income and interest'!$B$38=2,"",hystere!O22/100)</f>
        <v/>
      </c>
      <c r="AD22" s="17" t="str">
        <f>IF('inflation, income and interest'!$B$38=2,"",hystere!N22/100)</f>
        <v/>
      </c>
    </row>
    <row r="23" spans="1:30" ht="14" thickTop="1" thickBot="1">
      <c r="A23" s="15">
        <v>20</v>
      </c>
      <c r="B23" s="17">
        <f ca="1">('normal case'!D22-'normal case'!B22)/'normal case'!B22</f>
        <v>3.0215423886138614E-7</v>
      </c>
      <c r="C23" s="23">
        <f ca="1">'normal case'!D22</f>
        <v>101.00003051757813</v>
      </c>
      <c r="D23" s="24">
        <f ca="1">'normal case'!C22</f>
        <v>-1.2086140339651052E-6</v>
      </c>
      <c r="E23" s="22">
        <f ca="1">'normal case'!L22/100</f>
        <v>1.9999694824218751E-2</v>
      </c>
      <c r="F23" s="25">
        <f ca="1">'normal case'!U22/100</f>
        <v>5.4999618530273436E-2</v>
      </c>
      <c r="G23" s="25">
        <f ca="1">'normal case'!T22/100</f>
        <v>3.4999923706054689E-2</v>
      </c>
      <c r="H23" s="25">
        <f ca="1">'public finance'!D21</f>
        <v>1.9803176847747591E-3</v>
      </c>
      <c r="I23" s="20">
        <f ca="1">'public finance'!E21</f>
        <v>3.4254513834136337E-3</v>
      </c>
      <c r="J23" s="118">
        <f ca="1">'public finance'!H21</f>
        <v>-4.1289624251063112E-2</v>
      </c>
      <c r="K23" s="17">
        <f ca="1">'public finance'!C21/'normal case'!D22</f>
        <v>0.19801974214769355</v>
      </c>
      <c r="L23" s="20">
        <f ca="1">'public finance'!A21/'normal case'!D22</f>
        <v>0.2</v>
      </c>
      <c r="M23" s="18" t="str">
        <f>IF(controls!$B$44=0,"",'normal case'!AJ22)</f>
        <v/>
      </c>
      <c r="N23" s="18" t="str">
        <f>IF(controls!$B$44=0,"",'normal case'!AM22)</f>
        <v/>
      </c>
      <c r="O23" s="160" t="str">
        <f>IF(controls!$B$44=0,"",'external balance'!D22)</f>
        <v/>
      </c>
      <c r="P23" s="160" t="str">
        <f>IF(controls!$B$44=0,"",'external balance'!F22)</f>
        <v/>
      </c>
      <c r="Q23" s="159" t="str">
        <f>IF(controls!$B$44=0,"",'external balance'!H22)</f>
        <v/>
      </c>
      <c r="R23" s="158" t="str">
        <f>IF('inflation, income and interest'!$A$38=2,"",'delay in perception'!K23/100)</f>
        <v/>
      </c>
      <c r="S23" s="17" t="str">
        <f>IF('inflation, income and interest'!$A$38=2,"",('delay in perception'!E23-'delay in perception'!C23)/'delay in perception'!C23)</f>
        <v/>
      </c>
      <c r="T23" s="17" t="str">
        <f>IF('inflation, income and interest'!$A$38=2,"",('delay in perception'!E23-'delay in perception'!B23)/'delay in perception'!B23)</f>
        <v/>
      </c>
      <c r="U23" s="18" t="str">
        <f>IF('inflation, income and interest'!$A$38=2,"",'delay in perception'!E23)</f>
        <v/>
      </c>
      <c r="V23" s="24" t="str">
        <f>IF('inflation, income and interest'!$A$38=2,"",'delay in perception'!D23)</f>
        <v/>
      </c>
      <c r="W23" s="25" t="str">
        <f>IF('inflation, income and interest'!$A$38=2,"",'delay in perception'!M23/100)</f>
        <v/>
      </c>
      <c r="X23" s="21" t="str">
        <f>IF('inflation, income and interest'!$A$38=2,"",'delay in perception'!L23/100)</f>
        <v/>
      </c>
      <c r="Y23" s="158" t="str">
        <f>IF('inflation, income and interest'!$B$38=2,"",(hystere!E23-hystere!B23)/hystere!B23)</f>
        <v/>
      </c>
      <c r="Z23" s="396" t="str">
        <f>IF('inflation, income and interest'!$B$38=2,"",hystere!M23/100)</f>
        <v/>
      </c>
      <c r="AA23" s="18" t="str">
        <f>IF('inflation, income and interest'!$B$38=2,"",hystere!E23)</f>
        <v/>
      </c>
      <c r="AB23" s="24" t="str">
        <f>IF('inflation, income and interest'!$B$38=2,"",hystere!C23)</f>
        <v/>
      </c>
      <c r="AC23" s="17" t="str">
        <f>IF('inflation, income and interest'!$B$38=2,"",hystere!O23/100)</f>
        <v/>
      </c>
      <c r="AD23" s="17" t="str">
        <f>IF('inflation, income and interest'!$B$38=2,"",hystere!N23/100)</f>
        <v/>
      </c>
    </row>
    <row r="24" spans="1:30" ht="14" thickTop="1" thickBot="1">
      <c r="A24" s="15">
        <v>21</v>
      </c>
      <c r="B24" s="17">
        <f ca="1">('normal case'!D23-'normal case'!B23)/'normal case'!B23</f>
        <v>1.5107711943069307E-7</v>
      </c>
      <c r="C24" s="23">
        <f ca="1">'normal case'!D23</f>
        <v>101.00001525878906</v>
      </c>
      <c r="D24" s="24">
        <f ca="1">'normal case'!C23</f>
        <v>-1.5107707374006907E-7</v>
      </c>
      <c r="E24" s="22">
        <f ca="1">'normal case'!L23/100</f>
        <v>1.9999847412109376E-2</v>
      </c>
      <c r="F24" s="25">
        <f ca="1">'normal case'!U23/100</f>
        <v>5.4999809265136722E-2</v>
      </c>
      <c r="G24" s="25">
        <f ca="1">'normal case'!T23/100</f>
        <v>3.4999961853027346E-2</v>
      </c>
      <c r="H24" s="25">
        <f ca="1">'public finance'!D22</f>
        <v>1.9803176847747591E-3</v>
      </c>
      <c r="I24" s="20">
        <f ca="1">'public finance'!E22</f>
        <v>3.5453407110033054E-3</v>
      </c>
      <c r="J24" s="118">
        <f ca="1">'public finance'!H22</f>
        <v>-4.4714992342003893E-2</v>
      </c>
      <c r="K24" s="17">
        <f ca="1">'public finance'!C22/'normal case'!D23</f>
        <v>0.19801977206394128</v>
      </c>
      <c r="L24" s="20">
        <f ca="1">'public finance'!A22/'normal case'!D23</f>
        <v>0.2</v>
      </c>
      <c r="M24" s="18" t="str">
        <f>IF(controls!$B$44=0,"",'normal case'!AJ23)</f>
        <v/>
      </c>
      <c r="N24" s="18" t="str">
        <f>IF(controls!$B$44=0,"",'normal case'!AM23)</f>
        <v/>
      </c>
      <c r="O24" s="160" t="str">
        <f>IF(controls!$B$44=0,"",'external balance'!D23)</f>
        <v/>
      </c>
      <c r="P24" s="160" t="str">
        <f>IF(controls!$B$44=0,"",'external balance'!F23)</f>
        <v/>
      </c>
      <c r="Q24" s="159" t="str">
        <f>IF(controls!$B$44=0,"",'external balance'!H23)</f>
        <v/>
      </c>
      <c r="R24" s="158" t="str">
        <f>IF('inflation, income and interest'!$A$38=2,"",'delay in perception'!K24/100)</f>
        <v/>
      </c>
      <c r="S24" s="17" t="str">
        <f>IF('inflation, income and interest'!$A$38=2,"",('delay in perception'!E24-'delay in perception'!C24)/'delay in perception'!C24)</f>
        <v/>
      </c>
      <c r="T24" s="17" t="str">
        <f>IF('inflation, income and interest'!$A$38=2,"",('delay in perception'!E24-'delay in perception'!B24)/'delay in perception'!B24)</f>
        <v/>
      </c>
      <c r="U24" s="18" t="str">
        <f>IF('inflation, income and interest'!$A$38=2,"",'delay in perception'!E24)</f>
        <v/>
      </c>
      <c r="V24" s="24" t="str">
        <f>IF('inflation, income and interest'!$A$38=2,"",'delay in perception'!D24)</f>
        <v/>
      </c>
      <c r="W24" s="25" t="str">
        <f>IF('inflation, income and interest'!$A$38=2,"",'delay in perception'!M24/100)</f>
        <v/>
      </c>
      <c r="X24" s="21" t="str">
        <f>IF('inflation, income and interest'!$A$38=2,"",'delay in perception'!L24/100)</f>
        <v/>
      </c>
      <c r="Y24" s="158" t="str">
        <f>IF('inflation, income and interest'!$B$38=2,"",(hystere!E24-hystere!B24)/hystere!B24)</f>
        <v/>
      </c>
      <c r="Z24" s="396" t="str">
        <f>IF('inflation, income and interest'!$B$38=2,"",hystere!M24/100)</f>
        <v/>
      </c>
      <c r="AA24" s="18" t="str">
        <f>IF('inflation, income and interest'!$B$38=2,"",hystere!E24)</f>
        <v/>
      </c>
      <c r="AB24" s="24" t="str">
        <f>IF('inflation, income and interest'!$B$38=2,"",hystere!C24)</f>
        <v/>
      </c>
      <c r="AC24" s="17" t="str">
        <f>IF('inflation, income and interest'!$B$38=2,"",hystere!O24/100)</f>
        <v/>
      </c>
      <c r="AD24" s="17" t="str">
        <f>IF('inflation, income and interest'!$B$38=2,"",hystere!N24/100)</f>
        <v/>
      </c>
    </row>
    <row r="25" spans="1:30" ht="14" thickTop="1" thickBot="1">
      <c r="A25" s="15">
        <v>22</v>
      </c>
      <c r="B25" s="17">
        <f ca="1">('normal case'!D24-'normal case'!B24)/'normal case'!B24</f>
        <v>7.5538559715346536E-8</v>
      </c>
      <c r="C25" s="23">
        <f ca="1">'normal case'!D24</f>
        <v>101.00000762939453</v>
      </c>
      <c r="D25" s="24">
        <f ca="1">'normal case'!C24</f>
        <v>-1.5107707374006907E-7</v>
      </c>
      <c r="E25" s="22">
        <f ca="1">'normal case'!L24/100</f>
        <v>1.9999923706054686E-2</v>
      </c>
      <c r="F25" s="25">
        <f ca="1">'normal case'!U24/100</f>
        <v>5.4999904632568361E-2</v>
      </c>
      <c r="G25" s="25">
        <f ca="1">'normal case'!T24/100</f>
        <v>3.4999980926513671E-2</v>
      </c>
      <c r="H25" s="25">
        <f ca="1">'public finance'!D23</f>
        <v>1.9802129779314939E-3</v>
      </c>
      <c r="I25" s="20">
        <f ca="1">'public finance'!E23</f>
        <v>3.6693201719137499E-3</v>
      </c>
      <c r="J25" s="118">
        <f ca="1">'public finance'!H23</f>
        <v>-4.8260231842089385E-2</v>
      </c>
      <c r="K25" s="17">
        <f ca="1">'public finance'!C23/'normal case'!D24</f>
        <v>0.19801978702206852</v>
      </c>
      <c r="L25" s="20">
        <f ca="1">'public finance'!A23/'normal case'!D24</f>
        <v>0.2</v>
      </c>
      <c r="M25" s="18" t="str">
        <f>IF(controls!$B$44=0,"",'normal case'!AJ24)</f>
        <v/>
      </c>
      <c r="N25" s="18" t="str">
        <f>IF(controls!$B$44=0,"",'normal case'!AM24)</f>
        <v/>
      </c>
      <c r="O25" s="160" t="str">
        <f>IF(controls!$B$44=0,"",'external balance'!D24)</f>
        <v/>
      </c>
      <c r="P25" s="160" t="str">
        <f>IF(controls!$B$44=0,"",'external balance'!F24)</f>
        <v/>
      </c>
      <c r="Q25" s="159" t="str">
        <f>IF(controls!$B$44=0,"",'external balance'!H24)</f>
        <v/>
      </c>
      <c r="R25" s="158" t="str">
        <f>IF('inflation, income and interest'!$A$38=2,"",'delay in perception'!K25/100)</f>
        <v/>
      </c>
      <c r="S25" s="17" t="str">
        <f>IF('inflation, income and interest'!$A$38=2,"",('delay in perception'!E25-'delay in perception'!C25)/'delay in perception'!C25)</f>
        <v/>
      </c>
      <c r="T25" s="17" t="str">
        <f>IF('inflation, income and interest'!$A$38=2,"",('delay in perception'!E25-'delay in perception'!B25)/'delay in perception'!B25)</f>
        <v/>
      </c>
      <c r="U25" s="18" t="str">
        <f>IF('inflation, income and interest'!$A$38=2,"",'delay in perception'!E25)</f>
        <v/>
      </c>
      <c r="V25" s="24" t="str">
        <f>IF('inflation, income and interest'!$A$38=2,"",'delay in perception'!D25)</f>
        <v/>
      </c>
      <c r="W25" s="25" t="str">
        <f>IF('inflation, income and interest'!$A$38=2,"",'delay in perception'!M25/100)</f>
        <v/>
      </c>
      <c r="X25" s="21" t="str">
        <f>IF('inflation, income and interest'!$A$38=2,"",'delay in perception'!L25/100)</f>
        <v/>
      </c>
      <c r="Y25" s="158" t="str">
        <f>IF('inflation, income and interest'!$B$38=2,"",(hystere!E25-hystere!B25)/hystere!B25)</f>
        <v/>
      </c>
      <c r="Z25" s="396" t="str">
        <f>IF('inflation, income and interest'!$B$38=2,"",hystere!M25/100)</f>
        <v/>
      </c>
      <c r="AA25" s="18" t="str">
        <f>IF('inflation, income and interest'!$B$38=2,"",hystere!E25)</f>
        <v/>
      </c>
      <c r="AB25" s="24" t="str">
        <f>IF('inflation, income and interest'!$B$38=2,"",hystere!C25)</f>
        <v/>
      </c>
      <c r="AC25" s="17" t="str">
        <f>IF('inflation, income and interest'!$B$38=2,"",hystere!O25/100)</f>
        <v/>
      </c>
      <c r="AD25" s="17" t="str">
        <f>IF('inflation, income and interest'!$B$38=2,"",hystere!N25/100)</f>
        <v/>
      </c>
    </row>
    <row r="26" spans="1:30" ht="14" thickTop="1" thickBot="1">
      <c r="A26" s="15">
        <v>23</v>
      </c>
      <c r="B26" s="17">
        <f ca="1">('normal case'!D25-'normal case'!B25)/'normal case'!B25</f>
        <v>3.7769279857673268E-8</v>
      </c>
      <c r="C26" s="23">
        <f ca="1">'normal case'!D25</f>
        <v>101.00000381469727</v>
      </c>
      <c r="D26" s="24">
        <f ca="1">'normal case'!C25</f>
        <v>-1.5107707374006907E-7</v>
      </c>
      <c r="E26" s="22">
        <f ca="1">'normal case'!L25/100</f>
        <v>1.9999961853027343E-2</v>
      </c>
      <c r="F26" s="25">
        <f ca="1">'normal case'!U25/100</f>
        <v>5.4999952316284177E-2</v>
      </c>
      <c r="G26" s="25">
        <f ca="1">'normal case'!T25/100</f>
        <v>3.4999990463256837E-2</v>
      </c>
      <c r="H26" s="25">
        <f ca="1">'public finance'!D24</f>
        <v>1.9802129779314939E-3</v>
      </c>
      <c r="I26" s="20">
        <f ca="1">'public finance'!E24</f>
        <v>3.7977466074448673E-3</v>
      </c>
      <c r="J26" s="118">
        <f ca="1">'public finance'!H24</f>
        <v>-5.1929546421489142E-2</v>
      </c>
      <c r="K26" s="17">
        <f ca="1">'public finance'!C24/'normal case'!D25</f>
        <v>0.198019794501133</v>
      </c>
      <c r="L26" s="20">
        <f ca="1">'public finance'!A24/'normal case'!D25</f>
        <v>0.2</v>
      </c>
      <c r="M26" s="18" t="str">
        <f>IF(controls!$B$44=0,"",'normal case'!AJ25)</f>
        <v/>
      </c>
      <c r="N26" s="18" t="str">
        <f>IF(controls!$B$44=0,"",'normal case'!AM25)</f>
        <v/>
      </c>
      <c r="O26" s="160" t="str">
        <f>IF(controls!$B$44=0,"",'external balance'!D25)</f>
        <v/>
      </c>
      <c r="P26" s="160" t="str">
        <f>IF(controls!$B$44=0,"",'external balance'!F25)</f>
        <v/>
      </c>
      <c r="Q26" s="159" t="str">
        <f>IF(controls!$B$44=0,"",'external balance'!H25)</f>
        <v/>
      </c>
      <c r="R26" s="158" t="str">
        <f>IF('inflation, income and interest'!$A$38=2,"",'delay in perception'!K26/100)</f>
        <v/>
      </c>
      <c r="S26" s="17" t="str">
        <f>IF('inflation, income and interest'!$A$38=2,"",('delay in perception'!E26-'delay in perception'!C26)/'delay in perception'!C26)</f>
        <v/>
      </c>
      <c r="T26" s="17" t="str">
        <f>IF('inflation, income and interest'!$A$38=2,"",('delay in perception'!E26-'delay in perception'!B26)/'delay in perception'!B26)</f>
        <v/>
      </c>
      <c r="U26" s="18" t="str">
        <f>IF('inflation, income and interest'!$A$38=2,"",'delay in perception'!E26)</f>
        <v/>
      </c>
      <c r="V26" s="24" t="str">
        <f>IF('inflation, income and interest'!$A$38=2,"",'delay in perception'!D26)</f>
        <v/>
      </c>
      <c r="W26" s="25" t="str">
        <f>IF('inflation, income and interest'!$A$38=2,"",'delay in perception'!M26/100)</f>
        <v/>
      </c>
      <c r="X26" s="21" t="str">
        <f>IF('inflation, income and interest'!$A$38=2,"",'delay in perception'!L26/100)</f>
        <v/>
      </c>
      <c r="Y26" s="158" t="str">
        <f>IF('inflation, income and interest'!$B$38=2,"",(hystere!E26-hystere!B26)/hystere!B26)</f>
        <v/>
      </c>
      <c r="Z26" s="396" t="str">
        <f>IF('inflation, income and interest'!$B$38=2,"",hystere!M26/100)</f>
        <v/>
      </c>
      <c r="AA26" s="18" t="str">
        <f>IF('inflation, income and interest'!$B$38=2,"",hystere!E26)</f>
        <v/>
      </c>
      <c r="AB26" s="24" t="str">
        <f>IF('inflation, income and interest'!$B$38=2,"",hystere!C26)</f>
        <v/>
      </c>
      <c r="AC26" s="17" t="str">
        <f>IF('inflation, income and interest'!$B$38=2,"",hystere!O26/100)</f>
        <v/>
      </c>
      <c r="AD26" s="17" t="str">
        <f>IF('inflation, income and interest'!$B$38=2,"",hystere!N26/100)</f>
        <v/>
      </c>
    </row>
    <row r="27" spans="1:30" ht="14" thickTop="1" thickBot="1">
      <c r="A27" s="15">
        <v>24</v>
      </c>
      <c r="B27" s="17">
        <f ca="1">('normal case'!D26-'normal case'!B26)/'normal case'!B26</f>
        <v>1.8884639928836634E-8</v>
      </c>
      <c r="C27" s="23">
        <f ca="1">'normal case'!D26</f>
        <v>101.00000190734863</v>
      </c>
      <c r="D27" s="24">
        <f ca="1">'normal case'!C26</f>
        <v>-1.5107707374006907E-7</v>
      </c>
      <c r="E27" s="22">
        <f ca="1">'normal case'!L26/100</f>
        <v>1.9999980926513672E-2</v>
      </c>
      <c r="F27" s="25">
        <f ca="1">'normal case'!U26/100</f>
        <v>5.4999976158142089E-2</v>
      </c>
      <c r="G27" s="25">
        <f ca="1">'normal case'!T26/100</f>
        <v>3.4999995231628417E-2</v>
      </c>
      <c r="H27" s="25">
        <f ca="1">'public finance'!D25</f>
        <v>1.9802129779314939E-3</v>
      </c>
      <c r="I27" s="20">
        <f ca="1">'public finance'!E25</f>
        <v>3.9306676110896985E-3</v>
      </c>
      <c r="J27" s="118">
        <f ca="1">'public finance'!H25</f>
        <v>-5.5727282825331327E-2</v>
      </c>
      <c r="K27" s="17">
        <f ca="1">'public finance'!C25/'normal case'!D26</f>
        <v>0.19801979824066543</v>
      </c>
      <c r="L27" s="20">
        <f ca="1">'public finance'!A25/'normal case'!D26</f>
        <v>0.2</v>
      </c>
      <c r="M27" s="18" t="str">
        <f>IF(controls!$B$44=0,"",'normal case'!AJ26)</f>
        <v/>
      </c>
      <c r="N27" s="18" t="str">
        <f>IF(controls!$B$44=0,"",'normal case'!AM26)</f>
        <v/>
      </c>
      <c r="O27" s="160" t="str">
        <f>IF(controls!$B$44=0,"",'external balance'!D26)</f>
        <v/>
      </c>
      <c r="P27" s="160" t="str">
        <f>IF(controls!$B$44=0,"",'external balance'!F26)</f>
        <v/>
      </c>
      <c r="Q27" s="159" t="str">
        <f>IF(controls!$B$44=0,"",'external balance'!H26)</f>
        <v/>
      </c>
      <c r="R27" s="158" t="str">
        <f>IF('inflation, income and interest'!$A$38=2,"",'delay in perception'!K27/100)</f>
        <v/>
      </c>
      <c r="S27" s="17" t="str">
        <f>IF('inflation, income and interest'!$A$38=2,"",('delay in perception'!E27-'delay in perception'!C27)/'delay in perception'!C27)</f>
        <v/>
      </c>
      <c r="T27" s="17" t="str">
        <f>IF('inflation, income and interest'!$A$38=2,"",('delay in perception'!E27-'delay in perception'!B27)/'delay in perception'!B27)</f>
        <v/>
      </c>
      <c r="U27" s="18" t="str">
        <f>IF('inflation, income and interest'!$A$38=2,"",'delay in perception'!E27)</f>
        <v/>
      </c>
      <c r="V27" s="24" t="str">
        <f>IF('inflation, income and interest'!$A$38=2,"",'delay in perception'!D27)</f>
        <v/>
      </c>
      <c r="W27" s="25" t="str">
        <f>IF('inflation, income and interest'!$A$38=2,"",'delay in perception'!M27/100)</f>
        <v/>
      </c>
      <c r="X27" s="21" t="str">
        <f>IF('inflation, income and interest'!$A$38=2,"",'delay in perception'!L27/100)</f>
        <v/>
      </c>
      <c r="Y27" s="158" t="str">
        <f>IF('inflation, income and interest'!$B$38=2,"",(hystere!E27-hystere!B27)/hystere!B27)</f>
        <v/>
      </c>
      <c r="Z27" s="396" t="str">
        <f>IF('inflation, income and interest'!$B$38=2,"",hystere!M27/100)</f>
        <v/>
      </c>
      <c r="AA27" s="18" t="str">
        <f>IF('inflation, income and interest'!$B$38=2,"",hystere!E27)</f>
        <v/>
      </c>
      <c r="AB27" s="24" t="str">
        <f>IF('inflation, income and interest'!$B$38=2,"",hystere!C27)</f>
        <v/>
      </c>
      <c r="AC27" s="17" t="str">
        <f>IF('inflation, income and interest'!$B$38=2,"",hystere!O27/100)</f>
        <v/>
      </c>
      <c r="AD27" s="17" t="str">
        <f>IF('inflation, income and interest'!$B$38=2,"",hystere!N27/100)</f>
        <v/>
      </c>
    </row>
    <row r="28" spans="1:30" ht="14" thickTop="1" thickBot="1">
      <c r="A28" s="15">
        <v>25</v>
      </c>
      <c r="B28" s="17">
        <f ca="1">('normal case'!D27-'normal case'!B27)/'normal case'!B27</f>
        <v>9.4423199644183169E-9</v>
      </c>
      <c r="C28" s="23">
        <f ca="1">'normal case'!D27</f>
        <v>101.00000095367432</v>
      </c>
      <c r="D28" s="24">
        <f ca="1">'normal case'!C27</f>
        <v>-1.5107707374006907E-7</v>
      </c>
      <c r="E28" s="22">
        <f ca="1">'normal case'!L27/100</f>
        <v>1.9999990463256834E-2</v>
      </c>
      <c r="F28" s="25">
        <f ca="1">'normal case'!U27/100</f>
        <v>5.4999988079071048E-2</v>
      </c>
      <c r="G28" s="25">
        <f ca="1">'normal case'!T27/100</f>
        <v>3.499999761581421E-2</v>
      </c>
      <c r="H28" s="25">
        <f ca="1">'public finance'!D26</f>
        <v>1.9802129779314939E-3</v>
      </c>
      <c r="I28" s="20">
        <f ca="1">'public finance'!E26</f>
        <v>4.0682406619393183E-3</v>
      </c>
      <c r="J28" s="118">
        <f ca="1">'public finance'!H26</f>
        <v>-5.9657937892669495E-2</v>
      </c>
      <c r="K28" s="17">
        <f ca="1">'public finance'!C26/'normal case'!D27</f>
        <v>0.19801980011043172</v>
      </c>
      <c r="L28" s="20">
        <f ca="1">'public finance'!A26/'normal case'!D27</f>
        <v>0.2</v>
      </c>
      <c r="M28" s="18" t="str">
        <f>IF(controls!$B$44=0,"",'normal case'!AJ27)</f>
        <v/>
      </c>
      <c r="N28" s="18" t="str">
        <f>IF(controls!$B$44=0,"",'normal case'!AM27)</f>
        <v/>
      </c>
      <c r="O28" s="160" t="str">
        <f>IF(controls!$B$44=0,"",'external balance'!D27)</f>
        <v/>
      </c>
      <c r="P28" s="160" t="str">
        <f>IF(controls!$B$44=0,"",'external balance'!F27)</f>
        <v/>
      </c>
      <c r="Q28" s="159" t="str">
        <f>IF(controls!$B$44=0,"",'external balance'!H27)</f>
        <v/>
      </c>
      <c r="R28" s="158" t="str">
        <f>IF('inflation, income and interest'!$A$38=2,"",'delay in perception'!K28/100)</f>
        <v/>
      </c>
      <c r="S28" s="17" t="str">
        <f>IF('inflation, income and interest'!$A$38=2,"",('delay in perception'!E28-'delay in perception'!C28)/'delay in perception'!C28)</f>
        <v/>
      </c>
      <c r="T28" s="17" t="str">
        <f>IF('inflation, income and interest'!$A$38=2,"",('delay in perception'!E28-'delay in perception'!B28)/'delay in perception'!B28)</f>
        <v/>
      </c>
      <c r="U28" s="18" t="str">
        <f>IF('inflation, income and interest'!$A$38=2,"",'delay in perception'!E28)</f>
        <v/>
      </c>
      <c r="V28" s="24" t="str">
        <f>IF('inflation, income and interest'!$A$38=2,"",'delay in perception'!D28)</f>
        <v/>
      </c>
      <c r="W28" s="25" t="str">
        <f>IF('inflation, income and interest'!$A$38=2,"",'delay in perception'!M28/100)</f>
        <v/>
      </c>
      <c r="X28" s="21" t="str">
        <f>IF('inflation, income and interest'!$A$38=2,"",'delay in perception'!L28/100)</f>
        <v/>
      </c>
      <c r="Y28" s="158" t="str">
        <f>IF('inflation, income and interest'!$B$38=2,"",(hystere!E28-hystere!B28)/hystere!B28)</f>
        <v/>
      </c>
      <c r="Z28" s="396" t="str">
        <f>IF('inflation, income and interest'!$B$38=2,"",hystere!M28/100)</f>
        <v/>
      </c>
      <c r="AA28" s="18" t="str">
        <f>IF('inflation, income and interest'!$B$38=2,"",hystere!E28)</f>
        <v/>
      </c>
      <c r="AB28" s="24" t="str">
        <f>IF('inflation, income and interest'!$B$38=2,"",hystere!C28)</f>
        <v/>
      </c>
      <c r="AC28" s="17" t="str">
        <f>IF('inflation, income and interest'!$B$38=2,"",hystere!O28/100)</f>
        <v/>
      </c>
      <c r="AD28" s="17" t="str">
        <f>IF('inflation, income and interest'!$B$38=2,"",hystere!N28/100)</f>
        <v/>
      </c>
    </row>
    <row r="29" spans="1:30" ht="14" thickTop="1" thickBot="1">
      <c r="A29" s="15">
        <v>26</v>
      </c>
      <c r="B29" s="17">
        <f ca="1">('normal case'!D28-'normal case'!B28)/'normal case'!B28</f>
        <v>4.7211599822091585E-9</v>
      </c>
      <c r="C29" s="23">
        <f ca="1">'normal case'!D28</f>
        <v>101.00000047683716</v>
      </c>
      <c r="D29" s="24">
        <f ca="1">'normal case'!C28</f>
        <v>-1.5107707374006907E-7</v>
      </c>
      <c r="E29" s="22">
        <f ca="1">'normal case'!L28/100</f>
        <v>1.9999995231628417E-2</v>
      </c>
      <c r="F29" s="25">
        <f ca="1">'normal case'!U28/100</f>
        <v>5.4999994039535524E-2</v>
      </c>
      <c r="G29" s="25">
        <f ca="1">'normal case'!T28/100</f>
        <v>3.4999998807907107E-2</v>
      </c>
      <c r="H29" s="25">
        <f ca="1">'public finance'!D27</f>
        <v>1.9802129779314939E-3</v>
      </c>
      <c r="I29" s="20">
        <f ca="1">'public finance'!E27</f>
        <v>4.2106286707646124E-3</v>
      </c>
      <c r="J29" s="118">
        <f ca="1">'public finance'!H27</f>
        <v>-6.3726164822875048E-2</v>
      </c>
      <c r="K29" s="17">
        <f ca="1">'public finance'!C27/'normal case'!D28</f>
        <v>0.19801980104531486</v>
      </c>
      <c r="L29" s="20">
        <f ca="1">'public finance'!A27/'normal case'!D28</f>
        <v>0.2</v>
      </c>
      <c r="M29" s="18" t="str">
        <f>IF(controls!$B$44=0,"",'normal case'!AJ28)</f>
        <v/>
      </c>
      <c r="N29" s="18" t="str">
        <f>IF(controls!$B$44=0,"",'normal case'!AM28)</f>
        <v/>
      </c>
      <c r="O29" s="160" t="str">
        <f>IF(controls!$B$44=0,"",'external balance'!D28)</f>
        <v/>
      </c>
      <c r="P29" s="160" t="str">
        <f>IF(controls!$B$44=0,"",'external balance'!F28)</f>
        <v/>
      </c>
      <c r="Q29" s="159" t="str">
        <f>IF(controls!$B$44=0,"",'external balance'!H28)</f>
        <v/>
      </c>
      <c r="R29" s="158" t="str">
        <f>IF('inflation, income and interest'!$A$38=2,"",'delay in perception'!K29/100)</f>
        <v/>
      </c>
      <c r="S29" s="17" t="str">
        <f>IF('inflation, income and interest'!$A$38=2,"",('delay in perception'!E29-'delay in perception'!C29)/'delay in perception'!C29)</f>
        <v/>
      </c>
      <c r="T29" s="17" t="str">
        <f>IF('inflation, income and interest'!$A$38=2,"",('delay in perception'!E29-'delay in perception'!B29)/'delay in perception'!B29)</f>
        <v/>
      </c>
      <c r="U29" s="18" t="str">
        <f>IF('inflation, income and interest'!$A$38=2,"",'delay in perception'!E29)</f>
        <v/>
      </c>
      <c r="V29" s="24" t="str">
        <f>IF('inflation, income and interest'!$A$38=2,"",'delay in perception'!D29)</f>
        <v/>
      </c>
      <c r="W29" s="25" t="str">
        <f>IF('inflation, income and interest'!$A$38=2,"",'delay in perception'!M29/100)</f>
        <v/>
      </c>
      <c r="X29" s="21" t="str">
        <f>IF('inflation, income and interest'!$A$38=2,"",'delay in perception'!L29/100)</f>
        <v/>
      </c>
      <c r="Y29" s="158" t="str">
        <f>IF('inflation, income and interest'!$B$38=2,"",(hystere!E29-hystere!B29)/hystere!B29)</f>
        <v/>
      </c>
      <c r="Z29" s="396" t="str">
        <f>IF('inflation, income and interest'!$B$38=2,"",hystere!M29/100)</f>
        <v/>
      </c>
      <c r="AA29" s="18" t="str">
        <f>IF('inflation, income and interest'!$B$38=2,"",hystere!E29)</f>
        <v/>
      </c>
      <c r="AB29" s="24" t="str">
        <f>IF('inflation, income and interest'!$B$38=2,"",hystere!C29)</f>
        <v/>
      </c>
      <c r="AC29" s="17" t="str">
        <f>IF('inflation, income and interest'!$B$38=2,"",hystere!O29/100)</f>
        <v/>
      </c>
      <c r="AD29" s="17" t="str">
        <f>IF('inflation, income and interest'!$B$38=2,"",hystere!N29/100)</f>
        <v/>
      </c>
    </row>
    <row r="30" spans="1:30" ht="14" thickTop="1" thickBot="1">
      <c r="A30" s="15">
        <v>27</v>
      </c>
      <c r="B30" s="17">
        <f ca="1">('normal case'!D29-'normal case'!B29)/'normal case'!B29</f>
        <v>2.3605799911045792E-9</v>
      </c>
      <c r="C30" s="23">
        <f ca="1">'normal case'!D29</f>
        <v>101.00000023841858</v>
      </c>
      <c r="D30" s="24">
        <f ca="1">'normal case'!C29</f>
        <v>-1.5107707374006907E-7</v>
      </c>
      <c r="E30" s="22">
        <f ca="1">'normal case'!L29/100</f>
        <v>1.9999997615814211E-2</v>
      </c>
      <c r="F30" s="25">
        <f ca="1">'normal case'!U29/100</f>
        <v>5.4999997019767759E-2</v>
      </c>
      <c r="G30" s="25">
        <f ca="1">'normal case'!T29/100</f>
        <v>3.4999999403953555E-2</v>
      </c>
      <c r="H30" s="25">
        <f ca="1">'public finance'!D28</f>
        <v>1.9802129779314939E-3</v>
      </c>
      <c r="I30" s="20">
        <f ca="1">'public finance'!E28</f>
        <v>4.358000207990681E-3</v>
      </c>
      <c r="J30" s="118">
        <f ca="1">'public finance'!H28</f>
        <v>-6.7936779158647514E-2</v>
      </c>
      <c r="K30" s="17">
        <f ca="1">'public finance'!C28/'normal case'!D29</f>
        <v>0.19801980151275644</v>
      </c>
      <c r="L30" s="20">
        <f ca="1">'public finance'!A28/'normal case'!D29</f>
        <v>0.2</v>
      </c>
      <c r="M30" s="18" t="str">
        <f>IF(controls!$B$44=0,"",'normal case'!AJ29)</f>
        <v/>
      </c>
      <c r="N30" s="18" t="str">
        <f>IF(controls!$B$44=0,"",'normal case'!AM29)</f>
        <v/>
      </c>
      <c r="O30" s="160" t="str">
        <f>IF(controls!$B$44=0,"",'external balance'!D29)</f>
        <v/>
      </c>
      <c r="P30" s="160" t="str">
        <f>IF(controls!$B$44=0,"",'external balance'!F29)</f>
        <v/>
      </c>
      <c r="Q30" s="159" t="str">
        <f>IF(controls!$B$44=0,"",'external balance'!H29)</f>
        <v/>
      </c>
      <c r="R30" s="158" t="str">
        <f>IF('inflation, income and interest'!$A$38=2,"",'delay in perception'!K30/100)</f>
        <v/>
      </c>
      <c r="S30" s="17" t="str">
        <f>IF('inflation, income and interest'!$A$38=2,"",('delay in perception'!E30-'delay in perception'!C30)/'delay in perception'!C30)</f>
        <v/>
      </c>
      <c r="T30" s="17" t="str">
        <f>IF('inflation, income and interest'!$A$38=2,"",('delay in perception'!E30-'delay in perception'!B30)/'delay in perception'!B30)</f>
        <v/>
      </c>
      <c r="U30" s="18" t="str">
        <f>IF('inflation, income and interest'!$A$38=2,"",'delay in perception'!E30)</f>
        <v/>
      </c>
      <c r="V30" s="24" t="str">
        <f>IF('inflation, income and interest'!$A$38=2,"",'delay in perception'!D30)</f>
        <v/>
      </c>
      <c r="W30" s="25" t="str">
        <f>IF('inflation, income and interest'!$A$38=2,"",'delay in perception'!M30/100)</f>
        <v/>
      </c>
      <c r="X30" s="21" t="str">
        <f>IF('inflation, income and interest'!$A$38=2,"",'delay in perception'!L30/100)</f>
        <v/>
      </c>
      <c r="Y30" s="158" t="str">
        <f>IF('inflation, income and interest'!$B$38=2,"",(hystere!E30-hystere!B30)/hystere!B30)</f>
        <v/>
      </c>
      <c r="Z30" s="396" t="str">
        <f>IF('inflation, income and interest'!$B$38=2,"",hystere!M30/100)</f>
        <v/>
      </c>
      <c r="AA30" s="18" t="str">
        <f>IF('inflation, income and interest'!$B$38=2,"",hystere!E30)</f>
        <v/>
      </c>
      <c r="AB30" s="24" t="str">
        <f>IF('inflation, income and interest'!$B$38=2,"",hystere!C30)</f>
        <v/>
      </c>
      <c r="AC30" s="17" t="str">
        <f>IF('inflation, income and interest'!$B$38=2,"",hystere!O30/100)</f>
        <v/>
      </c>
      <c r="AD30" s="17" t="str">
        <f>IF('inflation, income and interest'!$B$38=2,"",hystere!N30/100)</f>
        <v/>
      </c>
    </row>
    <row r="31" spans="1:30" ht="14" thickTop="1" thickBot="1">
      <c r="A31" s="15">
        <v>28</v>
      </c>
      <c r="B31" s="17">
        <f ca="1">('normal case'!D30-'normal case'!B30)/'normal case'!B30</f>
        <v>1.1802899955522896E-9</v>
      </c>
      <c r="C31" s="23">
        <f ca="1">'normal case'!D30</f>
        <v>101.00000011920929</v>
      </c>
      <c r="D31" s="24">
        <f ca="1">'normal case'!C30</f>
        <v>-1.5107707374006907E-7</v>
      </c>
      <c r="E31" s="22">
        <f ca="1">'normal case'!L30/100</f>
        <v>1.9999998807907104E-2</v>
      </c>
      <c r="F31" s="25">
        <f ca="1">'normal case'!U30/100</f>
        <v>5.499999850988388E-2</v>
      </c>
      <c r="G31" s="25">
        <f ca="1">'normal case'!T30/100</f>
        <v>3.4999999701976779E-2</v>
      </c>
      <c r="H31" s="25">
        <f ca="1">'public finance'!D29</f>
        <v>1.9802129779314939E-3</v>
      </c>
      <c r="I31" s="20">
        <f ca="1">'public finance'!E29</f>
        <v>4.5105297217687126E-3</v>
      </c>
      <c r="J31" s="118">
        <f ca="1">'public finance'!H29</f>
        <v>-7.2294764725221075E-2</v>
      </c>
      <c r="K31" s="17">
        <f ca="1">'public finance'!C29/'normal case'!D30</f>
        <v>0.19801980174647724</v>
      </c>
      <c r="L31" s="20">
        <f ca="1">'public finance'!A29/'normal case'!D30</f>
        <v>0.2</v>
      </c>
      <c r="M31" s="18" t="str">
        <f>IF(controls!$B$44=0,"",'normal case'!AJ30)</f>
        <v/>
      </c>
      <c r="N31" s="18" t="str">
        <f>IF(controls!$B$44=0,"",'normal case'!AM30)</f>
        <v/>
      </c>
      <c r="O31" s="160" t="str">
        <f>IF(controls!$B$44=0,"",'external balance'!D30)</f>
        <v/>
      </c>
      <c r="P31" s="160" t="str">
        <f>IF(controls!$B$44=0,"",'external balance'!F30)</f>
        <v/>
      </c>
      <c r="Q31" s="159" t="str">
        <f>IF(controls!$B$44=0,"",'external balance'!H30)</f>
        <v/>
      </c>
      <c r="R31" s="158" t="str">
        <f>IF('inflation, income and interest'!$A$38=2,"",'delay in perception'!K31/100)</f>
        <v/>
      </c>
      <c r="S31" s="17" t="str">
        <f>IF('inflation, income and interest'!$A$38=2,"",('delay in perception'!E31-'delay in perception'!C31)/'delay in perception'!C31)</f>
        <v/>
      </c>
      <c r="T31" s="17" t="str">
        <f>IF('inflation, income and interest'!$A$38=2,"",('delay in perception'!E31-'delay in perception'!B31)/'delay in perception'!B31)</f>
        <v/>
      </c>
      <c r="U31" s="18" t="str">
        <f>IF('inflation, income and interest'!$A$38=2,"",'delay in perception'!E31)</f>
        <v/>
      </c>
      <c r="V31" s="24" t="str">
        <f>IF('inflation, income and interest'!$A$38=2,"",'delay in perception'!D31)</f>
        <v/>
      </c>
      <c r="W31" s="25" t="str">
        <f>IF('inflation, income and interest'!$A$38=2,"",'delay in perception'!M31/100)</f>
        <v/>
      </c>
      <c r="X31" s="21" t="str">
        <f>IF('inflation, income and interest'!$A$38=2,"",'delay in perception'!L31/100)</f>
        <v/>
      </c>
      <c r="Y31" s="158" t="str">
        <f>IF('inflation, income and interest'!$B$38=2,"",(hystere!E31-hystere!B31)/hystere!B31)</f>
        <v/>
      </c>
      <c r="Z31" s="396" t="str">
        <f>IF('inflation, income and interest'!$B$38=2,"",hystere!M31/100)</f>
        <v/>
      </c>
      <c r="AA31" s="18" t="str">
        <f>IF('inflation, income and interest'!$B$38=2,"",hystere!E31)</f>
        <v/>
      </c>
      <c r="AB31" s="24" t="str">
        <f>IF('inflation, income and interest'!$B$38=2,"",hystere!C31)</f>
        <v/>
      </c>
      <c r="AC31" s="17" t="str">
        <f>IF('inflation, income and interest'!$B$38=2,"",hystere!O31/100)</f>
        <v/>
      </c>
      <c r="AD31" s="17" t="str">
        <f>IF('inflation, income and interest'!$B$38=2,"",hystere!N31/100)</f>
        <v/>
      </c>
    </row>
    <row r="32" spans="1:30" ht="14" thickTop="1" thickBot="1">
      <c r="A32" s="15">
        <v>29</v>
      </c>
      <c r="B32" s="17">
        <f ca="1">('normal case'!D31-'normal case'!B31)/'normal case'!B31</f>
        <v>5.9014499777614481E-10</v>
      </c>
      <c r="C32" s="23">
        <f ca="1">'normal case'!D31</f>
        <v>101.00000005960464</v>
      </c>
      <c r="D32" s="24">
        <f ca="1">'normal case'!C31</f>
        <v>-1.5107707374006907E-7</v>
      </c>
      <c r="E32" s="22">
        <f ca="1">'normal case'!L31/100</f>
        <v>1.9999998807907104E-2</v>
      </c>
      <c r="F32" s="25">
        <f ca="1">'normal case'!U31/100</f>
        <v>5.499999850988388E-2</v>
      </c>
      <c r="G32" s="25">
        <f ca="1">'normal case'!T31/100</f>
        <v>3.4999999701976779E-2</v>
      </c>
      <c r="H32" s="25">
        <f ca="1">'public finance'!D30</f>
        <v>1.9802129779314939E-3</v>
      </c>
      <c r="I32" s="20">
        <f ca="1">'public finance'!E30</f>
        <v>4.6683977427874786E-3</v>
      </c>
      <c r="J32" s="118">
        <f ca="1">'public finance'!H30</f>
        <v>-7.6805279649878322E-2</v>
      </c>
      <c r="K32" s="17">
        <f ca="1">'public finance'!C30/'normal case'!D31</f>
        <v>0.19801980186333762</v>
      </c>
      <c r="L32" s="20">
        <f ca="1">'public finance'!A30/'normal case'!D31</f>
        <v>0.2</v>
      </c>
      <c r="M32" s="18" t="str">
        <f>IF(controls!$B$44=0,"",'normal case'!AJ31)</f>
        <v/>
      </c>
      <c r="N32" s="18" t="str">
        <f>IF(controls!$B$44=0,"",'normal case'!AM31)</f>
        <v/>
      </c>
      <c r="O32" s="160" t="str">
        <f>IF(controls!$B$44=0,"",'external balance'!D31)</f>
        <v/>
      </c>
      <c r="P32" s="160" t="str">
        <f>IF(controls!$B$44=0,"",'external balance'!F31)</f>
        <v/>
      </c>
      <c r="Q32" s="159" t="str">
        <f>IF(controls!$B$44=0,"",'external balance'!H31)</f>
        <v/>
      </c>
      <c r="R32" s="158" t="str">
        <f>IF('inflation, income and interest'!$A$38=2,"",'delay in perception'!K32/100)</f>
        <v/>
      </c>
      <c r="S32" s="17" t="str">
        <f>IF('inflation, income and interest'!$A$38=2,"",('delay in perception'!E32-'delay in perception'!C32)/'delay in perception'!C32)</f>
        <v/>
      </c>
      <c r="T32" s="17" t="str">
        <f>IF('inflation, income and interest'!$A$38=2,"",('delay in perception'!E32-'delay in perception'!B32)/'delay in perception'!B32)</f>
        <v/>
      </c>
      <c r="U32" s="18" t="str">
        <f>IF('inflation, income and interest'!$A$38=2,"",'delay in perception'!E32)</f>
        <v/>
      </c>
      <c r="V32" s="24" t="str">
        <f>IF('inflation, income and interest'!$A$38=2,"",'delay in perception'!D32)</f>
        <v/>
      </c>
      <c r="W32" s="25" t="str">
        <f>IF('inflation, income and interest'!$A$38=2,"",'delay in perception'!M32/100)</f>
        <v/>
      </c>
      <c r="X32" s="21" t="str">
        <f>IF('inflation, income and interest'!$A$38=2,"",'delay in perception'!L32/100)</f>
        <v/>
      </c>
      <c r="Y32" s="158" t="str">
        <f>IF('inflation, income and interest'!$B$38=2,"",(hystere!E32-hystere!B32)/hystere!B32)</f>
        <v/>
      </c>
      <c r="Z32" s="396" t="str">
        <f>IF('inflation, income and interest'!$B$38=2,"",hystere!M32/100)</f>
        <v/>
      </c>
      <c r="AA32" s="18" t="str">
        <f>IF('inflation, income and interest'!$B$38=2,"",hystere!E32)</f>
        <v/>
      </c>
      <c r="AB32" s="24" t="str">
        <f>IF('inflation, income and interest'!$B$38=2,"",hystere!C32)</f>
        <v/>
      </c>
      <c r="AC32" s="17" t="str">
        <f>IF('inflation, income and interest'!$B$38=2,"",hystere!O32/100)</f>
        <v/>
      </c>
      <c r="AD32" s="17" t="str">
        <f>IF('inflation, income and interest'!$B$38=2,"",hystere!N32/100)</f>
        <v/>
      </c>
    </row>
    <row r="33" spans="1:30" ht="14" thickTop="1" thickBot="1">
      <c r="A33" s="15">
        <v>30</v>
      </c>
      <c r="B33" s="17">
        <f ca="1">('normal case'!D32-'normal case'!B32)/'normal case'!B32</f>
        <v>5.9014499777614481E-10</v>
      </c>
      <c r="C33" s="23">
        <f ca="1">'normal case'!D32</f>
        <v>101.00000005960464</v>
      </c>
      <c r="D33" s="24">
        <f ca="1">'normal case'!C32</f>
        <v>-1.5107707374006907E-7</v>
      </c>
      <c r="E33" s="22">
        <f ca="1">'normal case'!L32/100</f>
        <v>1.9999998807907104E-2</v>
      </c>
      <c r="F33" s="25">
        <f ca="1">'normal case'!U32/100</f>
        <v>5.499999850988388E-2</v>
      </c>
      <c r="G33" s="25">
        <f ca="1">'normal case'!T32/100</f>
        <v>3.4999999701976779E-2</v>
      </c>
      <c r="H33" s="25">
        <f ca="1">'public finance'!D31</f>
        <v>1.9802129779314939E-3</v>
      </c>
      <c r="I33" s="20">
        <f ca="1">'public finance'!E31</f>
        <v>4.8317911429493349E-3</v>
      </c>
      <c r="J33" s="118">
        <f ca="1">'public finance'!H31</f>
        <v>-8.1473662551396708E-2</v>
      </c>
      <c r="K33" s="17">
        <f ca="1">'public finance'!C31/'normal case'!D32</f>
        <v>0.19801980186333762</v>
      </c>
      <c r="L33" s="20">
        <f ca="1">'public finance'!A31/'normal case'!D32</f>
        <v>0.2</v>
      </c>
      <c r="M33" s="18" t="str">
        <f>IF(controls!$B$44=0,"",'normal case'!AJ32)</f>
        <v/>
      </c>
      <c r="N33" s="18" t="str">
        <f>IF(controls!$B$44=0,"",'normal case'!AM32)</f>
        <v/>
      </c>
      <c r="O33" s="160" t="str">
        <f>IF(controls!$B$44=0,"",'external balance'!D32)</f>
        <v/>
      </c>
      <c r="P33" s="160" t="str">
        <f>IF(controls!$B$44=0,"",'external balance'!F32)</f>
        <v/>
      </c>
      <c r="Q33" s="159" t="str">
        <f>IF(controls!$B$44=0,"",'external balance'!H32)</f>
        <v/>
      </c>
      <c r="R33" s="158" t="str">
        <f>IF('inflation, income and interest'!$A$38=2,"",'delay in perception'!K33/100)</f>
        <v/>
      </c>
      <c r="S33" s="17" t="str">
        <f>IF('inflation, income and interest'!$A$38=2,"",('delay in perception'!E33-'delay in perception'!C33)/'delay in perception'!C33)</f>
        <v/>
      </c>
      <c r="T33" s="17" t="str">
        <f>IF('inflation, income and interest'!$A$38=2,"",('delay in perception'!E33-'delay in perception'!B33)/'delay in perception'!B33)</f>
        <v/>
      </c>
      <c r="U33" s="18" t="str">
        <f>IF('inflation, income and interest'!$A$38=2,"",'delay in perception'!E33)</f>
        <v/>
      </c>
      <c r="V33" s="24" t="str">
        <f>IF('inflation, income and interest'!$A$38=2,"",'delay in perception'!D33)</f>
        <v/>
      </c>
      <c r="W33" s="25" t="str">
        <f>IF('inflation, income and interest'!$A$38=2,"",'delay in perception'!M33/100)</f>
        <v/>
      </c>
      <c r="X33" s="21" t="str">
        <f>IF('inflation, income and interest'!$A$38=2,"",'delay in perception'!L33/100)</f>
        <v/>
      </c>
      <c r="Y33" s="158" t="str">
        <f>IF('inflation, income and interest'!$B$38=2,"",(hystere!E33-hystere!B33)/hystere!B33)</f>
        <v/>
      </c>
      <c r="Z33" s="396" t="str">
        <f>IF('inflation, income and interest'!$B$38=2,"",hystere!M33/100)</f>
        <v/>
      </c>
      <c r="AA33" s="18" t="str">
        <f>IF('inflation, income and interest'!$B$38=2,"",hystere!E33)</f>
        <v/>
      </c>
      <c r="AB33" s="24" t="str">
        <f>IF('inflation, income and interest'!$B$38=2,"",hystere!C33)</f>
        <v/>
      </c>
      <c r="AC33" s="17" t="str">
        <f>IF('inflation, income and interest'!$B$38=2,"",hystere!O33/100)</f>
        <v/>
      </c>
      <c r="AD33" s="17" t="str">
        <f>IF('inflation, income and interest'!$B$38=2,"",hystere!N33/100)</f>
        <v/>
      </c>
    </row>
    <row r="34" spans="1:30" ht="14" thickTop="1" thickBot="1">
      <c r="A34" s="15">
        <v>31</v>
      </c>
      <c r="B34" s="17">
        <f ca="1">('normal case'!D33-'normal case'!B33)/'normal case'!B33</f>
        <v>5.9014499777614481E-10</v>
      </c>
      <c r="C34" s="23">
        <f ca="1">'normal case'!D33</f>
        <v>101.00000005960464</v>
      </c>
      <c r="D34" s="24">
        <f ca="1">'normal case'!C33</f>
        <v>-1.5107707374006907E-7</v>
      </c>
      <c r="E34" s="22">
        <f ca="1">'normal case'!L33/100</f>
        <v>1.9999998807907104E-2</v>
      </c>
      <c r="F34" s="25">
        <f ca="1">'normal case'!U33/100</f>
        <v>5.499999850988388E-2</v>
      </c>
      <c r="G34" s="25">
        <f ca="1">'normal case'!T33/100</f>
        <v>3.4999999701976779E-2</v>
      </c>
      <c r="H34" s="25">
        <f ca="1">'public finance'!D32</f>
        <v>1.9802129779314939E-3</v>
      </c>
      <c r="I34" s="20">
        <f ca="1">'public finance'!E32</f>
        <v>5.0009033120681622E-3</v>
      </c>
      <c r="J34" s="118">
        <f ca="1">'public finance'!H32</f>
        <v>-8.6305438853076941E-2</v>
      </c>
      <c r="K34" s="17">
        <f ca="1">'public finance'!C32/'normal case'!D33</f>
        <v>0.19801980186333762</v>
      </c>
      <c r="L34" s="20">
        <f ca="1">'public finance'!A32/'normal case'!D33</f>
        <v>0.2</v>
      </c>
      <c r="M34" s="18" t="str">
        <f>IF(controls!$B$44=0,"",'normal case'!AJ33)</f>
        <v/>
      </c>
      <c r="N34" s="18" t="str">
        <f>IF(controls!$B$44=0,"",'normal case'!AM33)</f>
        <v/>
      </c>
      <c r="O34" s="160" t="str">
        <f>IF(controls!$B$44=0,"",'external balance'!D33)</f>
        <v/>
      </c>
      <c r="P34" s="160" t="str">
        <f>IF(controls!$B$44=0,"",'external balance'!F33)</f>
        <v/>
      </c>
      <c r="Q34" s="159" t="str">
        <f>IF(controls!$B$44=0,"",'external balance'!H33)</f>
        <v/>
      </c>
      <c r="R34" s="158" t="str">
        <f>IF('inflation, income and interest'!$A$38=2,"",'delay in perception'!K34/100)</f>
        <v/>
      </c>
      <c r="S34" s="17" t="str">
        <f>IF('inflation, income and interest'!$A$38=2,"",('delay in perception'!E34-'delay in perception'!C34)/'delay in perception'!C34)</f>
        <v/>
      </c>
      <c r="T34" s="17" t="str">
        <f>IF('inflation, income and interest'!$A$38=2,"",('delay in perception'!E34-'delay in perception'!B34)/'delay in perception'!B34)</f>
        <v/>
      </c>
      <c r="U34" s="18" t="str">
        <f>IF('inflation, income and interest'!$A$38=2,"",'delay in perception'!E34)</f>
        <v/>
      </c>
      <c r="V34" s="24" t="str">
        <f>IF('inflation, income and interest'!$A$38=2,"",'delay in perception'!D34)</f>
        <v/>
      </c>
      <c r="W34" s="25" t="str">
        <f>IF('inflation, income and interest'!$A$38=2,"",'delay in perception'!M34/100)</f>
        <v/>
      </c>
      <c r="X34" s="21" t="str">
        <f>IF('inflation, income and interest'!$A$38=2,"",'delay in perception'!L34/100)</f>
        <v/>
      </c>
      <c r="Y34" s="158" t="str">
        <f>IF('inflation, income and interest'!$B$38=2,"",(hystere!E34-hystere!B34)/hystere!B34)</f>
        <v/>
      </c>
      <c r="Z34" s="396" t="str">
        <f>IF('inflation, income and interest'!$B$38=2,"",hystere!M34/100)</f>
        <v/>
      </c>
      <c r="AA34" s="18" t="str">
        <f>IF('inflation, income and interest'!$B$38=2,"",hystere!E34)</f>
        <v/>
      </c>
      <c r="AB34" s="24" t="str">
        <f>IF('inflation, income and interest'!$B$38=2,"",hystere!C34)</f>
        <v/>
      </c>
      <c r="AC34" s="17" t="str">
        <f>IF('inflation, income and interest'!$B$38=2,"",hystere!O34/100)</f>
        <v/>
      </c>
      <c r="AD34" s="17" t="str">
        <f>IF('inflation, income and interest'!$B$38=2,"",hystere!N34/100)</f>
        <v/>
      </c>
    </row>
    <row r="35" spans="1:30" ht="14" thickTop="1" thickBot="1">
      <c r="A35" s="15">
        <v>32</v>
      </c>
      <c r="B35" s="17">
        <f ca="1">('normal case'!D34-'normal case'!B34)/'normal case'!B34</f>
        <v>5.9014499777614481E-10</v>
      </c>
      <c r="C35" s="23">
        <f ca="1">'normal case'!D34</f>
        <v>101.00000005960464</v>
      </c>
      <c r="D35" s="24">
        <f ca="1">'normal case'!C34</f>
        <v>-1.5107707374006907E-7</v>
      </c>
      <c r="E35" s="22">
        <f ca="1">'normal case'!L34/100</f>
        <v>1.9999998807907104E-2</v>
      </c>
      <c r="F35" s="25">
        <f ca="1">'normal case'!U34/100</f>
        <v>5.499999850988388E-2</v>
      </c>
      <c r="G35" s="25">
        <f ca="1">'normal case'!T34/100</f>
        <v>3.4999999701976779E-2</v>
      </c>
      <c r="H35" s="25">
        <f ca="1">'public finance'!D33</f>
        <v>1.9802129779314939E-3</v>
      </c>
      <c r="I35" s="20">
        <f ca="1">'public finance'!E33</f>
        <v>5.1759344070557477E-3</v>
      </c>
      <c r="J35" s="118">
        <f ca="1">'public finance'!H33</f>
        <v>-9.1306327323876002E-2</v>
      </c>
      <c r="K35" s="17">
        <f ca="1">'public finance'!C33/'normal case'!D34</f>
        <v>0.19801980186333762</v>
      </c>
      <c r="L35" s="20">
        <f ca="1">'public finance'!A33/'normal case'!D34</f>
        <v>0.2</v>
      </c>
      <c r="M35" s="18" t="str">
        <f>IF(controls!$B$44=0,"",'normal case'!AJ34)</f>
        <v/>
      </c>
      <c r="N35" s="18" t="str">
        <f>IF(controls!$B$44=0,"",'normal case'!AM34)</f>
        <v/>
      </c>
      <c r="O35" s="160" t="str">
        <f>IF(controls!$B$44=0,"",'external balance'!D34)</f>
        <v/>
      </c>
      <c r="P35" s="160" t="str">
        <f>IF(controls!$B$44=0,"",'external balance'!F34)</f>
        <v/>
      </c>
      <c r="Q35" s="159" t="str">
        <f>IF(controls!$B$44=0,"",'external balance'!H34)</f>
        <v/>
      </c>
      <c r="R35" s="158" t="str">
        <f>IF('inflation, income and interest'!$A$38=2,"",'delay in perception'!K35/100)</f>
        <v/>
      </c>
      <c r="S35" s="17" t="str">
        <f>IF('inflation, income and interest'!$A$38=2,"",('delay in perception'!E35-'delay in perception'!C35)/'delay in perception'!C35)</f>
        <v/>
      </c>
      <c r="T35" s="17" t="str">
        <f>IF('inflation, income and interest'!$A$38=2,"",('delay in perception'!E35-'delay in perception'!B35)/'delay in perception'!B35)</f>
        <v/>
      </c>
      <c r="U35" s="18" t="str">
        <f>IF('inflation, income and interest'!$A$38=2,"",'delay in perception'!E35)</f>
        <v/>
      </c>
      <c r="V35" s="24" t="str">
        <f>IF('inflation, income and interest'!$A$38=2,"",'delay in perception'!D35)</f>
        <v/>
      </c>
      <c r="W35" s="25" t="str">
        <f>IF('inflation, income and interest'!$A$38=2,"",'delay in perception'!M35/100)</f>
        <v/>
      </c>
      <c r="X35" s="21" t="str">
        <f>IF('inflation, income and interest'!$A$38=2,"",'delay in perception'!L35/100)</f>
        <v/>
      </c>
      <c r="Y35" s="158" t="str">
        <f>IF('inflation, income and interest'!$B$38=2,"",(hystere!E35-hystere!B35)/hystere!B35)</f>
        <v/>
      </c>
      <c r="Z35" s="396" t="str">
        <f>IF('inflation, income and interest'!$B$38=2,"",hystere!M35/100)</f>
        <v/>
      </c>
      <c r="AA35" s="18" t="str">
        <f>IF('inflation, income and interest'!$B$38=2,"",hystere!E35)</f>
        <v/>
      </c>
      <c r="AB35" s="24" t="str">
        <f>IF('inflation, income and interest'!$B$38=2,"",hystere!C35)</f>
        <v/>
      </c>
      <c r="AC35" s="17" t="str">
        <f>IF('inflation, income and interest'!$B$38=2,"",hystere!O35/100)</f>
        <v/>
      </c>
      <c r="AD35" s="17" t="str">
        <f>IF('inflation, income and interest'!$B$38=2,"",hystere!N35/100)</f>
        <v/>
      </c>
    </row>
    <row r="36" spans="1:30" ht="14" thickTop="1" thickBot="1">
      <c r="A36" s="15">
        <v>33</v>
      </c>
      <c r="B36" s="17">
        <f ca="1">('normal case'!D35-'normal case'!B35)/'normal case'!B35</f>
        <v>5.9014499777614481E-10</v>
      </c>
      <c r="C36" s="23">
        <f ca="1">'normal case'!D35</f>
        <v>101.00000005960464</v>
      </c>
      <c r="D36" s="24">
        <f ca="1">'normal case'!C35</f>
        <v>-1.5107707374006907E-7</v>
      </c>
      <c r="E36" s="22">
        <f ca="1">'normal case'!L35/100</f>
        <v>1.9999998807907104E-2</v>
      </c>
      <c r="F36" s="25">
        <f ca="1">'normal case'!U35/100</f>
        <v>5.499999850988388E-2</v>
      </c>
      <c r="G36" s="25">
        <f ca="1">'normal case'!T35/100</f>
        <v>3.4999999701976779E-2</v>
      </c>
      <c r="H36" s="25">
        <f ca="1">'public finance'!D34</f>
        <v>1.9802129779314939E-3</v>
      </c>
      <c r="I36" s="20">
        <f ca="1">'public finance'!E34</f>
        <v>5.3570915903157369E-3</v>
      </c>
      <c r="J36" s="118">
        <f ca="1">'public finance'!H34</f>
        <v>-9.6482246889662643E-2</v>
      </c>
      <c r="K36" s="17">
        <f ca="1">'public finance'!C34/'normal case'!D35</f>
        <v>0.19801980186333762</v>
      </c>
      <c r="L36" s="20">
        <f ca="1">'public finance'!A34/'normal case'!D35</f>
        <v>0.2</v>
      </c>
      <c r="M36" s="18" t="str">
        <f>IF(controls!$B$44=0,"",'normal case'!AJ35)</f>
        <v/>
      </c>
      <c r="N36" s="18" t="str">
        <f>IF(controls!$B$44=0,"",'normal case'!AM35)</f>
        <v/>
      </c>
      <c r="O36" s="160" t="str">
        <f>IF(controls!$B$44=0,"",'external balance'!D35)</f>
        <v/>
      </c>
      <c r="P36" s="160" t="str">
        <f>IF(controls!$B$44=0,"",'external balance'!F35)</f>
        <v/>
      </c>
      <c r="Q36" s="159" t="str">
        <f>IF(controls!$B$44=0,"",'external balance'!H35)</f>
        <v/>
      </c>
      <c r="R36" s="158" t="str">
        <f>IF('inflation, income and interest'!$A$38=2,"",'delay in perception'!K36/100)</f>
        <v/>
      </c>
      <c r="S36" s="17" t="str">
        <f>IF('inflation, income and interest'!$A$38=2,"",('delay in perception'!E36-'delay in perception'!C36)/'delay in perception'!C36)</f>
        <v/>
      </c>
      <c r="T36" s="17" t="str">
        <f>IF('inflation, income and interest'!$A$38=2,"",('delay in perception'!E36-'delay in perception'!B36)/'delay in perception'!B36)</f>
        <v/>
      </c>
      <c r="U36" s="18" t="str">
        <f>IF('inflation, income and interest'!$A$38=2,"",'delay in perception'!E36)</f>
        <v/>
      </c>
      <c r="V36" s="24" t="str">
        <f>IF('inflation, income and interest'!$A$38=2,"",'delay in perception'!D36)</f>
        <v/>
      </c>
      <c r="W36" s="25" t="str">
        <f>IF('inflation, income and interest'!$A$38=2,"",'delay in perception'!M36/100)</f>
        <v/>
      </c>
      <c r="X36" s="21" t="str">
        <f>IF('inflation, income and interest'!$A$38=2,"",'delay in perception'!L36/100)</f>
        <v/>
      </c>
      <c r="Y36" s="158" t="str">
        <f>IF('inflation, income and interest'!$B$38=2,"",(hystere!E36-hystere!B36)/hystere!B36)</f>
        <v/>
      </c>
      <c r="Z36" s="396" t="str">
        <f>IF('inflation, income and interest'!$B$38=2,"",hystere!M36/100)</f>
        <v/>
      </c>
      <c r="AA36" s="18" t="str">
        <f>IF('inflation, income and interest'!$B$38=2,"",hystere!E36)</f>
        <v/>
      </c>
      <c r="AB36" s="24" t="str">
        <f>IF('inflation, income and interest'!$B$38=2,"",hystere!C36)</f>
        <v/>
      </c>
      <c r="AC36" s="17" t="str">
        <f>IF('inflation, income and interest'!$B$38=2,"",hystere!O36/100)</f>
        <v/>
      </c>
      <c r="AD36" s="17" t="str">
        <f>IF('inflation, income and interest'!$B$38=2,"",hystere!N36/100)</f>
        <v/>
      </c>
    </row>
    <row r="37" spans="1:30" ht="14" thickTop="1" thickBot="1">
      <c r="A37" s="15">
        <v>34</v>
      </c>
      <c r="B37" s="17">
        <f ca="1">('normal case'!D36-'normal case'!B36)/'normal case'!B36</f>
        <v>5.9014499777614481E-10</v>
      </c>
      <c r="C37" s="23">
        <f ca="1">'normal case'!D36</f>
        <v>101.00000005960464</v>
      </c>
      <c r="D37" s="24">
        <f ca="1">'normal case'!C36</f>
        <v>-1.5107707374006907E-7</v>
      </c>
      <c r="E37" s="22">
        <f ca="1">'normal case'!L36/100</f>
        <v>1.9999998807907104E-2</v>
      </c>
      <c r="F37" s="25">
        <f ca="1">'normal case'!U36/100</f>
        <v>5.499999850988388E-2</v>
      </c>
      <c r="G37" s="25">
        <f ca="1">'normal case'!T36/100</f>
        <v>3.4999999701976779E-2</v>
      </c>
      <c r="H37" s="25">
        <f ca="1">'public finance'!D35</f>
        <v>1.9802129779314939E-3</v>
      </c>
      <c r="I37" s="20">
        <f ca="1">'public finance'!E35</f>
        <v>5.5445892749358353E-3</v>
      </c>
      <c r="J37" s="118">
        <f ca="1">'public finance'!H35</f>
        <v>-0.10183932363870929</v>
      </c>
      <c r="K37" s="17">
        <f ca="1">'public finance'!C35/'normal case'!D36</f>
        <v>0.19801980186333762</v>
      </c>
      <c r="L37" s="20">
        <f ca="1">'public finance'!A35/'normal case'!D36</f>
        <v>0.2</v>
      </c>
      <c r="M37" s="18" t="str">
        <f>IF(controls!$B$44=0,"",'normal case'!AJ36)</f>
        <v/>
      </c>
      <c r="N37" s="18" t="str">
        <f>IF(controls!$B$44=0,"",'normal case'!AM36)</f>
        <v/>
      </c>
      <c r="O37" s="160" t="str">
        <f>IF(controls!$B$44=0,"",'external balance'!D36)</f>
        <v/>
      </c>
      <c r="P37" s="160" t="str">
        <f>IF(controls!$B$44=0,"",'external balance'!F36)</f>
        <v/>
      </c>
      <c r="Q37" s="159" t="str">
        <f>IF(controls!$B$44=0,"",'external balance'!H36)</f>
        <v/>
      </c>
      <c r="R37" s="158" t="str">
        <f>IF('inflation, income and interest'!$A$38=2,"",'delay in perception'!K37/100)</f>
        <v/>
      </c>
      <c r="S37" s="17" t="str">
        <f>IF('inflation, income and interest'!$A$38=2,"",('delay in perception'!E37-'delay in perception'!C37)/'delay in perception'!C37)</f>
        <v/>
      </c>
      <c r="T37" s="17" t="str">
        <f>IF('inflation, income and interest'!$A$38=2,"",('delay in perception'!E37-'delay in perception'!B37)/'delay in perception'!B37)</f>
        <v/>
      </c>
      <c r="U37" s="18" t="str">
        <f>IF('inflation, income and interest'!$A$38=2,"",'delay in perception'!E37)</f>
        <v/>
      </c>
      <c r="V37" s="24" t="str">
        <f>IF('inflation, income and interest'!$A$38=2,"",'delay in perception'!D37)</f>
        <v/>
      </c>
      <c r="W37" s="25" t="str">
        <f>IF('inflation, income and interest'!$A$38=2,"",'delay in perception'!M37/100)</f>
        <v/>
      </c>
      <c r="X37" s="21" t="str">
        <f>IF('inflation, income and interest'!$A$38=2,"",'delay in perception'!L37/100)</f>
        <v/>
      </c>
      <c r="Y37" s="158" t="str">
        <f>IF('inflation, income and interest'!$B$38=2,"",(hystere!E37-hystere!B37)/hystere!B37)</f>
        <v/>
      </c>
      <c r="Z37" s="396" t="str">
        <f>IF('inflation, income and interest'!$B$38=2,"",hystere!M37/100)</f>
        <v/>
      </c>
      <c r="AA37" s="18" t="str">
        <f>IF('inflation, income and interest'!$B$38=2,"",hystere!E37)</f>
        <v/>
      </c>
      <c r="AB37" s="24" t="str">
        <f>IF('inflation, income and interest'!$B$38=2,"",hystere!C37)</f>
        <v/>
      </c>
      <c r="AC37" s="17" t="str">
        <f>IF('inflation, income and interest'!$B$38=2,"",hystere!O37/100)</f>
        <v/>
      </c>
      <c r="AD37" s="17" t="str">
        <f>IF('inflation, income and interest'!$B$38=2,"",hystere!N37/100)</f>
        <v/>
      </c>
    </row>
    <row r="38" spans="1:30" ht="14" thickTop="1" thickBot="1">
      <c r="A38" s="15">
        <v>35</v>
      </c>
      <c r="B38" s="17">
        <f ca="1">('normal case'!D37-'normal case'!B37)/'normal case'!B37</f>
        <v>5.9014499777614481E-10</v>
      </c>
      <c r="C38" s="23">
        <f ca="1">'normal case'!D37</f>
        <v>101.00000005960464</v>
      </c>
      <c r="D38" s="24">
        <f ca="1">'normal case'!C37</f>
        <v>-1.5107707374006907E-7</v>
      </c>
      <c r="E38" s="22">
        <f ca="1">'normal case'!L37/100</f>
        <v>1.9999998807907104E-2</v>
      </c>
      <c r="F38" s="25">
        <f ca="1">'normal case'!U37/100</f>
        <v>5.499999850988388E-2</v>
      </c>
      <c r="G38" s="25">
        <f ca="1">'normal case'!T37/100</f>
        <v>3.4999999701976779E-2</v>
      </c>
      <c r="H38" s="25">
        <f ca="1">'public finance'!D36</f>
        <v>1.9802129779314939E-3</v>
      </c>
      <c r="I38" s="20">
        <f ca="1">'public finance'!E36</f>
        <v>5.7386493784617586E-3</v>
      </c>
      <c r="J38" s="118">
        <f ca="1">'public finance'!H36</f>
        <v>-0.10738389807237601</v>
      </c>
      <c r="K38" s="17">
        <f ca="1">'public finance'!C36/'normal case'!D37</f>
        <v>0.19801980186333762</v>
      </c>
      <c r="L38" s="20">
        <f ca="1">'public finance'!A36/'normal case'!D37</f>
        <v>0.2</v>
      </c>
      <c r="M38" s="18" t="str">
        <f>IF(controls!$B$44=0,"",'normal case'!AJ37)</f>
        <v/>
      </c>
      <c r="N38" s="18" t="str">
        <f>IF(controls!$B$44=0,"",'normal case'!AM37)</f>
        <v/>
      </c>
      <c r="O38" s="160" t="str">
        <f>IF(controls!$B$44=0,"",'external balance'!D37)</f>
        <v/>
      </c>
      <c r="P38" s="160" t="str">
        <f>IF(controls!$B$44=0,"",'external balance'!F37)</f>
        <v/>
      </c>
      <c r="Q38" s="159" t="str">
        <f>IF(controls!$B$44=0,"",'external balance'!H37)</f>
        <v/>
      </c>
      <c r="R38" s="158" t="str">
        <f>IF('inflation, income and interest'!$A$38=2,"",'delay in perception'!K38/100)</f>
        <v/>
      </c>
      <c r="S38" s="17" t="str">
        <f>IF('inflation, income and interest'!$A$38=2,"",('delay in perception'!E38-'delay in perception'!C38)/'delay in perception'!C38)</f>
        <v/>
      </c>
      <c r="T38" s="17" t="str">
        <f>IF('inflation, income and interest'!$A$38=2,"",('delay in perception'!E38-'delay in perception'!B38)/'delay in perception'!B38)</f>
        <v/>
      </c>
      <c r="U38" s="18" t="str">
        <f>IF('inflation, income and interest'!$A$38=2,"",'delay in perception'!E38)</f>
        <v/>
      </c>
      <c r="V38" s="24" t="str">
        <f>IF('inflation, income and interest'!$A$38=2,"",'delay in perception'!D38)</f>
        <v/>
      </c>
      <c r="W38" s="25" t="str">
        <f>IF('inflation, income and interest'!$A$38=2,"",'delay in perception'!M38/100)</f>
        <v/>
      </c>
      <c r="X38" s="21" t="str">
        <f>IF('inflation, income and interest'!$A$38=2,"",'delay in perception'!L38/100)</f>
        <v/>
      </c>
      <c r="Y38" s="158" t="str">
        <f>IF('inflation, income and interest'!$B$38=2,"",(hystere!E38-hystere!B38)/hystere!B38)</f>
        <v/>
      </c>
      <c r="Z38" s="396" t="str">
        <f>IF('inflation, income and interest'!$B$38=2,"",hystere!M38/100)</f>
        <v/>
      </c>
      <c r="AA38" s="18" t="str">
        <f>IF('inflation, income and interest'!$B$38=2,"",hystere!E38)</f>
        <v/>
      </c>
      <c r="AB38" s="24" t="str">
        <f>IF('inflation, income and interest'!$B$38=2,"",hystere!C38)</f>
        <v/>
      </c>
      <c r="AC38" s="17" t="str">
        <f>IF('inflation, income and interest'!$B$38=2,"",hystere!O38/100)</f>
        <v/>
      </c>
      <c r="AD38" s="17" t="str">
        <f>IF('inflation, income and interest'!$B$38=2,"",hystere!N38/100)</f>
        <v/>
      </c>
    </row>
    <row r="39" spans="1:30" ht="14" thickTop="1" thickBot="1">
      <c r="A39" s="15">
        <v>36</v>
      </c>
      <c r="B39" s="17">
        <f ca="1">('normal case'!D38-'normal case'!B38)/'normal case'!B38</f>
        <v>5.9014499777614481E-10</v>
      </c>
      <c r="C39" s="23">
        <f ca="1">'normal case'!D38</f>
        <v>101.00000005960464</v>
      </c>
      <c r="D39" s="24">
        <f ca="1">'normal case'!C38</f>
        <v>-1.5107707374006907E-7</v>
      </c>
      <c r="E39" s="22">
        <f ca="1">'normal case'!L38/100</f>
        <v>1.9999998807907104E-2</v>
      </c>
      <c r="F39" s="25">
        <f ca="1">'normal case'!U38/100</f>
        <v>5.499999850988388E-2</v>
      </c>
      <c r="G39" s="25">
        <f ca="1">'normal case'!T38/100</f>
        <v>3.4999999701976779E-2</v>
      </c>
      <c r="H39" s="25">
        <f ca="1">'public finance'!D37</f>
        <v>1.9802129779314939E-3</v>
      </c>
      <c r="I39" s="20">
        <f ca="1">'public finance'!E37</f>
        <v>5.9395015855532559E-3</v>
      </c>
      <c r="J39" s="118">
        <f ca="1">'public finance'!H37</f>
        <v>-0.11312253260956867</v>
      </c>
      <c r="K39" s="17">
        <f ca="1">'public finance'!C37/'normal case'!D38</f>
        <v>0.19801980186333762</v>
      </c>
      <c r="L39" s="20">
        <f ca="1">'public finance'!A37/'normal case'!D38</f>
        <v>0.2</v>
      </c>
      <c r="M39" s="18" t="str">
        <f>IF(controls!$B$44=0,"",'normal case'!AJ38)</f>
        <v/>
      </c>
      <c r="N39" s="18" t="str">
        <f>IF(controls!$B$44=0,"",'normal case'!AM38)</f>
        <v/>
      </c>
      <c r="O39" s="160" t="str">
        <f>IF(controls!$B$44=0,"",'external balance'!D38)</f>
        <v/>
      </c>
      <c r="P39" s="160" t="str">
        <f>IF(controls!$B$44=0,"",'external balance'!F38)</f>
        <v/>
      </c>
      <c r="Q39" s="159" t="str">
        <f>IF(controls!$B$44=0,"",'external balance'!H38)</f>
        <v/>
      </c>
      <c r="R39" s="158" t="str">
        <f>IF('inflation, income and interest'!$A$38=2,"",'delay in perception'!K39/100)</f>
        <v/>
      </c>
      <c r="S39" s="17" t="str">
        <f>IF('inflation, income and interest'!$A$38=2,"",('delay in perception'!E39-'delay in perception'!C39)/'delay in perception'!C39)</f>
        <v/>
      </c>
      <c r="T39" s="17" t="str">
        <f>IF('inflation, income and interest'!$A$38=2,"",('delay in perception'!E39-'delay in perception'!B39)/'delay in perception'!B39)</f>
        <v/>
      </c>
      <c r="U39" s="18" t="str">
        <f>IF('inflation, income and interest'!$A$38=2,"",'delay in perception'!E39)</f>
        <v/>
      </c>
      <c r="V39" s="24" t="str">
        <f>IF('inflation, income and interest'!$A$38=2,"",'delay in perception'!D39)</f>
        <v/>
      </c>
      <c r="W39" s="25" t="str">
        <f>IF('inflation, income and interest'!$A$38=2,"",'delay in perception'!M39/100)</f>
        <v/>
      </c>
      <c r="X39" s="21" t="str">
        <f>IF('inflation, income and interest'!$A$38=2,"",'delay in perception'!L39/100)</f>
        <v/>
      </c>
      <c r="Y39" s="158" t="str">
        <f>IF('inflation, income and interest'!$B$38=2,"",(hystere!E39-hystere!B39)/hystere!B39)</f>
        <v/>
      </c>
      <c r="Z39" s="396" t="str">
        <f>IF('inflation, income and interest'!$B$38=2,"",hystere!M39/100)</f>
        <v/>
      </c>
      <c r="AA39" s="18" t="str">
        <f>IF('inflation, income and interest'!$B$38=2,"",hystere!E39)</f>
        <v/>
      </c>
      <c r="AB39" s="24" t="str">
        <f>IF('inflation, income and interest'!$B$38=2,"",hystere!C39)</f>
        <v/>
      </c>
      <c r="AC39" s="17" t="str">
        <f>IF('inflation, income and interest'!$B$38=2,"",hystere!O39/100)</f>
        <v/>
      </c>
      <c r="AD39" s="17" t="str">
        <f>IF('inflation, income and interest'!$B$38=2,"",hystere!N39/100)</f>
        <v/>
      </c>
    </row>
    <row r="40" spans="1:30" ht="14" thickTop="1" thickBot="1">
      <c r="A40" s="15">
        <v>37</v>
      </c>
      <c r="B40" s="17">
        <f ca="1">('normal case'!D39-'normal case'!B39)/'normal case'!B39</f>
        <v>5.9014499777614481E-10</v>
      </c>
      <c r="C40" s="23">
        <f ca="1">'normal case'!D39</f>
        <v>101.00000005960464</v>
      </c>
      <c r="D40" s="24">
        <f ca="1">'normal case'!C39</f>
        <v>-1.5107707374006907E-7</v>
      </c>
      <c r="E40" s="22">
        <f ca="1">'normal case'!L39/100</f>
        <v>1.9999998807907104E-2</v>
      </c>
      <c r="F40" s="25">
        <f ca="1">'normal case'!U39/100</f>
        <v>5.499999850988388E-2</v>
      </c>
      <c r="G40" s="25">
        <f ca="1">'normal case'!T39/100</f>
        <v>3.4999999701976779E-2</v>
      </c>
      <c r="H40" s="25">
        <f ca="1">'public finance'!D38</f>
        <v>1.9802129779314939E-3</v>
      </c>
      <c r="I40" s="20">
        <f ca="1">'public finance'!E38</f>
        <v>6.1473836198330965E-3</v>
      </c>
      <c r="J40" s="118">
        <f ca="1">'public finance'!H38</f>
        <v>-0.11906201935385283</v>
      </c>
      <c r="K40" s="17">
        <f ca="1">'public finance'!C38/'normal case'!D39</f>
        <v>0.19801980186333762</v>
      </c>
      <c r="L40" s="20">
        <f ca="1">'public finance'!A38/'normal case'!D39</f>
        <v>0.2</v>
      </c>
      <c r="M40" s="18" t="str">
        <f>IF(controls!$B$44=0,"",'normal case'!AJ39)</f>
        <v/>
      </c>
      <c r="N40" s="18" t="str">
        <f>IF(controls!$B$44=0,"",'normal case'!AM39)</f>
        <v/>
      </c>
      <c r="O40" s="160" t="str">
        <f>IF(controls!$B$44=0,"",'external balance'!D39)</f>
        <v/>
      </c>
      <c r="P40" s="160" t="str">
        <f>IF(controls!$B$44=0,"",'external balance'!F39)</f>
        <v/>
      </c>
      <c r="Q40" s="159" t="str">
        <f>IF(controls!$B$44=0,"",'external balance'!H39)</f>
        <v/>
      </c>
      <c r="R40" s="158" t="str">
        <f>IF('inflation, income and interest'!$A$38=2,"",'delay in perception'!K40/100)</f>
        <v/>
      </c>
      <c r="S40" s="17" t="str">
        <f>IF('inflation, income and interest'!$A$38=2,"",('delay in perception'!E40-'delay in perception'!C40)/'delay in perception'!C40)</f>
        <v/>
      </c>
      <c r="T40" s="17" t="str">
        <f>IF('inflation, income and interest'!$A$38=2,"",('delay in perception'!E40-'delay in perception'!B40)/'delay in perception'!B40)</f>
        <v/>
      </c>
      <c r="U40" s="18" t="str">
        <f>IF('inflation, income and interest'!$A$38=2,"",'delay in perception'!E40)</f>
        <v/>
      </c>
      <c r="V40" s="24" t="str">
        <f>IF('inflation, income and interest'!$A$38=2,"",'delay in perception'!D40)</f>
        <v/>
      </c>
      <c r="W40" s="25" t="str">
        <f>IF('inflation, income and interest'!$A$38=2,"",'delay in perception'!M40/100)</f>
        <v/>
      </c>
      <c r="X40" s="21" t="str">
        <f>IF('inflation, income and interest'!$A$38=2,"",'delay in perception'!L40/100)</f>
        <v/>
      </c>
      <c r="Y40" s="158" t="str">
        <f>IF('inflation, income and interest'!$B$38=2,"",(hystere!E40-hystere!B40)/hystere!B40)</f>
        <v/>
      </c>
      <c r="Z40" s="396" t="str">
        <f>IF('inflation, income and interest'!$B$38=2,"",hystere!M40/100)</f>
        <v/>
      </c>
      <c r="AA40" s="18" t="str">
        <f>IF('inflation, income and interest'!$B$38=2,"",hystere!E40)</f>
        <v/>
      </c>
      <c r="AB40" s="24" t="str">
        <f>IF('inflation, income and interest'!$B$38=2,"",hystere!C40)</f>
        <v/>
      </c>
      <c r="AC40" s="17" t="str">
        <f>IF('inflation, income and interest'!$B$38=2,"",hystere!O40/100)</f>
        <v/>
      </c>
      <c r="AD40" s="17" t="str">
        <f>IF('inflation, income and interest'!$B$38=2,"",hystere!N40/100)</f>
        <v/>
      </c>
    </row>
    <row r="41" spans="1:30" ht="14" thickTop="1" thickBot="1">
      <c r="A41" s="15">
        <v>38</v>
      </c>
      <c r="B41" s="17">
        <f ca="1">('normal case'!D40-'normal case'!B40)/'normal case'!B40</f>
        <v>5.9014499777614481E-10</v>
      </c>
      <c r="C41" s="23">
        <f ca="1">'normal case'!D40</f>
        <v>101.00000005960464</v>
      </c>
      <c r="D41" s="24">
        <f ca="1">'normal case'!C40</f>
        <v>-1.5107707374006907E-7</v>
      </c>
      <c r="E41" s="22">
        <f ca="1">'normal case'!L40/100</f>
        <v>1.9999998807907104E-2</v>
      </c>
      <c r="F41" s="25">
        <f ca="1">'normal case'!U40/100</f>
        <v>5.499999850988388E-2</v>
      </c>
      <c r="G41" s="25">
        <f ca="1">'normal case'!T40/100</f>
        <v>3.4999999701976779E-2</v>
      </c>
      <c r="H41" s="25">
        <f ca="1">'public finance'!D39</f>
        <v>1.9802129779314939E-3</v>
      </c>
      <c r="I41" s="20">
        <f ca="1">'public finance'!E39</f>
        <v>6.362541525250778E-3</v>
      </c>
      <c r="J41" s="118">
        <f ca="1">'public finance'!H39</f>
        <v>-0.12520938813241683</v>
      </c>
      <c r="K41" s="17">
        <f ca="1">'public finance'!C39/'normal case'!D40</f>
        <v>0.19801980186333762</v>
      </c>
      <c r="L41" s="20">
        <f ca="1">'public finance'!A39/'normal case'!D40</f>
        <v>0.2</v>
      </c>
      <c r="M41" s="18" t="str">
        <f>IF(controls!$B$44=0,"",'normal case'!AJ40)</f>
        <v/>
      </c>
      <c r="N41" s="18" t="str">
        <f>IF(controls!$B$44=0,"",'normal case'!AM40)</f>
        <v/>
      </c>
      <c r="O41" s="160" t="str">
        <f>IF(controls!$B$44=0,"",'external balance'!D40)</f>
        <v/>
      </c>
      <c r="P41" s="160" t="str">
        <f>IF(controls!$B$44=0,"",'external balance'!F40)</f>
        <v/>
      </c>
      <c r="Q41" s="159" t="str">
        <f>IF(controls!$B$44=0,"",'external balance'!H40)</f>
        <v/>
      </c>
      <c r="R41" s="158" t="str">
        <f>IF('inflation, income and interest'!$A$38=2,"",'delay in perception'!K41/100)</f>
        <v/>
      </c>
      <c r="S41" s="17" t="str">
        <f>IF('inflation, income and interest'!$A$38=2,"",('delay in perception'!E41-'delay in perception'!C41)/'delay in perception'!C41)</f>
        <v/>
      </c>
      <c r="T41" s="17" t="str">
        <f>IF('inflation, income and interest'!$A$38=2,"",('delay in perception'!E41-'delay in perception'!B41)/'delay in perception'!B41)</f>
        <v/>
      </c>
      <c r="U41" s="18" t="str">
        <f>IF('inflation, income and interest'!$A$38=2,"",'delay in perception'!E41)</f>
        <v/>
      </c>
      <c r="V41" s="24" t="str">
        <f>IF('inflation, income and interest'!$A$38=2,"",'delay in perception'!D41)</f>
        <v/>
      </c>
      <c r="W41" s="25" t="str">
        <f>IF('inflation, income and interest'!$A$38=2,"",'delay in perception'!M41/100)</f>
        <v/>
      </c>
      <c r="X41" s="21" t="str">
        <f>IF('inflation, income and interest'!$A$38=2,"",'delay in perception'!L41/100)</f>
        <v/>
      </c>
      <c r="Y41" s="158" t="str">
        <f>IF('inflation, income and interest'!$B$38=2,"",(hystere!E41-hystere!B41)/hystere!B41)</f>
        <v/>
      </c>
      <c r="Z41" s="396" t="str">
        <f>IF('inflation, income and interest'!$B$38=2,"",hystere!M41/100)</f>
        <v/>
      </c>
      <c r="AA41" s="18" t="str">
        <f>IF('inflation, income and interest'!$B$38=2,"",hystere!E41)</f>
        <v/>
      </c>
      <c r="AB41" s="24" t="str">
        <f>IF('inflation, income and interest'!$B$38=2,"",hystere!C41)</f>
        <v/>
      </c>
      <c r="AC41" s="17" t="str">
        <f>IF('inflation, income and interest'!$B$38=2,"",hystere!O41/100)</f>
        <v/>
      </c>
      <c r="AD41" s="17" t="str">
        <f>IF('inflation, income and interest'!$B$38=2,"",hystere!N41/100)</f>
        <v/>
      </c>
    </row>
    <row r="42" spans="1:30" ht="14" thickTop="1" thickBot="1">
      <c r="A42" s="15">
        <v>39</v>
      </c>
      <c r="B42" s="17">
        <f ca="1">('normal case'!D41-'normal case'!B41)/'normal case'!B41</f>
        <v>5.9014499777614481E-10</v>
      </c>
      <c r="C42" s="23">
        <f ca="1">'normal case'!D41</f>
        <v>101.00000005960464</v>
      </c>
      <c r="D42" s="24">
        <f ca="1">'normal case'!C41</f>
        <v>-1.5107707374006907E-7</v>
      </c>
      <c r="E42" s="22">
        <f ca="1">'normal case'!L41/100</f>
        <v>1.9999998807907104E-2</v>
      </c>
      <c r="F42" s="25">
        <f ca="1">'normal case'!U41/100</f>
        <v>5.499999850988388E-2</v>
      </c>
      <c r="G42" s="25">
        <f ca="1">'normal case'!T41/100</f>
        <v>3.4999999701976779E-2</v>
      </c>
      <c r="H42" s="25">
        <f ca="1">'public finance'!D40</f>
        <v>1.9802129779314939E-3</v>
      </c>
      <c r="I42" s="20">
        <f ca="1">'public finance'!E40</f>
        <v>6.5852299572939556E-3</v>
      </c>
      <c r="J42" s="118">
        <f ca="1">'public finance'!H40</f>
        <v>-0.13157191481639852</v>
      </c>
      <c r="K42" s="17">
        <f ca="1">'public finance'!C40/'normal case'!D41</f>
        <v>0.19801980186333762</v>
      </c>
      <c r="L42" s="20">
        <f ca="1">'public finance'!A40/'normal case'!D41</f>
        <v>0.2</v>
      </c>
      <c r="M42" s="18" t="str">
        <f>IF(controls!$B$44=0,"",'normal case'!AJ41)</f>
        <v/>
      </c>
      <c r="N42" s="18" t="str">
        <f>IF(controls!$B$44=0,"",'normal case'!AM41)</f>
        <v/>
      </c>
      <c r="O42" s="160" t="str">
        <f>IF(controls!$B$44=0,"",'external balance'!D41)</f>
        <v/>
      </c>
      <c r="P42" s="160" t="str">
        <f>IF(controls!$B$44=0,"",'external balance'!F41)</f>
        <v/>
      </c>
      <c r="Q42" s="159" t="str">
        <f>IF(controls!$B$44=0,"",'external balance'!H41)</f>
        <v/>
      </c>
      <c r="R42" s="158" t="str">
        <f>IF('inflation, income and interest'!$A$38=2,"",'delay in perception'!K42/100)</f>
        <v/>
      </c>
      <c r="S42" s="17" t="str">
        <f>IF('inflation, income and interest'!$A$38=2,"",('delay in perception'!E42-'delay in perception'!C42)/'delay in perception'!C42)</f>
        <v/>
      </c>
      <c r="T42" s="17" t="str">
        <f>IF('inflation, income and interest'!$A$38=2,"",('delay in perception'!E42-'delay in perception'!B42)/'delay in perception'!B42)</f>
        <v/>
      </c>
      <c r="U42" s="18" t="str">
        <f>IF('inflation, income and interest'!$A$38=2,"",'delay in perception'!E42)</f>
        <v/>
      </c>
      <c r="V42" s="24" t="str">
        <f>IF('inflation, income and interest'!$A$38=2,"",'delay in perception'!D42)</f>
        <v/>
      </c>
      <c r="W42" s="25" t="str">
        <f>IF('inflation, income and interest'!$A$38=2,"",'delay in perception'!M42/100)</f>
        <v/>
      </c>
      <c r="X42" s="21" t="str">
        <f>IF('inflation, income and interest'!$A$38=2,"",'delay in perception'!L42/100)</f>
        <v/>
      </c>
      <c r="Y42" s="158" t="str">
        <f>IF('inflation, income and interest'!$B$38=2,"",(hystere!E42-hystere!B42)/hystere!B42)</f>
        <v/>
      </c>
      <c r="Z42" s="396" t="str">
        <f>IF('inflation, income and interest'!$B$38=2,"",hystere!M42/100)</f>
        <v/>
      </c>
      <c r="AA42" s="18" t="str">
        <f>IF('inflation, income and interest'!$B$38=2,"",hystere!E42)</f>
        <v/>
      </c>
      <c r="AB42" s="24" t="str">
        <f>IF('inflation, income and interest'!$B$38=2,"",hystere!C42)</f>
        <v/>
      </c>
      <c r="AC42" s="17" t="str">
        <f>IF('inflation, income and interest'!$B$38=2,"",hystere!O42/100)</f>
        <v/>
      </c>
      <c r="AD42" s="17" t="str">
        <f>IF('inflation, income and interest'!$B$38=2,"",hystere!N42/100)</f>
        <v/>
      </c>
    </row>
    <row r="43" spans="1:30" ht="14" thickTop="1" thickBot="1">
      <c r="A43" s="15">
        <v>40</v>
      </c>
      <c r="B43" s="17">
        <f ca="1">('normal case'!D42-'normal case'!B42)/'normal case'!B42</f>
        <v>5.9014499777614481E-10</v>
      </c>
      <c r="C43" s="23">
        <f ca="1">'normal case'!D42</f>
        <v>101.00000005960464</v>
      </c>
      <c r="D43" s="24">
        <f ca="1">'normal case'!C42</f>
        <v>-1.5107707374006907E-7</v>
      </c>
      <c r="E43" s="22">
        <f ca="1">'normal case'!L42/100</f>
        <v>1.9999998807907104E-2</v>
      </c>
      <c r="F43" s="25">
        <f ca="1">'normal case'!U42/100</f>
        <v>5.499999850988388E-2</v>
      </c>
      <c r="G43" s="25">
        <f ca="1">'normal case'!T42/100</f>
        <v>3.4999999701976779E-2</v>
      </c>
      <c r="H43" s="25">
        <f ca="1">'public finance'!D41</f>
        <v>1.9802129779314939E-3</v>
      </c>
      <c r="I43" s="20">
        <f ca="1">'public finance'!E41</f>
        <v>6.8157124843922787E-3</v>
      </c>
      <c r="J43" s="118">
        <f ca="1">'public finance'!H41</f>
        <v>-0.13815712993242335</v>
      </c>
      <c r="K43" s="17">
        <f ca="1">'public finance'!C41/'normal case'!D42</f>
        <v>0.19801980186333762</v>
      </c>
      <c r="L43" s="20">
        <f ca="1">'public finance'!A41/'normal case'!D42</f>
        <v>0.2</v>
      </c>
      <c r="M43" s="18" t="str">
        <f>IF(controls!$B$44=0,"",'normal case'!AJ42)</f>
        <v/>
      </c>
      <c r="N43" s="18" t="str">
        <f>IF(controls!$B$44=0,"",'normal case'!AM42)</f>
        <v/>
      </c>
      <c r="O43" s="160" t="str">
        <f>IF(controls!$B$44=0,"",'external balance'!D42)</f>
        <v/>
      </c>
      <c r="P43" s="160" t="str">
        <f>IF(controls!$B$44=0,"",'external balance'!F42)</f>
        <v/>
      </c>
      <c r="Q43" s="159" t="str">
        <f>IF(controls!$B$44=0,"",'external balance'!H42)</f>
        <v/>
      </c>
      <c r="R43" s="158" t="str">
        <f>IF('inflation, income and interest'!$A$38=2,"",'delay in perception'!K43/100)</f>
        <v/>
      </c>
      <c r="S43" s="17" t="str">
        <f>IF('inflation, income and interest'!$A$38=2,"",('delay in perception'!E43-'delay in perception'!C43)/'delay in perception'!C43)</f>
        <v/>
      </c>
      <c r="T43" s="17" t="str">
        <f>IF('inflation, income and interest'!$A$38=2,"",('delay in perception'!E43-'delay in perception'!B43)/'delay in perception'!B43)</f>
        <v/>
      </c>
      <c r="U43" s="18" t="str">
        <f>IF('inflation, income and interest'!$A$38=2,"",'delay in perception'!E43)</f>
        <v/>
      </c>
      <c r="V43" s="24" t="str">
        <f>IF('inflation, income and interest'!$A$38=2,"",'delay in perception'!D43)</f>
        <v/>
      </c>
      <c r="W43" s="25" t="str">
        <f>IF('inflation, income and interest'!$A$38=2,"",'delay in perception'!M43/100)</f>
        <v/>
      </c>
      <c r="X43" s="21" t="str">
        <f>IF('inflation, income and interest'!$A$38=2,"",'delay in perception'!L43/100)</f>
        <v/>
      </c>
      <c r="Y43" s="158" t="str">
        <f>IF('inflation, income and interest'!$B$38=2,"",(hystere!E43-hystere!B43)/hystere!B43)</f>
        <v/>
      </c>
      <c r="Z43" s="396" t="str">
        <f>IF('inflation, income and interest'!$B$38=2,"",hystere!M43/100)</f>
        <v/>
      </c>
      <c r="AA43" s="18" t="str">
        <f>IF('inflation, income and interest'!$B$38=2,"",hystere!E43)</f>
        <v/>
      </c>
      <c r="AB43" s="24" t="str">
        <f>IF('inflation, income and interest'!$B$38=2,"",hystere!C43)</f>
        <v/>
      </c>
      <c r="AC43" s="17" t="str">
        <f>IF('inflation, income and interest'!$B$38=2,"",hystere!O43/100)</f>
        <v/>
      </c>
      <c r="AD43" s="17" t="str">
        <f>IF('inflation, income and interest'!$B$38=2,"",hystere!N43/100)</f>
        <v/>
      </c>
    </row>
    <row r="44" spans="1:30" ht="14" thickTop="1" thickBot="1">
      <c r="A44" s="15">
        <v>41</v>
      </c>
      <c r="B44" s="17">
        <f ca="1">('normal case'!D43-'normal case'!B43)/'normal case'!B43</f>
        <v>5.9014499777614481E-10</v>
      </c>
      <c r="C44" s="23">
        <f ca="1">'normal case'!D43</f>
        <v>101.00000005960464</v>
      </c>
      <c r="D44" s="24">
        <f ca="1">'normal case'!C43</f>
        <v>-1.5107707374006907E-7</v>
      </c>
      <c r="E44" s="22">
        <f ca="1">'normal case'!L43/100</f>
        <v>1.9999998807907104E-2</v>
      </c>
      <c r="F44" s="25">
        <f ca="1">'normal case'!U43/100</f>
        <v>5.499999850988388E-2</v>
      </c>
      <c r="G44" s="25">
        <f ca="1">'normal case'!T43/100</f>
        <v>3.4999999701976779E-2</v>
      </c>
      <c r="H44" s="25">
        <f ca="1">'public finance'!D42</f>
        <v>1.9802129779314939E-3</v>
      </c>
      <c r="I44" s="20">
        <f ca="1">'public finance'!E42</f>
        <v>7.0542618998703545E-3</v>
      </c>
      <c r="J44" s="118">
        <f ca="1">'public finance'!H42</f>
        <v>-0.14497282757554655</v>
      </c>
      <c r="K44" s="17">
        <f ca="1">'public finance'!C42/'normal case'!D43</f>
        <v>0.19801980186333762</v>
      </c>
      <c r="L44" s="20">
        <f ca="1">'public finance'!A42/'normal case'!D43</f>
        <v>0.2</v>
      </c>
      <c r="M44" s="18" t="str">
        <f>IF(controls!$B$44=0,"",'normal case'!AJ43)</f>
        <v/>
      </c>
      <c r="N44" s="18" t="str">
        <f>IF(controls!$B$44=0,"",'normal case'!AM43)</f>
        <v/>
      </c>
      <c r="O44" s="160" t="str">
        <f>IF(controls!$B$44=0,"",'external balance'!D43)</f>
        <v/>
      </c>
      <c r="P44" s="160" t="str">
        <f>IF(controls!$B$44=0,"",'external balance'!F43)</f>
        <v/>
      </c>
      <c r="Q44" s="159" t="str">
        <f>IF(controls!$B$44=0,"",'external balance'!H43)</f>
        <v/>
      </c>
      <c r="R44" s="158" t="str">
        <f>IF('inflation, income and interest'!$A$38=2,"",'delay in perception'!K44/100)</f>
        <v/>
      </c>
      <c r="S44" s="17" t="str">
        <f>IF('inflation, income and interest'!$A$38=2,"",('delay in perception'!E44-'delay in perception'!C44)/'delay in perception'!C44)</f>
        <v/>
      </c>
      <c r="T44" s="17" t="str">
        <f>IF('inflation, income and interest'!$A$38=2,"",('delay in perception'!E44-'delay in perception'!B44)/'delay in perception'!B44)</f>
        <v/>
      </c>
      <c r="U44" s="18" t="str">
        <f>IF('inflation, income and interest'!$A$38=2,"",'delay in perception'!E44)</f>
        <v/>
      </c>
      <c r="V44" s="24" t="str">
        <f>IF('inflation, income and interest'!$A$38=2,"",'delay in perception'!D44)</f>
        <v/>
      </c>
      <c r="W44" s="25" t="str">
        <f>IF('inflation, income and interest'!$A$38=2,"",'delay in perception'!M44/100)</f>
        <v/>
      </c>
      <c r="X44" s="21" t="str">
        <f>IF('inflation, income and interest'!$A$38=2,"",'delay in perception'!L44/100)</f>
        <v/>
      </c>
      <c r="Y44" s="158" t="str">
        <f>IF('inflation, income and interest'!$B$38=2,"",(hystere!E44-hystere!B44)/hystere!B44)</f>
        <v/>
      </c>
      <c r="Z44" s="396" t="str">
        <f>IF('inflation, income and interest'!$B$38=2,"",hystere!M44/100)</f>
        <v/>
      </c>
      <c r="AA44" s="18" t="str">
        <f>IF('inflation, income and interest'!$B$38=2,"",hystere!E44)</f>
        <v/>
      </c>
      <c r="AB44" s="24" t="str">
        <f>IF('inflation, income and interest'!$B$38=2,"",hystere!C44)</f>
        <v/>
      </c>
      <c r="AC44" s="17" t="str">
        <f>IF('inflation, income and interest'!$B$38=2,"",hystere!O44/100)</f>
        <v/>
      </c>
      <c r="AD44" s="17" t="str">
        <f>IF('inflation, income and interest'!$B$38=2,"",hystere!N44/100)</f>
        <v/>
      </c>
    </row>
    <row r="45" spans="1:30" ht="14" thickTop="1" thickBot="1">
      <c r="A45" s="15">
        <v>42</v>
      </c>
      <c r="B45" s="17">
        <f ca="1">('normal case'!D44-'normal case'!B44)/'normal case'!B44</f>
        <v>5.9014499777614481E-10</v>
      </c>
      <c r="C45" s="23">
        <f ca="1">'normal case'!D44</f>
        <v>101.00000005960464</v>
      </c>
      <c r="D45" s="24">
        <f ca="1">'normal case'!C44</f>
        <v>-1.5107707374006907E-7</v>
      </c>
      <c r="E45" s="22">
        <f ca="1">'normal case'!L44/100</f>
        <v>1.9999998807907104E-2</v>
      </c>
      <c r="F45" s="25">
        <f ca="1">'normal case'!U44/100</f>
        <v>5.499999850988388E-2</v>
      </c>
      <c r="G45" s="25">
        <f ca="1">'normal case'!T44/100</f>
        <v>3.4999999701976779E-2</v>
      </c>
      <c r="H45" s="25">
        <f ca="1">'public finance'!D43</f>
        <v>1.9802129779314939E-3</v>
      </c>
      <c r="I45" s="20">
        <f ca="1">'public finance'!E43</f>
        <v>7.3011605448190684E-3</v>
      </c>
      <c r="J45" s="118">
        <f ca="1">'public finance'!H43</f>
        <v>-0.1520270746341478</v>
      </c>
      <c r="K45" s="17">
        <f ca="1">'public finance'!C43/'normal case'!D44</f>
        <v>0.19801980186333762</v>
      </c>
      <c r="L45" s="20">
        <f ca="1">'public finance'!A43/'normal case'!D44</f>
        <v>0.2</v>
      </c>
      <c r="M45" s="18" t="str">
        <f>IF(controls!$B$44=0,"",'normal case'!AJ44)</f>
        <v/>
      </c>
      <c r="N45" s="18" t="str">
        <f>IF(controls!$B$44=0,"",'normal case'!AM44)</f>
        <v/>
      </c>
      <c r="O45" s="160" t="str">
        <f>IF(controls!$B$44=0,"",'external balance'!D44)</f>
        <v/>
      </c>
      <c r="P45" s="160" t="str">
        <f>IF(controls!$B$44=0,"",'external balance'!F44)</f>
        <v/>
      </c>
      <c r="Q45" s="159" t="str">
        <f>IF(controls!$B$44=0,"",'external balance'!H44)</f>
        <v/>
      </c>
      <c r="R45" s="158" t="str">
        <f>IF('inflation, income and interest'!$A$38=2,"",'delay in perception'!K45/100)</f>
        <v/>
      </c>
      <c r="S45" s="17" t="str">
        <f>IF('inflation, income and interest'!$A$38=2,"",('delay in perception'!E45-'delay in perception'!C45)/'delay in perception'!C45)</f>
        <v/>
      </c>
      <c r="T45" s="17" t="str">
        <f>IF('inflation, income and interest'!$A$38=2,"",('delay in perception'!E45-'delay in perception'!B45)/'delay in perception'!B45)</f>
        <v/>
      </c>
      <c r="U45" s="18" t="str">
        <f>IF('inflation, income and interest'!$A$38=2,"",'delay in perception'!E45)</f>
        <v/>
      </c>
      <c r="V45" s="24" t="str">
        <f>IF('inflation, income and interest'!$A$38=2,"",'delay in perception'!D45)</f>
        <v/>
      </c>
      <c r="W45" s="25" t="str">
        <f>IF('inflation, income and interest'!$A$38=2,"",'delay in perception'!M45/100)</f>
        <v/>
      </c>
      <c r="X45" s="21" t="str">
        <f>IF('inflation, income and interest'!$A$38=2,"",'delay in perception'!L45/100)</f>
        <v/>
      </c>
      <c r="Y45" s="158" t="str">
        <f>IF('inflation, income and interest'!$B$38=2,"",(hystere!E45-hystere!B45)/hystere!B45)</f>
        <v/>
      </c>
      <c r="Z45" s="396" t="str">
        <f>IF('inflation, income and interest'!$B$38=2,"",hystere!M45/100)</f>
        <v/>
      </c>
      <c r="AA45" s="18" t="str">
        <f>IF('inflation, income and interest'!$B$38=2,"",hystere!E45)</f>
        <v/>
      </c>
      <c r="AB45" s="24" t="str">
        <f>IF('inflation, income and interest'!$B$38=2,"",hystere!C45)</f>
        <v/>
      </c>
      <c r="AC45" s="17" t="str">
        <f>IF('inflation, income and interest'!$B$38=2,"",hystere!O45/100)</f>
        <v/>
      </c>
      <c r="AD45" s="17" t="str">
        <f>IF('inflation, income and interest'!$B$38=2,"",hystere!N45/100)</f>
        <v/>
      </c>
    </row>
    <row r="46" spans="1:30" ht="14" thickTop="1" thickBot="1">
      <c r="A46" s="15">
        <v>43</v>
      </c>
      <c r="B46" s="17">
        <f ca="1">('normal case'!D45-'normal case'!B45)/'normal case'!B45</f>
        <v>5.9014499777614481E-10</v>
      </c>
      <c r="C46" s="23">
        <f ca="1">'normal case'!D45</f>
        <v>101.00000005960464</v>
      </c>
      <c r="D46" s="24">
        <f ca="1">'normal case'!C45</f>
        <v>-1.5107707374006907E-7</v>
      </c>
      <c r="E46" s="22">
        <f ca="1">'normal case'!L45/100</f>
        <v>1.9999998807907104E-2</v>
      </c>
      <c r="F46" s="25">
        <f ca="1">'normal case'!U45/100</f>
        <v>5.499999850988388E-2</v>
      </c>
      <c r="G46" s="25">
        <f ca="1">'normal case'!T45/100</f>
        <v>3.4999999701976779E-2</v>
      </c>
      <c r="H46" s="25">
        <f ca="1">'public finance'!D44</f>
        <v>1.9802129779314939E-3</v>
      </c>
      <c r="I46" s="20">
        <f ca="1">'public finance'!E44</f>
        <v>7.5567006422674063E-3</v>
      </c>
      <c r="J46" s="118">
        <f ca="1">'public finance'!H44</f>
        <v>-0.15932822033769775</v>
      </c>
      <c r="K46" s="17">
        <f ca="1">'public finance'!C44/'normal case'!D45</f>
        <v>0.19801980186333762</v>
      </c>
      <c r="L46" s="20">
        <f ca="1">'public finance'!A44/'normal case'!D45</f>
        <v>0.2</v>
      </c>
      <c r="M46" s="18" t="str">
        <f>IF(controls!$B$44=0,"",'normal case'!AJ45)</f>
        <v/>
      </c>
      <c r="N46" s="18" t="str">
        <f>IF(controls!$B$44=0,"",'normal case'!AM45)</f>
        <v/>
      </c>
      <c r="O46" s="160" t="str">
        <f>IF(controls!$B$44=0,"",'external balance'!D45)</f>
        <v/>
      </c>
      <c r="P46" s="160" t="str">
        <f>IF(controls!$B$44=0,"",'external balance'!F45)</f>
        <v/>
      </c>
      <c r="Q46" s="159" t="str">
        <f>IF(controls!$B$44=0,"",'external balance'!H45)</f>
        <v/>
      </c>
      <c r="R46" s="158" t="str">
        <f>IF('inflation, income and interest'!$A$38=2,"",'delay in perception'!K46/100)</f>
        <v/>
      </c>
      <c r="S46" s="17" t="str">
        <f>IF('inflation, income and interest'!$A$38=2,"",('delay in perception'!E46-'delay in perception'!C46)/'delay in perception'!C46)</f>
        <v/>
      </c>
      <c r="T46" s="17" t="str">
        <f>IF('inflation, income and interest'!$A$38=2,"",('delay in perception'!E46-'delay in perception'!B46)/'delay in perception'!B46)</f>
        <v/>
      </c>
      <c r="U46" s="18" t="str">
        <f>IF('inflation, income and interest'!$A$38=2,"",'delay in perception'!E46)</f>
        <v/>
      </c>
      <c r="V46" s="24" t="str">
        <f>IF('inflation, income and interest'!$A$38=2,"",'delay in perception'!D46)</f>
        <v/>
      </c>
      <c r="W46" s="25" t="str">
        <f>IF('inflation, income and interest'!$A$38=2,"",'delay in perception'!M46/100)</f>
        <v/>
      </c>
      <c r="X46" s="21" t="str">
        <f>IF('inflation, income and interest'!$A$38=2,"",'delay in perception'!L46/100)</f>
        <v/>
      </c>
      <c r="Y46" s="158" t="str">
        <f>IF('inflation, income and interest'!$B$38=2,"",(hystere!E46-hystere!B46)/hystere!B46)</f>
        <v/>
      </c>
      <c r="Z46" s="396" t="str">
        <f>IF('inflation, income and interest'!$B$38=2,"",hystere!M46/100)</f>
        <v/>
      </c>
      <c r="AA46" s="18" t="str">
        <f>IF('inflation, income and interest'!$B$38=2,"",hystere!E46)</f>
        <v/>
      </c>
      <c r="AB46" s="24" t="str">
        <f>IF('inflation, income and interest'!$B$38=2,"",hystere!C46)</f>
        <v/>
      </c>
      <c r="AC46" s="17" t="str">
        <f>IF('inflation, income and interest'!$B$38=2,"",hystere!O46/100)</f>
        <v/>
      </c>
      <c r="AD46" s="17" t="str">
        <f>IF('inflation, income and interest'!$B$38=2,"",hystere!N46/100)</f>
        <v/>
      </c>
    </row>
    <row r="47" spans="1:30" ht="14" thickTop="1" thickBot="1">
      <c r="A47" s="15">
        <v>44</v>
      </c>
      <c r="B47" s="17">
        <f ca="1">('normal case'!D46-'normal case'!B46)/'normal case'!B46</f>
        <v>5.9014499777614481E-10</v>
      </c>
      <c r="C47" s="23">
        <f ca="1">'normal case'!D46</f>
        <v>101.00000005960464</v>
      </c>
      <c r="D47" s="24">
        <f ca="1">'normal case'!C46</f>
        <v>-1.5107707374006907E-7</v>
      </c>
      <c r="E47" s="22">
        <f ca="1">'normal case'!L46/100</f>
        <v>1.9999998807907104E-2</v>
      </c>
      <c r="F47" s="25">
        <f ca="1">'normal case'!U46/100</f>
        <v>5.499999850988388E-2</v>
      </c>
      <c r="G47" s="25">
        <f ca="1">'normal case'!T46/100</f>
        <v>3.4999999701976779E-2</v>
      </c>
      <c r="H47" s="25">
        <f ca="1">'public finance'!D45</f>
        <v>1.9802129779314939E-3</v>
      </c>
      <c r="I47" s="20">
        <f ca="1">'public finance'!E45</f>
        <v>7.8211846430502781E-3</v>
      </c>
      <c r="J47" s="118">
        <f ca="1">'public finance'!H45</f>
        <v>-0.16688490613869605</v>
      </c>
      <c r="K47" s="17">
        <f ca="1">'public finance'!C45/'normal case'!D46</f>
        <v>0.19801980186333762</v>
      </c>
      <c r="L47" s="20">
        <f ca="1">'public finance'!A45/'normal case'!D46</f>
        <v>0.2</v>
      </c>
      <c r="M47" s="18" t="str">
        <f>IF(controls!$B$44=0,"",'normal case'!AJ46)</f>
        <v/>
      </c>
      <c r="N47" s="18" t="str">
        <f>IF(controls!$B$44=0,"",'normal case'!AM46)</f>
        <v/>
      </c>
      <c r="O47" s="160" t="str">
        <f>IF(controls!$B$44=0,"",'external balance'!D46)</f>
        <v/>
      </c>
      <c r="P47" s="160" t="str">
        <f>IF(controls!$B$44=0,"",'external balance'!F46)</f>
        <v/>
      </c>
      <c r="Q47" s="159" t="str">
        <f>IF(controls!$B$44=0,"",'external balance'!H46)</f>
        <v/>
      </c>
      <c r="R47" s="158" t="str">
        <f>IF('inflation, income and interest'!$A$38=2,"",'delay in perception'!K47/100)</f>
        <v/>
      </c>
      <c r="S47" s="17" t="str">
        <f>IF('inflation, income and interest'!$A$38=2,"",('delay in perception'!E47-'delay in perception'!C47)/'delay in perception'!C47)</f>
        <v/>
      </c>
      <c r="T47" s="17" t="str">
        <f>IF('inflation, income and interest'!$A$38=2,"",('delay in perception'!E47-'delay in perception'!B47)/'delay in perception'!B47)</f>
        <v/>
      </c>
      <c r="U47" s="18" t="str">
        <f>IF('inflation, income and interest'!$A$38=2,"",'delay in perception'!E47)</f>
        <v/>
      </c>
      <c r="V47" s="24" t="str">
        <f>IF('inflation, income and interest'!$A$38=2,"",'delay in perception'!D47)</f>
        <v/>
      </c>
      <c r="W47" s="25" t="str">
        <f>IF('inflation, income and interest'!$A$38=2,"",'delay in perception'!M47/100)</f>
        <v/>
      </c>
      <c r="X47" s="21" t="str">
        <f>IF('inflation, income and interest'!$A$38=2,"",'delay in perception'!L47/100)</f>
        <v/>
      </c>
      <c r="Y47" s="158" t="str">
        <f>IF('inflation, income and interest'!$B$38=2,"",(hystere!E47-hystere!B47)/hystere!B47)</f>
        <v/>
      </c>
      <c r="Z47" s="396" t="str">
        <f>IF('inflation, income and interest'!$B$38=2,"",hystere!M47/100)</f>
        <v/>
      </c>
      <c r="AA47" s="18" t="str">
        <f>IF('inflation, income and interest'!$B$38=2,"",hystere!E47)</f>
        <v/>
      </c>
      <c r="AB47" s="24" t="str">
        <f>IF('inflation, income and interest'!$B$38=2,"",hystere!C47)</f>
        <v/>
      </c>
      <c r="AC47" s="17" t="str">
        <f>IF('inflation, income and interest'!$B$38=2,"",hystere!O47/100)</f>
        <v/>
      </c>
      <c r="AD47" s="17" t="str">
        <f>IF('inflation, income and interest'!$B$38=2,"",hystere!N47/100)</f>
        <v/>
      </c>
    </row>
    <row r="48" spans="1:30" ht="14" thickTop="1" thickBot="1">
      <c r="A48" s="15">
        <v>45</v>
      </c>
      <c r="B48" s="17">
        <f ca="1">('normal case'!D47-'normal case'!B47)/'normal case'!B47</f>
        <v>5.9014499777614481E-10</v>
      </c>
      <c r="C48" s="23">
        <f ca="1">'normal case'!D47</f>
        <v>101.00000005960464</v>
      </c>
      <c r="D48" s="24">
        <f ca="1">'normal case'!C47</f>
        <v>-1.5107707374006907E-7</v>
      </c>
      <c r="E48" s="22">
        <f ca="1">'normal case'!L47/100</f>
        <v>1.9999998807907104E-2</v>
      </c>
      <c r="F48" s="25">
        <f ca="1">'normal case'!U47/100</f>
        <v>5.499999850988388E-2</v>
      </c>
      <c r="G48" s="25">
        <f ca="1">'normal case'!T47/100</f>
        <v>3.4999999701976779E-2</v>
      </c>
      <c r="H48" s="25">
        <f ca="1">'public finance'!D46</f>
        <v>1.9802129779314939E-3</v>
      </c>
      <c r="I48" s="20">
        <f ca="1">'public finance'!E46</f>
        <v>8.0949255837817306E-3</v>
      </c>
      <c r="J48" s="118">
        <f ca="1">'public finance'!H46</f>
        <v>-0.17470607594047721</v>
      </c>
      <c r="K48" s="17">
        <f ca="1">'public finance'!C46/'normal case'!D47</f>
        <v>0.19801980186333762</v>
      </c>
      <c r="L48" s="20">
        <f ca="1">'public finance'!A46/'normal case'!D47</f>
        <v>0.2</v>
      </c>
      <c r="M48" s="18" t="str">
        <f>IF(controls!$B$44=0,"",'normal case'!AJ47)</f>
        <v/>
      </c>
      <c r="N48" s="18" t="str">
        <f>IF(controls!$B$44=0,"",'normal case'!AM47)</f>
        <v/>
      </c>
      <c r="O48" s="160" t="str">
        <f>IF(controls!$B$44=0,"",'external balance'!D47)</f>
        <v/>
      </c>
      <c r="P48" s="160" t="str">
        <f>IF(controls!$B$44=0,"",'external balance'!F47)</f>
        <v/>
      </c>
      <c r="Q48" s="159" t="str">
        <f>IF(controls!$B$44=0,"",'external balance'!H47)</f>
        <v/>
      </c>
      <c r="R48" s="158" t="str">
        <f>IF('inflation, income and interest'!$A$38=2,"",'delay in perception'!K48/100)</f>
        <v/>
      </c>
      <c r="S48" s="17" t="str">
        <f>IF('inflation, income and interest'!$A$38=2,"",('delay in perception'!E48-'delay in perception'!C48)/'delay in perception'!C48)</f>
        <v/>
      </c>
      <c r="T48" s="17" t="str">
        <f>IF('inflation, income and interest'!$A$38=2,"",('delay in perception'!E48-'delay in perception'!B48)/'delay in perception'!B48)</f>
        <v/>
      </c>
      <c r="U48" s="18" t="str">
        <f>IF('inflation, income and interest'!$A$38=2,"",'delay in perception'!E48)</f>
        <v/>
      </c>
      <c r="V48" s="24" t="str">
        <f>IF('inflation, income and interest'!$A$38=2,"",'delay in perception'!D48)</f>
        <v/>
      </c>
      <c r="W48" s="25" t="str">
        <f>IF('inflation, income and interest'!$A$38=2,"",'delay in perception'!M48/100)</f>
        <v/>
      </c>
      <c r="X48" s="21" t="str">
        <f>IF('inflation, income and interest'!$A$38=2,"",'delay in perception'!L48/100)</f>
        <v/>
      </c>
      <c r="Y48" s="158" t="str">
        <f>IF('inflation, income and interest'!$B$38=2,"",(hystere!E48-hystere!B48)/hystere!B48)</f>
        <v/>
      </c>
      <c r="Z48" s="396" t="str">
        <f>IF('inflation, income and interest'!$B$38=2,"",hystere!M48/100)</f>
        <v/>
      </c>
      <c r="AA48" s="18" t="str">
        <f>IF('inflation, income and interest'!$B$38=2,"",hystere!E48)</f>
        <v/>
      </c>
      <c r="AB48" s="24" t="str">
        <f>IF('inflation, income and interest'!$B$38=2,"",hystere!C48)</f>
        <v/>
      </c>
      <c r="AC48" s="17" t="str">
        <f>IF('inflation, income and interest'!$B$38=2,"",hystere!O48/100)</f>
        <v/>
      </c>
      <c r="AD48" s="17" t="str">
        <f>IF('inflation, income and interest'!$B$38=2,"",hystere!N48/100)</f>
        <v/>
      </c>
    </row>
    <row r="49" spans="1:30" ht="14" thickTop="1" thickBot="1">
      <c r="A49" s="15">
        <v>46</v>
      </c>
      <c r="B49" s="17">
        <f ca="1">('normal case'!D48-'normal case'!B48)/'normal case'!B48</f>
        <v>5.9014499777614481E-10</v>
      </c>
      <c r="C49" s="23">
        <f ca="1">'normal case'!D48</f>
        <v>101.00000005960464</v>
      </c>
      <c r="D49" s="24">
        <f ca="1">'normal case'!C48</f>
        <v>-1.5107707374006907E-7</v>
      </c>
      <c r="E49" s="22">
        <f ca="1">'normal case'!L48/100</f>
        <v>1.9999998807907104E-2</v>
      </c>
      <c r="F49" s="25">
        <f ca="1">'normal case'!U48/100</f>
        <v>5.499999850988388E-2</v>
      </c>
      <c r="G49" s="25">
        <f ca="1">'normal case'!T48/100</f>
        <v>3.4999999701976779E-2</v>
      </c>
      <c r="H49" s="25">
        <f ca="1">'public finance'!D47</f>
        <v>1.9802129779314939E-3</v>
      </c>
      <c r="I49" s="20">
        <f ca="1">'public finance'!E47</f>
        <v>8.3782474573571991E-3</v>
      </c>
      <c r="J49" s="118">
        <f ca="1">'public finance'!H47</f>
        <v>-0.18280098668298986</v>
      </c>
      <c r="K49" s="17">
        <f ca="1">'public finance'!C47/'normal case'!D48</f>
        <v>0.19801980186333762</v>
      </c>
      <c r="L49" s="20">
        <f ca="1">'public finance'!A47/'normal case'!D48</f>
        <v>0.2</v>
      </c>
      <c r="M49" s="18" t="str">
        <f>IF(controls!$B$44=0,"",'normal case'!AJ48)</f>
        <v/>
      </c>
      <c r="N49" s="18" t="str">
        <f>IF(controls!$B$44=0,"",'normal case'!AM48)</f>
        <v/>
      </c>
      <c r="O49" s="160" t="str">
        <f>IF(controls!$B$44=0,"",'external balance'!D48)</f>
        <v/>
      </c>
      <c r="P49" s="160" t="str">
        <f>IF(controls!$B$44=0,"",'external balance'!F48)</f>
        <v/>
      </c>
      <c r="Q49" s="159" t="str">
        <f>IF(controls!$B$44=0,"",'external balance'!H48)</f>
        <v/>
      </c>
      <c r="R49" s="158" t="str">
        <f>IF('inflation, income and interest'!$A$38=2,"",'delay in perception'!K49/100)</f>
        <v/>
      </c>
      <c r="S49" s="17" t="str">
        <f>IF('inflation, income and interest'!$A$38=2,"",('delay in perception'!E49-'delay in perception'!C49)/'delay in perception'!C49)</f>
        <v/>
      </c>
      <c r="T49" s="17" t="str">
        <f>IF('inflation, income and interest'!$A$38=2,"",('delay in perception'!E49-'delay in perception'!B49)/'delay in perception'!B49)</f>
        <v/>
      </c>
      <c r="U49" s="18" t="str">
        <f>IF('inflation, income and interest'!$A$38=2,"",'delay in perception'!E49)</f>
        <v/>
      </c>
      <c r="V49" s="24" t="str">
        <f>IF('inflation, income and interest'!$A$38=2,"",'delay in perception'!D49)</f>
        <v/>
      </c>
      <c r="W49" s="25" t="str">
        <f>IF('inflation, income and interest'!$A$38=2,"",'delay in perception'!M49/100)</f>
        <v/>
      </c>
      <c r="X49" s="21" t="str">
        <f>IF('inflation, income and interest'!$A$38=2,"",'delay in perception'!L49/100)</f>
        <v/>
      </c>
      <c r="Y49" s="158" t="str">
        <f>IF('inflation, income and interest'!$B$38=2,"",(hystere!E49-hystere!B49)/hystere!B49)</f>
        <v/>
      </c>
      <c r="Z49" s="396" t="str">
        <f>IF('inflation, income and interest'!$B$38=2,"",hystere!M49/100)</f>
        <v/>
      </c>
      <c r="AA49" s="18" t="str">
        <f>IF('inflation, income and interest'!$B$38=2,"",hystere!E49)</f>
        <v/>
      </c>
      <c r="AB49" s="24" t="str">
        <f>IF('inflation, income and interest'!$B$38=2,"",hystere!C49)</f>
        <v/>
      </c>
      <c r="AC49" s="17" t="str">
        <f>IF('inflation, income and interest'!$B$38=2,"",hystere!O49/100)</f>
        <v/>
      </c>
      <c r="AD49" s="17" t="str">
        <f>IF('inflation, income and interest'!$B$38=2,"",hystere!N49/100)</f>
        <v/>
      </c>
    </row>
    <row r="50" spans="1:30" ht="14" thickTop="1" thickBot="1">
      <c r="A50" s="15">
        <v>47</v>
      </c>
      <c r="B50" s="17">
        <f ca="1">('normal case'!D49-'normal case'!B49)/'normal case'!B49</f>
        <v>5.9014499777614481E-10</v>
      </c>
      <c r="C50" s="23">
        <f ca="1">'normal case'!D49</f>
        <v>101.00000005960464</v>
      </c>
      <c r="D50" s="24">
        <f ca="1">'normal case'!C49</f>
        <v>-1.5107707374006907E-7</v>
      </c>
      <c r="E50" s="22">
        <f ca="1">'normal case'!L49/100</f>
        <v>1.9999998807907104E-2</v>
      </c>
      <c r="F50" s="25">
        <f ca="1">'normal case'!U49/100</f>
        <v>5.499999850988388E-2</v>
      </c>
      <c r="G50" s="25">
        <f ca="1">'normal case'!T49/100</f>
        <v>3.4999999701976779E-2</v>
      </c>
      <c r="H50" s="25">
        <f ca="1">'public finance'!D48</f>
        <v>1.9802129779314939E-3</v>
      </c>
      <c r="I50" s="20">
        <f ca="1">'public finance'!E48</f>
        <v>8.6714855964233756E-3</v>
      </c>
      <c r="J50" s="118">
        <f ca="1">'public finance'!H48</f>
        <v>-0.19117921929907797</v>
      </c>
      <c r="K50" s="17">
        <f ca="1">'public finance'!C48/'normal case'!D49</f>
        <v>0.19801980186333762</v>
      </c>
      <c r="L50" s="20">
        <f ca="1">'public finance'!A48/'normal case'!D49</f>
        <v>0.2</v>
      </c>
      <c r="M50" s="18" t="str">
        <f>IF(controls!$B$44=0,"",'normal case'!AJ49)</f>
        <v/>
      </c>
      <c r="N50" s="18" t="str">
        <f>IF(controls!$B$44=0,"",'normal case'!AM49)</f>
        <v/>
      </c>
      <c r="O50" s="160" t="str">
        <f>IF(controls!$B$44=0,"",'external balance'!D49)</f>
        <v/>
      </c>
      <c r="P50" s="160" t="str">
        <f>IF(controls!$B$44=0,"",'external balance'!F49)</f>
        <v/>
      </c>
      <c r="Q50" s="159" t="str">
        <f>IF(controls!$B$44=0,"",'external balance'!H49)</f>
        <v/>
      </c>
      <c r="R50" s="158" t="str">
        <f>IF('inflation, income and interest'!$A$38=2,"",'delay in perception'!K50/100)</f>
        <v/>
      </c>
      <c r="S50" s="17" t="str">
        <f>IF('inflation, income and interest'!$A$38=2,"",('delay in perception'!E50-'delay in perception'!C50)/'delay in perception'!C50)</f>
        <v/>
      </c>
      <c r="T50" s="17" t="str">
        <f>IF('inflation, income and interest'!$A$38=2,"",('delay in perception'!E50-'delay in perception'!B50)/'delay in perception'!B50)</f>
        <v/>
      </c>
      <c r="U50" s="18" t="str">
        <f>IF('inflation, income and interest'!$A$38=2,"",'delay in perception'!E50)</f>
        <v/>
      </c>
      <c r="V50" s="24" t="str">
        <f>IF('inflation, income and interest'!$A$38=2,"",'delay in perception'!D50)</f>
        <v/>
      </c>
      <c r="W50" s="25" t="str">
        <f>IF('inflation, income and interest'!$A$38=2,"",'delay in perception'!M50/100)</f>
        <v/>
      </c>
      <c r="X50" s="21" t="str">
        <f>IF('inflation, income and interest'!$A$38=2,"",'delay in perception'!L50/100)</f>
        <v/>
      </c>
      <c r="Y50" s="158" t="str">
        <f>IF('inflation, income and interest'!$B$38=2,"",(hystere!E50-hystere!B50)/hystere!B50)</f>
        <v/>
      </c>
      <c r="Z50" s="396" t="str">
        <f>IF('inflation, income and interest'!$B$38=2,"",hystere!M50/100)</f>
        <v/>
      </c>
      <c r="AA50" s="18" t="str">
        <f>IF('inflation, income and interest'!$B$38=2,"",hystere!E50)</f>
        <v/>
      </c>
      <c r="AB50" s="24" t="str">
        <f>IF('inflation, income and interest'!$B$38=2,"",hystere!C50)</f>
        <v/>
      </c>
      <c r="AC50" s="17" t="str">
        <f>IF('inflation, income and interest'!$B$38=2,"",hystere!O50/100)</f>
        <v/>
      </c>
      <c r="AD50" s="17" t="str">
        <f>IF('inflation, income and interest'!$B$38=2,"",hystere!N50/100)</f>
        <v/>
      </c>
    </row>
    <row r="51" spans="1:30" ht="14" thickTop="1" thickBot="1">
      <c r="A51" s="15">
        <v>48</v>
      </c>
      <c r="B51" s="17">
        <f ca="1">('normal case'!D50-'normal case'!B50)/'normal case'!B50</f>
        <v>5.9014499777614481E-10</v>
      </c>
      <c r="C51" s="23">
        <f ca="1">'normal case'!D50</f>
        <v>101.00000005960464</v>
      </c>
      <c r="D51" s="24">
        <f ca="1">'normal case'!C50</f>
        <v>-1.5107707374006907E-7</v>
      </c>
      <c r="E51" s="22">
        <f ca="1">'normal case'!L50/100</f>
        <v>1.9999998807907104E-2</v>
      </c>
      <c r="F51" s="25">
        <f ca="1">'normal case'!U50/100</f>
        <v>5.499999850988388E-2</v>
      </c>
      <c r="G51" s="25">
        <f ca="1">'normal case'!T50/100</f>
        <v>3.4999999701976779E-2</v>
      </c>
      <c r="H51" s="25">
        <f ca="1">'public finance'!D49</f>
        <v>1.9802129779314939E-3</v>
      </c>
      <c r="I51" s="20">
        <f ca="1">'public finance'!E49</f>
        <v>8.9749870702694762E-3</v>
      </c>
      <c r="J51" s="118">
        <f ca="1">'public finance'!H49</f>
        <v>-0.19985069005423226</v>
      </c>
      <c r="K51" s="17">
        <f ca="1">'public finance'!C49/'normal case'!D50</f>
        <v>0.19801980186333762</v>
      </c>
      <c r="L51" s="20">
        <f ca="1">'public finance'!A49/'normal case'!D50</f>
        <v>0.2</v>
      </c>
      <c r="M51" s="18" t="str">
        <f>IF(controls!$B$44=0,"",'normal case'!AJ50)</f>
        <v/>
      </c>
      <c r="N51" s="18" t="str">
        <f>IF(controls!$B$44=0,"",'normal case'!AM50)</f>
        <v/>
      </c>
      <c r="O51" s="160" t="str">
        <f>IF(controls!$B$44=0,"",'external balance'!D50)</f>
        <v/>
      </c>
      <c r="P51" s="160" t="str">
        <f>IF(controls!$B$44=0,"",'external balance'!F50)</f>
        <v/>
      </c>
      <c r="Q51" s="159" t="str">
        <f>IF(controls!$B$44=0,"",'external balance'!H50)</f>
        <v/>
      </c>
      <c r="R51" s="158" t="str">
        <f>IF('inflation, income and interest'!$A$38=2,"",'delay in perception'!K51/100)</f>
        <v/>
      </c>
      <c r="S51" s="17" t="str">
        <f>IF('inflation, income and interest'!$A$38=2,"",('delay in perception'!E51-'delay in perception'!C51)/'delay in perception'!C51)</f>
        <v/>
      </c>
      <c r="T51" s="17" t="str">
        <f>IF('inflation, income and interest'!$A$38=2,"",('delay in perception'!E51-'delay in perception'!B51)/'delay in perception'!B51)</f>
        <v/>
      </c>
      <c r="U51" s="18" t="str">
        <f>IF('inflation, income and interest'!$A$38=2,"",'delay in perception'!E51)</f>
        <v/>
      </c>
      <c r="V51" s="24" t="str">
        <f>IF('inflation, income and interest'!$A$38=2,"",'delay in perception'!D51)</f>
        <v/>
      </c>
      <c r="W51" s="25" t="str">
        <f>IF('inflation, income and interest'!$A$38=2,"",'delay in perception'!M51/100)</f>
        <v/>
      </c>
      <c r="X51" s="21" t="str">
        <f>IF('inflation, income and interest'!$A$38=2,"",'delay in perception'!L51/100)</f>
        <v/>
      </c>
      <c r="Y51" s="158" t="str">
        <f>IF('inflation, income and interest'!$B$38=2,"",(hystere!E51-hystere!B51)/hystere!B51)</f>
        <v/>
      </c>
      <c r="Z51" s="396" t="str">
        <f>IF('inflation, income and interest'!$B$38=2,"",hystere!M51/100)</f>
        <v/>
      </c>
      <c r="AA51" s="18" t="str">
        <f>IF('inflation, income and interest'!$B$38=2,"",hystere!E51)</f>
        <v/>
      </c>
      <c r="AB51" s="24" t="str">
        <f>IF('inflation, income and interest'!$B$38=2,"",hystere!C51)</f>
        <v/>
      </c>
      <c r="AC51" s="17" t="str">
        <f>IF('inflation, income and interest'!$B$38=2,"",hystere!O51/100)</f>
        <v/>
      </c>
      <c r="AD51" s="17" t="str">
        <f>IF('inflation, income and interest'!$B$38=2,"",hystere!N51/100)</f>
        <v/>
      </c>
    </row>
    <row r="52" spans="1:30" ht="14" thickTop="1" thickBot="1">
      <c r="A52" s="15">
        <v>49</v>
      </c>
      <c r="B52" s="17">
        <f ca="1">('normal case'!D51-'normal case'!B51)/'normal case'!B51</f>
        <v>5.9014499777614481E-10</v>
      </c>
      <c r="C52" s="23">
        <f ca="1">'normal case'!D51</f>
        <v>101.00000005960464</v>
      </c>
      <c r="D52" s="24">
        <f ca="1">'normal case'!C51</f>
        <v>-1.5107707374006907E-7</v>
      </c>
      <c r="E52" s="22">
        <f ca="1">'normal case'!L51/100</f>
        <v>1.9999998807907104E-2</v>
      </c>
      <c r="F52" s="25">
        <f ca="1">'normal case'!U51/100</f>
        <v>5.499999850988388E-2</v>
      </c>
      <c r="G52" s="25">
        <f ca="1">'normal case'!T51/100</f>
        <v>3.4999999701976779E-2</v>
      </c>
      <c r="H52" s="25">
        <f ca="1">'public finance'!D50</f>
        <v>1.9802129779314939E-3</v>
      </c>
      <c r="I52" s="20">
        <f ca="1">'public finance'!E50</f>
        <v>9.2891110956097381E-3</v>
      </c>
      <c r="J52" s="118">
        <f ca="1">'public finance'!H50</f>
        <v>-0.20882566228323263</v>
      </c>
      <c r="K52" s="17">
        <f ca="1">'public finance'!C50/'normal case'!D51</f>
        <v>0.19801980186333762</v>
      </c>
      <c r="L52" s="20">
        <f ca="1">'public finance'!A50/'normal case'!D51</f>
        <v>0.2</v>
      </c>
      <c r="M52" s="18" t="str">
        <f>IF(controls!$B$44=0,"",'normal case'!AJ51)</f>
        <v/>
      </c>
      <c r="N52" s="18" t="str">
        <f>IF(controls!$B$44=0,"",'normal case'!AM51)</f>
        <v/>
      </c>
      <c r="O52" s="160" t="str">
        <f>IF(controls!$B$44=0,"",'external balance'!D51)</f>
        <v/>
      </c>
      <c r="P52" s="160" t="str">
        <f>IF(controls!$B$44=0,"",'external balance'!F51)</f>
        <v/>
      </c>
      <c r="Q52" s="159" t="str">
        <f>IF(controls!$B$44=0,"",'external balance'!H51)</f>
        <v/>
      </c>
      <c r="R52" s="158" t="str">
        <f>IF('inflation, income and interest'!$A$38=2,"",'delay in perception'!K52/100)</f>
        <v/>
      </c>
      <c r="S52" s="17" t="str">
        <f>IF('inflation, income and interest'!$A$38=2,"",('delay in perception'!E52-'delay in perception'!C52)/'delay in perception'!C52)</f>
        <v/>
      </c>
      <c r="T52" s="17" t="str">
        <f>IF('inflation, income and interest'!$A$38=2,"",('delay in perception'!E52-'delay in perception'!B52)/'delay in perception'!B52)</f>
        <v/>
      </c>
      <c r="U52" s="18" t="str">
        <f>IF('inflation, income and interest'!$A$38=2,"",'delay in perception'!E52)</f>
        <v/>
      </c>
      <c r="V52" s="24" t="str">
        <f>IF('inflation, income and interest'!$A$38=2,"",'delay in perception'!D52)</f>
        <v/>
      </c>
      <c r="W52" s="25" t="str">
        <f>IF('inflation, income and interest'!$A$38=2,"",'delay in perception'!M52/100)</f>
        <v/>
      </c>
      <c r="X52" s="21" t="str">
        <f>IF('inflation, income and interest'!$A$38=2,"",'delay in perception'!L52/100)</f>
        <v/>
      </c>
      <c r="Y52" s="158" t="str">
        <f>IF('inflation, income and interest'!$B$38=2,"",(hystere!E52-hystere!B52)/hystere!B52)</f>
        <v/>
      </c>
      <c r="Z52" s="396" t="str">
        <f>IF('inflation, income and interest'!$B$38=2,"",hystere!M52/100)</f>
        <v/>
      </c>
      <c r="AA52" s="18" t="str">
        <f>IF('inflation, income and interest'!$B$38=2,"",hystere!E52)</f>
        <v/>
      </c>
      <c r="AB52" s="24" t="str">
        <f>IF('inflation, income and interest'!$B$38=2,"",hystere!C52)</f>
        <v/>
      </c>
      <c r="AC52" s="17" t="str">
        <f>IF('inflation, income and interest'!$B$38=2,"",hystere!O52/100)</f>
        <v/>
      </c>
      <c r="AD52" s="17" t="str">
        <f>IF('inflation, income and interest'!$B$38=2,"",hystere!N52/100)</f>
        <v/>
      </c>
    </row>
    <row r="53" spans="1:30" ht="14" thickTop="1" thickBot="1">
      <c r="A53" s="15">
        <v>50</v>
      </c>
      <c r="B53" s="17">
        <f ca="1">('normal case'!D52-'normal case'!B52)/'normal case'!B52</f>
        <v>5.9014499777614481E-10</v>
      </c>
      <c r="C53" s="23">
        <f ca="1">'normal case'!D52</f>
        <v>101.00000005960464</v>
      </c>
      <c r="D53" s="24">
        <f ca="1">'normal case'!C52</f>
        <v>-1.5107707374006907E-7</v>
      </c>
      <c r="E53" s="22">
        <f ca="1">'normal case'!L52/100</f>
        <v>1.9999998807907104E-2</v>
      </c>
      <c r="F53" s="25">
        <f ca="1">'normal case'!U52/100</f>
        <v>5.499999850988388E-2</v>
      </c>
      <c r="G53" s="25">
        <f ca="1">'normal case'!T52/100</f>
        <v>3.4999999701976779E-2</v>
      </c>
      <c r="H53" s="25">
        <f ca="1">'public finance'!D51</f>
        <v>1.9802129779314939E-3</v>
      </c>
      <c r="I53" s="20">
        <f ca="1">'public finance'!E51</f>
        <v>9.6142294617432948E-3</v>
      </c>
      <c r="J53" s="118">
        <f ca="1">'public finance'!H51</f>
        <v>-0.21811475853757326</v>
      </c>
      <c r="K53" s="17">
        <f ca="1">'public finance'!C51/'normal case'!D52</f>
        <v>0.19801980186333762</v>
      </c>
      <c r="L53" s="20">
        <f ca="1">'public finance'!A51/'normal case'!D52</f>
        <v>0.2</v>
      </c>
      <c r="M53" s="18" t="str">
        <f>IF(controls!$B$44=0,"",'normal case'!AJ52)</f>
        <v/>
      </c>
      <c r="N53" s="18" t="str">
        <f>IF(controls!$B$44=0,"",'normal case'!AM52)</f>
        <v/>
      </c>
      <c r="O53" s="160" t="str">
        <f>IF(controls!$B$44=0,"",'external balance'!D52)</f>
        <v/>
      </c>
      <c r="P53" s="160" t="str">
        <f>IF(controls!$B$44=0,"",'external balance'!F52)</f>
        <v/>
      </c>
      <c r="Q53" s="159" t="str">
        <f>IF(controls!$B$44=0,"",'external balance'!H52)</f>
        <v/>
      </c>
      <c r="R53" s="158" t="str">
        <f>IF('inflation, income and interest'!$A$38=2,"",'delay in perception'!K53/100)</f>
        <v/>
      </c>
      <c r="S53" s="17" t="str">
        <f>IF('inflation, income and interest'!$A$38=2,"",('delay in perception'!E53-'delay in perception'!C53)/'delay in perception'!C53)</f>
        <v/>
      </c>
      <c r="T53" s="17" t="str">
        <f>IF('inflation, income and interest'!$A$38=2,"",('delay in perception'!E53-'delay in perception'!B53)/'delay in perception'!B53)</f>
        <v/>
      </c>
      <c r="U53" s="18" t="str">
        <f>IF('inflation, income and interest'!$A$38=2,"",'delay in perception'!E53)</f>
        <v/>
      </c>
      <c r="V53" s="24" t="str">
        <f>IF('inflation, income and interest'!$A$38=2,"",'delay in perception'!D53)</f>
        <v/>
      </c>
      <c r="W53" s="25" t="str">
        <f>IF('inflation, income and interest'!$A$38=2,"",'delay in perception'!M53/100)</f>
        <v/>
      </c>
      <c r="X53" s="21" t="str">
        <f>IF('inflation, income and interest'!$A$38=2,"",'delay in perception'!L53/100)</f>
        <v/>
      </c>
      <c r="Y53" s="158" t="str">
        <f>IF('inflation, income and interest'!$B$38=2,"",(hystere!E53-hystere!B53)/hystere!B53)</f>
        <v/>
      </c>
      <c r="Z53" s="396" t="str">
        <f>IF('inflation, income and interest'!$B$38=2,"",hystere!M53/100)</f>
        <v/>
      </c>
      <c r="AA53" s="18" t="str">
        <f>IF('inflation, income and interest'!$B$38=2,"",hystere!E53)</f>
        <v/>
      </c>
      <c r="AB53" s="24" t="str">
        <f>IF('inflation, income and interest'!$B$38=2,"",hystere!C53)</f>
        <v/>
      </c>
      <c r="AC53" s="17" t="str">
        <f>IF('inflation, income and interest'!$B$38=2,"",hystere!O53/100)</f>
        <v/>
      </c>
      <c r="AD53" s="17" t="str">
        <f>IF('inflation, income and interest'!$B$38=2,"",hystere!N53/100)</f>
        <v/>
      </c>
    </row>
    <row r="54" spans="1:30" ht="14" thickTop="1" thickBot="1">
      <c r="A54" s="15">
        <v>51</v>
      </c>
      <c r="B54" s="17">
        <f ca="1">('normal case'!D53-'normal case'!B53)/'normal case'!B53</f>
        <v>5.9014499777614481E-10</v>
      </c>
      <c r="C54" s="23">
        <f ca="1">'normal case'!D53</f>
        <v>101.00000005960464</v>
      </c>
      <c r="D54" s="24">
        <f ca="1">'normal case'!C53</f>
        <v>-1.5107707374006907E-7</v>
      </c>
      <c r="E54" s="22">
        <f ca="1">'normal case'!L53/100</f>
        <v>1.9999998807907104E-2</v>
      </c>
      <c r="F54" s="25">
        <f ca="1">'normal case'!U53/100</f>
        <v>5.499999850988388E-2</v>
      </c>
      <c r="G54" s="25">
        <f ca="1">'normal case'!T53/100</f>
        <v>3.4999999701976779E-2</v>
      </c>
      <c r="H54" s="25">
        <f ca="1">'public finance'!D52</f>
        <v>1.9802129779314939E-3</v>
      </c>
      <c r="I54" s="20">
        <f ca="1">'public finance'!E52</f>
        <v>9.9507269705946325E-3</v>
      </c>
      <c r="J54" s="118">
        <f ca="1">'public finance'!H52</f>
        <v>-0.22772897315804744</v>
      </c>
      <c r="K54" s="17">
        <f ca="1">'public finance'!C52/'normal case'!D53</f>
        <v>0.19801980186333762</v>
      </c>
      <c r="L54" s="20">
        <f ca="1">'public finance'!A52/'normal case'!D53</f>
        <v>0.2</v>
      </c>
      <c r="M54" s="18" t="str">
        <f>IF(controls!$B$44=0,"",'normal case'!AJ53)</f>
        <v/>
      </c>
      <c r="N54" s="18" t="str">
        <f>IF(controls!$B$44=0,"",'normal case'!AM53)</f>
        <v/>
      </c>
      <c r="O54" s="160" t="str">
        <f>IF(controls!$B$44=0,"",'external balance'!D53)</f>
        <v/>
      </c>
      <c r="P54" s="160" t="str">
        <f>IF(controls!$B$44=0,"",'external balance'!F53)</f>
        <v/>
      </c>
      <c r="Q54" s="159" t="str">
        <f>IF(controls!$B$44=0,"",'external balance'!H53)</f>
        <v/>
      </c>
      <c r="R54" s="158" t="str">
        <f>IF('inflation, income and interest'!$A$38=2,"",'delay in perception'!K54/100)</f>
        <v/>
      </c>
      <c r="S54" s="17" t="str">
        <f>IF('inflation, income and interest'!$A$38=2,"",('delay in perception'!E54-'delay in perception'!C54)/'delay in perception'!C54)</f>
        <v/>
      </c>
      <c r="T54" s="17" t="str">
        <f>IF('inflation, income and interest'!$A$38=2,"",('delay in perception'!E54-'delay in perception'!B54)/'delay in perception'!B54)</f>
        <v/>
      </c>
      <c r="U54" s="18" t="str">
        <f>IF('inflation, income and interest'!$A$38=2,"",'delay in perception'!E54)</f>
        <v/>
      </c>
      <c r="V54" s="24" t="str">
        <f>IF('inflation, income and interest'!$A$38=2,"",'delay in perception'!D54)</f>
        <v/>
      </c>
      <c r="W54" s="25" t="str">
        <f>IF('inflation, income and interest'!$A$38=2,"",'delay in perception'!M54/100)</f>
        <v/>
      </c>
      <c r="X54" s="21" t="str">
        <f>IF('inflation, income and interest'!$A$38=2,"",'delay in perception'!L54/100)</f>
        <v/>
      </c>
      <c r="Y54" s="158" t="str">
        <f>IF('inflation, income and interest'!$B$38=2,"",(hystere!E54-hystere!B54)/hystere!B54)</f>
        <v/>
      </c>
      <c r="Z54" s="396" t="str">
        <f>IF('inflation, income and interest'!$B$38=2,"",hystere!M54/100)</f>
        <v/>
      </c>
      <c r="AA54" s="18" t="str">
        <f>IF('inflation, income and interest'!$B$38=2,"",hystere!E54)</f>
        <v/>
      </c>
      <c r="AB54" s="24" t="str">
        <f>IF('inflation, income and interest'!$B$38=2,"",hystere!C54)</f>
        <v/>
      </c>
      <c r="AC54" s="17" t="str">
        <f>IF('inflation, income and interest'!$B$38=2,"",hystere!O54/100)</f>
        <v/>
      </c>
      <c r="AD54" s="17" t="str">
        <f>IF('inflation, income and interest'!$B$38=2,"",hystere!N54/100)</f>
        <v/>
      </c>
    </row>
    <row r="55" spans="1:30" ht="14" thickTop="1" thickBot="1">
      <c r="A55" s="15">
        <v>52</v>
      </c>
      <c r="B55" s="17">
        <f ca="1">('normal case'!D54-'normal case'!B54)/'normal case'!B54</f>
        <v>5.9014499777614481E-10</v>
      </c>
      <c r="C55" s="23">
        <f ca="1">'normal case'!D54</f>
        <v>101.00000005960464</v>
      </c>
      <c r="D55" s="24">
        <f ca="1">'normal case'!C54</f>
        <v>-1.5107707374006907E-7</v>
      </c>
      <c r="E55" s="22">
        <f ca="1">'normal case'!L54/100</f>
        <v>1.9999998807907104E-2</v>
      </c>
      <c r="F55" s="25">
        <f ca="1">'normal case'!U54/100</f>
        <v>5.499999850988388E-2</v>
      </c>
      <c r="G55" s="25">
        <f ca="1">'normal case'!T54/100</f>
        <v>3.4999999701976779E-2</v>
      </c>
      <c r="H55" s="25">
        <f ca="1">'public finance'!D53</f>
        <v>1.9802129779314939E-3</v>
      </c>
      <c r="I55" s="20">
        <f ca="1">'public finance'!E53</f>
        <v>1.0299001892155484E-2</v>
      </c>
      <c r="J55" s="118">
        <f ca="1">'public finance'!H53</f>
        <v>-0.23767968528737296</v>
      </c>
      <c r="K55" s="17">
        <f ca="1">'public finance'!C53/'normal case'!D54</f>
        <v>0.19801980186333762</v>
      </c>
      <c r="L55" s="20">
        <f ca="1">'public finance'!A53/'normal case'!D54</f>
        <v>0.2</v>
      </c>
      <c r="M55" s="18" t="str">
        <f>IF(controls!$B$44=0,"",'normal case'!AJ54)</f>
        <v/>
      </c>
      <c r="N55" s="18" t="str">
        <f>IF(controls!$B$44=0,"",'normal case'!AM54)</f>
        <v/>
      </c>
      <c r="O55" s="160" t="str">
        <f>IF(controls!$B$44=0,"",'external balance'!D54)</f>
        <v/>
      </c>
      <c r="P55" s="160" t="str">
        <f>IF(controls!$B$44=0,"",'external balance'!F54)</f>
        <v/>
      </c>
      <c r="Q55" s="159" t="str">
        <f>IF(controls!$B$44=0,"",'external balance'!H54)</f>
        <v/>
      </c>
      <c r="R55" s="158" t="str">
        <f>IF('inflation, income and interest'!$A$38=2,"",'delay in perception'!K55/100)</f>
        <v/>
      </c>
      <c r="S55" s="17" t="str">
        <f>IF('inflation, income and interest'!$A$38=2,"",('delay in perception'!E55-'delay in perception'!C55)/'delay in perception'!C55)</f>
        <v/>
      </c>
      <c r="T55" s="17" t="str">
        <f>IF('inflation, income and interest'!$A$38=2,"",('delay in perception'!E55-'delay in perception'!B55)/'delay in perception'!B55)</f>
        <v/>
      </c>
      <c r="U55" s="18" t="str">
        <f>IF('inflation, income and interest'!$A$38=2,"",'delay in perception'!E55)</f>
        <v/>
      </c>
      <c r="V55" s="24" t="str">
        <f>IF('inflation, income and interest'!$A$38=2,"",'delay in perception'!D55)</f>
        <v/>
      </c>
      <c r="W55" s="25" t="str">
        <f>IF('inflation, income and interest'!$A$38=2,"",'delay in perception'!M55/100)</f>
        <v/>
      </c>
      <c r="X55" s="21" t="str">
        <f>IF('inflation, income and interest'!$A$38=2,"",'delay in perception'!L55/100)</f>
        <v/>
      </c>
      <c r="Y55" s="158" t="str">
        <f>IF('inflation, income and interest'!$B$38=2,"",(hystere!E55-hystere!B55)/hystere!B55)</f>
        <v/>
      </c>
      <c r="Z55" s="396" t="str">
        <f>IF('inflation, income and interest'!$B$38=2,"",hystere!M55/100)</f>
        <v/>
      </c>
      <c r="AA55" s="18" t="str">
        <f>IF('inflation, income and interest'!$B$38=2,"",hystere!E55)</f>
        <v/>
      </c>
      <c r="AB55" s="24" t="str">
        <f>IF('inflation, income and interest'!$B$38=2,"",hystere!C55)</f>
        <v/>
      </c>
      <c r="AC55" s="17" t="str">
        <f>IF('inflation, income and interest'!$B$38=2,"",hystere!O55/100)</f>
        <v/>
      </c>
      <c r="AD55" s="17" t="str">
        <f>IF('inflation, income and interest'!$B$38=2,"",hystere!N55/100)</f>
        <v/>
      </c>
    </row>
    <row r="56" spans="1:30" ht="14" thickTop="1" thickBot="1">
      <c r="A56" s="15">
        <v>53</v>
      </c>
      <c r="B56" s="17">
        <f ca="1">('normal case'!D55-'normal case'!B55)/'normal case'!B55</f>
        <v>5.9014499777614481E-10</v>
      </c>
      <c r="C56" s="23">
        <f ca="1">'normal case'!D55</f>
        <v>101.00000005960464</v>
      </c>
      <c r="D56" s="24">
        <f ca="1">'normal case'!C55</f>
        <v>-1.5107707374006907E-7</v>
      </c>
      <c r="E56" s="22">
        <f ca="1">'normal case'!L55/100</f>
        <v>1.9999998807907104E-2</v>
      </c>
      <c r="F56" s="25">
        <f ca="1">'normal case'!U55/100</f>
        <v>5.499999850988388E-2</v>
      </c>
      <c r="G56" s="25">
        <f ca="1">'normal case'!T55/100</f>
        <v>3.4999999701976779E-2</v>
      </c>
      <c r="H56" s="25">
        <f ca="1">'public finance'!D54</f>
        <v>1.9802129779314939E-3</v>
      </c>
      <c r="I56" s="20">
        <f ca="1">'public finance'!E54</f>
        <v>1.0659466435867168E-2</v>
      </c>
      <c r="J56" s="118">
        <f ca="1">'public finance'!H54</f>
        <v>-0.24797867233825935</v>
      </c>
      <c r="K56" s="17">
        <f ca="1">'public finance'!C54/'normal case'!D55</f>
        <v>0.19801980186333762</v>
      </c>
      <c r="L56" s="20">
        <f ca="1">'public finance'!A54/'normal case'!D55</f>
        <v>0.2</v>
      </c>
      <c r="M56" s="18" t="str">
        <f>IF(controls!$B$44=0,"",'normal case'!AJ55)</f>
        <v/>
      </c>
      <c r="N56" s="18" t="str">
        <f>IF(controls!$B$44=0,"",'normal case'!AM55)</f>
        <v/>
      </c>
      <c r="O56" s="160" t="str">
        <f>IF(controls!$B$44=0,"",'external balance'!D55)</f>
        <v/>
      </c>
      <c r="P56" s="160" t="str">
        <f>IF(controls!$B$44=0,"",'external balance'!F55)</f>
        <v/>
      </c>
      <c r="Q56" s="159" t="str">
        <f>IF(controls!$B$44=0,"",'external balance'!H55)</f>
        <v/>
      </c>
      <c r="R56" s="158" t="str">
        <f>IF('inflation, income and interest'!$A$38=2,"",'delay in perception'!K56/100)</f>
        <v/>
      </c>
      <c r="S56" s="17" t="str">
        <f>IF('inflation, income and interest'!$A$38=2,"",('delay in perception'!E56-'delay in perception'!C56)/'delay in perception'!C56)</f>
        <v/>
      </c>
      <c r="T56" s="17" t="str">
        <f>IF('inflation, income and interest'!$A$38=2,"",('delay in perception'!E56-'delay in perception'!B56)/'delay in perception'!B56)</f>
        <v/>
      </c>
      <c r="U56" s="18" t="str">
        <f>IF('inflation, income and interest'!$A$38=2,"",'delay in perception'!E56)</f>
        <v/>
      </c>
      <c r="V56" s="24" t="str">
        <f>IF('inflation, income and interest'!$A$38=2,"",'delay in perception'!D56)</f>
        <v/>
      </c>
      <c r="W56" s="25" t="str">
        <f>IF('inflation, income and interest'!$A$38=2,"",'delay in perception'!M56/100)</f>
        <v/>
      </c>
      <c r="X56" s="21" t="str">
        <f>IF('inflation, income and interest'!$A$38=2,"",'delay in perception'!L56/100)</f>
        <v/>
      </c>
      <c r="Y56" s="158" t="str">
        <f>IF('inflation, income and interest'!$B$38=2,"",(hystere!E56-hystere!B56)/hystere!B56)</f>
        <v/>
      </c>
      <c r="Z56" s="396" t="str">
        <f>IF('inflation, income and interest'!$B$38=2,"",hystere!M56/100)</f>
        <v/>
      </c>
      <c r="AA56" s="18" t="str">
        <f>IF('inflation, income and interest'!$B$38=2,"",hystere!E56)</f>
        <v/>
      </c>
      <c r="AB56" s="24" t="str">
        <f>IF('inflation, income and interest'!$B$38=2,"",hystere!C56)</f>
        <v/>
      </c>
      <c r="AC56" s="17" t="str">
        <f>IF('inflation, income and interest'!$B$38=2,"",hystere!O56/100)</f>
        <v/>
      </c>
      <c r="AD56" s="17" t="str">
        <f>IF('inflation, income and interest'!$B$38=2,"",hystere!N56/100)</f>
        <v/>
      </c>
    </row>
    <row r="57" spans="1:30" ht="14" thickTop="1" thickBot="1">
      <c r="A57" s="15">
        <v>54</v>
      </c>
      <c r="B57" s="17">
        <f ca="1">('normal case'!D56-'normal case'!B56)/'normal case'!B56</f>
        <v>5.9014499777614481E-10</v>
      </c>
      <c r="C57" s="23">
        <f ca="1">'normal case'!D56</f>
        <v>101.00000005960464</v>
      </c>
      <c r="D57" s="24">
        <f ca="1">'normal case'!C56</f>
        <v>-1.5107707374006907E-7</v>
      </c>
      <c r="E57" s="22">
        <f ca="1">'normal case'!L56/100</f>
        <v>1.9999998807907104E-2</v>
      </c>
      <c r="F57" s="25">
        <f ca="1">'normal case'!U56/100</f>
        <v>5.499999850988388E-2</v>
      </c>
      <c r="G57" s="25">
        <f ca="1">'normal case'!T56/100</f>
        <v>3.4999999701976779E-2</v>
      </c>
      <c r="H57" s="25">
        <f ca="1">'public finance'!D55</f>
        <v>1.9802129779314939E-3</v>
      </c>
      <c r="I57" s="20">
        <f ca="1">'public finance'!E55</f>
        <v>1.1032547238501337E-2</v>
      </c>
      <c r="J57" s="118">
        <f ca="1">'public finance'!H55</f>
        <v>-0.2586381239328574</v>
      </c>
      <c r="K57" s="17">
        <f ca="1">'public finance'!C55/'normal case'!D56</f>
        <v>0.19801980186333762</v>
      </c>
      <c r="L57" s="20">
        <f ca="1">'public finance'!A55/'normal case'!D56</f>
        <v>0.2</v>
      </c>
      <c r="M57" s="18" t="str">
        <f>IF(controls!$B$44=0,"",'normal case'!AJ56)</f>
        <v/>
      </c>
      <c r="N57" s="18" t="str">
        <f>IF(controls!$B$44=0,"",'normal case'!AM56)</f>
        <v/>
      </c>
      <c r="O57" s="160" t="str">
        <f>IF(controls!$B$44=0,"",'external balance'!D56)</f>
        <v/>
      </c>
      <c r="P57" s="160" t="str">
        <f>IF(controls!$B$44=0,"",'external balance'!F56)</f>
        <v/>
      </c>
      <c r="Q57" s="159" t="str">
        <f>IF(controls!$B$44=0,"",'external balance'!H56)</f>
        <v/>
      </c>
      <c r="R57" s="158" t="str">
        <f>IF('inflation, income and interest'!$A$38=2,"",'delay in perception'!K57/100)</f>
        <v/>
      </c>
      <c r="S57" s="17" t="str">
        <f>IF('inflation, income and interest'!$A$38=2,"",('delay in perception'!E57-'delay in perception'!C57)/'delay in perception'!C57)</f>
        <v/>
      </c>
      <c r="T57" s="17" t="str">
        <f>IF('inflation, income and interest'!$A$38=2,"",('delay in perception'!E57-'delay in perception'!B57)/'delay in perception'!B57)</f>
        <v/>
      </c>
      <c r="U57" s="18" t="str">
        <f>IF('inflation, income and interest'!$A$38=2,"",'delay in perception'!E57)</f>
        <v/>
      </c>
      <c r="V57" s="24" t="str">
        <f>IF('inflation, income and interest'!$A$38=2,"",'delay in perception'!D57)</f>
        <v/>
      </c>
      <c r="W57" s="25" t="str">
        <f>IF('inflation, income and interest'!$A$38=2,"",'delay in perception'!M57/100)</f>
        <v/>
      </c>
      <c r="X57" s="21" t="str">
        <f>IF('inflation, income and interest'!$A$38=2,"",'delay in perception'!L57/100)</f>
        <v/>
      </c>
      <c r="Y57" s="158" t="str">
        <f>IF('inflation, income and interest'!$B$38=2,"",(hystere!E57-hystere!B57)/hystere!B57)</f>
        <v/>
      </c>
      <c r="Z57" s="396" t="str">
        <f>IF('inflation, income and interest'!$B$38=2,"",hystere!M57/100)</f>
        <v/>
      </c>
      <c r="AA57" s="18" t="str">
        <f>IF('inflation, income and interest'!$B$38=2,"",hystere!E57)</f>
        <v/>
      </c>
      <c r="AB57" s="24" t="str">
        <f>IF('inflation, income and interest'!$B$38=2,"",hystere!C57)</f>
        <v/>
      </c>
      <c r="AC57" s="17" t="str">
        <f>IF('inflation, income and interest'!$B$38=2,"",hystere!O57/100)</f>
        <v/>
      </c>
      <c r="AD57" s="17" t="str">
        <f>IF('inflation, income and interest'!$B$38=2,"",hystere!N57/100)</f>
        <v/>
      </c>
    </row>
    <row r="58" spans="1:30" ht="14" thickTop="1" thickBot="1">
      <c r="A58" s="15">
        <v>55</v>
      </c>
      <c r="B58" s="17">
        <f ca="1">('normal case'!D57-'normal case'!B57)/'normal case'!B57</f>
        <v>5.9014499777614481E-10</v>
      </c>
      <c r="C58" s="23">
        <f ca="1">'normal case'!D57</f>
        <v>101.00000005960464</v>
      </c>
      <c r="D58" s="24">
        <f ca="1">'normal case'!C57</f>
        <v>-1.5107707374006907E-7</v>
      </c>
      <c r="E58" s="22">
        <f ca="1">'normal case'!L57/100</f>
        <v>1.9999998807907104E-2</v>
      </c>
      <c r="F58" s="25">
        <f ca="1">'normal case'!U57/100</f>
        <v>5.499999850988388E-2</v>
      </c>
      <c r="G58" s="25">
        <f ca="1">'normal case'!T57/100</f>
        <v>3.4999999701976779E-2</v>
      </c>
      <c r="H58" s="25">
        <f ca="1">'public finance'!D56</f>
        <v>1.9802129779314939E-3</v>
      </c>
      <c r="I58" s="20">
        <f ca="1">'public finance'!E56</f>
        <v>1.1418685869116513E-2</v>
      </c>
      <c r="J58" s="118">
        <f ca="1">'public finance'!H56</f>
        <v>-0.26967065633008963</v>
      </c>
      <c r="K58" s="17">
        <f ca="1">'public finance'!C56/'normal case'!D57</f>
        <v>0.19801980186333762</v>
      </c>
      <c r="L58" s="20">
        <f ca="1">'public finance'!A56/'normal case'!D57</f>
        <v>0.2</v>
      </c>
      <c r="M58" s="18" t="str">
        <f>IF(controls!$B$44=0,"",'normal case'!AJ57)</f>
        <v/>
      </c>
      <c r="N58" s="18" t="str">
        <f>IF(controls!$B$44=0,"",'normal case'!AM57)</f>
        <v/>
      </c>
      <c r="O58" s="160" t="str">
        <f>IF(controls!$B$44=0,"",'external balance'!D57)</f>
        <v/>
      </c>
      <c r="P58" s="160" t="str">
        <f>IF(controls!$B$44=0,"",'external balance'!F57)</f>
        <v/>
      </c>
      <c r="Q58" s="159" t="str">
        <f>IF(controls!$B$44=0,"",'external balance'!H57)</f>
        <v/>
      </c>
      <c r="R58" s="158" t="str">
        <f>IF('inflation, income and interest'!$A$38=2,"",'delay in perception'!K58/100)</f>
        <v/>
      </c>
      <c r="S58" s="17" t="str">
        <f>IF('inflation, income and interest'!$A$38=2,"",('delay in perception'!E58-'delay in perception'!C58)/'delay in perception'!C58)</f>
        <v/>
      </c>
      <c r="T58" s="17" t="str">
        <f>IF('inflation, income and interest'!$A$38=2,"",('delay in perception'!E58-'delay in perception'!B58)/'delay in perception'!B58)</f>
        <v/>
      </c>
      <c r="U58" s="18" t="str">
        <f>IF('inflation, income and interest'!$A$38=2,"",'delay in perception'!E58)</f>
        <v/>
      </c>
      <c r="V58" s="24" t="str">
        <f>IF('inflation, income and interest'!$A$38=2,"",'delay in perception'!D58)</f>
        <v/>
      </c>
      <c r="W58" s="25" t="str">
        <f>IF('inflation, income and interest'!$A$38=2,"",'delay in perception'!M58/100)</f>
        <v/>
      </c>
      <c r="X58" s="21" t="str">
        <f>IF('inflation, income and interest'!$A$38=2,"",'delay in perception'!L58/100)</f>
        <v/>
      </c>
      <c r="Y58" s="158" t="str">
        <f>IF('inflation, income and interest'!$B$38=2,"",(hystere!E58-hystere!B58)/hystere!B58)</f>
        <v/>
      </c>
      <c r="Z58" s="396" t="str">
        <f>IF('inflation, income and interest'!$B$38=2,"",hystere!M58/100)</f>
        <v/>
      </c>
      <c r="AA58" s="18" t="str">
        <f>IF('inflation, income and interest'!$B$38=2,"",hystere!E58)</f>
        <v/>
      </c>
      <c r="AB58" s="24" t="str">
        <f>IF('inflation, income and interest'!$B$38=2,"",hystere!C58)</f>
        <v/>
      </c>
      <c r="AC58" s="17" t="str">
        <f>IF('inflation, income and interest'!$B$38=2,"",hystere!O58/100)</f>
        <v/>
      </c>
      <c r="AD58" s="17" t="str">
        <f>IF('inflation, income and interest'!$B$38=2,"",hystere!N58/100)</f>
        <v/>
      </c>
    </row>
    <row r="59" spans="1:30" ht="14" thickTop="1" thickBot="1">
      <c r="A59" s="15">
        <v>56</v>
      </c>
      <c r="B59" s="17">
        <f ca="1">('normal case'!D58-'normal case'!B58)/'normal case'!B58</f>
        <v>5.9014499777614481E-10</v>
      </c>
      <c r="C59" s="23">
        <f ca="1">'normal case'!D58</f>
        <v>101.00000005960464</v>
      </c>
      <c r="D59" s="24">
        <f ca="1">'normal case'!C58</f>
        <v>-1.5107707374006907E-7</v>
      </c>
      <c r="E59" s="22">
        <f ca="1">'normal case'!L58/100</f>
        <v>1.9999998807907104E-2</v>
      </c>
      <c r="F59" s="25">
        <f ca="1">'normal case'!U58/100</f>
        <v>5.499999850988388E-2</v>
      </c>
      <c r="G59" s="25">
        <f ca="1">'normal case'!T58/100</f>
        <v>3.4999999701976779E-2</v>
      </c>
      <c r="H59" s="25">
        <f ca="1">'public finance'!D57</f>
        <v>1.9802129779314939E-3</v>
      </c>
      <c r="I59" s="20">
        <f ca="1">'public finance'!E57</f>
        <v>1.1818339351688145E-2</v>
      </c>
      <c r="J59" s="118">
        <f ca="1">'public finance'!H57</f>
        <v>-0.28108932735793707</v>
      </c>
      <c r="K59" s="17">
        <f ca="1">'public finance'!C57/'normal case'!D58</f>
        <v>0.19801980186333762</v>
      </c>
      <c r="L59" s="20">
        <f ca="1">'public finance'!A57/'normal case'!D58</f>
        <v>0.2</v>
      </c>
      <c r="M59" s="18" t="str">
        <f>IF(controls!$B$44=0,"",'normal case'!AJ58)</f>
        <v/>
      </c>
      <c r="N59" s="18" t="str">
        <f>IF(controls!$B$44=0,"",'normal case'!AM58)</f>
        <v/>
      </c>
      <c r="O59" s="160" t="str">
        <f>IF(controls!$B$44=0,"",'external balance'!D58)</f>
        <v/>
      </c>
      <c r="P59" s="160" t="str">
        <f>IF(controls!$B$44=0,"",'external balance'!F58)</f>
        <v/>
      </c>
      <c r="Q59" s="159" t="str">
        <f>IF(controls!$B$44=0,"",'external balance'!H58)</f>
        <v/>
      </c>
      <c r="R59" s="158" t="str">
        <f>IF('inflation, income and interest'!$A$38=2,"",'delay in perception'!K59/100)</f>
        <v/>
      </c>
      <c r="S59" s="17" t="str">
        <f>IF('inflation, income and interest'!$A$38=2,"",('delay in perception'!E59-'delay in perception'!C59)/'delay in perception'!C59)</f>
        <v/>
      </c>
      <c r="T59" s="17" t="str">
        <f>IF('inflation, income and interest'!$A$38=2,"",('delay in perception'!E59-'delay in perception'!B59)/'delay in perception'!B59)</f>
        <v/>
      </c>
      <c r="U59" s="18" t="str">
        <f>IF('inflation, income and interest'!$A$38=2,"",'delay in perception'!E59)</f>
        <v/>
      </c>
      <c r="V59" s="24" t="str">
        <f>IF('inflation, income and interest'!$A$38=2,"",'delay in perception'!D59)</f>
        <v/>
      </c>
      <c r="W59" s="25" t="str">
        <f>IF('inflation, income and interest'!$A$38=2,"",'delay in perception'!M59/100)</f>
        <v/>
      </c>
      <c r="X59" s="21" t="str">
        <f>IF('inflation, income and interest'!$A$38=2,"",'delay in perception'!L59/100)</f>
        <v/>
      </c>
      <c r="Y59" s="158" t="str">
        <f>IF('inflation, income and interest'!$B$38=2,"",(hystere!E59-hystere!B59)/hystere!B59)</f>
        <v/>
      </c>
      <c r="Z59" s="396" t="str">
        <f>IF('inflation, income and interest'!$B$38=2,"",hystere!M59/100)</f>
        <v/>
      </c>
      <c r="AA59" s="18" t="str">
        <f>IF('inflation, income and interest'!$B$38=2,"",hystere!E59)</f>
        <v/>
      </c>
      <c r="AB59" s="24" t="str">
        <f>IF('inflation, income and interest'!$B$38=2,"",hystere!C59)</f>
        <v/>
      </c>
      <c r="AC59" s="17" t="str">
        <f>IF('inflation, income and interest'!$B$38=2,"",hystere!O59/100)</f>
        <v/>
      </c>
      <c r="AD59" s="17" t="str">
        <f>IF('inflation, income and interest'!$B$38=2,"",hystere!N59/100)</f>
        <v/>
      </c>
    </row>
    <row r="60" spans="1:30" ht="14" thickTop="1" thickBot="1">
      <c r="A60" s="15">
        <v>57</v>
      </c>
      <c r="B60" s="17">
        <f ca="1">('normal case'!D59-'normal case'!B59)/'normal case'!B59</f>
        <v>5.9014499777614481E-10</v>
      </c>
      <c r="C60" s="23">
        <f ca="1">'normal case'!D59</f>
        <v>101.00000005960464</v>
      </c>
      <c r="D60" s="24">
        <f ca="1">'normal case'!C59</f>
        <v>-1.5107707374006907E-7</v>
      </c>
      <c r="E60" s="22">
        <f ca="1">'normal case'!L59/100</f>
        <v>1.9999998807907104E-2</v>
      </c>
      <c r="F60" s="25">
        <f ca="1">'normal case'!U59/100</f>
        <v>5.499999850988388E-2</v>
      </c>
      <c r="G60" s="25">
        <f ca="1">'normal case'!T59/100</f>
        <v>3.4999999701976779E-2</v>
      </c>
      <c r="H60" s="25">
        <f ca="1">'public finance'!D58</f>
        <v>1.9802129779314939E-3</v>
      </c>
      <c r="I60" s="20">
        <f ca="1">'public finance'!E58</f>
        <v>1.2231980706030675E-2</v>
      </c>
      <c r="J60" s="118">
        <f ca="1">'public finance'!H58</f>
        <v>-0.2929076518683561</v>
      </c>
      <c r="K60" s="17">
        <f ca="1">'public finance'!C58/'normal case'!D59</f>
        <v>0.19801980186333762</v>
      </c>
      <c r="L60" s="20">
        <f ca="1">'public finance'!A58/'normal case'!D59</f>
        <v>0.2</v>
      </c>
      <c r="M60" s="18" t="str">
        <f>IF(controls!$B$44=0,"",'normal case'!AJ59)</f>
        <v/>
      </c>
      <c r="N60" s="18" t="str">
        <f>IF(controls!$B$44=0,"",'normal case'!AM59)</f>
        <v/>
      </c>
      <c r="O60" s="160" t="str">
        <f>IF(controls!$B$44=0,"",'external balance'!D59)</f>
        <v/>
      </c>
      <c r="P60" s="160" t="str">
        <f>IF(controls!$B$44=0,"",'external balance'!F59)</f>
        <v/>
      </c>
      <c r="Q60" s="159" t="str">
        <f>IF(controls!$B$44=0,"",'external balance'!H59)</f>
        <v/>
      </c>
      <c r="R60" s="158" t="str">
        <f>IF('inflation, income and interest'!$A$38=2,"",'delay in perception'!K60/100)</f>
        <v/>
      </c>
      <c r="S60" s="17" t="str">
        <f>IF('inflation, income and interest'!$A$38=2,"",('delay in perception'!E60-'delay in perception'!C60)/'delay in perception'!C60)</f>
        <v/>
      </c>
      <c r="T60" s="17" t="str">
        <f>IF('inflation, income and interest'!$A$38=2,"",('delay in perception'!E60-'delay in perception'!B60)/'delay in perception'!B60)</f>
        <v/>
      </c>
      <c r="U60" s="18" t="str">
        <f>IF('inflation, income and interest'!$A$38=2,"",'delay in perception'!E60)</f>
        <v/>
      </c>
      <c r="V60" s="24" t="str">
        <f>IF('inflation, income and interest'!$A$38=2,"",'delay in perception'!D60)</f>
        <v/>
      </c>
      <c r="W60" s="25" t="str">
        <f>IF('inflation, income and interest'!$A$38=2,"",'delay in perception'!M60/100)</f>
        <v/>
      </c>
      <c r="X60" s="21" t="str">
        <f>IF('inflation, income and interest'!$A$38=2,"",'delay in perception'!L60/100)</f>
        <v/>
      </c>
      <c r="Y60" s="158" t="str">
        <f>IF('inflation, income and interest'!$B$38=2,"",(hystere!E60-hystere!B60)/hystere!B60)</f>
        <v/>
      </c>
      <c r="Z60" s="396" t="str">
        <f>IF('inflation, income and interest'!$B$38=2,"",hystere!M60/100)</f>
        <v/>
      </c>
      <c r="AA60" s="18" t="str">
        <f>IF('inflation, income and interest'!$B$38=2,"",hystere!E60)</f>
        <v/>
      </c>
      <c r="AB60" s="24" t="str">
        <f>IF('inflation, income and interest'!$B$38=2,"",hystere!C60)</f>
        <v/>
      </c>
      <c r="AC60" s="17" t="str">
        <f>IF('inflation, income and interest'!$B$38=2,"",hystere!O60/100)</f>
        <v/>
      </c>
      <c r="AD60" s="17" t="str">
        <f>IF('inflation, income and interest'!$B$38=2,"",hystere!N60/100)</f>
        <v/>
      </c>
    </row>
    <row r="61" spans="1:30" ht="14" thickTop="1" thickBot="1">
      <c r="A61" s="15">
        <v>58</v>
      </c>
      <c r="B61" s="17">
        <f ca="1">('normal case'!D60-'normal case'!B60)/'normal case'!B60</f>
        <v>5.9014499777614481E-10</v>
      </c>
      <c r="C61" s="23">
        <f ca="1">'normal case'!D60</f>
        <v>101.00000005960464</v>
      </c>
      <c r="D61" s="24">
        <f ca="1">'normal case'!C60</f>
        <v>-1.5107707374006907E-7</v>
      </c>
      <c r="E61" s="22">
        <f ca="1">'normal case'!L60/100</f>
        <v>1.9999998807907104E-2</v>
      </c>
      <c r="F61" s="25">
        <f ca="1">'normal case'!U60/100</f>
        <v>5.499999850988388E-2</v>
      </c>
      <c r="G61" s="25">
        <f ca="1">'normal case'!T60/100</f>
        <v>3.4999999701976779E-2</v>
      </c>
      <c r="H61" s="25">
        <f ca="1">'public finance'!D59</f>
        <v>1.9802129779314939E-3</v>
      </c>
      <c r="I61" s="20">
        <f ca="1">'public finance'!E59</f>
        <v>1.2660099507651922E-2</v>
      </c>
      <c r="J61" s="118">
        <f ca="1">'public finance'!H59</f>
        <v>-0.30513961773311765</v>
      </c>
      <c r="K61" s="17">
        <f ca="1">'public finance'!C59/'normal case'!D60</f>
        <v>0.19801980186333762</v>
      </c>
      <c r="L61" s="20">
        <f ca="1">'public finance'!A59/'normal case'!D60</f>
        <v>0.2</v>
      </c>
      <c r="M61" s="18" t="str">
        <f>IF(controls!$B$44=0,"",'normal case'!AJ60)</f>
        <v/>
      </c>
      <c r="N61" s="18" t="str">
        <f>IF(controls!$B$44=0,"",'normal case'!AM60)</f>
        <v/>
      </c>
      <c r="O61" s="160" t="str">
        <f>IF(controls!$B$44=0,"",'external balance'!D60)</f>
        <v/>
      </c>
      <c r="P61" s="160" t="str">
        <f>IF(controls!$B$44=0,"",'external balance'!F60)</f>
        <v/>
      </c>
      <c r="Q61" s="159" t="str">
        <f>IF(controls!$B$44=0,"",'external balance'!H60)</f>
        <v/>
      </c>
      <c r="R61" s="158" t="str">
        <f>IF('inflation, income and interest'!$A$38=2,"",'delay in perception'!K61/100)</f>
        <v/>
      </c>
      <c r="S61" s="17" t="str">
        <f>IF('inflation, income and interest'!$A$38=2,"",('delay in perception'!E61-'delay in perception'!C61)/'delay in perception'!C61)</f>
        <v/>
      </c>
      <c r="T61" s="17" t="str">
        <f>IF('inflation, income and interest'!$A$38=2,"",('delay in perception'!E61-'delay in perception'!B61)/'delay in perception'!B61)</f>
        <v/>
      </c>
      <c r="U61" s="18" t="str">
        <f>IF('inflation, income and interest'!$A$38=2,"",'delay in perception'!E61)</f>
        <v/>
      </c>
      <c r="V61" s="24" t="str">
        <f>IF('inflation, income and interest'!$A$38=2,"",'delay in perception'!D61)</f>
        <v/>
      </c>
      <c r="W61" s="25" t="str">
        <f>IF('inflation, income and interest'!$A$38=2,"",'delay in perception'!M61/100)</f>
        <v/>
      </c>
      <c r="X61" s="21" t="str">
        <f>IF('inflation, income and interest'!$A$38=2,"",'delay in perception'!L61/100)</f>
        <v/>
      </c>
      <c r="Y61" s="158" t="str">
        <f>IF('inflation, income and interest'!$B$38=2,"",(hystere!E61-hystere!B61)/hystere!B61)</f>
        <v/>
      </c>
      <c r="Z61" s="396" t="str">
        <f>IF('inflation, income and interest'!$B$38=2,"",hystere!M61/100)</f>
        <v/>
      </c>
      <c r="AA61" s="18" t="str">
        <f>IF('inflation, income and interest'!$B$38=2,"",hystere!E61)</f>
        <v/>
      </c>
      <c r="AB61" s="24" t="str">
        <f>IF('inflation, income and interest'!$B$38=2,"",hystere!C61)</f>
        <v/>
      </c>
      <c r="AC61" s="17" t="str">
        <f>IF('inflation, income and interest'!$B$38=2,"",hystere!O61/100)</f>
        <v/>
      </c>
      <c r="AD61" s="17" t="str">
        <f>IF('inflation, income and interest'!$B$38=2,"",hystere!N61/100)</f>
        <v/>
      </c>
    </row>
    <row r="62" spans="1:30" ht="14" thickTop="1" thickBot="1">
      <c r="A62" s="15">
        <v>59</v>
      </c>
      <c r="B62" s="17">
        <f ca="1">('normal case'!D61-'normal case'!B61)/'normal case'!B61</f>
        <v>5.9014499777614481E-10</v>
      </c>
      <c r="C62" s="23">
        <f ca="1">'normal case'!D61</f>
        <v>101.00000005960464</v>
      </c>
      <c r="D62" s="24">
        <f ca="1">'normal case'!C61</f>
        <v>-1.5107707374006907E-7</v>
      </c>
      <c r="E62" s="22">
        <f ca="1">'normal case'!L61/100</f>
        <v>1.9999998807907104E-2</v>
      </c>
      <c r="F62" s="25">
        <f ca="1">'normal case'!U61/100</f>
        <v>5.499999850988388E-2</v>
      </c>
      <c r="G62" s="25">
        <f ca="1">'normal case'!T61/100</f>
        <v>3.4999999701976779E-2</v>
      </c>
      <c r="H62" s="25">
        <f ca="1">'public finance'!D60</f>
        <v>1.9802129779314939E-3</v>
      </c>
      <c r="I62" s="20">
        <f ca="1">'public finance'!E60</f>
        <v>1.310320246720232E-2</v>
      </c>
      <c r="J62" s="118">
        <f ca="1">'public finance'!H60</f>
        <v>-0.31779970239950051</v>
      </c>
      <c r="K62" s="17">
        <f ca="1">'public finance'!C60/'normal case'!D61</f>
        <v>0.19801980186333762</v>
      </c>
      <c r="L62" s="20">
        <f ca="1">'public finance'!A60/'normal case'!D61</f>
        <v>0.2</v>
      </c>
      <c r="M62" s="18" t="str">
        <f>IF(controls!$B$44=0,"",'normal case'!AJ61)</f>
        <v/>
      </c>
      <c r="N62" s="18" t="str">
        <f>IF(controls!$B$44=0,"",'normal case'!AM61)</f>
        <v/>
      </c>
      <c r="O62" s="160" t="str">
        <f>IF(controls!$B$44=0,"",'external balance'!D61)</f>
        <v/>
      </c>
      <c r="P62" s="160" t="str">
        <f>IF(controls!$B$44=0,"",'external balance'!F61)</f>
        <v/>
      </c>
      <c r="Q62" s="159" t="str">
        <f>IF(controls!$B$44=0,"",'external balance'!H61)</f>
        <v/>
      </c>
      <c r="R62" s="158" t="str">
        <f>IF('inflation, income and interest'!$A$38=2,"",'delay in perception'!K62/100)</f>
        <v/>
      </c>
      <c r="S62" s="17" t="str">
        <f>IF('inflation, income and interest'!$A$38=2,"",('delay in perception'!E62-'delay in perception'!C62)/'delay in perception'!C62)</f>
        <v/>
      </c>
      <c r="T62" s="17" t="str">
        <f>IF('inflation, income and interest'!$A$38=2,"",('delay in perception'!E62-'delay in perception'!B62)/'delay in perception'!B62)</f>
        <v/>
      </c>
      <c r="U62" s="18" t="str">
        <f>IF('inflation, income and interest'!$A$38=2,"",'delay in perception'!E62)</f>
        <v/>
      </c>
      <c r="V62" s="24" t="str">
        <f>IF('inflation, income and interest'!$A$38=2,"",'delay in perception'!D62)</f>
        <v/>
      </c>
      <c r="W62" s="25" t="str">
        <f>IF('inflation, income and interest'!$A$38=2,"",'delay in perception'!M62/100)</f>
        <v/>
      </c>
      <c r="X62" s="21" t="str">
        <f>IF('inflation, income and interest'!$A$38=2,"",'delay in perception'!L62/100)</f>
        <v/>
      </c>
      <c r="Y62" s="158" t="str">
        <f>IF('inflation, income and interest'!$B$38=2,"",(hystere!E62-hystere!B62)/hystere!B62)</f>
        <v/>
      </c>
      <c r="Z62" s="396" t="str">
        <f>IF('inflation, income and interest'!$B$38=2,"",hystere!M62/100)</f>
        <v/>
      </c>
      <c r="AA62" s="18" t="str">
        <f>IF('inflation, income and interest'!$B$38=2,"",hystere!E62)</f>
        <v/>
      </c>
      <c r="AB62" s="24" t="str">
        <f>IF('inflation, income and interest'!$B$38=2,"",hystere!C62)</f>
        <v/>
      </c>
      <c r="AC62" s="17" t="str">
        <f>IF('inflation, income and interest'!$B$38=2,"",hystere!O62/100)</f>
        <v/>
      </c>
      <c r="AD62" s="17" t="str">
        <f>IF('inflation, income and interest'!$B$38=2,"",hystere!N62/100)</f>
        <v/>
      </c>
    </row>
    <row r="63" spans="1:30" ht="14" thickTop="1" thickBot="1">
      <c r="A63" s="15">
        <v>60</v>
      </c>
      <c r="B63" s="17">
        <f ca="1">('normal case'!D62-'normal case'!B62)/'normal case'!B62</f>
        <v>5.9014499777614481E-10</v>
      </c>
      <c r="C63" s="23">
        <f ca="1">'normal case'!D62</f>
        <v>101.00000005960464</v>
      </c>
      <c r="D63" s="24">
        <f ca="1">'normal case'!C62</f>
        <v>-1.5107707374006907E-7</v>
      </c>
      <c r="E63" s="22">
        <f ca="1">'normal case'!L62/100</f>
        <v>1.9999998807907104E-2</v>
      </c>
      <c r="F63" s="25">
        <f ca="1">'normal case'!U62/100</f>
        <v>5.499999850988388E-2</v>
      </c>
      <c r="G63" s="25">
        <f ca="1">'normal case'!T62/100</f>
        <v>3.4999999701976779E-2</v>
      </c>
      <c r="H63" s="25">
        <f ca="1">'public finance'!D61</f>
        <v>1.9802129779314939E-3</v>
      </c>
      <c r="I63" s="20">
        <f ca="1">'public finance'!E61</f>
        <v>1.3561814030204931E-2</v>
      </c>
      <c r="J63" s="118">
        <f ca="1">'public finance'!H61</f>
        <v>-0.33090289002543377</v>
      </c>
      <c r="K63" s="17">
        <f ca="1">'public finance'!C61/'normal case'!D62</f>
        <v>0.19801980186333762</v>
      </c>
      <c r="L63" s="20">
        <f ca="1">'public finance'!A61/'normal case'!D62</f>
        <v>0.2</v>
      </c>
      <c r="M63" s="18" t="str">
        <f>IF(controls!$B$44=0,"",'normal case'!AJ62)</f>
        <v/>
      </c>
      <c r="N63" s="18" t="str">
        <f>IF(controls!$B$44=0,"",'normal case'!AM62)</f>
        <v/>
      </c>
      <c r="O63" s="160" t="str">
        <f>IF(controls!$B$44=0,"",'external balance'!D62)</f>
        <v/>
      </c>
      <c r="P63" s="160" t="str">
        <f>IF(controls!$B$44=0,"",'external balance'!F62)</f>
        <v/>
      </c>
      <c r="Q63" s="159" t="str">
        <f>IF(controls!$B$44=0,"",'external balance'!H62)</f>
        <v/>
      </c>
      <c r="R63" s="158" t="str">
        <f>IF('inflation, income and interest'!$A$38=2,"",'delay in perception'!K63/100)</f>
        <v/>
      </c>
      <c r="S63" s="17" t="str">
        <f>IF('inflation, income and interest'!$A$38=2,"",('delay in perception'!E63-'delay in perception'!C63)/'delay in perception'!C63)</f>
        <v/>
      </c>
      <c r="T63" s="17" t="str">
        <f>IF('inflation, income and interest'!$A$38=2,"",('delay in perception'!E63-'delay in perception'!B63)/'delay in perception'!B63)</f>
        <v/>
      </c>
      <c r="U63" s="18" t="str">
        <f>IF('inflation, income and interest'!$A$38=2,"",'delay in perception'!E63)</f>
        <v/>
      </c>
      <c r="V63" s="24" t="str">
        <f>IF('inflation, income and interest'!$A$38=2,"",'delay in perception'!D63)</f>
        <v/>
      </c>
      <c r="W63" s="25" t="str">
        <f>IF('inflation, income and interest'!$A$38=2,"",'delay in perception'!M63/100)</f>
        <v/>
      </c>
      <c r="X63" s="21" t="str">
        <f>IF('inflation, income and interest'!$A$38=2,"",'delay in perception'!L63/100)</f>
        <v/>
      </c>
      <c r="Y63" s="158" t="str">
        <f>IF('inflation, income and interest'!$B$38=2,"",(hystere!E63-hystere!B63)/hystere!B63)</f>
        <v/>
      </c>
      <c r="Z63" s="396" t="str">
        <f>IF('inflation, income and interest'!$B$38=2,"",hystere!M63/100)</f>
        <v/>
      </c>
      <c r="AA63" s="18" t="str">
        <f>IF('inflation, income and interest'!$B$38=2,"",hystere!E63)</f>
        <v/>
      </c>
      <c r="AB63" s="24" t="str">
        <f>IF('inflation, income and interest'!$B$38=2,"",hystere!C63)</f>
        <v/>
      </c>
      <c r="AC63" s="17" t="str">
        <f>IF('inflation, income and interest'!$B$38=2,"",hystere!O63/100)</f>
        <v/>
      </c>
      <c r="AD63" s="17" t="str">
        <f>IF('inflation, income and interest'!$B$38=2,"",hystere!N63/100)</f>
        <v/>
      </c>
    </row>
    <row r="64" spans="1:30" ht="14" thickTop="1" thickBot="1">
      <c r="A64" s="15">
        <v>61</v>
      </c>
      <c r="B64" s="17">
        <f ca="1">('normal case'!D63-'normal case'!B63)/'normal case'!B63</f>
        <v>5.9014499777614481E-10</v>
      </c>
      <c r="C64" s="23">
        <f ca="1">'normal case'!D63</f>
        <v>101.00000005960464</v>
      </c>
      <c r="D64" s="24">
        <f ca="1">'normal case'!C63</f>
        <v>-1.5107707374006907E-7</v>
      </c>
      <c r="E64" s="22">
        <f ca="1">'normal case'!L63/100</f>
        <v>1.9999998807907104E-2</v>
      </c>
      <c r="F64" s="25">
        <f ca="1">'normal case'!U63/100</f>
        <v>5.499999850988388E-2</v>
      </c>
      <c r="G64" s="25">
        <f ca="1">'normal case'!T63/100</f>
        <v>3.4999999701976779E-2</v>
      </c>
      <c r="H64" s="25">
        <f ca="1">'public finance'!D62</f>
        <v>1.9802129779314939E-3</v>
      </c>
      <c r="I64" s="20">
        <f ca="1">'public finance'!E62</f>
        <v>1.4036476997775955E-2</v>
      </c>
      <c r="J64" s="118">
        <f ca="1">'public finance'!H62</f>
        <v>-0.34446468921436957</v>
      </c>
      <c r="K64" s="17">
        <f ca="1">'public finance'!C62/'normal case'!D63</f>
        <v>0.19801980186333762</v>
      </c>
      <c r="L64" s="20">
        <f ca="1">'public finance'!A62/'normal case'!D63</f>
        <v>0.2</v>
      </c>
      <c r="M64" s="18" t="str">
        <f>IF(controls!$B$44=0,"",'normal case'!AJ63)</f>
        <v/>
      </c>
      <c r="N64" s="18" t="str">
        <f>IF(controls!$B$44=0,"",'normal case'!AM63)</f>
        <v/>
      </c>
      <c r="O64" s="160" t="str">
        <f>IF(controls!$B$44=0,"",'external balance'!D63)</f>
        <v/>
      </c>
      <c r="P64" s="160" t="str">
        <f>IF(controls!$B$44=0,"",'external balance'!F63)</f>
        <v/>
      </c>
      <c r="Q64" s="159" t="str">
        <f>IF(controls!$B$44=0,"",'external balance'!H63)</f>
        <v/>
      </c>
      <c r="R64" s="158" t="str">
        <f>IF('inflation, income and interest'!$A$38=2,"",'delay in perception'!K64/100)</f>
        <v/>
      </c>
      <c r="S64" s="17" t="str">
        <f>IF('inflation, income and interest'!$A$38=2,"",('delay in perception'!E64-'delay in perception'!C64)/'delay in perception'!C64)</f>
        <v/>
      </c>
      <c r="T64" s="17" t="str">
        <f>IF('inflation, income and interest'!$A$38=2,"",('delay in perception'!E64-'delay in perception'!B64)/'delay in perception'!B64)</f>
        <v/>
      </c>
      <c r="U64" s="18" t="str">
        <f>IF('inflation, income and interest'!$A$38=2,"",'delay in perception'!E64)</f>
        <v/>
      </c>
      <c r="V64" s="24" t="str">
        <f>IF('inflation, income and interest'!$A$38=2,"",'delay in perception'!D64)</f>
        <v/>
      </c>
      <c r="W64" s="25" t="str">
        <f>IF('inflation, income and interest'!$A$38=2,"",'delay in perception'!M64/100)</f>
        <v/>
      </c>
      <c r="X64" s="21" t="str">
        <f>IF('inflation, income and interest'!$A$38=2,"",'delay in perception'!L64/100)</f>
        <v/>
      </c>
      <c r="Y64" s="158" t="str">
        <f>IF('inflation, income and interest'!$B$38=2,"",(hystere!E64-hystere!B64)/hystere!B64)</f>
        <v/>
      </c>
      <c r="Z64" s="396" t="str">
        <f>IF('inflation, income and interest'!$B$38=2,"",hystere!M64/100)</f>
        <v/>
      </c>
      <c r="AA64" s="18" t="str">
        <f>IF('inflation, income and interest'!$B$38=2,"",hystere!E64)</f>
        <v/>
      </c>
      <c r="AB64" s="24" t="str">
        <f>IF('inflation, income and interest'!$B$38=2,"",hystere!C64)</f>
        <v/>
      </c>
      <c r="AC64" s="17" t="str">
        <f>IF('inflation, income and interest'!$B$38=2,"",hystere!O64/100)</f>
        <v/>
      </c>
      <c r="AD64" s="17" t="str">
        <f>IF('inflation, income and interest'!$B$38=2,"",hystere!N64/100)</f>
        <v/>
      </c>
    </row>
    <row r="65" spans="1:30" ht="14" thickTop="1" thickBot="1">
      <c r="A65" s="15">
        <v>62</v>
      </c>
      <c r="B65" s="17">
        <f ca="1">('normal case'!D64-'normal case'!B64)/'normal case'!B64</f>
        <v>5.9014499777614481E-10</v>
      </c>
      <c r="C65" s="23">
        <f ca="1">'normal case'!D64</f>
        <v>101.00000005960464</v>
      </c>
      <c r="D65" s="24">
        <f ca="1">'normal case'!C64</f>
        <v>-1.5107707374006907E-7</v>
      </c>
      <c r="E65" s="22">
        <f ca="1">'normal case'!L64/100</f>
        <v>1.9999998807907104E-2</v>
      </c>
      <c r="F65" s="25">
        <f ca="1">'normal case'!U64/100</f>
        <v>5.499999850988388E-2</v>
      </c>
      <c r="G65" s="25">
        <f ca="1">'normal case'!T64/100</f>
        <v>3.4999999701976779E-2</v>
      </c>
      <c r="H65" s="25">
        <f ca="1">'public finance'!D63</f>
        <v>1.9802129779314939E-3</v>
      </c>
      <c r="I65" s="20">
        <f ca="1">'public finance'!E63</f>
        <v>1.4527753169070502E-2</v>
      </c>
      <c r="J65" s="118">
        <f ca="1">'public finance'!H63</f>
        <v>-0.3585011513708764</v>
      </c>
      <c r="K65" s="17">
        <f ca="1">'public finance'!C63/'normal case'!D64</f>
        <v>0.19801980186333762</v>
      </c>
      <c r="L65" s="20">
        <f ca="1">'public finance'!A63/'normal case'!D64</f>
        <v>0.2</v>
      </c>
      <c r="M65" s="18" t="str">
        <f>IF(controls!$B$44=0,"",'normal case'!AJ64)</f>
        <v/>
      </c>
      <c r="N65" s="18" t="str">
        <f>IF(controls!$B$44=0,"",'normal case'!AM64)</f>
        <v/>
      </c>
      <c r="O65" s="160" t="str">
        <f>IF(controls!$B$44=0,"",'external balance'!D64)</f>
        <v/>
      </c>
      <c r="P65" s="160" t="str">
        <f>IF(controls!$B$44=0,"",'external balance'!F64)</f>
        <v/>
      </c>
      <c r="Q65" s="159" t="str">
        <f>IF(controls!$B$44=0,"",'external balance'!H64)</f>
        <v/>
      </c>
      <c r="R65" s="158" t="str">
        <f>IF('inflation, income and interest'!$A$38=2,"",'delay in perception'!K65/100)</f>
        <v/>
      </c>
      <c r="S65" s="17" t="str">
        <f>IF('inflation, income and interest'!$A$38=2,"",('delay in perception'!E65-'delay in perception'!C65)/'delay in perception'!C65)</f>
        <v/>
      </c>
      <c r="T65" s="17" t="str">
        <f>IF('inflation, income and interest'!$A$38=2,"",('delay in perception'!E65-'delay in perception'!B65)/'delay in perception'!B65)</f>
        <v/>
      </c>
      <c r="U65" s="18" t="str">
        <f>IF('inflation, income and interest'!$A$38=2,"",'delay in perception'!E65)</f>
        <v/>
      </c>
      <c r="V65" s="24" t="str">
        <f>IF('inflation, income and interest'!$A$38=2,"",'delay in perception'!D65)</f>
        <v/>
      </c>
      <c r="W65" s="25" t="str">
        <f>IF('inflation, income and interest'!$A$38=2,"",'delay in perception'!M65/100)</f>
        <v/>
      </c>
      <c r="X65" s="21" t="str">
        <f>IF('inflation, income and interest'!$A$38=2,"",'delay in perception'!L65/100)</f>
        <v/>
      </c>
      <c r="Y65" s="158" t="str">
        <f>IF('inflation, income and interest'!$B$38=2,"",(hystere!E65-hystere!B65)/hystere!B65)</f>
        <v/>
      </c>
      <c r="Z65" s="396" t="str">
        <f>IF('inflation, income and interest'!$B$38=2,"",hystere!M65/100)</f>
        <v/>
      </c>
      <c r="AA65" s="18" t="str">
        <f>IF('inflation, income and interest'!$B$38=2,"",hystere!E65)</f>
        <v/>
      </c>
      <c r="AB65" s="24" t="str">
        <f>IF('inflation, income and interest'!$B$38=2,"",hystere!C65)</f>
        <v/>
      </c>
      <c r="AC65" s="17" t="str">
        <f>IF('inflation, income and interest'!$B$38=2,"",hystere!O65/100)</f>
        <v/>
      </c>
      <c r="AD65" s="17" t="str">
        <f>IF('inflation, income and interest'!$B$38=2,"",hystere!N65/100)</f>
        <v/>
      </c>
    </row>
    <row r="66" spans="1:30" ht="14" thickTop="1" thickBot="1">
      <c r="A66" s="15">
        <v>63</v>
      </c>
      <c r="B66" s="17">
        <f ca="1">('normal case'!D65-'normal case'!B65)/'normal case'!B65</f>
        <v>5.9014499777614481E-10</v>
      </c>
      <c r="C66" s="23">
        <f ca="1">'normal case'!D65</f>
        <v>101.00000005960464</v>
      </c>
      <c r="D66" s="24">
        <f ca="1">'normal case'!C65</f>
        <v>-1.5107707374006907E-7</v>
      </c>
      <c r="E66" s="22">
        <f ca="1">'normal case'!L65/100</f>
        <v>1.9999998807907104E-2</v>
      </c>
      <c r="F66" s="25">
        <f ca="1">'normal case'!U65/100</f>
        <v>5.499999850988388E-2</v>
      </c>
      <c r="G66" s="25">
        <f ca="1">'normal case'!T65/100</f>
        <v>3.4999999701976779E-2</v>
      </c>
      <c r="H66" s="25">
        <f ca="1">'public finance'!D64</f>
        <v>1.9802129779314939E-3</v>
      </c>
      <c r="I66" s="20">
        <f ca="1">'public finance'!E64</f>
        <v>1.5036224006213947E-2</v>
      </c>
      <c r="J66" s="118">
        <f ca="1">'public finance'!H64</f>
        <v>-0.37302888969867781</v>
      </c>
      <c r="K66" s="17">
        <f ca="1">'public finance'!C64/'normal case'!D65</f>
        <v>0.19801980186333762</v>
      </c>
      <c r="L66" s="20">
        <f ca="1">'public finance'!A64/'normal case'!D65</f>
        <v>0.2</v>
      </c>
      <c r="M66" s="18" t="str">
        <f>IF(controls!$B$44=0,"",'normal case'!AJ65)</f>
        <v/>
      </c>
      <c r="N66" s="18" t="str">
        <f>IF(controls!$B$44=0,"",'normal case'!AM65)</f>
        <v/>
      </c>
      <c r="O66" s="160" t="str">
        <f>IF(controls!$B$44=0,"",'external balance'!D65)</f>
        <v/>
      </c>
      <c r="P66" s="160" t="str">
        <f>IF(controls!$B$44=0,"",'external balance'!F65)</f>
        <v/>
      </c>
      <c r="Q66" s="159" t="str">
        <f>IF(controls!$B$44=0,"",'external balance'!H65)</f>
        <v/>
      </c>
      <c r="R66" s="158" t="str">
        <f>IF('inflation, income and interest'!$A$38=2,"",'delay in perception'!K66/100)</f>
        <v/>
      </c>
      <c r="S66" s="17" t="str">
        <f>IF('inflation, income and interest'!$A$38=2,"",('delay in perception'!E66-'delay in perception'!C66)/'delay in perception'!C66)</f>
        <v/>
      </c>
      <c r="T66" s="17" t="str">
        <f>IF('inflation, income and interest'!$A$38=2,"",('delay in perception'!E66-'delay in perception'!B66)/'delay in perception'!B66)</f>
        <v/>
      </c>
      <c r="U66" s="18" t="str">
        <f>IF('inflation, income and interest'!$A$38=2,"",'delay in perception'!E66)</f>
        <v/>
      </c>
      <c r="V66" s="24" t="str">
        <f>IF('inflation, income and interest'!$A$38=2,"",'delay in perception'!D66)</f>
        <v/>
      </c>
      <c r="W66" s="25" t="str">
        <f>IF('inflation, income and interest'!$A$38=2,"",'delay in perception'!M66/100)</f>
        <v/>
      </c>
      <c r="X66" s="21" t="str">
        <f>IF('inflation, income and interest'!$A$38=2,"",'delay in perception'!L66/100)</f>
        <v/>
      </c>
      <c r="Y66" s="158" t="str">
        <f>IF('inflation, income and interest'!$B$38=2,"",(hystere!E66-hystere!B66)/hystere!B66)</f>
        <v/>
      </c>
      <c r="Z66" s="396" t="str">
        <f>IF('inflation, income and interest'!$B$38=2,"",hystere!M66/100)</f>
        <v/>
      </c>
      <c r="AA66" s="18" t="str">
        <f>IF('inflation, income and interest'!$B$38=2,"",hystere!E66)</f>
        <v/>
      </c>
      <c r="AB66" s="24" t="str">
        <f>IF('inflation, income and interest'!$B$38=2,"",hystere!C66)</f>
        <v/>
      </c>
      <c r="AC66" s="17" t="str">
        <f>IF('inflation, income and interest'!$B$38=2,"",hystere!O66/100)</f>
        <v/>
      </c>
      <c r="AD66" s="17" t="str">
        <f>IF('inflation, income and interest'!$B$38=2,"",hystere!N66/100)</f>
        <v/>
      </c>
    </row>
    <row r="67" spans="1:30" ht="14" thickTop="1" thickBot="1">
      <c r="A67" s="15">
        <v>64</v>
      </c>
      <c r="B67" s="17">
        <f ca="1">('normal case'!D66-'normal case'!B66)/'normal case'!B66</f>
        <v>5.9014499777614481E-10</v>
      </c>
      <c r="C67" s="23">
        <f ca="1">'normal case'!D66</f>
        <v>101.00000005960464</v>
      </c>
      <c r="D67" s="24">
        <f ca="1">'normal case'!C66</f>
        <v>-1.5107707374006907E-7</v>
      </c>
      <c r="E67" s="22">
        <f ca="1">'normal case'!L66/100</f>
        <v>1.9999998807907104E-2</v>
      </c>
      <c r="F67" s="25">
        <f ca="1">'normal case'!U66/100</f>
        <v>5.499999850988388E-2</v>
      </c>
      <c r="G67" s="25">
        <f ca="1">'normal case'!T66/100</f>
        <v>3.4999999701976779E-2</v>
      </c>
      <c r="H67" s="25">
        <f ca="1">'public finance'!D65</f>
        <v>1.9802129779314939E-3</v>
      </c>
      <c r="I67" s="20">
        <f ca="1">'public finance'!E65</f>
        <v>1.5562491322505877E-2</v>
      </c>
      <c r="J67" s="118">
        <f ca="1">'public finance'!H65</f>
        <v>-0.38806509886362262</v>
      </c>
      <c r="K67" s="17">
        <f ca="1">'public finance'!C65/'normal case'!D66</f>
        <v>0.19801980186333762</v>
      </c>
      <c r="L67" s="20">
        <f ca="1">'public finance'!A65/'normal case'!D66</f>
        <v>0.2</v>
      </c>
      <c r="M67" s="18" t="str">
        <f>IF(controls!$B$44=0,"",'normal case'!AJ66)</f>
        <v/>
      </c>
      <c r="N67" s="18" t="str">
        <f>IF(controls!$B$44=0,"",'normal case'!AM66)</f>
        <v/>
      </c>
      <c r="O67" s="160" t="str">
        <f>IF(controls!$B$44=0,"",'external balance'!D66)</f>
        <v/>
      </c>
      <c r="P67" s="160" t="str">
        <f>IF(controls!$B$44=0,"",'external balance'!F66)</f>
        <v/>
      </c>
      <c r="Q67" s="159" t="str">
        <f>IF(controls!$B$44=0,"",'external balance'!H66)</f>
        <v/>
      </c>
      <c r="R67" s="158" t="str">
        <f>IF('inflation, income and interest'!$A$38=2,"",'delay in perception'!K67/100)</f>
        <v/>
      </c>
      <c r="S67" s="17" t="str">
        <f>IF('inflation, income and interest'!$A$38=2,"",('delay in perception'!E67-'delay in perception'!C67)/'delay in perception'!C67)</f>
        <v/>
      </c>
      <c r="T67" s="17" t="str">
        <f>IF('inflation, income and interest'!$A$38=2,"",('delay in perception'!E67-'delay in perception'!B67)/'delay in perception'!B67)</f>
        <v/>
      </c>
      <c r="U67" s="18" t="str">
        <f>IF('inflation, income and interest'!$A$38=2,"",'delay in perception'!E67)</f>
        <v/>
      </c>
      <c r="V67" s="24" t="str">
        <f>IF('inflation, income and interest'!$A$38=2,"",'delay in perception'!D67)</f>
        <v/>
      </c>
      <c r="W67" s="25" t="str">
        <f>IF('inflation, income and interest'!$A$38=2,"",'delay in perception'!M67/100)</f>
        <v/>
      </c>
      <c r="X67" s="21" t="str">
        <f>IF('inflation, income and interest'!$A$38=2,"",'delay in perception'!L67/100)</f>
        <v/>
      </c>
      <c r="Y67" s="158" t="str">
        <f>IF('inflation, income and interest'!$B$38=2,"",(hystere!E67-hystere!B67)/hystere!B67)</f>
        <v/>
      </c>
      <c r="Z67" s="396" t="str">
        <f>IF('inflation, income and interest'!$B$38=2,"",hystere!M67/100)</f>
        <v/>
      </c>
      <c r="AA67" s="18" t="str">
        <f>IF('inflation, income and interest'!$B$38=2,"",hystere!E67)</f>
        <v/>
      </c>
      <c r="AB67" s="24" t="str">
        <f>IF('inflation, income and interest'!$B$38=2,"",hystere!C67)</f>
        <v/>
      </c>
      <c r="AC67" s="17" t="str">
        <f>IF('inflation, income and interest'!$B$38=2,"",hystere!O67/100)</f>
        <v/>
      </c>
      <c r="AD67" s="17" t="str">
        <f>IF('inflation, income and interest'!$B$38=2,"",hystere!N67/100)</f>
        <v/>
      </c>
    </row>
    <row r="68" spans="1:30" ht="14" thickTop="1" thickBot="1">
      <c r="A68" s="15">
        <v>65</v>
      </c>
      <c r="B68" s="17">
        <f ca="1">('normal case'!D67-'normal case'!B67)/'normal case'!B67</f>
        <v>5.9014499777614481E-10</v>
      </c>
      <c r="C68" s="23">
        <f ca="1">'normal case'!D67</f>
        <v>101.00000005960464</v>
      </c>
      <c r="D68" s="24">
        <f ca="1">'normal case'!C67</f>
        <v>-1.5107707374006907E-7</v>
      </c>
      <c r="E68" s="22">
        <f ca="1">'normal case'!L67/100</f>
        <v>1.9999998807907104E-2</v>
      </c>
      <c r="F68" s="25">
        <f ca="1">'normal case'!U67/100</f>
        <v>5.499999850988388E-2</v>
      </c>
      <c r="G68" s="25">
        <f ca="1">'normal case'!T67/100</f>
        <v>3.4999999701976779E-2</v>
      </c>
      <c r="H68" s="25">
        <f ca="1">'public finance'!D66</f>
        <v>1.9802129779314939E-3</v>
      </c>
      <c r="I68" s="20">
        <f ca="1">'public finance'!E66</f>
        <v>1.6107177994711182E-2</v>
      </c>
      <c r="J68" s="118">
        <f ca="1">'public finance'!H66</f>
        <v>-0.40362757534485938</v>
      </c>
      <c r="K68" s="17">
        <f ca="1">'public finance'!C66/'normal case'!D67</f>
        <v>0.19801980186333762</v>
      </c>
      <c r="L68" s="20">
        <f ca="1">'public finance'!A66/'normal case'!D67</f>
        <v>0.2</v>
      </c>
      <c r="M68" s="18" t="str">
        <f>IF(controls!$B$44=0,"",'normal case'!AJ67)</f>
        <v/>
      </c>
      <c r="N68" s="18" t="str">
        <f>IF(controls!$B$44=0,"",'normal case'!AM67)</f>
        <v/>
      </c>
      <c r="O68" s="160" t="str">
        <f>IF(controls!$B$44=0,"",'external balance'!D67)</f>
        <v/>
      </c>
      <c r="P68" s="160" t="str">
        <f>IF(controls!$B$44=0,"",'external balance'!F67)</f>
        <v/>
      </c>
      <c r="Q68" s="159" t="str">
        <f>IF(controls!$B$44=0,"",'external balance'!H67)</f>
        <v/>
      </c>
      <c r="R68" s="158" t="str">
        <f>IF('inflation, income and interest'!$A$38=2,"",'delay in perception'!K68/100)</f>
        <v/>
      </c>
      <c r="S68" s="17" t="str">
        <f>IF('inflation, income and interest'!$A$38=2,"",('delay in perception'!E68-'delay in perception'!C68)/'delay in perception'!C68)</f>
        <v/>
      </c>
      <c r="T68" s="17" t="str">
        <f>IF('inflation, income and interest'!$A$38=2,"",('delay in perception'!E68-'delay in perception'!B68)/'delay in perception'!B68)</f>
        <v/>
      </c>
      <c r="U68" s="18" t="str">
        <f>IF('inflation, income and interest'!$A$38=2,"",'delay in perception'!E68)</f>
        <v/>
      </c>
      <c r="V68" s="24" t="str">
        <f>IF('inflation, income and interest'!$A$38=2,"",'delay in perception'!D68)</f>
        <v/>
      </c>
      <c r="W68" s="25" t="str">
        <f>IF('inflation, income and interest'!$A$38=2,"",'delay in perception'!M68/100)</f>
        <v/>
      </c>
      <c r="X68" s="21" t="str">
        <f>IF('inflation, income and interest'!$A$38=2,"",'delay in perception'!L68/100)</f>
        <v/>
      </c>
      <c r="Y68" s="158" t="str">
        <f>IF('inflation, income and interest'!$B$38=2,"",(hystere!E68-hystere!B68)/hystere!B68)</f>
        <v/>
      </c>
      <c r="Z68" s="396" t="str">
        <f>IF('inflation, income and interest'!$B$38=2,"",hystere!M68/100)</f>
        <v/>
      </c>
      <c r="AA68" s="18" t="str">
        <f>IF('inflation, income and interest'!$B$38=2,"",hystere!E68)</f>
        <v/>
      </c>
      <c r="AB68" s="24" t="str">
        <f>IF('inflation, income and interest'!$B$38=2,"",hystere!C68)</f>
        <v/>
      </c>
      <c r="AC68" s="17" t="str">
        <f>IF('inflation, income and interest'!$B$38=2,"",hystere!O68/100)</f>
        <v/>
      </c>
      <c r="AD68" s="17" t="str">
        <f>IF('inflation, income and interest'!$B$38=2,"",hystere!N68/100)</f>
        <v/>
      </c>
    </row>
    <row r="69" spans="1:30" ht="14" thickTop="1" thickBot="1">
      <c r="A69" s="15">
        <v>66</v>
      </c>
      <c r="B69" s="17">
        <f ca="1">('normal case'!D68-'normal case'!B68)/'normal case'!B68</f>
        <v>5.9014499777614481E-10</v>
      </c>
      <c r="C69" s="23">
        <f ca="1">'normal case'!D68</f>
        <v>101.00000005960464</v>
      </c>
      <c r="D69" s="24">
        <f ca="1">'normal case'!C68</f>
        <v>-1.5107707374006907E-7</v>
      </c>
      <c r="E69" s="22">
        <f ca="1">'normal case'!L68/100</f>
        <v>1.9999998807907104E-2</v>
      </c>
      <c r="F69" s="25">
        <f ca="1">'normal case'!U68/100</f>
        <v>5.499999850988388E-2</v>
      </c>
      <c r="G69" s="25">
        <f ca="1">'normal case'!T68/100</f>
        <v>3.4999999701976779E-2</v>
      </c>
      <c r="H69" s="25">
        <f ca="1">'public finance'!D67</f>
        <v>1.9802129779314939E-3</v>
      </c>
      <c r="I69" s="20">
        <f ca="1">'public finance'!E67</f>
        <v>1.6670928700281345E-2</v>
      </c>
      <c r="J69" s="118">
        <f ca="1">'public finance'!H67</f>
        <v>-0.41973473849830145</v>
      </c>
      <c r="K69" s="17">
        <f ca="1">'public finance'!C67/'normal case'!D68</f>
        <v>0.19801980186333762</v>
      </c>
      <c r="L69" s="20">
        <f ca="1">'public finance'!A67/'normal case'!D68</f>
        <v>0.2</v>
      </c>
      <c r="M69" s="18" t="str">
        <f>IF(controls!$B$44=0,"",'normal case'!AJ68)</f>
        <v/>
      </c>
      <c r="N69" s="18" t="str">
        <f>IF(controls!$B$44=0,"",'normal case'!AM68)</f>
        <v/>
      </c>
      <c r="O69" s="160" t="str">
        <f>IF(controls!$B$44=0,"",'external balance'!D68)</f>
        <v/>
      </c>
      <c r="P69" s="160" t="str">
        <f>IF(controls!$B$44=0,"",'external balance'!F68)</f>
        <v/>
      </c>
      <c r="Q69" s="159" t="str">
        <f>IF(controls!$B$44=0,"",'external balance'!H68)</f>
        <v/>
      </c>
      <c r="R69" s="158" t="str">
        <f>IF('inflation, income and interest'!$A$38=2,"",'delay in perception'!K69/100)</f>
        <v/>
      </c>
      <c r="S69" s="17" t="str">
        <f>IF('inflation, income and interest'!$A$38=2,"",('delay in perception'!E69-'delay in perception'!C69)/'delay in perception'!C69)</f>
        <v/>
      </c>
      <c r="T69" s="17" t="str">
        <f>IF('inflation, income and interest'!$A$38=2,"",('delay in perception'!E69-'delay in perception'!B69)/'delay in perception'!B69)</f>
        <v/>
      </c>
      <c r="U69" s="18" t="str">
        <f>IF('inflation, income and interest'!$A$38=2,"",'delay in perception'!E69)</f>
        <v/>
      </c>
      <c r="V69" s="24" t="str">
        <f>IF('inflation, income and interest'!$A$38=2,"",'delay in perception'!D69)</f>
        <v/>
      </c>
      <c r="W69" s="25" t="str">
        <f>IF('inflation, income and interest'!$A$38=2,"",'delay in perception'!M69/100)</f>
        <v/>
      </c>
      <c r="X69" s="21" t="str">
        <f>IF('inflation, income and interest'!$A$38=2,"",'delay in perception'!L69/100)</f>
        <v/>
      </c>
      <c r="Y69" s="158" t="str">
        <f>IF('inflation, income and interest'!$B$38=2,"",(hystere!E69-hystere!B69)/hystere!B69)</f>
        <v/>
      </c>
      <c r="Z69" s="396" t="str">
        <f>IF('inflation, income and interest'!$B$38=2,"",hystere!M69/100)</f>
        <v/>
      </c>
      <c r="AA69" s="18" t="str">
        <f>IF('inflation, income and interest'!$B$38=2,"",hystere!E69)</f>
        <v/>
      </c>
      <c r="AB69" s="24" t="str">
        <f>IF('inflation, income and interest'!$B$38=2,"",hystere!C69)</f>
        <v/>
      </c>
      <c r="AC69" s="17" t="str">
        <f>IF('inflation, income and interest'!$B$38=2,"",hystere!O69/100)</f>
        <v/>
      </c>
      <c r="AD69" s="17" t="str">
        <f>IF('inflation, income and interest'!$B$38=2,"",hystere!N69/100)</f>
        <v/>
      </c>
    </row>
    <row r="70" spans="1:30" ht="14" thickTop="1" thickBot="1">
      <c r="A70" s="15">
        <v>67</v>
      </c>
      <c r="B70" s="17">
        <f ca="1">('normal case'!D69-'normal case'!B69)/'normal case'!B69</f>
        <v>5.9014499777614481E-10</v>
      </c>
      <c r="C70" s="23">
        <f ca="1">'normal case'!D69</f>
        <v>101.00000005960464</v>
      </c>
      <c r="D70" s="24">
        <f ca="1">'normal case'!C69</f>
        <v>-1.5107707374006907E-7</v>
      </c>
      <c r="E70" s="22">
        <f ca="1">'normal case'!L69/100</f>
        <v>1.9999998807907104E-2</v>
      </c>
      <c r="F70" s="25">
        <f ca="1">'normal case'!U69/100</f>
        <v>5.499999850988388E-2</v>
      </c>
      <c r="G70" s="25">
        <f ca="1">'normal case'!T69/100</f>
        <v>3.4999999701976779E-2</v>
      </c>
      <c r="H70" s="25">
        <f ca="1">'public finance'!D68</f>
        <v>1.9802129779314939E-3</v>
      </c>
      <c r="I70" s="20">
        <f ca="1">'public finance'!E68</f>
        <v>1.7254410680378453E-2</v>
      </c>
      <c r="J70" s="118">
        <f ca="1">'public finance'!H68</f>
        <v>-0.43640565235731366</v>
      </c>
      <c r="K70" s="17">
        <f ca="1">'public finance'!C68/'normal case'!D69</f>
        <v>0.19801980186333762</v>
      </c>
      <c r="L70" s="20">
        <f ca="1">'public finance'!A68/'normal case'!D69</f>
        <v>0.2</v>
      </c>
      <c r="M70" s="18" t="str">
        <f>IF(controls!$B$44=0,"",'normal case'!AJ69)</f>
        <v/>
      </c>
      <c r="N70" s="18" t="str">
        <f>IF(controls!$B$44=0,"",'normal case'!AM69)</f>
        <v/>
      </c>
      <c r="O70" s="160" t="str">
        <f>IF(controls!$B$44=0,"",'external balance'!D69)</f>
        <v/>
      </c>
      <c r="P70" s="160" t="str">
        <f>IF(controls!$B$44=0,"",'external balance'!F69)</f>
        <v/>
      </c>
      <c r="Q70" s="159" t="str">
        <f>IF(controls!$B$44=0,"",'external balance'!H69)</f>
        <v/>
      </c>
      <c r="R70" s="158" t="str">
        <f>IF('inflation, income and interest'!$A$38=2,"",'delay in perception'!K70/100)</f>
        <v/>
      </c>
      <c r="S70" s="17" t="str">
        <f>IF('inflation, income and interest'!$A$38=2,"",('delay in perception'!E70-'delay in perception'!C70)/'delay in perception'!C70)</f>
        <v/>
      </c>
      <c r="T70" s="17" t="str">
        <f>IF('inflation, income and interest'!$A$38=2,"",('delay in perception'!E70-'delay in perception'!B70)/'delay in perception'!B70)</f>
        <v/>
      </c>
      <c r="U70" s="18" t="str">
        <f>IF('inflation, income and interest'!$A$38=2,"",'delay in perception'!E70)</f>
        <v/>
      </c>
      <c r="V70" s="24" t="str">
        <f>IF('inflation, income and interest'!$A$38=2,"",'delay in perception'!D70)</f>
        <v/>
      </c>
      <c r="W70" s="25" t="str">
        <f>IF('inflation, income and interest'!$A$38=2,"",'delay in perception'!M70/100)</f>
        <v/>
      </c>
      <c r="X70" s="21" t="str">
        <f>IF('inflation, income and interest'!$A$38=2,"",'delay in perception'!L70/100)</f>
        <v/>
      </c>
      <c r="Y70" s="158" t="str">
        <f>IF('inflation, income and interest'!$B$38=2,"",(hystere!E70-hystere!B70)/hystere!B70)</f>
        <v/>
      </c>
      <c r="Z70" s="396" t="str">
        <f>IF('inflation, income and interest'!$B$38=2,"",hystere!M70/100)</f>
        <v/>
      </c>
      <c r="AA70" s="18" t="str">
        <f>IF('inflation, income and interest'!$B$38=2,"",hystere!E70)</f>
        <v/>
      </c>
      <c r="AB70" s="24" t="str">
        <f>IF('inflation, income and interest'!$B$38=2,"",hystere!C70)</f>
        <v/>
      </c>
      <c r="AC70" s="17" t="str">
        <f>IF('inflation, income and interest'!$B$38=2,"",hystere!O70/100)</f>
        <v/>
      </c>
      <c r="AD70" s="17" t="str">
        <f>IF('inflation, income and interest'!$B$38=2,"",hystere!N70/100)</f>
        <v/>
      </c>
    </row>
    <row r="71" spans="1:30" ht="14" thickTop="1" thickBot="1">
      <c r="A71" s="15">
        <v>68</v>
      </c>
      <c r="B71" s="17">
        <f ca="1">('normal case'!D70-'normal case'!B70)/'normal case'!B70</f>
        <v>5.9014499777614481E-10</v>
      </c>
      <c r="C71" s="23">
        <f ca="1">'normal case'!D70</f>
        <v>101.00000005960464</v>
      </c>
      <c r="D71" s="24">
        <f ca="1">'normal case'!C70</f>
        <v>-1.5107707374006907E-7</v>
      </c>
      <c r="E71" s="22">
        <f ca="1">'normal case'!L70/100</f>
        <v>1.9999998807907104E-2</v>
      </c>
      <c r="F71" s="25">
        <f ca="1">'normal case'!U70/100</f>
        <v>5.499999850988388E-2</v>
      </c>
      <c r="G71" s="25">
        <f ca="1">'normal case'!T70/100</f>
        <v>3.4999999701976779E-2</v>
      </c>
      <c r="H71" s="25">
        <f ca="1">'public finance'!D69</f>
        <v>1.9802129779314939E-3</v>
      </c>
      <c r="I71" s="20">
        <f ca="1">'public finance'!E69</f>
        <v>1.7858314529605072E-2</v>
      </c>
      <c r="J71" s="118">
        <f ca="1">'public finance'!H69</f>
        <v>-0.45366004819642297</v>
      </c>
      <c r="K71" s="17">
        <f ca="1">'public finance'!C69/'normal case'!D70</f>
        <v>0.19801980186333762</v>
      </c>
      <c r="L71" s="20">
        <f ca="1">'public finance'!A69/'normal case'!D70</f>
        <v>0.2</v>
      </c>
      <c r="M71" s="18" t="str">
        <f>IF(controls!$B$44=0,"",'normal case'!AJ70)</f>
        <v/>
      </c>
      <c r="N71" s="18" t="str">
        <f>IF(controls!$B$44=0,"",'normal case'!AM70)</f>
        <v/>
      </c>
      <c r="O71" s="160" t="str">
        <f>IF(controls!$B$44=0,"",'external balance'!D70)</f>
        <v/>
      </c>
      <c r="P71" s="160" t="str">
        <f>IF(controls!$B$44=0,"",'external balance'!F70)</f>
        <v/>
      </c>
      <c r="Q71" s="159" t="str">
        <f>IF(controls!$B$44=0,"",'external balance'!H70)</f>
        <v/>
      </c>
      <c r="R71" s="158" t="str">
        <f>IF('inflation, income and interest'!$A$38=2,"",'delay in perception'!K71/100)</f>
        <v/>
      </c>
      <c r="S71" s="17" t="str">
        <f>IF('inflation, income and interest'!$A$38=2,"",('delay in perception'!E71-'delay in perception'!C71)/'delay in perception'!C71)</f>
        <v/>
      </c>
      <c r="T71" s="17" t="str">
        <f>IF('inflation, income and interest'!$A$38=2,"",('delay in perception'!E71-'delay in perception'!B71)/'delay in perception'!B71)</f>
        <v/>
      </c>
      <c r="U71" s="18" t="str">
        <f>IF('inflation, income and interest'!$A$38=2,"",'delay in perception'!E71)</f>
        <v/>
      </c>
      <c r="V71" s="24" t="str">
        <f>IF('inflation, income and interest'!$A$38=2,"",'delay in perception'!D71)</f>
        <v/>
      </c>
      <c r="W71" s="25" t="str">
        <f>IF('inflation, income and interest'!$A$38=2,"",'delay in perception'!M71/100)</f>
        <v/>
      </c>
      <c r="X71" s="21" t="str">
        <f>IF('inflation, income and interest'!$A$38=2,"",'delay in perception'!L71/100)</f>
        <v/>
      </c>
      <c r="Y71" s="158" t="str">
        <f>IF('inflation, income and interest'!$B$38=2,"",(hystere!E71-hystere!B71)/hystere!B71)</f>
        <v/>
      </c>
      <c r="Z71" s="396" t="str">
        <f>IF('inflation, income and interest'!$B$38=2,"",hystere!M71/100)</f>
        <v/>
      </c>
      <c r="AA71" s="18" t="str">
        <f>IF('inflation, income and interest'!$B$38=2,"",hystere!E71)</f>
        <v/>
      </c>
      <c r="AB71" s="24" t="str">
        <f>IF('inflation, income and interest'!$B$38=2,"",hystere!C71)</f>
        <v/>
      </c>
      <c r="AC71" s="17" t="str">
        <f>IF('inflation, income and interest'!$B$38=2,"",hystere!O71/100)</f>
        <v/>
      </c>
      <c r="AD71" s="17" t="str">
        <f>IF('inflation, income and interest'!$B$38=2,"",hystere!N71/100)</f>
        <v/>
      </c>
    </row>
    <row r="72" spans="1:30" ht="14" thickTop="1" thickBot="1">
      <c r="A72" s="15">
        <v>69</v>
      </c>
      <c r="B72" s="17">
        <f ca="1">('normal case'!D71-'normal case'!B71)/'normal case'!B71</f>
        <v>5.9014499777614481E-10</v>
      </c>
      <c r="C72" s="23">
        <f ca="1">'normal case'!D71</f>
        <v>101.00000005960464</v>
      </c>
      <c r="D72" s="24">
        <f ca="1">'normal case'!C71</f>
        <v>-1.5107707374006907E-7</v>
      </c>
      <c r="E72" s="22">
        <f ca="1">'normal case'!L71/100</f>
        <v>1.9999998807907104E-2</v>
      </c>
      <c r="F72" s="25">
        <f ca="1">'normal case'!U71/100</f>
        <v>5.499999850988388E-2</v>
      </c>
      <c r="G72" s="25">
        <f ca="1">'normal case'!T71/100</f>
        <v>3.4999999701976779E-2</v>
      </c>
      <c r="H72" s="25">
        <f ca="1">'public finance'!D70</f>
        <v>1.9802129779314939E-3</v>
      </c>
      <c r="I72" s="20">
        <f ca="1">'public finance'!E70</f>
        <v>1.8483355013374645E-2</v>
      </c>
      <c r="J72" s="118">
        <f ca="1">'public finance'!H70</f>
        <v>-0.47151834788475899</v>
      </c>
      <c r="K72" s="17">
        <f ca="1">'public finance'!C70/'normal case'!D71</f>
        <v>0.19801980186333762</v>
      </c>
      <c r="L72" s="20">
        <f ca="1">'public finance'!A70/'normal case'!D71</f>
        <v>0.2</v>
      </c>
      <c r="M72" s="18" t="str">
        <f>IF(controls!$B$44=0,"",'normal case'!AJ71)</f>
        <v/>
      </c>
      <c r="N72" s="18" t="str">
        <f>IF(controls!$B$44=0,"",'normal case'!AM71)</f>
        <v/>
      </c>
      <c r="O72" s="160" t="str">
        <f>IF(controls!$B$44=0,"",'external balance'!D71)</f>
        <v/>
      </c>
      <c r="P72" s="160" t="str">
        <f>IF(controls!$B$44=0,"",'external balance'!F71)</f>
        <v/>
      </c>
      <c r="Q72" s="159" t="str">
        <f>IF(controls!$B$44=0,"",'external balance'!H71)</f>
        <v/>
      </c>
      <c r="R72" s="158" t="str">
        <f>IF('inflation, income and interest'!$A$38=2,"",'delay in perception'!K72/100)</f>
        <v/>
      </c>
      <c r="S72" s="17" t="str">
        <f>IF('inflation, income and interest'!$A$38=2,"",('delay in perception'!E72-'delay in perception'!C72)/'delay in perception'!C72)</f>
        <v/>
      </c>
      <c r="T72" s="17" t="str">
        <f>IF('inflation, income and interest'!$A$38=2,"",('delay in perception'!E72-'delay in perception'!B72)/'delay in perception'!B72)</f>
        <v/>
      </c>
      <c r="U72" s="18" t="str">
        <f>IF('inflation, income and interest'!$A$38=2,"",'delay in perception'!E72)</f>
        <v/>
      </c>
      <c r="V72" s="24" t="str">
        <f>IF('inflation, income and interest'!$A$38=2,"",'delay in perception'!D72)</f>
        <v/>
      </c>
      <c r="W72" s="25" t="str">
        <f>IF('inflation, income and interest'!$A$38=2,"",'delay in perception'!M72/100)</f>
        <v/>
      </c>
      <c r="X72" s="21" t="str">
        <f>IF('inflation, income and interest'!$A$38=2,"",'delay in perception'!L72/100)</f>
        <v/>
      </c>
      <c r="Y72" s="158" t="str">
        <f>IF('inflation, income and interest'!$B$38=2,"",(hystere!E72-hystere!B72)/hystere!B72)</f>
        <v/>
      </c>
      <c r="Z72" s="396" t="str">
        <f>IF('inflation, income and interest'!$B$38=2,"",hystere!M72/100)</f>
        <v/>
      </c>
      <c r="AA72" s="18" t="str">
        <f>IF('inflation, income and interest'!$B$38=2,"",hystere!E72)</f>
        <v/>
      </c>
      <c r="AB72" s="24" t="str">
        <f>IF('inflation, income and interest'!$B$38=2,"",hystere!C72)</f>
        <v/>
      </c>
      <c r="AC72" s="17" t="str">
        <f>IF('inflation, income and interest'!$B$38=2,"",hystere!O72/100)</f>
        <v/>
      </c>
      <c r="AD72" s="17" t="str">
        <f>IF('inflation, income and interest'!$B$38=2,"",hystere!N72/100)</f>
        <v/>
      </c>
    </row>
    <row r="73" spans="1:30" ht="14" thickTop="1" thickBot="1">
      <c r="A73" s="15">
        <v>70</v>
      </c>
      <c r="B73" s="17">
        <f ca="1">('normal case'!D72-'normal case'!B72)/'normal case'!B72</f>
        <v>5.9014499777614481E-10</v>
      </c>
      <c r="C73" s="23">
        <f ca="1">'normal case'!D72</f>
        <v>101.00000005960464</v>
      </c>
      <c r="D73" s="24">
        <f ca="1">'normal case'!C72</f>
        <v>-1.5107707374006907E-7</v>
      </c>
      <c r="E73" s="22">
        <f ca="1">'normal case'!L72/100</f>
        <v>1.9999998807907104E-2</v>
      </c>
      <c r="F73" s="25">
        <f ca="1">'normal case'!U72/100</f>
        <v>5.499999850988388E-2</v>
      </c>
      <c r="G73" s="25">
        <f ca="1">'normal case'!T72/100</f>
        <v>3.4999999701976779E-2</v>
      </c>
      <c r="H73" s="25">
        <f ca="1">'public finance'!D71</f>
        <v>1.9802129779314939E-3</v>
      </c>
      <c r="I73" s="20">
        <f ca="1">'public finance'!E71</f>
        <v>1.9130271913889874E-2</v>
      </c>
      <c r="J73" s="118">
        <f ca="1">'public finance'!H71</f>
        <v>-0.49000168805686456</v>
      </c>
      <c r="K73" s="17">
        <f ca="1">'public finance'!C71/'normal case'!D72</f>
        <v>0.19801980186333762</v>
      </c>
      <c r="L73" s="20">
        <f ca="1">'public finance'!A71/'normal case'!D72</f>
        <v>0.2</v>
      </c>
      <c r="M73" s="18" t="str">
        <f>IF(controls!$B$44=0,"",'normal case'!AJ72)</f>
        <v/>
      </c>
      <c r="N73" s="18" t="str">
        <f>IF(controls!$B$44=0,"",'normal case'!AM72)</f>
        <v/>
      </c>
      <c r="O73" s="160" t="str">
        <f>IF(controls!$B$44=0,"",'external balance'!D72)</f>
        <v/>
      </c>
      <c r="P73" s="160" t="str">
        <f>IF(controls!$B$44=0,"",'external balance'!F72)</f>
        <v/>
      </c>
      <c r="Q73" s="159" t="str">
        <f>IF(controls!$B$44=0,"",'external balance'!H72)</f>
        <v/>
      </c>
      <c r="R73" s="158" t="str">
        <f>IF('inflation, income and interest'!$A$38=2,"",'delay in perception'!K73/100)</f>
        <v/>
      </c>
      <c r="S73" s="17" t="str">
        <f>IF('inflation, income and interest'!$A$38=2,"",('delay in perception'!E73-'delay in perception'!C73)/'delay in perception'!C73)</f>
        <v/>
      </c>
      <c r="T73" s="17" t="str">
        <f>IF('inflation, income and interest'!$A$38=2,"",('delay in perception'!E73-'delay in perception'!B73)/'delay in perception'!B73)</f>
        <v/>
      </c>
      <c r="U73" s="18" t="str">
        <f>IF('inflation, income and interest'!$A$38=2,"",'delay in perception'!E73)</f>
        <v/>
      </c>
      <c r="V73" s="24" t="str">
        <f>IF('inflation, income and interest'!$A$38=2,"",'delay in perception'!D73)</f>
        <v/>
      </c>
      <c r="W73" s="25" t="str">
        <f>IF('inflation, income and interest'!$A$38=2,"",'delay in perception'!M73/100)</f>
        <v/>
      </c>
      <c r="X73" s="21" t="str">
        <f>IF('inflation, income and interest'!$A$38=2,"",'delay in perception'!L73/100)</f>
        <v/>
      </c>
      <c r="Y73" s="158" t="str">
        <f>IF('inflation, income and interest'!$B$38=2,"",(hystere!E73-hystere!B73)/hystere!B73)</f>
        <v/>
      </c>
      <c r="Z73" s="396" t="str">
        <f>IF('inflation, income and interest'!$B$38=2,"",hystere!M73/100)</f>
        <v/>
      </c>
      <c r="AA73" s="18" t="str">
        <f>IF('inflation, income and interest'!$B$38=2,"",hystere!E73)</f>
        <v/>
      </c>
      <c r="AB73" s="24" t="str">
        <f>IF('inflation, income and interest'!$B$38=2,"",hystere!C73)</f>
        <v/>
      </c>
      <c r="AC73" s="17" t="str">
        <f>IF('inflation, income and interest'!$B$38=2,"",hystere!O73/100)</f>
        <v/>
      </c>
      <c r="AD73" s="17" t="str">
        <f>IF('inflation, income and interest'!$B$38=2,"",hystere!N73/100)</f>
        <v/>
      </c>
    </row>
    <row r="74" spans="1:30" ht="14" thickTop="1" thickBot="1">
      <c r="A74" s="15">
        <v>71</v>
      </c>
      <c r="B74" s="17">
        <f ca="1">('normal case'!D73-'normal case'!B73)/'normal case'!B73</f>
        <v>5.9014499777614481E-10</v>
      </c>
      <c r="C74" s="23">
        <f ca="1">'normal case'!D73</f>
        <v>101.00000005960464</v>
      </c>
      <c r="D74" s="24">
        <f ca="1">'normal case'!C73</f>
        <v>-1.5107707374006907E-7</v>
      </c>
      <c r="E74" s="22">
        <f ca="1">'normal case'!L73/100</f>
        <v>1.9999998807907104E-2</v>
      </c>
      <c r="F74" s="25">
        <f ca="1">'normal case'!U73/100</f>
        <v>5.499999850988388E-2</v>
      </c>
      <c r="G74" s="25">
        <f ca="1">'normal case'!T73/100</f>
        <v>3.4999999701976779E-2</v>
      </c>
      <c r="H74" s="25">
        <f ca="1">'public finance'!D72</f>
        <v>1.9802129779314939E-3</v>
      </c>
      <c r="I74" s="20">
        <f ca="1">'public finance'!E72</f>
        <v>1.9799830905730339E-2</v>
      </c>
      <c r="J74" s="118">
        <f ca="1">'public finance'!H72</f>
        <v>-0.50913194512948534</v>
      </c>
      <c r="K74" s="17">
        <f ca="1">'public finance'!C72/'normal case'!D73</f>
        <v>0.19801980186333762</v>
      </c>
      <c r="L74" s="20">
        <f ca="1">'public finance'!A72/'normal case'!D73</f>
        <v>0.2</v>
      </c>
      <c r="M74" s="18" t="str">
        <f>IF(controls!$B$44=0,"",'normal case'!AJ73)</f>
        <v/>
      </c>
      <c r="N74" s="18" t="str">
        <f>IF(controls!$B$44=0,"",'normal case'!AM73)</f>
        <v/>
      </c>
      <c r="O74" s="160" t="str">
        <f>IF(controls!$B$44=0,"",'external balance'!D73)</f>
        <v/>
      </c>
      <c r="P74" s="160" t="str">
        <f>IF(controls!$B$44=0,"",'external balance'!F73)</f>
        <v/>
      </c>
      <c r="Q74" s="159" t="str">
        <f>IF(controls!$B$44=0,"",'external balance'!H73)</f>
        <v/>
      </c>
      <c r="R74" s="158" t="str">
        <f>IF('inflation, income and interest'!$A$38=2,"",'delay in perception'!K74/100)</f>
        <v/>
      </c>
      <c r="S74" s="17" t="str">
        <f>IF('inflation, income and interest'!$A$38=2,"",('delay in perception'!E74-'delay in perception'!C74)/'delay in perception'!C74)</f>
        <v/>
      </c>
      <c r="T74" s="17" t="str">
        <f>IF('inflation, income and interest'!$A$38=2,"",('delay in perception'!E74-'delay in perception'!B74)/'delay in perception'!B74)</f>
        <v/>
      </c>
      <c r="U74" s="18" t="str">
        <f>IF('inflation, income and interest'!$A$38=2,"",'delay in perception'!E74)</f>
        <v/>
      </c>
      <c r="V74" s="24" t="str">
        <f>IF('inflation, income and interest'!$A$38=2,"",'delay in perception'!D74)</f>
        <v/>
      </c>
      <c r="W74" s="25" t="str">
        <f>IF('inflation, income and interest'!$A$38=2,"",'delay in perception'!M74/100)</f>
        <v/>
      </c>
      <c r="X74" s="21" t="str">
        <f>IF('inflation, income and interest'!$A$38=2,"",'delay in perception'!L74/100)</f>
        <v/>
      </c>
      <c r="Y74" s="158" t="str">
        <f>IF('inflation, income and interest'!$B$38=2,"",(hystere!E74-hystere!B74)/hystere!B74)</f>
        <v/>
      </c>
      <c r="Z74" s="396" t="str">
        <f>IF('inflation, income and interest'!$B$38=2,"",hystere!M74/100)</f>
        <v/>
      </c>
      <c r="AA74" s="18" t="str">
        <f>IF('inflation, income and interest'!$B$38=2,"",hystere!E74)</f>
        <v/>
      </c>
      <c r="AB74" s="24" t="str">
        <f>IF('inflation, income and interest'!$B$38=2,"",hystere!C74)</f>
        <v/>
      </c>
      <c r="AC74" s="17" t="str">
        <f>IF('inflation, income and interest'!$B$38=2,"",hystere!O74/100)</f>
        <v/>
      </c>
      <c r="AD74" s="17" t="str">
        <f>IF('inflation, income and interest'!$B$38=2,"",hystere!N74/100)</f>
        <v/>
      </c>
    </row>
    <row r="75" spans="1:30" ht="14" thickTop="1" thickBot="1">
      <c r="A75" s="15">
        <v>72</v>
      </c>
      <c r="B75" s="17">
        <f ca="1">('normal case'!D74-'normal case'!B74)/'normal case'!B74</f>
        <v>5.9014499777614481E-10</v>
      </c>
      <c r="C75" s="23">
        <f ca="1">'normal case'!D74</f>
        <v>101.00000005960464</v>
      </c>
      <c r="D75" s="24">
        <f ca="1">'normal case'!C74</f>
        <v>-1.5107707374006907E-7</v>
      </c>
      <c r="E75" s="22">
        <f ca="1">'normal case'!L74/100</f>
        <v>1.9999998807907104E-2</v>
      </c>
      <c r="F75" s="25">
        <f ca="1">'normal case'!U74/100</f>
        <v>5.499999850988388E-2</v>
      </c>
      <c r="G75" s="25">
        <f ca="1">'normal case'!T74/100</f>
        <v>3.4999999701976779E-2</v>
      </c>
      <c r="H75" s="25">
        <f ca="1">'public finance'!D73</f>
        <v>1.9802129779314939E-3</v>
      </c>
      <c r="I75" s="20">
        <f ca="1">'public finance'!E73</f>
        <v>2.0492824462085679E-2</v>
      </c>
      <c r="J75" s="118">
        <f ca="1">'public finance'!H73</f>
        <v>-0.52893176119394658</v>
      </c>
      <c r="K75" s="17">
        <f ca="1">'public finance'!C73/'normal case'!D74</f>
        <v>0.19801980186333762</v>
      </c>
      <c r="L75" s="20">
        <f ca="1">'public finance'!A73/'normal case'!D74</f>
        <v>0.2</v>
      </c>
      <c r="M75" s="18" t="str">
        <f>IF(controls!$B$44=0,"",'normal case'!AJ74)</f>
        <v/>
      </c>
      <c r="N75" s="18" t="str">
        <f>IF(controls!$B$44=0,"",'normal case'!AM74)</f>
        <v/>
      </c>
      <c r="O75" s="160" t="str">
        <f>IF(controls!$B$44=0,"",'external balance'!D74)</f>
        <v/>
      </c>
      <c r="P75" s="160" t="str">
        <f>IF(controls!$B$44=0,"",'external balance'!F74)</f>
        <v/>
      </c>
      <c r="Q75" s="159" t="str">
        <f>IF(controls!$B$44=0,"",'external balance'!H74)</f>
        <v/>
      </c>
      <c r="R75" s="158" t="str">
        <f>IF('inflation, income and interest'!$A$38=2,"",'delay in perception'!K75/100)</f>
        <v/>
      </c>
      <c r="S75" s="17" t="str">
        <f>IF('inflation, income and interest'!$A$38=2,"",('delay in perception'!E75-'delay in perception'!C75)/'delay in perception'!C75)</f>
        <v/>
      </c>
      <c r="T75" s="17" t="str">
        <f>IF('inflation, income and interest'!$A$38=2,"",('delay in perception'!E75-'delay in perception'!B75)/'delay in perception'!B75)</f>
        <v/>
      </c>
      <c r="U75" s="18" t="str">
        <f>IF('inflation, income and interest'!$A$38=2,"",'delay in perception'!E75)</f>
        <v/>
      </c>
      <c r="V75" s="24" t="str">
        <f>IF('inflation, income and interest'!$A$38=2,"",'delay in perception'!D75)</f>
        <v/>
      </c>
      <c r="W75" s="25" t="str">
        <f>IF('inflation, income and interest'!$A$38=2,"",'delay in perception'!M75/100)</f>
        <v/>
      </c>
      <c r="X75" s="21" t="str">
        <f>IF('inflation, income and interest'!$A$38=2,"",'delay in perception'!L75/100)</f>
        <v/>
      </c>
      <c r="Y75" s="158" t="str">
        <f>IF('inflation, income and interest'!$B$38=2,"",(hystere!E75-hystere!B75)/hystere!B75)</f>
        <v/>
      </c>
      <c r="Z75" s="396" t="str">
        <f>IF('inflation, income and interest'!$B$38=2,"",hystere!M75/100)</f>
        <v/>
      </c>
      <c r="AA75" s="18" t="str">
        <f>IF('inflation, income and interest'!$B$38=2,"",hystere!E75)</f>
        <v/>
      </c>
      <c r="AB75" s="24" t="str">
        <f>IF('inflation, income and interest'!$B$38=2,"",hystere!C75)</f>
        <v/>
      </c>
      <c r="AC75" s="17" t="str">
        <f>IF('inflation, income and interest'!$B$38=2,"",hystere!O75/100)</f>
        <v/>
      </c>
      <c r="AD75" s="17" t="str">
        <f>IF('inflation, income and interest'!$B$38=2,"",hystere!N75/100)</f>
        <v/>
      </c>
    </row>
    <row r="76" spans="1:30" ht="14" thickTop="1" thickBot="1">
      <c r="A76" s="15">
        <v>73</v>
      </c>
      <c r="B76" s="17">
        <f ca="1">('normal case'!D75-'normal case'!B75)/'normal case'!B75</f>
        <v>5.9014499777614481E-10</v>
      </c>
      <c r="C76" s="23">
        <f ca="1">'normal case'!D75</f>
        <v>101.00000005960464</v>
      </c>
      <c r="D76" s="24">
        <f ca="1">'normal case'!C75</f>
        <v>-1.5107707374006907E-7</v>
      </c>
      <c r="E76" s="22">
        <f ca="1">'normal case'!L75/100</f>
        <v>1.9999998807907104E-2</v>
      </c>
      <c r="F76" s="25">
        <f ca="1">'normal case'!U75/100</f>
        <v>5.499999850988388E-2</v>
      </c>
      <c r="G76" s="25">
        <f ca="1">'normal case'!T75/100</f>
        <v>3.4999999701976779E-2</v>
      </c>
      <c r="H76" s="25">
        <f ca="1">'public finance'!D74</f>
        <v>1.9802129779314939E-3</v>
      </c>
      <c r="I76" s="20">
        <f ca="1">'public finance'!E74</f>
        <v>2.1210072792706924E-2</v>
      </c>
      <c r="J76" s="118">
        <f ca="1">'public finance'!H74</f>
        <v>-0.54942457081476315</v>
      </c>
      <c r="K76" s="17">
        <f ca="1">'public finance'!C74/'normal case'!D75</f>
        <v>0.19801980186333762</v>
      </c>
      <c r="L76" s="20">
        <f ca="1">'public finance'!A74/'normal case'!D75</f>
        <v>0.2</v>
      </c>
      <c r="M76" s="18" t="str">
        <f>IF(controls!$B$44=0,"",'normal case'!AJ75)</f>
        <v/>
      </c>
      <c r="N76" s="18" t="str">
        <f>IF(controls!$B$44=0,"",'normal case'!AM75)</f>
        <v/>
      </c>
      <c r="O76" s="160" t="str">
        <f>IF(controls!$B$44=0,"",'external balance'!D75)</f>
        <v/>
      </c>
      <c r="P76" s="160" t="str">
        <f>IF(controls!$B$44=0,"",'external balance'!F75)</f>
        <v/>
      </c>
      <c r="Q76" s="159" t="str">
        <f>IF(controls!$B$44=0,"",'external balance'!H75)</f>
        <v/>
      </c>
      <c r="R76" s="158" t="str">
        <f>IF('inflation, income and interest'!$A$38=2,"",'delay in perception'!K76/100)</f>
        <v/>
      </c>
      <c r="S76" s="17" t="str">
        <f>IF('inflation, income and interest'!$A$38=2,"",('delay in perception'!E76-'delay in perception'!C76)/'delay in perception'!C76)</f>
        <v/>
      </c>
      <c r="T76" s="17" t="str">
        <f>IF('inflation, income and interest'!$A$38=2,"",('delay in perception'!E76-'delay in perception'!B76)/'delay in perception'!B76)</f>
        <v/>
      </c>
      <c r="U76" s="18" t="str">
        <f>IF('inflation, income and interest'!$A$38=2,"",'delay in perception'!E76)</f>
        <v/>
      </c>
      <c r="V76" s="24" t="str">
        <f>IF('inflation, income and interest'!$A$38=2,"",'delay in perception'!D76)</f>
        <v/>
      </c>
      <c r="W76" s="25" t="str">
        <f>IF('inflation, income and interest'!$A$38=2,"",'delay in perception'!M76/100)</f>
        <v/>
      </c>
      <c r="X76" s="21" t="str">
        <f>IF('inflation, income and interest'!$A$38=2,"",'delay in perception'!L76/100)</f>
        <v/>
      </c>
      <c r="Y76" s="158" t="str">
        <f>IF('inflation, income and interest'!$B$38=2,"",(hystere!E76-hystere!B76)/hystere!B76)</f>
        <v/>
      </c>
      <c r="Z76" s="396" t="str">
        <f>IF('inflation, income and interest'!$B$38=2,"",hystere!M76/100)</f>
        <v/>
      </c>
      <c r="AA76" s="18" t="str">
        <f>IF('inflation, income and interest'!$B$38=2,"",hystere!E76)</f>
        <v/>
      </c>
      <c r="AB76" s="24" t="str">
        <f>IF('inflation, income and interest'!$B$38=2,"",hystere!C76)</f>
        <v/>
      </c>
      <c r="AC76" s="17" t="str">
        <f>IF('inflation, income and interest'!$B$38=2,"",hystere!O76/100)</f>
        <v/>
      </c>
      <c r="AD76" s="17" t="str">
        <f>IF('inflation, income and interest'!$B$38=2,"",hystere!N76/100)</f>
        <v/>
      </c>
    </row>
    <row r="77" spans="1:30" ht="14" thickTop="1" thickBot="1">
      <c r="A77" s="15">
        <v>74</v>
      </c>
      <c r="B77" s="17">
        <f ca="1">('normal case'!D76-'normal case'!B76)/'normal case'!B76</f>
        <v>5.9014499777614481E-10</v>
      </c>
      <c r="C77" s="23">
        <f ca="1">'normal case'!D76</f>
        <v>101.00000005960464</v>
      </c>
      <c r="D77" s="24">
        <f ca="1">'normal case'!C76</f>
        <v>-1.5107707374006907E-7</v>
      </c>
      <c r="E77" s="22">
        <f ca="1">'normal case'!L76/100</f>
        <v>1.9999998807907104E-2</v>
      </c>
      <c r="F77" s="25">
        <f ca="1">'normal case'!U76/100</f>
        <v>5.499999850988388E-2</v>
      </c>
      <c r="G77" s="25">
        <f ca="1">'normal case'!T76/100</f>
        <v>3.4999999701976779E-2</v>
      </c>
      <c r="H77" s="25">
        <f ca="1">'public finance'!D75</f>
        <v>1.9802129779314939E-3</v>
      </c>
      <c r="I77" s="20">
        <f ca="1">'public finance'!E75</f>
        <v>2.1952424814686157E-2</v>
      </c>
      <c r="J77" s="118">
        <f ca="1">'public finance'!H75</f>
        <v>-0.57063462876620086</v>
      </c>
      <c r="K77" s="17">
        <f ca="1">'public finance'!C75/'normal case'!D76</f>
        <v>0.19801980186333762</v>
      </c>
      <c r="L77" s="20">
        <f ca="1">'public finance'!A75/'normal case'!D76</f>
        <v>0.2</v>
      </c>
      <c r="M77" s="18" t="str">
        <f>IF(controls!$B$44=0,"",'normal case'!AJ76)</f>
        <v/>
      </c>
      <c r="N77" s="18" t="str">
        <f>IF(controls!$B$44=0,"",'normal case'!AM76)</f>
        <v/>
      </c>
      <c r="O77" s="160" t="str">
        <f>IF(controls!$B$44=0,"",'external balance'!D76)</f>
        <v/>
      </c>
      <c r="P77" s="160" t="str">
        <f>IF(controls!$B$44=0,"",'external balance'!F76)</f>
        <v/>
      </c>
      <c r="Q77" s="159" t="str">
        <f>IF(controls!$B$44=0,"",'external balance'!H76)</f>
        <v/>
      </c>
      <c r="R77" s="158" t="str">
        <f>IF('inflation, income and interest'!$A$38=2,"",'delay in perception'!K77/100)</f>
        <v/>
      </c>
      <c r="S77" s="17" t="str">
        <f>IF('inflation, income and interest'!$A$38=2,"",('delay in perception'!E77-'delay in perception'!C77)/'delay in perception'!C77)</f>
        <v/>
      </c>
      <c r="T77" s="17" t="str">
        <f>IF('inflation, income and interest'!$A$38=2,"",('delay in perception'!E77-'delay in perception'!B77)/'delay in perception'!B77)</f>
        <v/>
      </c>
      <c r="U77" s="18" t="str">
        <f>IF('inflation, income and interest'!$A$38=2,"",'delay in perception'!E77)</f>
        <v/>
      </c>
      <c r="V77" s="24" t="str">
        <f>IF('inflation, income and interest'!$A$38=2,"",'delay in perception'!D77)</f>
        <v/>
      </c>
      <c r="W77" s="25" t="str">
        <f>IF('inflation, income and interest'!$A$38=2,"",'delay in perception'!M77/100)</f>
        <v/>
      </c>
      <c r="X77" s="21" t="str">
        <f>IF('inflation, income and interest'!$A$38=2,"",'delay in perception'!L77/100)</f>
        <v/>
      </c>
      <c r="Y77" s="158" t="str">
        <f>IF('inflation, income and interest'!$B$38=2,"",(hystere!E77-hystere!B77)/hystere!B77)</f>
        <v/>
      </c>
      <c r="Z77" s="396" t="str">
        <f>IF('inflation, income and interest'!$B$38=2,"",hystere!M77/100)</f>
        <v/>
      </c>
      <c r="AA77" s="18" t="str">
        <f>IF('inflation, income and interest'!$B$38=2,"",hystere!E77)</f>
        <v/>
      </c>
      <c r="AB77" s="24" t="str">
        <f>IF('inflation, income and interest'!$B$38=2,"",hystere!C77)</f>
        <v/>
      </c>
      <c r="AC77" s="17" t="str">
        <f>IF('inflation, income and interest'!$B$38=2,"",hystere!O77/100)</f>
        <v/>
      </c>
      <c r="AD77" s="17" t="str">
        <f>IF('inflation, income and interest'!$B$38=2,"",hystere!N77/100)</f>
        <v/>
      </c>
    </row>
    <row r="78" spans="1:30" ht="14" thickTop="1" thickBot="1">
      <c r="A78" s="15">
        <v>75</v>
      </c>
      <c r="B78" s="17">
        <f ca="1">('normal case'!D77-'normal case'!B77)/'normal case'!B77</f>
        <v>5.9014499777614481E-10</v>
      </c>
      <c r="C78" s="23">
        <f ca="1">'normal case'!D77</f>
        <v>101.00000005960464</v>
      </c>
      <c r="D78" s="24">
        <f ca="1">'normal case'!C77</f>
        <v>-1.5107707374006907E-7</v>
      </c>
      <c r="E78" s="22">
        <f ca="1">'normal case'!L77/100</f>
        <v>1.9999998807907104E-2</v>
      </c>
      <c r="F78" s="25">
        <f ca="1">'normal case'!U77/100</f>
        <v>5.499999850988388E-2</v>
      </c>
      <c r="G78" s="25">
        <f ca="1">'normal case'!T77/100</f>
        <v>3.4999999701976779E-2</v>
      </c>
      <c r="H78" s="25">
        <f ca="1">'public finance'!D76</f>
        <v>1.9802129779314939E-3</v>
      </c>
      <c r="I78" s="20">
        <f ca="1">'public finance'!E76</f>
        <v>2.2720759157213426E-2</v>
      </c>
      <c r="J78" s="118">
        <f ca="1">'public finance'!H76</f>
        <v>-0.59258703873961793</v>
      </c>
      <c r="K78" s="17">
        <f ca="1">'public finance'!C76/'normal case'!D77</f>
        <v>0.19801980186333762</v>
      </c>
      <c r="L78" s="20">
        <f ca="1">'public finance'!A76/'normal case'!D77</f>
        <v>0.2</v>
      </c>
      <c r="M78" s="18" t="str">
        <f>IF(controls!$B$44=0,"",'normal case'!AJ77)</f>
        <v/>
      </c>
      <c r="N78" s="18" t="str">
        <f>IF(controls!$B$44=0,"",'normal case'!AM77)</f>
        <v/>
      </c>
      <c r="O78" s="160" t="str">
        <f>IF(controls!$B$44=0,"",'external balance'!D77)</f>
        <v/>
      </c>
      <c r="P78" s="160" t="str">
        <f>IF(controls!$B$44=0,"",'external balance'!F77)</f>
        <v/>
      </c>
      <c r="Q78" s="159" t="str">
        <f>IF(controls!$B$44=0,"",'external balance'!H77)</f>
        <v/>
      </c>
      <c r="R78" s="158" t="str">
        <f>IF('inflation, income and interest'!$A$38=2,"",'delay in perception'!K78/100)</f>
        <v/>
      </c>
      <c r="S78" s="17" t="str">
        <f>IF('inflation, income and interest'!$A$38=2,"",('delay in perception'!E78-'delay in perception'!C78)/'delay in perception'!C78)</f>
        <v/>
      </c>
      <c r="T78" s="17" t="str">
        <f>IF('inflation, income and interest'!$A$38=2,"",('delay in perception'!E78-'delay in perception'!B78)/'delay in perception'!B78)</f>
        <v/>
      </c>
      <c r="U78" s="18" t="str">
        <f>IF('inflation, income and interest'!$A$38=2,"",'delay in perception'!E78)</f>
        <v/>
      </c>
      <c r="V78" s="24" t="str">
        <f>IF('inflation, income and interest'!$A$38=2,"",'delay in perception'!D78)</f>
        <v/>
      </c>
      <c r="W78" s="25" t="str">
        <f>IF('inflation, income and interest'!$A$38=2,"",'delay in perception'!M78/100)</f>
        <v/>
      </c>
      <c r="X78" s="21" t="str">
        <f>IF('inflation, income and interest'!$A$38=2,"",'delay in perception'!L78/100)</f>
        <v/>
      </c>
      <c r="Y78" s="158" t="str">
        <f>IF('inflation, income and interest'!$B$38=2,"",(hystere!E78-hystere!B78)/hystere!B78)</f>
        <v/>
      </c>
      <c r="Z78" s="396" t="str">
        <f>IF('inflation, income and interest'!$B$38=2,"",hystere!M78/100)</f>
        <v/>
      </c>
      <c r="AA78" s="18" t="str">
        <f>IF('inflation, income and interest'!$B$38=2,"",hystere!E78)</f>
        <v/>
      </c>
      <c r="AB78" s="24" t="str">
        <f>IF('inflation, income and interest'!$B$38=2,"",hystere!C78)</f>
        <v/>
      </c>
      <c r="AC78" s="17" t="str">
        <f>IF('inflation, income and interest'!$B$38=2,"",hystere!O78/100)</f>
        <v/>
      </c>
      <c r="AD78" s="17" t="str">
        <f>IF('inflation, income and interest'!$B$38=2,"",hystere!N78/100)</f>
        <v/>
      </c>
    </row>
    <row r="79" spans="1:30" ht="14" thickTop="1" thickBot="1">
      <c r="A79" s="15">
        <v>76</v>
      </c>
      <c r="B79" s="17">
        <f ca="1">('normal case'!D78-'normal case'!B78)/'normal case'!B78</f>
        <v>5.9014499777614481E-10</v>
      </c>
      <c r="C79" s="23">
        <f ca="1">'normal case'!D78</f>
        <v>101.00000005960464</v>
      </c>
      <c r="D79" s="24">
        <f ca="1">'normal case'!C78</f>
        <v>-1.5107707374006907E-7</v>
      </c>
      <c r="E79" s="22">
        <f ca="1">'normal case'!L78/100</f>
        <v>1.9999998807907104E-2</v>
      </c>
      <c r="F79" s="25">
        <f ca="1">'normal case'!U78/100</f>
        <v>5.499999850988388E-2</v>
      </c>
      <c r="G79" s="25">
        <f ca="1">'normal case'!T78/100</f>
        <v>3.4999999701976779E-2</v>
      </c>
      <c r="H79" s="25">
        <f ca="1">'public finance'!D77</f>
        <v>1.9802129779314939E-3</v>
      </c>
      <c r="I79" s="20">
        <f ca="1">'public finance'!E77</f>
        <v>2.3515985201500163E-2</v>
      </c>
      <c r="J79" s="118">
        <f ca="1">'public finance'!H77</f>
        <v>-0.61530778305556222</v>
      </c>
      <c r="K79" s="17">
        <f ca="1">'public finance'!C77/'normal case'!D78</f>
        <v>0.19801980186333762</v>
      </c>
      <c r="L79" s="20">
        <f ca="1">'public finance'!A77/'normal case'!D78</f>
        <v>0.2</v>
      </c>
      <c r="M79" s="18" t="str">
        <f>IF(controls!$B$44=0,"",'normal case'!AJ78)</f>
        <v/>
      </c>
      <c r="N79" s="18" t="str">
        <f>IF(controls!$B$44=0,"",'normal case'!AM78)</f>
        <v/>
      </c>
      <c r="O79" s="160" t="str">
        <f>IF(controls!$B$44=0,"",'external balance'!D78)</f>
        <v/>
      </c>
      <c r="P79" s="160" t="str">
        <f>IF(controls!$B$44=0,"",'external balance'!F78)</f>
        <v/>
      </c>
      <c r="Q79" s="159" t="str">
        <f>IF(controls!$B$44=0,"",'external balance'!H78)</f>
        <v/>
      </c>
      <c r="R79" s="158" t="str">
        <f>IF('inflation, income and interest'!$A$38=2,"",'delay in perception'!K79/100)</f>
        <v/>
      </c>
      <c r="S79" s="17" t="str">
        <f>IF('inflation, income and interest'!$A$38=2,"",('delay in perception'!E79-'delay in perception'!C79)/'delay in perception'!C79)</f>
        <v/>
      </c>
      <c r="T79" s="17" t="str">
        <f>IF('inflation, income and interest'!$A$38=2,"",('delay in perception'!E79-'delay in perception'!B79)/'delay in perception'!B79)</f>
        <v/>
      </c>
      <c r="U79" s="18" t="str">
        <f>IF('inflation, income and interest'!$A$38=2,"",'delay in perception'!E79)</f>
        <v/>
      </c>
      <c r="V79" s="24" t="str">
        <f>IF('inflation, income and interest'!$A$38=2,"",'delay in perception'!D79)</f>
        <v/>
      </c>
      <c r="W79" s="25" t="str">
        <f>IF('inflation, income and interest'!$A$38=2,"",'delay in perception'!M79/100)</f>
        <v/>
      </c>
      <c r="X79" s="21" t="str">
        <f>IF('inflation, income and interest'!$A$38=2,"",'delay in perception'!L79/100)</f>
        <v/>
      </c>
      <c r="Y79" s="158" t="str">
        <f>IF('inflation, income and interest'!$B$38=2,"",(hystere!E79-hystere!B79)/hystere!B79)</f>
        <v/>
      </c>
      <c r="Z79" s="396" t="str">
        <f>IF('inflation, income and interest'!$B$38=2,"",hystere!M79/100)</f>
        <v/>
      </c>
      <c r="AA79" s="18" t="str">
        <f>IF('inflation, income and interest'!$B$38=2,"",hystere!E79)</f>
        <v/>
      </c>
      <c r="AB79" s="24" t="str">
        <f>IF('inflation, income and interest'!$B$38=2,"",hystere!C79)</f>
        <v/>
      </c>
      <c r="AC79" s="17" t="str">
        <f>IF('inflation, income and interest'!$B$38=2,"",hystere!O79/100)</f>
        <v/>
      </c>
      <c r="AD79" s="17" t="str">
        <f>IF('inflation, income and interest'!$B$38=2,"",hystere!N79/100)</f>
        <v/>
      </c>
    </row>
    <row r="80" spans="1:30" ht="14" thickTop="1" thickBot="1">
      <c r="A80" s="15">
        <v>77</v>
      </c>
      <c r="B80" s="17">
        <f ca="1">('normal case'!D79-'normal case'!B79)/'normal case'!B79</f>
        <v>5.9014499777614481E-10</v>
      </c>
      <c r="C80" s="23">
        <f ca="1">'normal case'!D79</f>
        <v>101.00000005960464</v>
      </c>
      <c r="D80" s="24">
        <f ca="1">'normal case'!C79</f>
        <v>-1.5107707374006907E-7</v>
      </c>
      <c r="E80" s="22">
        <f ca="1">'normal case'!L79/100</f>
        <v>1.9999998807907104E-2</v>
      </c>
      <c r="F80" s="25">
        <f ca="1">'normal case'!U79/100</f>
        <v>5.499999850988388E-2</v>
      </c>
      <c r="G80" s="25">
        <f ca="1">'normal case'!T79/100</f>
        <v>3.4999999701976779E-2</v>
      </c>
      <c r="H80" s="25">
        <f ca="1">'public finance'!D78</f>
        <v>1.9802129779314939E-3</v>
      </c>
      <c r="I80" s="20">
        <f ca="1">'public finance'!E78</f>
        <v>2.4339044157099948E-2</v>
      </c>
      <c r="J80" s="118">
        <f ca="1">'public finance'!H78</f>
        <v>-0.63882375341579334</v>
      </c>
      <c r="K80" s="17">
        <f ca="1">'public finance'!C78/'normal case'!D79</f>
        <v>0.19801980186333762</v>
      </c>
      <c r="L80" s="20">
        <f ca="1">'public finance'!A78/'normal case'!D79</f>
        <v>0.2</v>
      </c>
      <c r="M80" s="18" t="str">
        <f>IF(controls!$B$44=0,"",'normal case'!AJ79)</f>
        <v/>
      </c>
      <c r="N80" s="18" t="str">
        <f>IF(controls!$B$44=0,"",'normal case'!AM79)</f>
        <v/>
      </c>
      <c r="O80" s="160" t="str">
        <f>IF(controls!$B$44=0,"",'external balance'!D79)</f>
        <v/>
      </c>
      <c r="P80" s="160" t="str">
        <f>IF(controls!$B$44=0,"",'external balance'!F79)</f>
        <v/>
      </c>
      <c r="Q80" s="159" t="str">
        <f>IF(controls!$B$44=0,"",'external balance'!H79)</f>
        <v/>
      </c>
      <c r="R80" s="158" t="str">
        <f>IF('inflation, income and interest'!$A$38=2,"",'delay in perception'!K80/100)</f>
        <v/>
      </c>
      <c r="S80" s="17" t="str">
        <f>IF('inflation, income and interest'!$A$38=2,"",('delay in perception'!E80-'delay in perception'!C80)/'delay in perception'!C80)</f>
        <v/>
      </c>
      <c r="T80" s="17" t="str">
        <f>IF('inflation, income and interest'!$A$38=2,"",('delay in perception'!E80-'delay in perception'!B80)/'delay in perception'!B80)</f>
        <v/>
      </c>
      <c r="U80" s="18" t="str">
        <f>IF('inflation, income and interest'!$A$38=2,"",'delay in perception'!E80)</f>
        <v/>
      </c>
      <c r="V80" s="24" t="str">
        <f>IF('inflation, income and interest'!$A$38=2,"",'delay in perception'!D80)</f>
        <v/>
      </c>
      <c r="W80" s="25" t="str">
        <f>IF('inflation, income and interest'!$A$38=2,"",'delay in perception'!M80/100)</f>
        <v/>
      </c>
      <c r="X80" s="21" t="str">
        <f>IF('inflation, income and interest'!$A$38=2,"",'delay in perception'!L80/100)</f>
        <v/>
      </c>
      <c r="Y80" s="158" t="str">
        <f>IF('inflation, income and interest'!$B$38=2,"",(hystere!E80-hystere!B80)/hystere!B80)</f>
        <v/>
      </c>
      <c r="Z80" s="396" t="str">
        <f>IF('inflation, income and interest'!$B$38=2,"",hystere!M80/100)</f>
        <v/>
      </c>
      <c r="AA80" s="18" t="str">
        <f>IF('inflation, income and interest'!$B$38=2,"",hystere!E80)</f>
        <v/>
      </c>
      <c r="AB80" s="24" t="str">
        <f>IF('inflation, income and interest'!$B$38=2,"",hystere!C80)</f>
        <v/>
      </c>
      <c r="AC80" s="17" t="str">
        <f>IF('inflation, income and interest'!$B$38=2,"",hystere!O80/100)</f>
        <v/>
      </c>
      <c r="AD80" s="17" t="str">
        <f>IF('inflation, income and interest'!$B$38=2,"",hystere!N80/100)</f>
        <v/>
      </c>
    </row>
    <row r="81" spans="1:30" ht="14" thickTop="1" thickBot="1">
      <c r="A81" s="15">
        <v>78</v>
      </c>
      <c r="B81" s="17">
        <f ca="1">('normal case'!D80-'normal case'!B80)/'normal case'!B80</f>
        <v>5.9014499777614481E-10</v>
      </c>
      <c r="C81" s="23">
        <f ca="1">'normal case'!D80</f>
        <v>101.00000005960464</v>
      </c>
      <c r="D81" s="24">
        <f ca="1">'normal case'!C80</f>
        <v>-1.5107707374006907E-7</v>
      </c>
      <c r="E81" s="22">
        <f ca="1">'normal case'!L80/100</f>
        <v>1.9999998807907104E-2</v>
      </c>
      <c r="F81" s="25">
        <f ca="1">'normal case'!U80/100</f>
        <v>5.499999850988388E-2</v>
      </c>
      <c r="G81" s="25">
        <f ca="1">'normal case'!T80/100</f>
        <v>3.4999999701976779E-2</v>
      </c>
      <c r="H81" s="25">
        <f ca="1">'public finance'!D79</f>
        <v>1.9802129779314939E-3</v>
      </c>
      <c r="I81" s="20">
        <f ca="1">'public finance'!E79</f>
        <v>2.519091017590043E-2</v>
      </c>
      <c r="J81" s="118">
        <f ca="1">'public finance'!H79</f>
        <v>-0.6631627827316241</v>
      </c>
      <c r="K81" s="17">
        <f ca="1">'public finance'!C79/'normal case'!D80</f>
        <v>0.19801980186333762</v>
      </c>
      <c r="L81" s="20">
        <f ca="1">'public finance'!A79/'normal case'!D80</f>
        <v>0.2</v>
      </c>
      <c r="M81" s="18" t="str">
        <f>IF(controls!$B$44=0,"",'normal case'!AJ80)</f>
        <v/>
      </c>
      <c r="N81" s="18" t="str">
        <f>IF(controls!$B$44=0,"",'normal case'!AM80)</f>
        <v/>
      </c>
      <c r="O81" s="160" t="str">
        <f>IF(controls!$B$44=0,"",'external balance'!D80)</f>
        <v/>
      </c>
      <c r="P81" s="160" t="str">
        <f>IF(controls!$B$44=0,"",'external balance'!F80)</f>
        <v/>
      </c>
      <c r="Q81" s="159" t="str">
        <f>IF(controls!$B$44=0,"",'external balance'!H80)</f>
        <v/>
      </c>
      <c r="R81" s="158" t="str">
        <f>IF('inflation, income and interest'!$A$38=2,"",'delay in perception'!K81/100)</f>
        <v/>
      </c>
      <c r="S81" s="17" t="str">
        <f>IF('inflation, income and interest'!$A$38=2,"",('delay in perception'!E81-'delay in perception'!C81)/'delay in perception'!C81)</f>
        <v/>
      </c>
      <c r="T81" s="17" t="str">
        <f>IF('inflation, income and interest'!$A$38=2,"",('delay in perception'!E81-'delay in perception'!B81)/'delay in perception'!B81)</f>
        <v/>
      </c>
      <c r="U81" s="18" t="str">
        <f>IF('inflation, income and interest'!$A$38=2,"",'delay in perception'!E81)</f>
        <v/>
      </c>
      <c r="V81" s="24" t="str">
        <f>IF('inflation, income and interest'!$A$38=2,"",'delay in perception'!D81)</f>
        <v/>
      </c>
      <c r="W81" s="25" t="str">
        <f>IF('inflation, income and interest'!$A$38=2,"",'delay in perception'!M81/100)</f>
        <v/>
      </c>
      <c r="X81" s="21" t="str">
        <f>IF('inflation, income and interest'!$A$38=2,"",'delay in perception'!L81/100)</f>
        <v/>
      </c>
      <c r="Y81" s="158" t="str">
        <f>IF('inflation, income and interest'!$B$38=2,"",(hystere!E81-hystere!B81)/hystere!B81)</f>
        <v/>
      </c>
      <c r="Z81" s="396" t="str">
        <f>IF('inflation, income and interest'!$B$38=2,"",hystere!M81/100)</f>
        <v/>
      </c>
      <c r="AA81" s="18" t="str">
        <f>IF('inflation, income and interest'!$B$38=2,"",hystere!E81)</f>
        <v/>
      </c>
      <c r="AB81" s="24" t="str">
        <f>IF('inflation, income and interest'!$B$38=2,"",hystere!C81)</f>
        <v/>
      </c>
      <c r="AC81" s="17" t="str">
        <f>IF('inflation, income and interest'!$B$38=2,"",hystere!O81/100)</f>
        <v/>
      </c>
      <c r="AD81" s="17" t="str">
        <f>IF('inflation, income and interest'!$B$38=2,"",hystere!N81/100)</f>
        <v/>
      </c>
    </row>
    <row r="82" spans="1:30" ht="14" thickTop="1" thickBot="1">
      <c r="A82" s="15">
        <v>79</v>
      </c>
      <c r="B82" s="17">
        <f ca="1">('normal case'!D81-'normal case'!B81)/'normal case'!B81</f>
        <v>5.9014499777614481E-10</v>
      </c>
      <c r="C82" s="23">
        <f ca="1">'normal case'!D81</f>
        <v>101.00000005960464</v>
      </c>
      <c r="D82" s="24">
        <f ca="1">'normal case'!C81</f>
        <v>-1.5107707374006907E-7</v>
      </c>
      <c r="E82" s="22">
        <f ca="1">'normal case'!L81/100</f>
        <v>1.9999998807907104E-2</v>
      </c>
      <c r="F82" s="25">
        <f ca="1">'normal case'!U81/100</f>
        <v>5.499999850988388E-2</v>
      </c>
      <c r="G82" s="25">
        <f ca="1">'normal case'!T81/100</f>
        <v>3.4999999701976779E-2</v>
      </c>
      <c r="H82" s="25">
        <f ca="1">'public finance'!D80</f>
        <v>1.9802129779314939E-3</v>
      </c>
      <c r="I82" s="20">
        <f ca="1">'public finance'!E80</f>
        <v>2.6072591505105058E-2</v>
      </c>
      <c r="J82" s="118">
        <f ca="1">'public finance'!H80</f>
        <v>-0.68835367806625558</v>
      </c>
      <c r="K82" s="17">
        <f ca="1">'public finance'!C80/'normal case'!D81</f>
        <v>0.19801980186333762</v>
      </c>
      <c r="L82" s="20">
        <f ca="1">'public finance'!A80/'normal case'!D81</f>
        <v>0.2</v>
      </c>
      <c r="M82" s="18" t="str">
        <f>IF(controls!$B$44=0,"",'normal case'!AJ81)</f>
        <v/>
      </c>
      <c r="N82" s="18" t="str">
        <f>IF(controls!$B$44=0,"",'normal case'!AM81)</f>
        <v/>
      </c>
      <c r="O82" s="160" t="str">
        <f>IF(controls!$B$44=0,"",'external balance'!D81)</f>
        <v/>
      </c>
      <c r="P82" s="160" t="str">
        <f>IF(controls!$B$44=0,"",'external balance'!F81)</f>
        <v/>
      </c>
      <c r="Q82" s="159" t="str">
        <f>IF(controls!$B$44=0,"",'external balance'!H81)</f>
        <v/>
      </c>
      <c r="R82" s="158" t="str">
        <f>IF('inflation, income and interest'!$A$38=2,"",'delay in perception'!K82/100)</f>
        <v/>
      </c>
      <c r="S82" s="17" t="str">
        <f>IF('inflation, income and interest'!$A$38=2,"",('delay in perception'!E82-'delay in perception'!C82)/'delay in perception'!C82)</f>
        <v/>
      </c>
      <c r="T82" s="17" t="str">
        <f>IF('inflation, income and interest'!$A$38=2,"",('delay in perception'!E82-'delay in perception'!B82)/'delay in perception'!B82)</f>
        <v/>
      </c>
      <c r="U82" s="18" t="str">
        <f>IF('inflation, income and interest'!$A$38=2,"",'delay in perception'!E82)</f>
        <v/>
      </c>
      <c r="V82" s="24" t="str">
        <f>IF('inflation, income and interest'!$A$38=2,"",'delay in perception'!D82)</f>
        <v/>
      </c>
      <c r="W82" s="25" t="str">
        <f>IF('inflation, income and interest'!$A$38=2,"",'delay in perception'!M82/100)</f>
        <v/>
      </c>
      <c r="X82" s="21" t="str">
        <f>IF('inflation, income and interest'!$A$38=2,"",'delay in perception'!L82/100)</f>
        <v/>
      </c>
      <c r="Y82" s="158" t="str">
        <f>IF('inflation, income and interest'!$B$38=2,"",(hystere!E82-hystere!B82)/hystere!B82)</f>
        <v/>
      </c>
      <c r="Z82" s="396" t="str">
        <f>IF('inflation, income and interest'!$B$38=2,"",hystere!M82/100)</f>
        <v/>
      </c>
      <c r="AA82" s="18" t="str">
        <f>IF('inflation, income and interest'!$B$38=2,"",hystere!E82)</f>
        <v/>
      </c>
      <c r="AB82" s="24" t="str">
        <f>IF('inflation, income and interest'!$B$38=2,"",hystere!C82)</f>
        <v/>
      </c>
      <c r="AC82" s="17" t="str">
        <f>IF('inflation, income and interest'!$B$38=2,"",hystere!O82/100)</f>
        <v/>
      </c>
      <c r="AD82" s="17" t="str">
        <f>IF('inflation, income and interest'!$B$38=2,"",hystere!N82/100)</f>
        <v/>
      </c>
    </row>
    <row r="83" spans="1:30" ht="14" thickTop="1" thickBot="1">
      <c r="A83" s="15">
        <v>80</v>
      </c>
      <c r="B83" s="17">
        <f ca="1">('normal case'!D82-'normal case'!B82)/'normal case'!B82</f>
        <v>5.9014499777614481E-10</v>
      </c>
      <c r="C83" s="23">
        <f ca="1">'normal case'!D82</f>
        <v>101.00000005960464</v>
      </c>
      <c r="D83" s="24">
        <f ca="1">'normal case'!C82</f>
        <v>-1.5107707374006907E-7</v>
      </c>
      <c r="E83" s="22">
        <f ca="1">'normal case'!L82/100</f>
        <v>1.9999998807907104E-2</v>
      </c>
      <c r="F83" s="25">
        <f ca="1">'normal case'!U82/100</f>
        <v>5.499999850988388E-2</v>
      </c>
      <c r="G83" s="25">
        <f ca="1">'normal case'!T82/100</f>
        <v>3.4999999701976779E-2</v>
      </c>
      <c r="H83" s="25">
        <f ca="1">'public finance'!D81</f>
        <v>1.9802129779314939E-3</v>
      </c>
      <c r="I83" s="20">
        <f ca="1">'public finance'!E81</f>
        <v>2.6985131680569083E-2</v>
      </c>
      <c r="J83" s="118">
        <f ca="1">'public finance'!H81</f>
        <v>-0.71442625473009158</v>
      </c>
      <c r="K83" s="17">
        <f ca="1">'public finance'!C81/'normal case'!D82</f>
        <v>0.19801980186333762</v>
      </c>
      <c r="L83" s="20">
        <f ca="1">'public finance'!A81/'normal case'!D82</f>
        <v>0.2</v>
      </c>
      <c r="M83" s="18" t="str">
        <f>IF(controls!$B$44=0,"",'normal case'!AJ82)</f>
        <v/>
      </c>
      <c r="N83" s="18" t="str">
        <f>IF(controls!$B$44=0,"",'normal case'!AM82)</f>
        <v/>
      </c>
      <c r="O83" s="160" t="str">
        <f>IF(controls!$B$44=0,"",'external balance'!D82)</f>
        <v/>
      </c>
      <c r="P83" s="160" t="str">
        <f>IF(controls!$B$44=0,"",'external balance'!F82)</f>
        <v/>
      </c>
      <c r="Q83" s="159" t="str">
        <f>IF(controls!$B$44=0,"",'external balance'!H82)</f>
        <v/>
      </c>
      <c r="R83" s="158" t="str">
        <f>IF('inflation, income and interest'!$A$38=2,"",'delay in perception'!K83/100)</f>
        <v/>
      </c>
      <c r="S83" s="17" t="str">
        <f>IF('inflation, income and interest'!$A$38=2,"",('delay in perception'!E83-'delay in perception'!C83)/'delay in perception'!C83)</f>
        <v/>
      </c>
      <c r="T83" s="17" t="str">
        <f>IF('inflation, income and interest'!$A$38=2,"",('delay in perception'!E83-'delay in perception'!B83)/'delay in perception'!B83)</f>
        <v/>
      </c>
      <c r="U83" s="18" t="str">
        <f>IF('inflation, income and interest'!$A$38=2,"",'delay in perception'!E83)</f>
        <v/>
      </c>
      <c r="V83" s="24" t="str">
        <f>IF('inflation, income and interest'!$A$38=2,"",'delay in perception'!D83)</f>
        <v/>
      </c>
      <c r="W83" s="25" t="str">
        <f>IF('inflation, income and interest'!$A$38=2,"",'delay in perception'!M83/100)</f>
        <v/>
      </c>
      <c r="X83" s="21" t="str">
        <f>IF('inflation, income and interest'!$A$38=2,"",'delay in perception'!L83/100)</f>
        <v/>
      </c>
      <c r="Y83" s="158" t="str">
        <f>IF('inflation, income and interest'!$B$38=2,"",(hystere!E83-hystere!B83)/hystere!B83)</f>
        <v/>
      </c>
      <c r="Z83" s="396" t="str">
        <f>IF('inflation, income and interest'!$B$38=2,"",hystere!M83/100)</f>
        <v/>
      </c>
      <c r="AA83" s="18" t="str">
        <f>IF('inflation, income and interest'!$B$38=2,"",hystere!E83)</f>
        <v/>
      </c>
      <c r="AB83" s="24" t="str">
        <f>IF('inflation, income and interest'!$B$38=2,"",hystere!C83)</f>
        <v/>
      </c>
      <c r="AC83" s="17" t="str">
        <f>IF('inflation, income and interest'!$B$38=2,"",hystere!O83/100)</f>
        <v/>
      </c>
      <c r="AD83" s="17" t="str">
        <f>IF('inflation, income and interest'!$B$38=2,"",hystere!N83/100)</f>
        <v/>
      </c>
    </row>
    <row r="84" spans="1:30" ht="14" thickTop="1" thickBot="1">
      <c r="A84" s="15">
        <v>81</v>
      </c>
      <c r="B84" s="17">
        <f ca="1">('normal case'!D83-'normal case'!B83)/'normal case'!B83</f>
        <v>5.9014499777614481E-10</v>
      </c>
      <c r="C84" s="23">
        <f ca="1">'normal case'!D83</f>
        <v>101.00000005960464</v>
      </c>
      <c r="D84" s="24">
        <f ca="1">'normal case'!C83</f>
        <v>-1.5107707374006907E-7</v>
      </c>
      <c r="E84" s="22">
        <f ca="1">'normal case'!L83/100</f>
        <v>1.9999998807907104E-2</v>
      </c>
      <c r="F84" s="25">
        <f ca="1">'normal case'!U83/100</f>
        <v>5.499999850988388E-2</v>
      </c>
      <c r="G84" s="25">
        <f ca="1">'normal case'!T83/100</f>
        <v>3.4999999701976779E-2</v>
      </c>
      <c r="H84" s="25">
        <f ca="1">'public finance'!D82</f>
        <v>1.9802129779314939E-3</v>
      </c>
      <c r="I84" s="20">
        <f ca="1">'public finance'!E82</f>
        <v>2.7929610761902392E-2</v>
      </c>
      <c r="J84" s="118">
        <f ca="1">'public finance'!H82</f>
        <v>-0.74141137156939152</v>
      </c>
      <c r="K84" s="17">
        <f ca="1">'public finance'!C82/'normal case'!D83</f>
        <v>0.19801980186333762</v>
      </c>
      <c r="L84" s="20">
        <f ca="1">'public finance'!A82/'normal case'!D83</f>
        <v>0.2</v>
      </c>
      <c r="M84" s="18" t="str">
        <f>IF(controls!$B$44=0,"",'normal case'!AJ83)</f>
        <v/>
      </c>
      <c r="N84" s="18" t="str">
        <f>IF(controls!$B$44=0,"",'normal case'!AM83)</f>
        <v/>
      </c>
      <c r="O84" s="160" t="str">
        <f>IF(controls!$B$44=0,"",'external balance'!D83)</f>
        <v/>
      </c>
      <c r="P84" s="160" t="str">
        <f>IF(controls!$B$44=0,"",'external balance'!F83)</f>
        <v/>
      </c>
      <c r="Q84" s="159" t="str">
        <f>IF(controls!$B$44=0,"",'external balance'!H83)</f>
        <v/>
      </c>
      <c r="R84" s="158" t="str">
        <f>IF('inflation, income and interest'!$A$38=2,"",'delay in perception'!K84/100)</f>
        <v/>
      </c>
      <c r="S84" s="17" t="str">
        <f>IF('inflation, income and interest'!$A$38=2,"",('delay in perception'!E84-'delay in perception'!C84)/'delay in perception'!C84)</f>
        <v/>
      </c>
      <c r="T84" s="17" t="str">
        <f>IF('inflation, income and interest'!$A$38=2,"",('delay in perception'!E84-'delay in perception'!B84)/'delay in perception'!B84)</f>
        <v/>
      </c>
      <c r="U84" s="18" t="str">
        <f>IF('inflation, income and interest'!$A$38=2,"",'delay in perception'!E84)</f>
        <v/>
      </c>
      <c r="V84" s="24" t="str">
        <f>IF('inflation, income and interest'!$A$38=2,"",'delay in perception'!D84)</f>
        <v/>
      </c>
      <c r="W84" s="25" t="str">
        <f>IF('inflation, income and interest'!$A$38=2,"",'delay in perception'!M84/100)</f>
        <v/>
      </c>
      <c r="X84" s="21" t="str">
        <f>IF('inflation, income and interest'!$A$38=2,"",'delay in perception'!L84/100)</f>
        <v/>
      </c>
      <c r="Y84" s="158" t="str">
        <f>IF('inflation, income and interest'!$B$38=2,"",(hystere!E84-hystere!B84)/hystere!B84)</f>
        <v/>
      </c>
      <c r="Z84" s="396" t="str">
        <f>IF('inflation, income and interest'!$B$38=2,"",hystere!M84/100)</f>
        <v/>
      </c>
      <c r="AA84" s="18" t="str">
        <f>IF('inflation, income and interest'!$B$38=2,"",hystere!E84)</f>
        <v/>
      </c>
      <c r="AB84" s="24" t="str">
        <f>IF('inflation, income and interest'!$B$38=2,"",hystere!C84)</f>
        <v/>
      </c>
      <c r="AC84" s="17" t="str">
        <f>IF('inflation, income and interest'!$B$38=2,"",hystere!O84/100)</f>
        <v/>
      </c>
      <c r="AD84" s="17" t="str">
        <f>IF('inflation, income and interest'!$B$38=2,"",hystere!N84/100)</f>
        <v/>
      </c>
    </row>
    <row r="85" spans="1:30" ht="14" thickTop="1" thickBot="1">
      <c r="A85" s="15">
        <v>82</v>
      </c>
      <c r="B85" s="17">
        <f ca="1">('normal case'!D84-'normal case'!B84)/'normal case'!B84</f>
        <v>5.9014499777614481E-10</v>
      </c>
      <c r="C85" s="23">
        <f ca="1">'normal case'!D84</f>
        <v>101.00000005960464</v>
      </c>
      <c r="D85" s="24">
        <f ca="1">'normal case'!C84</f>
        <v>-1.5107707374006907E-7</v>
      </c>
      <c r="E85" s="22">
        <f ca="1">'normal case'!L84/100</f>
        <v>1.9999998807907104E-2</v>
      </c>
      <c r="F85" s="25">
        <f ca="1">'normal case'!U84/100</f>
        <v>5.499999850988388E-2</v>
      </c>
      <c r="G85" s="25">
        <f ca="1">'normal case'!T84/100</f>
        <v>3.4999999701976779E-2</v>
      </c>
      <c r="H85" s="25">
        <f ca="1">'public finance'!D83</f>
        <v>1.9802129779314939E-3</v>
      </c>
      <c r="I85" s="20">
        <f ca="1">'public finance'!E83</f>
        <v>2.8907146610800887E-2</v>
      </c>
      <c r="J85" s="118">
        <f ca="1">'public finance'!H83</f>
        <v>-0.76934096749002479</v>
      </c>
      <c r="K85" s="17">
        <f ca="1">'public finance'!C83/'normal case'!D84</f>
        <v>0.19801980186333762</v>
      </c>
      <c r="L85" s="20">
        <f ca="1">'public finance'!A83/'normal case'!D84</f>
        <v>0.2</v>
      </c>
      <c r="M85" s="18" t="str">
        <f>IF(controls!$B$44=0,"",'normal case'!AJ84)</f>
        <v/>
      </c>
      <c r="N85" s="18" t="str">
        <f>IF(controls!$B$44=0,"",'normal case'!AM84)</f>
        <v/>
      </c>
      <c r="O85" s="160" t="str">
        <f>IF(controls!$B$44=0,"",'external balance'!D84)</f>
        <v/>
      </c>
      <c r="P85" s="160" t="str">
        <f>IF(controls!$B$44=0,"",'external balance'!F84)</f>
        <v/>
      </c>
      <c r="Q85" s="159" t="str">
        <f>IF(controls!$B$44=0,"",'external balance'!H84)</f>
        <v/>
      </c>
      <c r="R85" s="158" t="str">
        <f>IF('inflation, income and interest'!$A$38=2,"",'delay in perception'!K85/100)</f>
        <v/>
      </c>
      <c r="S85" s="17" t="str">
        <f>IF('inflation, income and interest'!$A$38=2,"",('delay in perception'!E85-'delay in perception'!C85)/'delay in perception'!C85)</f>
        <v/>
      </c>
      <c r="T85" s="17" t="str">
        <f>IF('inflation, income and interest'!$A$38=2,"",('delay in perception'!E85-'delay in perception'!B85)/'delay in perception'!B85)</f>
        <v/>
      </c>
      <c r="U85" s="18" t="str">
        <f>IF('inflation, income and interest'!$A$38=2,"",'delay in perception'!E85)</f>
        <v/>
      </c>
      <c r="V85" s="24" t="str">
        <f>IF('inflation, income and interest'!$A$38=2,"",'delay in perception'!D85)</f>
        <v/>
      </c>
      <c r="W85" s="25" t="str">
        <f>IF('inflation, income and interest'!$A$38=2,"",'delay in perception'!M85/100)</f>
        <v/>
      </c>
      <c r="X85" s="21" t="str">
        <f>IF('inflation, income and interest'!$A$38=2,"",'delay in perception'!L85/100)</f>
        <v/>
      </c>
      <c r="Y85" s="158" t="str">
        <f>IF('inflation, income and interest'!$B$38=2,"",(hystere!E85-hystere!B85)/hystere!B85)</f>
        <v/>
      </c>
      <c r="Z85" s="396" t="str">
        <f>IF('inflation, income and interest'!$B$38=2,"",hystere!M85/100)</f>
        <v/>
      </c>
      <c r="AA85" s="18" t="str">
        <f>IF('inflation, income and interest'!$B$38=2,"",hystere!E85)</f>
        <v/>
      </c>
      <c r="AB85" s="24" t="str">
        <f>IF('inflation, income and interest'!$B$38=2,"",hystere!C85)</f>
        <v/>
      </c>
      <c r="AC85" s="17" t="str">
        <f>IF('inflation, income and interest'!$B$38=2,"",hystere!O85/100)</f>
        <v/>
      </c>
      <c r="AD85" s="17" t="str">
        <f>IF('inflation, income and interest'!$B$38=2,"",hystere!N85/100)</f>
        <v/>
      </c>
    </row>
    <row r="86" spans="1:30" ht="14" thickTop="1" thickBot="1">
      <c r="A86" s="15">
        <v>83</v>
      </c>
      <c r="B86" s="17">
        <f ca="1">('normal case'!D85-'normal case'!B85)/'normal case'!B85</f>
        <v>5.9014499777614481E-10</v>
      </c>
      <c r="C86" s="23">
        <f ca="1">'normal case'!D85</f>
        <v>101.00000005960464</v>
      </c>
      <c r="D86" s="24">
        <f ca="1">'normal case'!C85</f>
        <v>-1.5107707374006907E-7</v>
      </c>
      <c r="E86" s="22">
        <f ca="1">'normal case'!L85/100</f>
        <v>1.9999998807907104E-2</v>
      </c>
      <c r="F86" s="25">
        <f ca="1">'normal case'!U85/100</f>
        <v>5.499999850988388E-2</v>
      </c>
      <c r="G86" s="25">
        <f ca="1">'normal case'!T85/100</f>
        <v>3.4999999701976779E-2</v>
      </c>
      <c r="H86" s="25">
        <f ca="1">'public finance'!D84</f>
        <v>1.9802129779314939E-3</v>
      </c>
      <c r="I86" s="20">
        <f ca="1">'public finance'!E84</f>
        <v>2.9918896214119504E-2</v>
      </c>
      <c r="J86" s="118">
        <f ca="1">'public finance'!H84</f>
        <v>-0.79824809925955653</v>
      </c>
      <c r="K86" s="17">
        <f ca="1">'public finance'!C84/'normal case'!D85</f>
        <v>0.19801980186333762</v>
      </c>
      <c r="L86" s="20">
        <f ca="1">'public finance'!A84/'normal case'!D85</f>
        <v>0.2</v>
      </c>
      <c r="M86" s="18" t="str">
        <f>IF(controls!$B$44=0,"",'normal case'!AJ85)</f>
        <v/>
      </c>
      <c r="N86" s="18" t="str">
        <f>IF(controls!$B$44=0,"",'normal case'!AM85)</f>
        <v/>
      </c>
      <c r="O86" s="160" t="str">
        <f>IF(controls!$B$44=0,"",'external balance'!D85)</f>
        <v/>
      </c>
      <c r="P86" s="160" t="str">
        <f>IF(controls!$B$44=0,"",'external balance'!F85)</f>
        <v/>
      </c>
      <c r="Q86" s="159" t="str">
        <f>IF(controls!$B$44=0,"",'external balance'!H85)</f>
        <v/>
      </c>
      <c r="R86" s="158" t="str">
        <f>IF('inflation, income and interest'!$A$38=2,"",'delay in perception'!K86/100)</f>
        <v/>
      </c>
      <c r="S86" s="17" t="str">
        <f>IF('inflation, income and interest'!$A$38=2,"",('delay in perception'!E86-'delay in perception'!C86)/'delay in perception'!C86)</f>
        <v/>
      </c>
      <c r="T86" s="17" t="str">
        <f>IF('inflation, income and interest'!$A$38=2,"",('delay in perception'!E86-'delay in perception'!B86)/'delay in perception'!B86)</f>
        <v/>
      </c>
      <c r="U86" s="18" t="str">
        <f>IF('inflation, income and interest'!$A$38=2,"",'delay in perception'!E86)</f>
        <v/>
      </c>
      <c r="V86" s="24" t="str">
        <f>IF('inflation, income and interest'!$A$38=2,"",'delay in perception'!D86)</f>
        <v/>
      </c>
      <c r="W86" s="25" t="str">
        <f>IF('inflation, income and interest'!$A$38=2,"",'delay in perception'!M86/100)</f>
        <v/>
      </c>
      <c r="X86" s="21" t="str">
        <f>IF('inflation, income and interest'!$A$38=2,"",'delay in perception'!L86/100)</f>
        <v/>
      </c>
      <c r="Y86" s="158" t="str">
        <f>IF('inflation, income and interest'!$B$38=2,"",(hystere!E86-hystere!B86)/hystere!B86)</f>
        <v/>
      </c>
      <c r="Z86" s="396" t="str">
        <f>IF('inflation, income and interest'!$B$38=2,"",hystere!M86/100)</f>
        <v/>
      </c>
      <c r="AA86" s="18" t="str">
        <f>IF('inflation, income and interest'!$B$38=2,"",hystere!E86)</f>
        <v/>
      </c>
      <c r="AB86" s="24" t="str">
        <f>IF('inflation, income and interest'!$B$38=2,"",hystere!C86)</f>
        <v/>
      </c>
      <c r="AC86" s="17" t="str">
        <f>IF('inflation, income and interest'!$B$38=2,"",hystere!O86/100)</f>
        <v/>
      </c>
      <c r="AD86" s="17" t="str">
        <f>IF('inflation, income and interest'!$B$38=2,"",hystere!N86/100)</f>
        <v/>
      </c>
    </row>
    <row r="87" spans="1:30" ht="14" thickTop="1" thickBot="1">
      <c r="A87" s="15">
        <v>84</v>
      </c>
      <c r="B87" s="17">
        <f ca="1">('normal case'!D86-'normal case'!B86)/'normal case'!B86</f>
        <v>5.9014499777614481E-10</v>
      </c>
      <c r="C87" s="23">
        <f ca="1">'normal case'!D86</f>
        <v>101.00000005960464</v>
      </c>
      <c r="D87" s="24">
        <f ca="1">'normal case'!C86</f>
        <v>-1.5107707374006907E-7</v>
      </c>
      <c r="E87" s="22">
        <f ca="1">'normal case'!L86/100</f>
        <v>1.9999998807907104E-2</v>
      </c>
      <c r="F87" s="25">
        <f ca="1">'normal case'!U86/100</f>
        <v>5.499999850988388E-2</v>
      </c>
      <c r="G87" s="25">
        <f ca="1">'normal case'!T86/100</f>
        <v>3.4999999701976779E-2</v>
      </c>
      <c r="H87" s="25">
        <f ca="1">'public finance'!D85</f>
        <v>1.9802129779314939E-3</v>
      </c>
      <c r="I87" s="20">
        <f ca="1">'public finance'!E85</f>
        <v>3.0966057053252748E-2</v>
      </c>
      <c r="J87" s="118">
        <f ca="1">'public finance'!H85</f>
        <v>-0.82816698063240701</v>
      </c>
      <c r="K87" s="17">
        <f ca="1">'public finance'!C85/'normal case'!D86</f>
        <v>0.19801980186333762</v>
      </c>
      <c r="L87" s="20">
        <f ca="1">'public finance'!A85/'normal case'!D86</f>
        <v>0.2</v>
      </c>
      <c r="M87" s="18" t="str">
        <f>IF(controls!$B$44=0,"",'normal case'!AJ86)</f>
        <v/>
      </c>
      <c r="N87" s="18" t="str">
        <f>IF(controls!$B$44=0,"",'normal case'!AM86)</f>
        <v/>
      </c>
      <c r="O87" s="160" t="str">
        <f>IF(controls!$B$44=0,"",'external balance'!D86)</f>
        <v/>
      </c>
      <c r="P87" s="160" t="str">
        <f>IF(controls!$B$44=0,"",'external balance'!F86)</f>
        <v/>
      </c>
      <c r="Q87" s="159" t="str">
        <f>IF(controls!$B$44=0,"",'external balance'!H86)</f>
        <v/>
      </c>
      <c r="R87" s="158" t="str">
        <f>IF('inflation, income and interest'!$A$38=2,"",'delay in perception'!K87/100)</f>
        <v/>
      </c>
      <c r="S87" s="17" t="str">
        <f>IF('inflation, income and interest'!$A$38=2,"",('delay in perception'!E87-'delay in perception'!C87)/'delay in perception'!C87)</f>
        <v/>
      </c>
      <c r="T87" s="17" t="str">
        <f>IF('inflation, income and interest'!$A$38=2,"",('delay in perception'!E87-'delay in perception'!B87)/'delay in perception'!B87)</f>
        <v/>
      </c>
      <c r="U87" s="18" t="str">
        <f>IF('inflation, income and interest'!$A$38=2,"",'delay in perception'!E87)</f>
        <v/>
      </c>
      <c r="V87" s="24" t="str">
        <f>IF('inflation, income and interest'!$A$38=2,"",'delay in perception'!D87)</f>
        <v/>
      </c>
      <c r="W87" s="25" t="str">
        <f>IF('inflation, income and interest'!$A$38=2,"",'delay in perception'!M87/100)</f>
        <v/>
      </c>
      <c r="X87" s="21" t="str">
        <f>IF('inflation, income and interest'!$A$38=2,"",'delay in perception'!L87/100)</f>
        <v/>
      </c>
      <c r="Y87" s="158" t="str">
        <f>IF('inflation, income and interest'!$B$38=2,"",(hystere!E87-hystere!B87)/hystere!B87)</f>
        <v/>
      </c>
      <c r="Z87" s="396" t="str">
        <f>IF('inflation, income and interest'!$B$38=2,"",hystere!M87/100)</f>
        <v/>
      </c>
      <c r="AA87" s="18" t="str">
        <f>IF('inflation, income and interest'!$B$38=2,"",hystere!E87)</f>
        <v/>
      </c>
      <c r="AB87" s="24" t="str">
        <f>IF('inflation, income and interest'!$B$38=2,"",hystere!C87)</f>
        <v/>
      </c>
      <c r="AC87" s="17" t="str">
        <f>IF('inflation, income and interest'!$B$38=2,"",hystere!O87/100)</f>
        <v/>
      </c>
      <c r="AD87" s="17" t="str">
        <f>IF('inflation, income and interest'!$B$38=2,"",hystere!N87/100)</f>
        <v/>
      </c>
    </row>
    <row r="88" spans="1:30" ht="14" thickTop="1" thickBot="1">
      <c r="A88" s="15">
        <v>85</v>
      </c>
      <c r="B88" s="17">
        <f ca="1">('normal case'!D87-'normal case'!B87)/'normal case'!B87</f>
        <v>5.9014499777614481E-10</v>
      </c>
      <c r="C88" s="23">
        <f ca="1">'normal case'!D87</f>
        <v>101.00000005960464</v>
      </c>
      <c r="D88" s="24">
        <f ca="1">'normal case'!C87</f>
        <v>-1.5107707374006907E-7</v>
      </c>
      <c r="E88" s="22">
        <f ca="1">'normal case'!L87/100</f>
        <v>1.9999998807907104E-2</v>
      </c>
      <c r="F88" s="25">
        <f ca="1">'normal case'!U87/100</f>
        <v>5.499999850988388E-2</v>
      </c>
      <c r="G88" s="25">
        <f ca="1">'normal case'!T87/100</f>
        <v>3.4999999701976779E-2</v>
      </c>
      <c r="H88" s="25">
        <f ca="1">'public finance'!D86</f>
        <v>1.9802129779314939E-3</v>
      </c>
      <c r="I88" s="20">
        <f ca="1">'public finance'!E86</f>
        <v>3.2049868521443578E-2</v>
      </c>
      <c r="J88" s="118">
        <f ca="1">'public finance'!H86</f>
        <v>-0.85913302284439064</v>
      </c>
      <c r="K88" s="17">
        <f ca="1">'public finance'!C86/'normal case'!D87</f>
        <v>0.19801980186333762</v>
      </c>
      <c r="L88" s="20">
        <f ca="1">'public finance'!A86/'normal case'!D87</f>
        <v>0.2</v>
      </c>
      <c r="M88" s="18" t="str">
        <f>IF(controls!$B$44=0,"",'normal case'!AJ87)</f>
        <v/>
      </c>
      <c r="N88" s="18" t="str">
        <f>IF(controls!$B$44=0,"",'normal case'!AM87)</f>
        <v/>
      </c>
      <c r="O88" s="160" t="str">
        <f>IF(controls!$B$44=0,"",'external balance'!D87)</f>
        <v/>
      </c>
      <c r="P88" s="160" t="str">
        <f>IF(controls!$B$44=0,"",'external balance'!F87)</f>
        <v/>
      </c>
      <c r="Q88" s="159" t="str">
        <f>IF(controls!$B$44=0,"",'external balance'!H87)</f>
        <v/>
      </c>
      <c r="R88" s="158" t="str">
        <f>IF('inflation, income and interest'!$A$38=2,"",'delay in perception'!K88/100)</f>
        <v/>
      </c>
      <c r="S88" s="17" t="str">
        <f>IF('inflation, income and interest'!$A$38=2,"",('delay in perception'!E88-'delay in perception'!C88)/'delay in perception'!C88)</f>
        <v/>
      </c>
      <c r="T88" s="17" t="str">
        <f>IF('inflation, income and interest'!$A$38=2,"",('delay in perception'!E88-'delay in perception'!B88)/'delay in perception'!B88)</f>
        <v/>
      </c>
      <c r="U88" s="18" t="str">
        <f>IF('inflation, income and interest'!$A$38=2,"",'delay in perception'!E88)</f>
        <v/>
      </c>
      <c r="V88" s="24" t="str">
        <f>IF('inflation, income and interest'!$A$38=2,"",'delay in perception'!D88)</f>
        <v/>
      </c>
      <c r="W88" s="25" t="str">
        <f>IF('inflation, income and interest'!$A$38=2,"",'delay in perception'!M88/100)</f>
        <v/>
      </c>
      <c r="X88" s="21" t="str">
        <f>IF('inflation, income and interest'!$A$38=2,"",'delay in perception'!L88/100)</f>
        <v/>
      </c>
      <c r="Y88" s="158" t="str">
        <f>IF('inflation, income and interest'!$B$38=2,"",(hystere!E88-hystere!B88)/hystere!B88)</f>
        <v/>
      </c>
      <c r="Z88" s="396" t="str">
        <f>IF('inflation, income and interest'!$B$38=2,"",hystere!M88/100)</f>
        <v/>
      </c>
      <c r="AA88" s="18" t="str">
        <f>IF('inflation, income and interest'!$B$38=2,"",hystere!E88)</f>
        <v/>
      </c>
      <c r="AB88" s="24" t="str">
        <f>IF('inflation, income and interest'!$B$38=2,"",hystere!C88)</f>
        <v/>
      </c>
      <c r="AC88" s="17" t="str">
        <f>IF('inflation, income and interest'!$B$38=2,"",hystere!O88/100)</f>
        <v/>
      </c>
      <c r="AD88" s="17" t="str">
        <f>IF('inflation, income and interest'!$B$38=2,"",hystere!N88/100)</f>
        <v/>
      </c>
    </row>
    <row r="89" spans="1:30" ht="14" thickTop="1" thickBot="1">
      <c r="A89" s="15">
        <v>86</v>
      </c>
      <c r="B89" s="17">
        <f ca="1">('normal case'!D88-'normal case'!B88)/'normal case'!B88</f>
        <v>5.9014499777614481E-10</v>
      </c>
      <c r="C89" s="23">
        <f ca="1">'normal case'!D88</f>
        <v>101.00000005960464</v>
      </c>
      <c r="D89" s="24">
        <f ca="1">'normal case'!C88</f>
        <v>-1.5107707374006907E-7</v>
      </c>
      <c r="E89" s="22">
        <f ca="1">'normal case'!L88/100</f>
        <v>1.9999998807907104E-2</v>
      </c>
      <c r="F89" s="25">
        <f ca="1">'normal case'!U88/100</f>
        <v>5.499999850988388E-2</v>
      </c>
      <c r="G89" s="25">
        <f ca="1">'normal case'!T88/100</f>
        <v>3.4999999701976779E-2</v>
      </c>
      <c r="H89" s="25">
        <f ca="1">'public finance'!D87</f>
        <v>1.9802129779314939E-3</v>
      </c>
      <c r="I89" s="20">
        <f ca="1">'public finance'!E87</f>
        <v>3.3171613390698081E-2</v>
      </c>
      <c r="J89" s="118">
        <f ca="1">'public finance'!H87</f>
        <v>-0.89118287652456518</v>
      </c>
      <c r="K89" s="17">
        <f ca="1">'public finance'!C87/'normal case'!D88</f>
        <v>0.19801980186333762</v>
      </c>
      <c r="L89" s="20">
        <f ca="1">'public finance'!A87/'normal case'!D88</f>
        <v>0.2</v>
      </c>
      <c r="M89" s="18" t="str">
        <f>IF(controls!$B$44=0,"",'normal case'!AJ88)</f>
        <v/>
      </c>
      <c r="N89" s="18" t="str">
        <f>IF(controls!$B$44=0,"",'normal case'!AM88)</f>
        <v/>
      </c>
      <c r="O89" s="160" t="str">
        <f>IF(controls!$B$44=0,"",'external balance'!D88)</f>
        <v/>
      </c>
      <c r="P89" s="160" t="str">
        <f>IF(controls!$B$44=0,"",'external balance'!F88)</f>
        <v/>
      </c>
      <c r="Q89" s="159" t="str">
        <f>IF(controls!$B$44=0,"",'external balance'!H88)</f>
        <v/>
      </c>
      <c r="R89" s="158" t="str">
        <f>IF('inflation, income and interest'!$A$38=2,"",'delay in perception'!K89/100)</f>
        <v/>
      </c>
      <c r="S89" s="17" t="str">
        <f>IF('inflation, income and interest'!$A$38=2,"",('delay in perception'!E89-'delay in perception'!C89)/'delay in perception'!C89)</f>
        <v/>
      </c>
      <c r="T89" s="17" t="str">
        <f>IF('inflation, income and interest'!$A$38=2,"",('delay in perception'!E89-'delay in perception'!B89)/'delay in perception'!B89)</f>
        <v/>
      </c>
      <c r="U89" s="18" t="str">
        <f>IF('inflation, income and interest'!$A$38=2,"",'delay in perception'!E89)</f>
        <v/>
      </c>
      <c r="V89" s="24" t="str">
        <f>IF('inflation, income and interest'!$A$38=2,"",'delay in perception'!D89)</f>
        <v/>
      </c>
      <c r="W89" s="25" t="str">
        <f>IF('inflation, income and interest'!$A$38=2,"",'delay in perception'!M89/100)</f>
        <v/>
      </c>
      <c r="X89" s="21" t="str">
        <f>IF('inflation, income and interest'!$A$38=2,"",'delay in perception'!L89/100)</f>
        <v/>
      </c>
      <c r="Y89" s="158" t="str">
        <f>IF('inflation, income and interest'!$B$38=2,"",(hystere!E89-hystere!B89)/hystere!B89)</f>
        <v/>
      </c>
      <c r="Z89" s="396" t="str">
        <f>IF('inflation, income and interest'!$B$38=2,"",hystere!M89/100)</f>
        <v/>
      </c>
      <c r="AA89" s="18" t="str">
        <f>IF('inflation, income and interest'!$B$38=2,"",hystere!E89)</f>
        <v/>
      </c>
      <c r="AB89" s="24" t="str">
        <f>IF('inflation, income and interest'!$B$38=2,"",hystere!C89)</f>
        <v/>
      </c>
      <c r="AC89" s="17" t="str">
        <f>IF('inflation, income and interest'!$B$38=2,"",hystere!O89/100)</f>
        <v/>
      </c>
      <c r="AD89" s="17" t="str">
        <f>IF('inflation, income and interest'!$B$38=2,"",hystere!N89/100)</f>
        <v/>
      </c>
    </row>
    <row r="90" spans="1:30" ht="14" thickTop="1" thickBot="1">
      <c r="A90" s="15">
        <v>87</v>
      </c>
      <c r="B90" s="17">
        <f ca="1">('normal case'!D89-'normal case'!B89)/'normal case'!B89</f>
        <v>5.9014499777614481E-10</v>
      </c>
      <c r="C90" s="23">
        <f ca="1">'normal case'!D89</f>
        <v>101.00000005960464</v>
      </c>
      <c r="D90" s="24">
        <f ca="1">'normal case'!C89</f>
        <v>-1.5107707374006907E-7</v>
      </c>
      <c r="E90" s="22">
        <f ca="1">'normal case'!L89/100</f>
        <v>1.9999998807907104E-2</v>
      </c>
      <c r="F90" s="25">
        <f ca="1">'normal case'!U89/100</f>
        <v>5.499999850988388E-2</v>
      </c>
      <c r="G90" s="25">
        <f ca="1">'normal case'!T89/100</f>
        <v>3.4999999701976779E-2</v>
      </c>
      <c r="H90" s="25">
        <f ca="1">'public finance'!D88</f>
        <v>1.9802129779314939E-3</v>
      </c>
      <c r="I90" s="20">
        <f ca="1">'public finance'!E88</f>
        <v>3.4332619330042197E-2</v>
      </c>
      <c r="J90" s="118">
        <f ca="1">'public finance'!H88</f>
        <v>-0.92435447507399426</v>
      </c>
      <c r="K90" s="17">
        <f ca="1">'public finance'!C88/'normal case'!D89</f>
        <v>0.19801980186333762</v>
      </c>
      <c r="L90" s="20">
        <f ca="1">'public finance'!A88/'normal case'!D89</f>
        <v>0.2</v>
      </c>
      <c r="M90" s="18" t="str">
        <f>IF(controls!$B$44=0,"",'normal case'!AJ89)</f>
        <v/>
      </c>
      <c r="N90" s="18" t="str">
        <f>IF(controls!$B$44=0,"",'normal case'!AM89)</f>
        <v/>
      </c>
      <c r="O90" s="160" t="str">
        <f>IF(controls!$B$44=0,"",'external balance'!D89)</f>
        <v/>
      </c>
      <c r="P90" s="160" t="str">
        <f>IF(controls!$B$44=0,"",'external balance'!F89)</f>
        <v/>
      </c>
      <c r="Q90" s="159" t="str">
        <f>IF(controls!$B$44=0,"",'external balance'!H89)</f>
        <v/>
      </c>
      <c r="R90" s="158" t="str">
        <f>IF('inflation, income and interest'!$A$38=2,"",'delay in perception'!K90/100)</f>
        <v/>
      </c>
      <c r="S90" s="17" t="str">
        <f>IF('inflation, income and interest'!$A$38=2,"",('delay in perception'!E90-'delay in perception'!C90)/'delay in perception'!C90)</f>
        <v/>
      </c>
      <c r="T90" s="17" t="str">
        <f>IF('inflation, income and interest'!$A$38=2,"",('delay in perception'!E90-'delay in perception'!B90)/'delay in perception'!B90)</f>
        <v/>
      </c>
      <c r="U90" s="18" t="str">
        <f>IF('inflation, income and interest'!$A$38=2,"",'delay in perception'!E90)</f>
        <v/>
      </c>
      <c r="V90" s="24" t="str">
        <f>IF('inflation, income and interest'!$A$38=2,"",'delay in perception'!D90)</f>
        <v/>
      </c>
      <c r="W90" s="25" t="str">
        <f>IF('inflation, income and interest'!$A$38=2,"",'delay in perception'!M90/100)</f>
        <v/>
      </c>
      <c r="X90" s="21" t="str">
        <f>IF('inflation, income and interest'!$A$38=2,"",'delay in perception'!L90/100)</f>
        <v/>
      </c>
      <c r="Y90" s="158" t="str">
        <f>IF('inflation, income and interest'!$B$38=2,"",(hystere!E90-hystere!B90)/hystere!B90)</f>
        <v/>
      </c>
      <c r="Z90" s="396" t="str">
        <f>IF('inflation, income and interest'!$B$38=2,"",hystere!M90/100)</f>
        <v/>
      </c>
      <c r="AA90" s="18" t="str">
        <f>IF('inflation, income and interest'!$B$38=2,"",hystere!E90)</f>
        <v/>
      </c>
      <c r="AB90" s="24" t="str">
        <f>IF('inflation, income and interest'!$B$38=2,"",hystere!C90)</f>
        <v/>
      </c>
      <c r="AC90" s="17" t="str">
        <f>IF('inflation, income and interest'!$B$38=2,"",hystere!O90/100)</f>
        <v/>
      </c>
      <c r="AD90" s="17" t="str">
        <f>IF('inflation, income and interest'!$B$38=2,"",hystere!N90/100)</f>
        <v/>
      </c>
    </row>
    <row r="91" spans="1:30" ht="14" thickTop="1" thickBot="1">
      <c r="A91" s="15">
        <v>88</v>
      </c>
      <c r="B91" s="17">
        <f ca="1">('normal case'!D90-'normal case'!B90)/'normal case'!B90</f>
        <v>5.9014499777614481E-10</v>
      </c>
      <c r="C91" s="23">
        <f ca="1">'normal case'!D90</f>
        <v>101.00000005960464</v>
      </c>
      <c r="D91" s="24">
        <f ca="1">'normal case'!C90</f>
        <v>-1.5107707374006907E-7</v>
      </c>
      <c r="E91" s="22">
        <f ca="1">'normal case'!L90/100</f>
        <v>1.9999998807907104E-2</v>
      </c>
      <c r="F91" s="25">
        <f ca="1">'normal case'!U90/100</f>
        <v>5.499999850988388E-2</v>
      </c>
      <c r="G91" s="25">
        <f ca="1">'normal case'!T90/100</f>
        <v>3.4999999701976779E-2</v>
      </c>
      <c r="H91" s="25">
        <f ca="1">'public finance'!D89</f>
        <v>1.9802129779314939E-3</v>
      </c>
      <c r="I91" s="20">
        <f ca="1">'public finance'!E89</f>
        <v>3.5534260476917337E-2</v>
      </c>
      <c r="J91" s="118">
        <f ca="1">'public finance'!H89</f>
        <v>-0.95868707956276733</v>
      </c>
      <c r="K91" s="17">
        <f ca="1">'public finance'!C89/'normal case'!D90</f>
        <v>0.19801980186333762</v>
      </c>
      <c r="L91" s="20">
        <f ca="1">'public finance'!A89/'normal case'!D90</f>
        <v>0.2</v>
      </c>
      <c r="M91" s="18" t="str">
        <f>IF(controls!$B$44=0,"",'normal case'!AJ90)</f>
        <v/>
      </c>
      <c r="N91" s="18" t="str">
        <f>IF(controls!$B$44=0,"",'normal case'!AM90)</f>
        <v/>
      </c>
      <c r="O91" s="160" t="str">
        <f>IF(controls!$B$44=0,"",'external balance'!D90)</f>
        <v/>
      </c>
      <c r="P91" s="160" t="str">
        <f>IF(controls!$B$44=0,"",'external balance'!F90)</f>
        <v/>
      </c>
      <c r="Q91" s="159" t="str">
        <f>IF(controls!$B$44=0,"",'external balance'!H90)</f>
        <v/>
      </c>
      <c r="R91" s="158" t="str">
        <f>IF('inflation, income and interest'!$A$38=2,"",'delay in perception'!K91/100)</f>
        <v/>
      </c>
      <c r="S91" s="17" t="str">
        <f>IF('inflation, income and interest'!$A$38=2,"",('delay in perception'!E91-'delay in perception'!C91)/'delay in perception'!C91)</f>
        <v/>
      </c>
      <c r="T91" s="17" t="str">
        <f>IF('inflation, income and interest'!$A$38=2,"",('delay in perception'!E91-'delay in perception'!B91)/'delay in perception'!B91)</f>
        <v/>
      </c>
      <c r="U91" s="18" t="str">
        <f>IF('inflation, income and interest'!$A$38=2,"",'delay in perception'!E91)</f>
        <v/>
      </c>
      <c r="V91" s="24" t="str">
        <f>IF('inflation, income and interest'!$A$38=2,"",'delay in perception'!D91)</f>
        <v/>
      </c>
      <c r="W91" s="25" t="str">
        <f>IF('inflation, income and interest'!$A$38=2,"",'delay in perception'!M91/100)</f>
        <v/>
      </c>
      <c r="X91" s="21" t="str">
        <f>IF('inflation, income and interest'!$A$38=2,"",'delay in perception'!L91/100)</f>
        <v/>
      </c>
      <c r="Y91" s="158" t="str">
        <f>IF('inflation, income and interest'!$B$38=2,"",(hystere!E91-hystere!B91)/hystere!B91)</f>
        <v/>
      </c>
      <c r="Z91" s="396" t="str">
        <f>IF('inflation, income and interest'!$B$38=2,"",hystere!M91/100)</f>
        <v/>
      </c>
      <c r="AA91" s="18" t="str">
        <f>IF('inflation, income and interest'!$B$38=2,"",hystere!E91)</f>
        <v/>
      </c>
      <c r="AB91" s="24" t="str">
        <f>IF('inflation, income and interest'!$B$38=2,"",hystere!C91)</f>
        <v/>
      </c>
      <c r="AC91" s="17" t="str">
        <f>IF('inflation, income and interest'!$B$38=2,"",hystere!O91/100)</f>
        <v/>
      </c>
      <c r="AD91" s="17" t="str">
        <f>IF('inflation, income and interest'!$B$38=2,"",hystere!N91/100)</f>
        <v/>
      </c>
    </row>
    <row r="92" spans="1:30" ht="14" thickTop="1" thickBot="1">
      <c r="A92" s="15">
        <v>89</v>
      </c>
      <c r="B92" s="17">
        <f ca="1">('normal case'!D91-'normal case'!B91)/'normal case'!B91</f>
        <v>5.9014499777614481E-10</v>
      </c>
      <c r="C92" s="23">
        <f ca="1">'normal case'!D91</f>
        <v>101.00000005960464</v>
      </c>
      <c r="D92" s="24">
        <f ca="1">'normal case'!C91</f>
        <v>-1.5107707374006907E-7</v>
      </c>
      <c r="E92" s="22">
        <f ca="1">'normal case'!L91/100</f>
        <v>1.9999998807907104E-2</v>
      </c>
      <c r="F92" s="25">
        <f ca="1">'normal case'!U91/100</f>
        <v>5.499999850988388E-2</v>
      </c>
      <c r="G92" s="25">
        <f ca="1">'normal case'!T91/100</f>
        <v>3.4999999701976779E-2</v>
      </c>
      <c r="H92" s="25">
        <f ca="1">'public finance'!D90</f>
        <v>1.9802129779314939E-3</v>
      </c>
      <c r="I92" s="20">
        <f ca="1">'public finance'!E90</f>
        <v>3.6777959063574998E-2</v>
      </c>
      <c r="J92" s="118">
        <f ca="1">'public finance'!H90</f>
        <v>-0.99422132519841555</v>
      </c>
      <c r="K92" s="17">
        <f ca="1">'public finance'!C90/'normal case'!D91</f>
        <v>0.19801980186333762</v>
      </c>
      <c r="L92" s="20">
        <f ca="1">'public finance'!A90/'normal case'!D91</f>
        <v>0.2</v>
      </c>
      <c r="M92" s="18" t="str">
        <f>IF(controls!$B$44=0,"",'normal case'!AJ91)</f>
        <v/>
      </c>
      <c r="N92" s="18" t="str">
        <f>IF(controls!$B$44=0,"",'normal case'!AM91)</f>
        <v/>
      </c>
      <c r="O92" s="160" t="str">
        <f>IF(controls!$B$44=0,"",'external balance'!D91)</f>
        <v/>
      </c>
      <c r="P92" s="160" t="str">
        <f>IF(controls!$B$44=0,"",'external balance'!F91)</f>
        <v/>
      </c>
      <c r="Q92" s="159" t="str">
        <f>IF(controls!$B$44=0,"",'external balance'!H91)</f>
        <v/>
      </c>
      <c r="R92" s="158" t="str">
        <f>IF('inflation, income and interest'!$A$38=2,"",'delay in perception'!K92/100)</f>
        <v/>
      </c>
      <c r="S92" s="17" t="str">
        <f>IF('inflation, income and interest'!$A$38=2,"",('delay in perception'!E92-'delay in perception'!C92)/'delay in perception'!C92)</f>
        <v/>
      </c>
      <c r="T92" s="17" t="str">
        <f>IF('inflation, income and interest'!$A$38=2,"",('delay in perception'!E92-'delay in perception'!B92)/'delay in perception'!B92)</f>
        <v/>
      </c>
      <c r="U92" s="18" t="str">
        <f>IF('inflation, income and interest'!$A$38=2,"",'delay in perception'!E92)</f>
        <v/>
      </c>
      <c r="V92" s="24" t="str">
        <f>IF('inflation, income and interest'!$A$38=2,"",'delay in perception'!D92)</f>
        <v/>
      </c>
      <c r="W92" s="25" t="str">
        <f>IF('inflation, income and interest'!$A$38=2,"",'delay in perception'!M92/100)</f>
        <v/>
      </c>
      <c r="X92" s="21" t="str">
        <f>IF('inflation, income and interest'!$A$38=2,"",'delay in perception'!L92/100)</f>
        <v/>
      </c>
      <c r="Y92" s="158" t="str">
        <f>IF('inflation, income and interest'!$B$38=2,"",(hystere!E92-hystere!B92)/hystere!B92)</f>
        <v/>
      </c>
      <c r="Z92" s="396" t="str">
        <f>IF('inflation, income and interest'!$B$38=2,"",hystere!M92/100)</f>
        <v/>
      </c>
      <c r="AA92" s="18" t="str">
        <f>IF('inflation, income and interest'!$B$38=2,"",hystere!E92)</f>
        <v/>
      </c>
      <c r="AB92" s="24" t="str">
        <f>IF('inflation, income and interest'!$B$38=2,"",hystere!C92)</f>
        <v/>
      </c>
      <c r="AC92" s="17" t="str">
        <f>IF('inflation, income and interest'!$B$38=2,"",hystere!O92/100)</f>
        <v/>
      </c>
      <c r="AD92" s="17" t="str">
        <f>IF('inflation, income and interest'!$B$38=2,"",hystere!N92/100)</f>
        <v/>
      </c>
    </row>
    <row r="93" spans="1:30" ht="14" thickTop="1" thickBot="1">
      <c r="A93" s="15">
        <v>90</v>
      </c>
      <c r="B93" s="17">
        <f ca="1">('normal case'!D92-'normal case'!B92)/'normal case'!B92</f>
        <v>5.9014499777614481E-10</v>
      </c>
      <c r="C93" s="23">
        <f ca="1">'normal case'!D92</f>
        <v>101.00000005960464</v>
      </c>
      <c r="D93" s="24">
        <f ca="1">'normal case'!C92</f>
        <v>-1.5107707374006907E-7</v>
      </c>
      <c r="E93" s="22">
        <f ca="1">'normal case'!L92/100</f>
        <v>1.9999998807907104E-2</v>
      </c>
      <c r="F93" s="25">
        <f ca="1">'normal case'!U92/100</f>
        <v>5.499999850988388E-2</v>
      </c>
      <c r="G93" s="25">
        <f ca="1">'normal case'!T92/100</f>
        <v>3.4999999701976779E-2</v>
      </c>
      <c r="H93" s="25">
        <f ca="1">'public finance'!D91</f>
        <v>1.9802129779314939E-3</v>
      </c>
      <c r="I93" s="20">
        <f ca="1">'public finance'!E91</f>
        <v>3.8065187100395026E-2</v>
      </c>
      <c r="J93" s="118">
        <f ca="1">'public finance'!H91</f>
        <v>-1.0309992694207215</v>
      </c>
      <c r="K93" s="17">
        <f ca="1">'public finance'!C91/'normal case'!D92</f>
        <v>0.19801980186333762</v>
      </c>
      <c r="L93" s="20">
        <f ca="1">'public finance'!A91/'normal case'!D92</f>
        <v>0.2</v>
      </c>
      <c r="M93" s="18" t="str">
        <f>IF(controls!$B$44=0,"",'normal case'!AJ92)</f>
        <v/>
      </c>
      <c r="N93" s="18" t="str">
        <f>IF(controls!$B$44=0,"",'normal case'!AM92)</f>
        <v/>
      </c>
      <c r="O93" s="160" t="str">
        <f>IF(controls!$B$44=0,"",'external balance'!D92)</f>
        <v/>
      </c>
      <c r="P93" s="160" t="str">
        <f>IF(controls!$B$44=0,"",'external balance'!F92)</f>
        <v/>
      </c>
      <c r="Q93" s="159" t="str">
        <f>IF(controls!$B$44=0,"",'external balance'!H92)</f>
        <v/>
      </c>
      <c r="R93" s="158" t="str">
        <f>IF('inflation, income and interest'!$A$38=2,"",'delay in perception'!K93/100)</f>
        <v/>
      </c>
      <c r="S93" s="17" t="str">
        <f>IF('inflation, income and interest'!$A$38=2,"",('delay in perception'!E93-'delay in perception'!C93)/'delay in perception'!C93)</f>
        <v/>
      </c>
      <c r="T93" s="17" t="str">
        <f>IF('inflation, income and interest'!$A$38=2,"",('delay in perception'!E93-'delay in perception'!B93)/'delay in perception'!B93)</f>
        <v/>
      </c>
      <c r="U93" s="18" t="str">
        <f>IF('inflation, income and interest'!$A$38=2,"",'delay in perception'!E93)</f>
        <v/>
      </c>
      <c r="V93" s="24" t="str">
        <f>IF('inflation, income and interest'!$A$38=2,"",'delay in perception'!D93)</f>
        <v/>
      </c>
      <c r="W93" s="25" t="str">
        <f>IF('inflation, income and interest'!$A$38=2,"",'delay in perception'!M93/100)</f>
        <v/>
      </c>
      <c r="X93" s="21" t="str">
        <f>IF('inflation, income and interest'!$A$38=2,"",'delay in perception'!L93/100)</f>
        <v/>
      </c>
      <c r="Y93" s="158" t="str">
        <f>IF('inflation, income and interest'!$B$38=2,"",(hystere!E93-hystere!B93)/hystere!B93)</f>
        <v/>
      </c>
      <c r="Z93" s="396" t="str">
        <f>IF('inflation, income and interest'!$B$38=2,"",hystere!M93/100)</f>
        <v/>
      </c>
      <c r="AA93" s="18" t="str">
        <f>IF('inflation, income and interest'!$B$38=2,"",hystere!E93)</f>
        <v/>
      </c>
      <c r="AB93" s="24" t="str">
        <f>IF('inflation, income and interest'!$B$38=2,"",hystere!C93)</f>
        <v/>
      </c>
      <c r="AC93" s="17" t="str">
        <f>IF('inflation, income and interest'!$B$38=2,"",hystere!O93/100)</f>
        <v/>
      </c>
      <c r="AD93" s="17" t="str">
        <f>IF('inflation, income and interest'!$B$38=2,"",hystere!N93/100)</f>
        <v/>
      </c>
    </row>
    <row r="94" spans="1:30" ht="14" thickTop="1" thickBot="1">
      <c r="A94" s="15">
        <v>91</v>
      </c>
      <c r="B94" s="17">
        <f ca="1">('normal case'!D93-'normal case'!B93)/'normal case'!B93</f>
        <v>5.9014499777614481E-10</v>
      </c>
      <c r="C94" s="23">
        <f ca="1">'normal case'!D93</f>
        <v>101.00000005960464</v>
      </c>
      <c r="D94" s="24">
        <f ca="1">'normal case'!C93</f>
        <v>-1.5107707374006907E-7</v>
      </c>
      <c r="E94" s="22">
        <f ca="1">'normal case'!L93/100</f>
        <v>1.9999998807907104E-2</v>
      </c>
      <c r="F94" s="25">
        <f ca="1">'normal case'!U93/100</f>
        <v>5.499999850988388E-2</v>
      </c>
      <c r="G94" s="25">
        <f ca="1">'normal case'!T93/100</f>
        <v>3.4999999701976779E-2</v>
      </c>
      <c r="H94" s="25">
        <f ca="1">'public finance'!D92</f>
        <v>1.9802129779314939E-3</v>
      </c>
      <c r="I94" s="20">
        <f ca="1">'public finance'!E92</f>
        <v>3.939746811812013E-2</v>
      </c>
      <c r="J94" s="118">
        <f ca="1">'public finance'!H92</f>
        <v>-1.0690644416798476</v>
      </c>
      <c r="K94" s="17">
        <f ca="1">'public finance'!C92/'normal case'!D93</f>
        <v>0.19801980186333762</v>
      </c>
      <c r="L94" s="20">
        <f ca="1">'public finance'!A92/'normal case'!D93</f>
        <v>0.2</v>
      </c>
      <c r="M94" s="18" t="str">
        <f>IF(controls!$B$44=0,"",'normal case'!AJ93)</f>
        <v/>
      </c>
      <c r="N94" s="18" t="str">
        <f>IF(controls!$B$44=0,"",'normal case'!AM93)</f>
        <v/>
      </c>
      <c r="O94" s="160" t="str">
        <f>IF(controls!$B$44=0,"",'external balance'!D93)</f>
        <v/>
      </c>
      <c r="P94" s="160" t="str">
        <f>IF(controls!$B$44=0,"",'external balance'!F93)</f>
        <v/>
      </c>
      <c r="Q94" s="159" t="str">
        <f>IF(controls!$B$44=0,"",'external balance'!H93)</f>
        <v/>
      </c>
      <c r="R94" s="158" t="str">
        <f>IF('inflation, income and interest'!$A$38=2,"",'delay in perception'!K94/100)</f>
        <v/>
      </c>
      <c r="S94" s="17" t="str">
        <f>IF('inflation, income and interest'!$A$38=2,"",('delay in perception'!E94-'delay in perception'!C94)/'delay in perception'!C94)</f>
        <v/>
      </c>
      <c r="T94" s="17" t="str">
        <f>IF('inflation, income and interest'!$A$38=2,"",('delay in perception'!E94-'delay in perception'!B94)/'delay in perception'!B94)</f>
        <v/>
      </c>
      <c r="U94" s="18" t="str">
        <f>IF('inflation, income and interest'!$A$38=2,"",'delay in perception'!E94)</f>
        <v/>
      </c>
      <c r="V94" s="24" t="str">
        <f>IF('inflation, income and interest'!$A$38=2,"",'delay in perception'!D94)</f>
        <v/>
      </c>
      <c r="W94" s="25" t="str">
        <f>IF('inflation, income and interest'!$A$38=2,"",'delay in perception'!M94/100)</f>
        <v/>
      </c>
      <c r="X94" s="21" t="str">
        <f>IF('inflation, income and interest'!$A$38=2,"",'delay in perception'!L94/100)</f>
        <v/>
      </c>
      <c r="Y94" s="158" t="str">
        <f>IF('inflation, income and interest'!$B$38=2,"",(hystere!E94-hystere!B94)/hystere!B94)</f>
        <v/>
      </c>
      <c r="Z94" s="396" t="str">
        <f>IF('inflation, income and interest'!$B$38=2,"",hystere!M94/100)</f>
        <v/>
      </c>
      <c r="AA94" s="18" t="str">
        <f>IF('inflation, income and interest'!$B$38=2,"",hystere!E94)</f>
        <v/>
      </c>
      <c r="AB94" s="24" t="str">
        <f>IF('inflation, income and interest'!$B$38=2,"",hystere!C94)</f>
        <v/>
      </c>
      <c r="AC94" s="17" t="str">
        <f>IF('inflation, income and interest'!$B$38=2,"",hystere!O94/100)</f>
        <v/>
      </c>
      <c r="AD94" s="17" t="str">
        <f>IF('inflation, income and interest'!$B$38=2,"",hystere!N94/100)</f>
        <v/>
      </c>
    </row>
    <row r="95" spans="1:30" ht="14" thickTop="1" thickBot="1">
      <c r="A95" s="15">
        <v>92</v>
      </c>
      <c r="B95" s="17">
        <f ca="1">('normal case'!D94-'normal case'!B94)/'normal case'!B94</f>
        <v>5.9014499777614481E-10</v>
      </c>
      <c r="C95" s="23">
        <f ca="1">'normal case'!D94</f>
        <v>101.00000005960464</v>
      </c>
      <c r="D95" s="24">
        <f ca="1">'normal case'!C94</f>
        <v>-1.5107707374006907E-7</v>
      </c>
      <c r="E95" s="22">
        <f ca="1">'normal case'!L94/100</f>
        <v>1.9999998807907104E-2</v>
      </c>
      <c r="F95" s="25">
        <f ca="1">'normal case'!U94/100</f>
        <v>5.499999850988388E-2</v>
      </c>
      <c r="G95" s="25">
        <f ca="1">'normal case'!T94/100</f>
        <v>3.4999999701976779E-2</v>
      </c>
      <c r="H95" s="25">
        <f ca="1">'public finance'!D93</f>
        <v>1.9802129779314939E-3</v>
      </c>
      <c r="I95" s="20">
        <f ca="1">'public finance'!E93</f>
        <v>4.0776378971068561E-2</v>
      </c>
      <c r="J95" s="118">
        <f ca="1">'public finance'!H93</f>
        <v>-1.1084618949566984</v>
      </c>
      <c r="K95" s="17">
        <f ca="1">'public finance'!C93/'normal case'!D94</f>
        <v>0.19801980186333762</v>
      </c>
      <c r="L95" s="20">
        <f ca="1">'public finance'!A93/'normal case'!D94</f>
        <v>0.2</v>
      </c>
      <c r="M95" s="18" t="str">
        <f>IF(controls!$B$44=0,"",'normal case'!AJ94)</f>
        <v/>
      </c>
      <c r="N95" s="18" t="str">
        <f>IF(controls!$B$44=0,"",'normal case'!AM94)</f>
        <v/>
      </c>
      <c r="O95" s="160" t="str">
        <f>IF(controls!$B$44=0,"",'external balance'!D94)</f>
        <v/>
      </c>
      <c r="P95" s="160" t="str">
        <f>IF(controls!$B$44=0,"",'external balance'!F94)</f>
        <v/>
      </c>
      <c r="Q95" s="159" t="str">
        <f>IF(controls!$B$44=0,"",'external balance'!H94)</f>
        <v/>
      </c>
      <c r="R95" s="158" t="str">
        <f>IF('inflation, income and interest'!$A$38=2,"",'delay in perception'!K95/100)</f>
        <v/>
      </c>
      <c r="S95" s="17" t="str">
        <f>IF('inflation, income and interest'!$A$38=2,"",('delay in perception'!E95-'delay in perception'!C95)/'delay in perception'!C95)</f>
        <v/>
      </c>
      <c r="T95" s="17" t="str">
        <f>IF('inflation, income and interest'!$A$38=2,"",('delay in perception'!E95-'delay in perception'!B95)/'delay in perception'!B95)</f>
        <v/>
      </c>
      <c r="U95" s="18" t="str">
        <f>IF('inflation, income and interest'!$A$38=2,"",'delay in perception'!E95)</f>
        <v/>
      </c>
      <c r="V95" s="24" t="str">
        <f>IF('inflation, income and interest'!$A$38=2,"",'delay in perception'!D95)</f>
        <v/>
      </c>
      <c r="W95" s="25" t="str">
        <f>IF('inflation, income and interest'!$A$38=2,"",'delay in perception'!M95/100)</f>
        <v/>
      </c>
      <c r="X95" s="21" t="str">
        <f>IF('inflation, income and interest'!$A$38=2,"",'delay in perception'!L95/100)</f>
        <v/>
      </c>
      <c r="Y95" s="158" t="str">
        <f>IF('inflation, income and interest'!$B$38=2,"",(hystere!E95-hystere!B95)/hystere!B95)</f>
        <v/>
      </c>
      <c r="Z95" s="396" t="str">
        <f>IF('inflation, income and interest'!$B$38=2,"",hystere!M95/100)</f>
        <v/>
      </c>
      <c r="AA95" s="18" t="str">
        <f>IF('inflation, income and interest'!$B$38=2,"",hystere!E95)</f>
        <v/>
      </c>
      <c r="AB95" s="24" t="str">
        <f>IF('inflation, income and interest'!$B$38=2,"",hystere!C95)</f>
        <v/>
      </c>
      <c r="AC95" s="17" t="str">
        <f>IF('inflation, income and interest'!$B$38=2,"",hystere!O95/100)</f>
        <v/>
      </c>
      <c r="AD95" s="17" t="str">
        <f>IF('inflation, income and interest'!$B$38=2,"",hystere!N95/100)</f>
        <v/>
      </c>
    </row>
    <row r="96" spans="1:30" ht="14" thickTop="1" thickBot="1">
      <c r="A96" s="15">
        <v>93</v>
      </c>
      <c r="B96" s="17">
        <f ca="1">('normal case'!D95-'normal case'!B95)/'normal case'!B95</f>
        <v>5.9014499777614481E-10</v>
      </c>
      <c r="C96" s="23">
        <f ca="1">'normal case'!D95</f>
        <v>101.00000005960464</v>
      </c>
      <c r="D96" s="24">
        <f ca="1">'normal case'!C95</f>
        <v>-1.5107707374006907E-7</v>
      </c>
      <c r="E96" s="22">
        <f ca="1">'normal case'!L95/100</f>
        <v>1.9999998807907104E-2</v>
      </c>
      <c r="F96" s="25">
        <f ca="1">'normal case'!U95/100</f>
        <v>5.499999850988388E-2</v>
      </c>
      <c r="G96" s="25">
        <f ca="1">'normal case'!T95/100</f>
        <v>3.4999999701976779E-2</v>
      </c>
      <c r="H96" s="25">
        <f ca="1">'public finance'!D94</f>
        <v>1.9802129779314939E-3</v>
      </c>
      <c r="I96" s="20">
        <f ca="1">'public finance'!E94</f>
        <v>4.2203551703459234E-2</v>
      </c>
      <c r="J96" s="118">
        <f ca="1">'public finance'!H94</f>
        <v>-1.149238259086498</v>
      </c>
      <c r="K96" s="17">
        <f ca="1">'public finance'!C94/'normal case'!D95</f>
        <v>0.19801980186333762</v>
      </c>
      <c r="L96" s="20">
        <f ca="1">'public finance'!A94/'normal case'!D95</f>
        <v>0.2</v>
      </c>
      <c r="M96" s="18" t="str">
        <f>IF(controls!$B$44=0,"",'normal case'!AJ95)</f>
        <v/>
      </c>
      <c r="N96" s="18" t="str">
        <f>IF(controls!$B$44=0,"",'normal case'!AM95)</f>
        <v/>
      </c>
      <c r="O96" s="160" t="str">
        <f>IF(controls!$B$44=0,"",'external balance'!D95)</f>
        <v/>
      </c>
      <c r="P96" s="160" t="str">
        <f>IF(controls!$B$44=0,"",'external balance'!F95)</f>
        <v/>
      </c>
      <c r="Q96" s="159" t="str">
        <f>IF(controls!$B$44=0,"",'external balance'!H95)</f>
        <v/>
      </c>
      <c r="R96" s="158" t="str">
        <f>IF('inflation, income and interest'!$A$38=2,"",'delay in perception'!K96/100)</f>
        <v/>
      </c>
      <c r="S96" s="17" t="str">
        <f>IF('inflation, income and interest'!$A$38=2,"",('delay in perception'!E96-'delay in perception'!C96)/'delay in perception'!C96)</f>
        <v/>
      </c>
      <c r="T96" s="17" t="str">
        <f>IF('inflation, income and interest'!$A$38=2,"",('delay in perception'!E96-'delay in perception'!B96)/'delay in perception'!B96)</f>
        <v/>
      </c>
      <c r="U96" s="18" t="str">
        <f>IF('inflation, income and interest'!$A$38=2,"",'delay in perception'!E96)</f>
        <v/>
      </c>
      <c r="V96" s="24" t="str">
        <f>IF('inflation, income and interest'!$A$38=2,"",'delay in perception'!D96)</f>
        <v/>
      </c>
      <c r="W96" s="25" t="str">
        <f>IF('inflation, income and interest'!$A$38=2,"",'delay in perception'!M96/100)</f>
        <v/>
      </c>
      <c r="X96" s="21" t="str">
        <f>IF('inflation, income and interest'!$A$38=2,"",'delay in perception'!L96/100)</f>
        <v/>
      </c>
      <c r="Y96" s="158" t="str">
        <f>IF('inflation, income and interest'!$B$38=2,"",(hystere!E96-hystere!B96)/hystere!B96)</f>
        <v/>
      </c>
      <c r="Z96" s="396" t="str">
        <f>IF('inflation, income and interest'!$B$38=2,"",hystere!M96/100)</f>
        <v/>
      </c>
      <c r="AA96" s="18" t="str">
        <f>IF('inflation, income and interest'!$B$38=2,"",hystere!E96)</f>
        <v/>
      </c>
      <c r="AB96" s="24" t="str">
        <f>IF('inflation, income and interest'!$B$38=2,"",hystere!C96)</f>
        <v/>
      </c>
      <c r="AC96" s="17" t="str">
        <f>IF('inflation, income and interest'!$B$38=2,"",hystere!O96/100)</f>
        <v/>
      </c>
      <c r="AD96" s="17" t="str">
        <f>IF('inflation, income and interest'!$B$38=2,"",hystere!N96/100)</f>
        <v/>
      </c>
    </row>
    <row r="97" spans="1:30" ht="14" thickTop="1" thickBot="1">
      <c r="A97" s="15">
        <v>94</v>
      </c>
      <c r="B97" s="17">
        <f ca="1">('normal case'!D96-'normal case'!B96)/'normal case'!B96</f>
        <v>5.9014499777614481E-10</v>
      </c>
      <c r="C97" s="23">
        <f ca="1">'normal case'!D96</f>
        <v>101.00000005960464</v>
      </c>
      <c r="D97" s="24">
        <f ca="1">'normal case'!C96</f>
        <v>-1.5107707374006907E-7</v>
      </c>
      <c r="E97" s="22">
        <f ca="1">'normal case'!L96/100</f>
        <v>1.9999998807907104E-2</v>
      </c>
      <c r="F97" s="25">
        <f ca="1">'normal case'!U96/100</f>
        <v>5.499999850988388E-2</v>
      </c>
      <c r="G97" s="25">
        <f ca="1">'normal case'!T96/100</f>
        <v>3.4999999701976779E-2</v>
      </c>
      <c r="H97" s="25">
        <f ca="1">'public finance'!D95</f>
        <v>1.9802129779314939E-3</v>
      </c>
      <c r="I97" s="20">
        <f ca="1">'public finance'!E95</f>
        <v>4.3680675481058258E-2</v>
      </c>
      <c r="J97" s="118">
        <f ca="1">'public finance'!H95</f>
        <v>-1.1914417959486883</v>
      </c>
      <c r="K97" s="17">
        <f ca="1">'public finance'!C95/'normal case'!D96</f>
        <v>0.19801980186333762</v>
      </c>
      <c r="L97" s="20">
        <f ca="1">'public finance'!A95/'normal case'!D96</f>
        <v>0.2</v>
      </c>
      <c r="M97" s="18" t="str">
        <f>IF(controls!$B$44=0,"",'normal case'!AJ96)</f>
        <v/>
      </c>
      <c r="N97" s="18" t="str">
        <f>IF(controls!$B$44=0,"",'normal case'!AM96)</f>
        <v/>
      </c>
      <c r="O97" s="160" t="str">
        <f>IF(controls!$B$44=0,"",'external balance'!D96)</f>
        <v/>
      </c>
      <c r="P97" s="160" t="str">
        <f>IF(controls!$B$44=0,"",'external balance'!F96)</f>
        <v/>
      </c>
      <c r="Q97" s="159" t="str">
        <f>IF(controls!$B$44=0,"",'external balance'!H96)</f>
        <v/>
      </c>
      <c r="R97" s="158" t="str">
        <f>IF('inflation, income and interest'!$A$38=2,"",'delay in perception'!K97/100)</f>
        <v/>
      </c>
      <c r="S97" s="17" t="str">
        <f>IF('inflation, income and interest'!$A$38=2,"",('delay in perception'!E97-'delay in perception'!C97)/'delay in perception'!C97)</f>
        <v/>
      </c>
      <c r="T97" s="17" t="str">
        <f>IF('inflation, income and interest'!$A$38=2,"",('delay in perception'!E97-'delay in perception'!B97)/'delay in perception'!B97)</f>
        <v/>
      </c>
      <c r="U97" s="18" t="str">
        <f>IF('inflation, income and interest'!$A$38=2,"",'delay in perception'!E97)</f>
        <v/>
      </c>
      <c r="V97" s="24" t="str">
        <f>IF('inflation, income and interest'!$A$38=2,"",'delay in perception'!D97)</f>
        <v/>
      </c>
      <c r="W97" s="25" t="str">
        <f>IF('inflation, income and interest'!$A$38=2,"",'delay in perception'!M97/100)</f>
        <v/>
      </c>
      <c r="X97" s="21" t="str">
        <f>IF('inflation, income and interest'!$A$38=2,"",'delay in perception'!L97/100)</f>
        <v/>
      </c>
      <c r="Y97" s="158" t="str">
        <f>IF('inflation, income and interest'!$B$38=2,"",(hystere!E97-hystere!B97)/hystere!B97)</f>
        <v/>
      </c>
      <c r="Z97" s="396" t="str">
        <f>IF('inflation, income and interest'!$B$38=2,"",hystere!M97/100)</f>
        <v/>
      </c>
      <c r="AA97" s="18" t="str">
        <f>IF('inflation, income and interest'!$B$38=2,"",hystere!E97)</f>
        <v/>
      </c>
      <c r="AB97" s="24" t="str">
        <f>IF('inflation, income and interest'!$B$38=2,"",hystere!C97)</f>
        <v/>
      </c>
      <c r="AC97" s="17" t="str">
        <f>IF('inflation, income and interest'!$B$38=2,"",hystere!O97/100)</f>
        <v/>
      </c>
      <c r="AD97" s="17" t="str">
        <f>IF('inflation, income and interest'!$B$38=2,"",hystere!N97/100)</f>
        <v/>
      </c>
    </row>
    <row r="98" spans="1:30" ht="14" thickTop="1" thickBot="1">
      <c r="A98" s="15">
        <v>95</v>
      </c>
      <c r="B98" s="17">
        <f ca="1">('normal case'!D97-'normal case'!B97)/'normal case'!B97</f>
        <v>5.9014499777614481E-10</v>
      </c>
      <c r="C98" s="23">
        <f ca="1">'normal case'!D97</f>
        <v>101.00000005960464</v>
      </c>
      <c r="D98" s="24">
        <f ca="1">'normal case'!C97</f>
        <v>-1.5107707374006907E-7</v>
      </c>
      <c r="E98" s="22">
        <f ca="1">'normal case'!L97/100</f>
        <v>1.9999998807907104E-2</v>
      </c>
      <c r="F98" s="25">
        <f ca="1">'normal case'!U97/100</f>
        <v>5.499999850988388E-2</v>
      </c>
      <c r="G98" s="25">
        <f ca="1">'normal case'!T97/100</f>
        <v>3.4999999701976779E-2</v>
      </c>
      <c r="H98" s="25">
        <f ca="1">'public finance'!D96</f>
        <v>1.9802129779314939E-3</v>
      </c>
      <c r="I98" s="20">
        <f ca="1">'public finance'!E96</f>
        <v>4.520949859043303E-2</v>
      </c>
      <c r="J98" s="118">
        <f ca="1">'public finance'!H96</f>
        <v>-1.2351224565884773</v>
      </c>
      <c r="K98" s="17">
        <f ca="1">'public finance'!C96/'normal case'!D97</f>
        <v>0.19801980186333762</v>
      </c>
      <c r="L98" s="20">
        <f ca="1">'public finance'!A96/'normal case'!D97</f>
        <v>0.2</v>
      </c>
      <c r="M98" s="18" t="str">
        <f>IF(controls!$B$44=0,"",'normal case'!AJ97)</f>
        <v/>
      </c>
      <c r="N98" s="18" t="str">
        <f>IF(controls!$B$44=0,"",'normal case'!AM97)</f>
        <v/>
      </c>
      <c r="O98" s="160" t="str">
        <f>IF(controls!$B$44=0,"",'external balance'!D97)</f>
        <v/>
      </c>
      <c r="P98" s="160" t="str">
        <f>IF(controls!$B$44=0,"",'external balance'!F97)</f>
        <v/>
      </c>
      <c r="Q98" s="159" t="str">
        <f>IF(controls!$B$44=0,"",'external balance'!H97)</f>
        <v/>
      </c>
      <c r="R98" s="158" t="str">
        <f>IF('inflation, income and interest'!$A$38=2,"",'delay in perception'!K98/100)</f>
        <v/>
      </c>
      <c r="S98" s="17" t="str">
        <f>IF('inflation, income and interest'!$A$38=2,"",('delay in perception'!E98-'delay in perception'!C98)/'delay in perception'!C98)</f>
        <v/>
      </c>
      <c r="T98" s="17" t="str">
        <f>IF('inflation, income and interest'!$A$38=2,"",('delay in perception'!E98-'delay in perception'!B98)/'delay in perception'!B98)</f>
        <v/>
      </c>
      <c r="U98" s="18" t="str">
        <f>IF('inflation, income and interest'!$A$38=2,"",'delay in perception'!E98)</f>
        <v/>
      </c>
      <c r="V98" s="24" t="str">
        <f>IF('inflation, income and interest'!$A$38=2,"",'delay in perception'!D98)</f>
        <v/>
      </c>
      <c r="W98" s="25" t="str">
        <f>IF('inflation, income and interest'!$A$38=2,"",'delay in perception'!M98/100)</f>
        <v/>
      </c>
      <c r="X98" s="21" t="str">
        <f>IF('inflation, income and interest'!$A$38=2,"",'delay in perception'!L98/100)</f>
        <v/>
      </c>
      <c r="Y98" s="158" t="str">
        <f>IF('inflation, income and interest'!$B$38=2,"",(hystere!E98-hystere!B98)/hystere!B98)</f>
        <v/>
      </c>
      <c r="Z98" s="396" t="str">
        <f>IF('inflation, income and interest'!$B$38=2,"",hystere!M98/100)</f>
        <v/>
      </c>
      <c r="AA98" s="18" t="str">
        <f>IF('inflation, income and interest'!$B$38=2,"",hystere!E98)</f>
        <v/>
      </c>
      <c r="AB98" s="24" t="str">
        <f>IF('inflation, income and interest'!$B$38=2,"",hystere!C98)</f>
        <v/>
      </c>
      <c r="AC98" s="17" t="str">
        <f>IF('inflation, income and interest'!$B$38=2,"",hystere!O98/100)</f>
        <v/>
      </c>
      <c r="AD98" s="17" t="str">
        <f>IF('inflation, income and interest'!$B$38=2,"",hystere!N98/100)</f>
        <v/>
      </c>
    </row>
    <row r="99" spans="1:30" ht="14" thickTop="1" thickBot="1">
      <c r="A99" s="15">
        <v>96</v>
      </c>
      <c r="B99" s="17">
        <f ca="1">('normal case'!D98-'normal case'!B98)/'normal case'!B98</f>
        <v>5.9014499777614481E-10</v>
      </c>
      <c r="C99" s="23">
        <f ca="1">'normal case'!D98</f>
        <v>101.00000005960464</v>
      </c>
      <c r="D99" s="24">
        <f ca="1">'normal case'!C98</f>
        <v>-1.5107707374006907E-7</v>
      </c>
      <c r="E99" s="22">
        <f ca="1">'normal case'!L98/100</f>
        <v>1.9999998807907104E-2</v>
      </c>
      <c r="F99" s="25">
        <f ca="1">'normal case'!U98/100</f>
        <v>5.499999850988388E-2</v>
      </c>
      <c r="G99" s="25">
        <f ca="1">'normal case'!T98/100</f>
        <v>3.4999999701976779E-2</v>
      </c>
      <c r="H99" s="25">
        <f ca="1">'public finance'!D97</f>
        <v>1.9802129779314939E-3</v>
      </c>
      <c r="I99" s="20">
        <f ca="1">'public finance'!E97</f>
        <v>4.6791830508180296E-2</v>
      </c>
      <c r="J99" s="118">
        <f ca="1">'public finance'!H97</f>
        <v>-1.2803319403376414</v>
      </c>
      <c r="K99" s="17">
        <f ca="1">'public finance'!C97/'normal case'!D98</f>
        <v>0.19801980186333762</v>
      </c>
      <c r="L99" s="20">
        <f ca="1">'public finance'!A97/'normal case'!D98</f>
        <v>0.2</v>
      </c>
      <c r="M99" s="18" t="str">
        <f>IF(controls!$B$44=0,"",'normal case'!AJ98)</f>
        <v/>
      </c>
      <c r="N99" s="18" t="str">
        <f>IF(controls!$B$44=0,"",'normal case'!AM98)</f>
        <v/>
      </c>
      <c r="O99" s="160" t="str">
        <f>IF(controls!$B$44=0,"",'external balance'!D98)</f>
        <v/>
      </c>
      <c r="P99" s="160" t="str">
        <f>IF(controls!$B$44=0,"",'external balance'!F98)</f>
        <v/>
      </c>
      <c r="Q99" s="159" t="str">
        <f>IF(controls!$B$44=0,"",'external balance'!H98)</f>
        <v/>
      </c>
      <c r="R99" s="158" t="str">
        <f>IF('inflation, income and interest'!$A$38=2,"",'delay in perception'!K99/100)</f>
        <v/>
      </c>
      <c r="S99" s="17" t="str">
        <f>IF('inflation, income and interest'!$A$38=2,"",('delay in perception'!E99-'delay in perception'!C99)/'delay in perception'!C99)</f>
        <v/>
      </c>
      <c r="T99" s="17" t="str">
        <f>IF('inflation, income and interest'!$A$38=2,"",('delay in perception'!E99-'delay in perception'!B99)/'delay in perception'!B99)</f>
        <v/>
      </c>
      <c r="U99" s="18" t="str">
        <f>IF('inflation, income and interest'!$A$38=2,"",'delay in perception'!E99)</f>
        <v/>
      </c>
      <c r="V99" s="24" t="str">
        <f>IF('inflation, income and interest'!$A$38=2,"",'delay in perception'!D99)</f>
        <v/>
      </c>
      <c r="W99" s="25" t="str">
        <f>IF('inflation, income and interest'!$A$38=2,"",'delay in perception'!M99/100)</f>
        <v/>
      </c>
      <c r="X99" s="21" t="str">
        <f>IF('inflation, income and interest'!$A$38=2,"",'delay in perception'!L99/100)</f>
        <v/>
      </c>
      <c r="Y99" s="158" t="str">
        <f>IF('inflation, income and interest'!$B$38=2,"",(hystere!E99-hystere!B99)/hystere!B99)</f>
        <v/>
      </c>
      <c r="Z99" s="396" t="str">
        <f>IF('inflation, income and interest'!$B$38=2,"",hystere!M99/100)</f>
        <v/>
      </c>
      <c r="AA99" s="18" t="str">
        <f>IF('inflation, income and interest'!$B$38=2,"",hystere!E99)</f>
        <v/>
      </c>
      <c r="AB99" s="24" t="str">
        <f>IF('inflation, income and interest'!$B$38=2,"",hystere!C99)</f>
        <v/>
      </c>
      <c r="AC99" s="17" t="str">
        <f>IF('inflation, income and interest'!$B$38=2,"",hystere!O99/100)</f>
        <v/>
      </c>
      <c r="AD99" s="17" t="str">
        <f>IF('inflation, income and interest'!$B$38=2,"",hystere!N99/100)</f>
        <v/>
      </c>
    </row>
    <row r="100" spans="1:30" ht="14" thickTop="1" thickBot="1">
      <c r="A100" s="15">
        <v>97</v>
      </c>
      <c r="B100" s="17">
        <f ca="1">('normal case'!D99-'normal case'!B99)/'normal case'!B99</f>
        <v>5.9014499777614481E-10</v>
      </c>
      <c r="C100" s="23">
        <f ca="1">'normal case'!D99</f>
        <v>101.00000005960464</v>
      </c>
      <c r="D100" s="24">
        <f ca="1">'normal case'!C99</f>
        <v>-1.5107707374006907E-7</v>
      </c>
      <c r="E100" s="22">
        <f ca="1">'normal case'!L99/100</f>
        <v>1.9999998807907104E-2</v>
      </c>
      <c r="F100" s="25">
        <f ca="1">'normal case'!U99/100</f>
        <v>5.499999850988388E-2</v>
      </c>
      <c r="G100" s="25">
        <f ca="1">'normal case'!T99/100</f>
        <v>3.4999999701976779E-2</v>
      </c>
      <c r="H100" s="25">
        <f ca="1">'public finance'!D98</f>
        <v>1.9802129779314939E-3</v>
      </c>
      <c r="I100" s="20">
        <f ca="1">'public finance'!E98</f>
        <v>4.8429544042577134E-2</v>
      </c>
      <c r="J100" s="118">
        <f ca="1">'public finance'!H98</f>
        <v>-1.3271237560045523</v>
      </c>
      <c r="K100" s="17">
        <f ca="1">'public finance'!C98/'normal case'!D99</f>
        <v>0.19801980186333762</v>
      </c>
      <c r="L100" s="20">
        <f ca="1">'public finance'!A98/'normal case'!D99</f>
        <v>0.2</v>
      </c>
      <c r="M100" s="18" t="str">
        <f>IF(controls!$B$44=0,"",'normal case'!AJ99)</f>
        <v/>
      </c>
      <c r="N100" s="18" t="str">
        <f>IF(controls!$B$44=0,"",'normal case'!AM99)</f>
        <v/>
      </c>
      <c r="O100" s="160" t="str">
        <f>IF(controls!$B$44=0,"",'external balance'!D99)</f>
        <v/>
      </c>
      <c r="P100" s="160" t="str">
        <f>IF(controls!$B$44=0,"",'external balance'!F99)</f>
        <v/>
      </c>
      <c r="Q100" s="159" t="str">
        <f>IF(controls!$B$44=0,"",'external balance'!H99)</f>
        <v/>
      </c>
      <c r="R100" s="158" t="str">
        <f>IF('inflation, income and interest'!$A$38=2,"",'delay in perception'!K100/100)</f>
        <v/>
      </c>
      <c r="S100" s="17" t="str">
        <f>IF('inflation, income and interest'!$A$38=2,"",('delay in perception'!E100-'delay in perception'!C100)/'delay in perception'!C100)</f>
        <v/>
      </c>
      <c r="T100" s="17" t="str">
        <f>IF('inflation, income and interest'!$A$38=2,"",('delay in perception'!E100-'delay in perception'!B100)/'delay in perception'!B100)</f>
        <v/>
      </c>
      <c r="U100" s="18" t="str">
        <f>IF('inflation, income and interest'!$A$38=2,"",'delay in perception'!E100)</f>
        <v/>
      </c>
      <c r="V100" s="24" t="str">
        <f>IF('inflation, income and interest'!$A$38=2,"",'delay in perception'!D100)</f>
        <v/>
      </c>
      <c r="W100" s="25" t="str">
        <f>IF('inflation, income and interest'!$A$38=2,"",'delay in perception'!M100/100)</f>
        <v/>
      </c>
      <c r="X100" s="21" t="str">
        <f>IF('inflation, income and interest'!$A$38=2,"",'delay in perception'!L100/100)</f>
        <v/>
      </c>
      <c r="Y100" s="158" t="str">
        <f>IF('inflation, income and interest'!$B$38=2,"",(hystere!E100-hystere!B100)/hystere!B100)</f>
        <v/>
      </c>
      <c r="Z100" s="396" t="str">
        <f>IF('inflation, income and interest'!$B$38=2,"",hystere!M100/100)</f>
        <v/>
      </c>
      <c r="AA100" s="18" t="str">
        <f>IF('inflation, income and interest'!$B$38=2,"",hystere!E100)</f>
        <v/>
      </c>
      <c r="AB100" s="24" t="str">
        <f>IF('inflation, income and interest'!$B$38=2,"",hystere!C100)</f>
        <v/>
      </c>
      <c r="AC100" s="17" t="str">
        <f>IF('inflation, income and interest'!$B$38=2,"",hystere!O100/100)</f>
        <v/>
      </c>
      <c r="AD100" s="17" t="str">
        <f>IF('inflation, income and interest'!$B$38=2,"",hystere!N100/100)</f>
        <v/>
      </c>
    </row>
    <row r="101" spans="1:30" ht="14" thickTop="1" thickBot="1">
      <c r="A101" s="15">
        <v>98</v>
      </c>
      <c r="B101" s="17">
        <f ca="1">('normal case'!D100-'normal case'!B100)/'normal case'!B100</f>
        <v>5.9014499777614481E-10</v>
      </c>
      <c r="C101" s="23">
        <f ca="1">'normal case'!D100</f>
        <v>101.00000005960464</v>
      </c>
      <c r="D101" s="24">
        <f ca="1">'normal case'!C100</f>
        <v>-1.5107707374006907E-7</v>
      </c>
      <c r="E101" s="22">
        <f ca="1">'normal case'!L100/100</f>
        <v>1.9999998807907104E-2</v>
      </c>
      <c r="F101" s="25">
        <f ca="1">'normal case'!U100/100</f>
        <v>5.499999850988388E-2</v>
      </c>
      <c r="G101" s="25">
        <f ca="1">'normal case'!T100/100</f>
        <v>3.4999999701976779E-2</v>
      </c>
      <c r="H101" s="25">
        <f ca="1">'public finance'!D99</f>
        <v>1.9802129779314939E-3</v>
      </c>
      <c r="I101" s="20">
        <f ca="1">'public finance'!E99</f>
        <v>5.0124577550189793E-2</v>
      </c>
      <c r="J101" s="118">
        <f ca="1">'public finance'!H99</f>
        <v>-1.3755532852058605</v>
      </c>
      <c r="K101" s="17">
        <f ca="1">'public finance'!C99/'normal case'!D100</f>
        <v>0.19801980186333762</v>
      </c>
      <c r="L101" s="20">
        <f ca="1">'public finance'!A99/'normal case'!D100</f>
        <v>0.2</v>
      </c>
      <c r="M101" s="18" t="str">
        <f>IF(controls!$B$44=0,"",'normal case'!AJ100)</f>
        <v/>
      </c>
      <c r="N101" s="18" t="str">
        <f>IF(controls!$B$44=0,"",'normal case'!AM100)</f>
        <v/>
      </c>
      <c r="O101" s="160" t="str">
        <f>IF(controls!$B$44=0,"",'external balance'!D100)</f>
        <v/>
      </c>
      <c r="P101" s="160" t="str">
        <f>IF(controls!$B$44=0,"",'external balance'!F100)</f>
        <v/>
      </c>
      <c r="Q101" s="159" t="str">
        <f>IF(controls!$B$44=0,"",'external balance'!H100)</f>
        <v/>
      </c>
      <c r="R101" s="158" t="str">
        <f>IF('inflation, income and interest'!$A$38=2,"",'delay in perception'!K101/100)</f>
        <v/>
      </c>
      <c r="S101" s="17" t="str">
        <f>IF('inflation, income and interest'!$A$38=2,"",('delay in perception'!E101-'delay in perception'!C101)/'delay in perception'!C101)</f>
        <v/>
      </c>
      <c r="T101" s="17" t="str">
        <f>IF('inflation, income and interest'!$A$38=2,"",('delay in perception'!E101-'delay in perception'!B101)/'delay in perception'!B101)</f>
        <v/>
      </c>
      <c r="U101" s="18" t="str">
        <f>IF('inflation, income and interest'!$A$38=2,"",'delay in perception'!E101)</f>
        <v/>
      </c>
      <c r="V101" s="24" t="str">
        <f>IF('inflation, income and interest'!$A$38=2,"",'delay in perception'!D101)</f>
        <v/>
      </c>
      <c r="W101" s="25" t="str">
        <f>IF('inflation, income and interest'!$A$38=2,"",'delay in perception'!M101/100)</f>
        <v/>
      </c>
      <c r="X101" s="21" t="str">
        <f>IF('inflation, income and interest'!$A$38=2,"",'delay in perception'!L101/100)</f>
        <v/>
      </c>
      <c r="Y101" s="158" t="str">
        <f>IF('inflation, income and interest'!$B$38=2,"",(hystere!E101-hystere!B101)/hystere!B101)</f>
        <v/>
      </c>
      <c r="Z101" s="396" t="str">
        <f>IF('inflation, income and interest'!$B$38=2,"",hystere!M101/100)</f>
        <v/>
      </c>
      <c r="AA101" s="18" t="str">
        <f>IF('inflation, income and interest'!$B$38=2,"",hystere!E101)</f>
        <v/>
      </c>
      <c r="AB101" s="24" t="str">
        <f>IF('inflation, income and interest'!$B$38=2,"",hystere!C101)</f>
        <v/>
      </c>
      <c r="AC101" s="17" t="str">
        <f>IF('inflation, income and interest'!$B$38=2,"",hystere!O101/100)</f>
        <v/>
      </c>
      <c r="AD101" s="17" t="str">
        <f>IF('inflation, income and interest'!$B$38=2,"",hystere!N101/100)</f>
        <v/>
      </c>
    </row>
    <row r="102" spans="1:30" ht="14" thickTop="1" thickBot="1">
      <c r="A102" s="15">
        <v>99</v>
      </c>
      <c r="B102" s="17">
        <f ca="1">('normal case'!D101-'normal case'!B101)/'normal case'!B101</f>
        <v>5.9014499777614481E-10</v>
      </c>
      <c r="C102" s="23">
        <f ca="1">'normal case'!D101</f>
        <v>101.00000005960464</v>
      </c>
      <c r="D102" s="24">
        <f ca="1">'normal case'!C101</f>
        <v>-1.5107707374006907E-7</v>
      </c>
      <c r="E102" s="22">
        <f ca="1">'normal case'!L101/100</f>
        <v>1.9999998807907104E-2</v>
      </c>
      <c r="F102" s="25">
        <f ca="1">'normal case'!U101/100</f>
        <v>5.499999850988388E-2</v>
      </c>
      <c r="G102" s="25">
        <f ca="1">'normal case'!T101/100</f>
        <v>3.4999999701976779E-2</v>
      </c>
      <c r="H102" s="25">
        <f ca="1">'public finance'!D100</f>
        <v>1.9802129779314939E-3</v>
      </c>
      <c r="I102" s="20">
        <f ca="1">'public finance'!E100</f>
        <v>5.1878937230063732E-2</v>
      </c>
      <c r="J102" s="118">
        <f ca="1">'public finance'!H100</f>
        <v>-1.4256778479147811</v>
      </c>
      <c r="K102" s="17">
        <f ca="1">'public finance'!C100/'normal case'!D101</f>
        <v>0.19801980186333762</v>
      </c>
      <c r="L102" s="20">
        <f ca="1">'public finance'!A100/'normal case'!D101</f>
        <v>0.2</v>
      </c>
      <c r="M102" s="18" t="str">
        <f>IF(controls!$B$44=0,"",'normal case'!AJ101)</f>
        <v/>
      </c>
      <c r="N102" s="18" t="str">
        <f>IF(controls!$B$44=0,"",'normal case'!AM101)</f>
        <v/>
      </c>
      <c r="O102" s="160" t="str">
        <f>IF(controls!$B$44=0,"",'external balance'!D101)</f>
        <v/>
      </c>
      <c r="P102" s="160" t="str">
        <f>IF(controls!$B$44=0,"",'external balance'!F101)</f>
        <v/>
      </c>
      <c r="Q102" s="159" t="str">
        <f>IF(controls!$B$44=0,"",'external balance'!H101)</f>
        <v/>
      </c>
      <c r="R102" s="158" t="str">
        <f>IF('inflation, income and interest'!$A$38=2,"",'delay in perception'!K102/100)</f>
        <v/>
      </c>
      <c r="S102" s="17" t="str">
        <f>IF('inflation, income and interest'!$A$38=2,"",('delay in perception'!E102-'delay in perception'!C102)/'delay in perception'!C102)</f>
        <v/>
      </c>
      <c r="T102" s="17" t="str">
        <f>IF('inflation, income and interest'!$A$38=2,"",('delay in perception'!E102-'delay in perception'!B102)/'delay in perception'!B102)</f>
        <v/>
      </c>
      <c r="U102" s="18" t="str">
        <f>IF('inflation, income and interest'!$A$38=2,"",'delay in perception'!E102)</f>
        <v/>
      </c>
      <c r="V102" s="24" t="str">
        <f>IF('inflation, income and interest'!$A$38=2,"",'delay in perception'!D102)</f>
        <v/>
      </c>
      <c r="W102" s="25" t="str">
        <f>IF('inflation, income and interest'!$A$38=2,"",'delay in perception'!M102/100)</f>
        <v/>
      </c>
      <c r="X102" s="21" t="str">
        <f>IF('inflation, income and interest'!$A$38=2,"",'delay in perception'!L102/100)</f>
        <v/>
      </c>
      <c r="Y102" s="158" t="str">
        <f>IF('inflation, income and interest'!$B$38=2,"",(hystere!E102-hystere!B102)/hystere!B102)</f>
        <v/>
      </c>
      <c r="Z102" s="396" t="str">
        <f>IF('inflation, income and interest'!$B$38=2,"",hystere!M102/100)</f>
        <v/>
      </c>
      <c r="AA102" s="18" t="str">
        <f>IF('inflation, income and interest'!$B$38=2,"",hystere!E102)</f>
        <v/>
      </c>
      <c r="AB102" s="24" t="str">
        <f>IF('inflation, income and interest'!$B$38=2,"",hystere!C102)</f>
        <v/>
      </c>
      <c r="AC102" s="17" t="str">
        <f>IF('inflation, income and interest'!$B$38=2,"",hystere!O102/100)</f>
        <v/>
      </c>
      <c r="AD102" s="17" t="str">
        <f>IF('inflation, income and interest'!$B$38=2,"",hystere!N102/100)</f>
        <v/>
      </c>
    </row>
    <row r="103" spans="1:30" ht="14" thickTop="1" thickBot="1">
      <c r="A103" s="15">
        <v>100</v>
      </c>
      <c r="B103" s="17">
        <f ca="1">('normal case'!D102-'normal case'!B102)/'normal case'!B102</f>
        <v>5.9014499777614481E-10</v>
      </c>
      <c r="C103" s="23">
        <f ca="1">'normal case'!D102</f>
        <v>101.00000005960464</v>
      </c>
      <c r="D103" s="24">
        <f ca="1">'normal case'!C102</f>
        <v>-1.5107707374006907E-7</v>
      </c>
      <c r="E103" s="22">
        <f ca="1">'normal case'!L102/100</f>
        <v>1.9999998807907104E-2</v>
      </c>
      <c r="F103" s="25">
        <f ca="1">'normal case'!U102/100</f>
        <v>5.499999850988388E-2</v>
      </c>
      <c r="G103" s="25">
        <f ca="1">'normal case'!T102/100</f>
        <v>3.4999999701976779E-2</v>
      </c>
      <c r="H103" s="25">
        <f ca="1">'public finance'!D101</f>
        <v>1.9802129779314939E-3</v>
      </c>
      <c r="I103" s="20">
        <f ca="1">'public finance'!E101</f>
        <v>5.369469949821043E-2</v>
      </c>
      <c r="J103" s="118">
        <f ca="1">'public finance'!H101</f>
        <v>-1.4775567703035759</v>
      </c>
      <c r="K103" s="17">
        <f ca="1">'public finance'!C101/'normal case'!D102</f>
        <v>0.19801980186333762</v>
      </c>
      <c r="L103" s="20">
        <f ca="1">'public finance'!A101/'normal case'!D102</f>
        <v>0.2</v>
      </c>
      <c r="M103" s="18" t="str">
        <f>IF(controls!$B$44=0,"",'normal case'!AJ102)</f>
        <v/>
      </c>
      <c r="N103" s="18" t="str">
        <f>IF(controls!$B$44=0,"",'normal case'!AM102)</f>
        <v/>
      </c>
      <c r="O103" s="160" t="str">
        <f>IF(controls!$B$44=0,"",'external balance'!D102)</f>
        <v/>
      </c>
      <c r="P103" s="160" t="str">
        <f>IF(controls!$B$44=0,"",'external balance'!F102)</f>
        <v/>
      </c>
      <c r="Q103" s="159" t="str">
        <f>IF(controls!$B$44=0,"",'external balance'!H102)</f>
        <v/>
      </c>
    </row>
    <row r="104" spans="1:30" ht="14" thickTop="1" thickBot="1">
      <c r="A104" s="15">
        <v>101</v>
      </c>
      <c r="B104" s="17">
        <f ca="1">('normal case'!D103-'normal case'!B103)/'normal case'!B103</f>
        <v>5.9014499777614481E-10</v>
      </c>
      <c r="C104" s="23">
        <f ca="1">'normal case'!D103</f>
        <v>101.00000005960464</v>
      </c>
      <c r="D104" s="24">
        <f ca="1">'normal case'!C103</f>
        <v>-1.5107707374006907E-7</v>
      </c>
      <c r="E104" s="22">
        <f ca="1">'normal case'!L103/100</f>
        <v>1.9999998807907104E-2</v>
      </c>
      <c r="F104" s="25">
        <f ca="1">'normal case'!U103/100</f>
        <v>5.499999850988388E-2</v>
      </c>
      <c r="G104" s="25">
        <f ca="1">'normal case'!T103/100</f>
        <v>3.4999999701976779E-2</v>
      </c>
      <c r="H104" s="25">
        <f ca="1">'public finance'!D102</f>
        <v>1.9802129779314939E-3</v>
      </c>
      <c r="I104" s="20">
        <f ca="1">'public finance'!E102</f>
        <v>5.5574013445201104E-2</v>
      </c>
      <c r="J104" s="118">
        <f ca="1">'public finance'!H102</f>
        <v>-1.5312514549605172</v>
      </c>
      <c r="K104" s="17">
        <f ca="1">'public finance'!C102/'normal case'!D103</f>
        <v>0.19801980186333762</v>
      </c>
      <c r="L104" s="20">
        <f ca="1">'public finance'!A102/'normal case'!D103</f>
        <v>0.2</v>
      </c>
      <c r="M104" s="18" t="str">
        <f>IF(controls!$B$44=0,"",'normal case'!AJ103)</f>
        <v/>
      </c>
      <c r="N104" s="18" t="str">
        <f>IF(controls!$B$44=0,"",'normal case'!AM103)</f>
        <v/>
      </c>
      <c r="O104" s="160" t="str">
        <f>IF(controls!$B$44=0,"",'external balance'!D103)</f>
        <v/>
      </c>
      <c r="P104" s="160" t="str">
        <f>IF(controls!$B$44=0,"",'external balance'!F103)</f>
        <v/>
      </c>
      <c r="Q104" s="159" t="str">
        <f>IF(controls!$B$44=0,"",'external balance'!H103)</f>
        <v/>
      </c>
    </row>
    <row r="105" spans="1:30" ht="14" thickTop="1" thickBot="1">
      <c r="A105" s="15">
        <v>102</v>
      </c>
      <c r="B105" s="17">
        <f ca="1">('normal case'!D104-'normal case'!B104)/'normal case'!B104</f>
        <v>5.9014499777614481E-10</v>
      </c>
      <c r="C105" s="23">
        <f ca="1">'normal case'!D104</f>
        <v>101.00000005960464</v>
      </c>
      <c r="D105" s="24">
        <f ca="1">'normal case'!C104</f>
        <v>-1.5107707374006907E-7</v>
      </c>
      <c r="E105" s="22">
        <f ca="1">'normal case'!L104/100</f>
        <v>1.9999998807907104E-2</v>
      </c>
      <c r="F105" s="25">
        <f ca="1">'normal case'!U104/100</f>
        <v>5.499999850988388E-2</v>
      </c>
      <c r="G105" s="25">
        <f ca="1">'normal case'!T104/100</f>
        <v>3.4999999701976779E-2</v>
      </c>
      <c r="H105" s="25">
        <f ca="1">'public finance'!D103</f>
        <v>1.9802129779314939E-3</v>
      </c>
      <c r="I105" s="20">
        <f ca="1">'public finance'!E103</f>
        <v>5.7519103379776372E-2</v>
      </c>
      <c r="J105" s="118">
        <f ca="1">'public finance'!H103</f>
        <v>-1.586825453564449</v>
      </c>
      <c r="K105" s="17">
        <f ca="1">'public finance'!C103/'normal case'!D104</f>
        <v>0.19801980186333762</v>
      </c>
      <c r="L105" s="20">
        <f ca="1">'public finance'!A103/'normal case'!D104</f>
        <v>0.2</v>
      </c>
      <c r="M105" s="18" t="str">
        <f>IF(controls!$B$44=0,"",'normal case'!AJ104)</f>
        <v/>
      </c>
      <c r="N105" s="18" t="str">
        <f>IF(controls!$B$44=0,"",'normal case'!AM104)</f>
        <v/>
      </c>
      <c r="O105" s="160" t="str">
        <f>IF(controls!$B$44=0,"",'external balance'!D104)</f>
        <v/>
      </c>
      <c r="P105" s="160" t="str">
        <f>IF(controls!$B$44=0,"",'external balance'!F104)</f>
        <v/>
      </c>
      <c r="Q105" s="159" t="str">
        <f>IF(controls!$B$44=0,"",'external balance'!H104)</f>
        <v/>
      </c>
    </row>
    <row r="106" spans="1:30" ht="14" thickTop="1" thickBot="1">
      <c r="A106" s="15">
        <v>103</v>
      </c>
      <c r="B106" s="17">
        <f ca="1">('normal case'!D105-'normal case'!B105)/'normal case'!B105</f>
        <v>5.9014499777614481E-10</v>
      </c>
      <c r="C106" s="23">
        <f ca="1">'normal case'!D105</f>
        <v>101.00000005960464</v>
      </c>
      <c r="D106" s="24">
        <f ca="1">'normal case'!C105</f>
        <v>-1.5107707374006907E-7</v>
      </c>
      <c r="E106" s="22">
        <f ca="1">'normal case'!L105/100</f>
        <v>1.9999998807907104E-2</v>
      </c>
      <c r="F106" s="25">
        <f ca="1">'normal case'!U105/100</f>
        <v>5.499999850988388E-2</v>
      </c>
      <c r="G106" s="25">
        <f ca="1">'normal case'!T105/100</f>
        <v>3.4999999701976779E-2</v>
      </c>
      <c r="H106" s="25">
        <f ca="1">'public finance'!D104</f>
        <v>1.9802129779314939E-3</v>
      </c>
      <c r="I106" s="20">
        <f ca="1">'public finance'!E104</f>
        <v>5.9532271461482114E-2</v>
      </c>
      <c r="J106" s="118">
        <f ca="1">'public finance'!H104</f>
        <v>-1.6443445421029563</v>
      </c>
      <c r="K106" s="17">
        <f ca="1">'public finance'!C104/'normal case'!D105</f>
        <v>0.19801980186333762</v>
      </c>
      <c r="L106" s="20">
        <f ca="1">'public finance'!A104/'normal case'!D105</f>
        <v>0.2</v>
      </c>
      <c r="M106" s="18" t="str">
        <f>IF(controls!$B$44=0,"",'normal case'!AJ105)</f>
        <v/>
      </c>
      <c r="N106" s="18" t="str">
        <f>IF(controls!$B$44=0,"",'normal case'!AM105)</f>
        <v/>
      </c>
      <c r="O106" s="160" t="str">
        <f>IF(controls!$B$44=0,"",'external balance'!D105)</f>
        <v/>
      </c>
      <c r="P106" s="160" t="str">
        <f>IF(controls!$B$44=0,"",'external balance'!F105)</f>
        <v/>
      </c>
      <c r="Q106" s="159" t="str">
        <f>IF(controls!$B$44=0,"",'external balance'!H105)</f>
        <v/>
      </c>
    </row>
    <row r="107" spans="1:30" ht="14" thickTop="1" thickBot="1">
      <c r="A107" s="15">
        <v>104</v>
      </c>
      <c r="B107" s="17">
        <f ca="1">('normal case'!D106-'normal case'!B106)/'normal case'!B106</f>
        <v>5.9014499777614481E-10</v>
      </c>
      <c r="C107" s="23">
        <f ca="1">'normal case'!D106</f>
        <v>101.00000005960464</v>
      </c>
      <c r="D107" s="24">
        <f ca="1">'normal case'!C106</f>
        <v>-1.5107707374006907E-7</v>
      </c>
      <c r="E107" s="22">
        <f ca="1">'normal case'!L106/100</f>
        <v>1.9999998807907104E-2</v>
      </c>
      <c r="F107" s="25">
        <f ca="1">'normal case'!U106/100</f>
        <v>5.499999850988388E-2</v>
      </c>
      <c r="G107" s="25">
        <f ca="1">'normal case'!T106/100</f>
        <v>3.4999999701976779E-2</v>
      </c>
      <c r="H107" s="25">
        <f ca="1">'public finance'!D105</f>
        <v>1.9802129779314939E-3</v>
      </c>
      <c r="I107" s="20">
        <f ca="1">'public finance'!E105</f>
        <v>6.1615900425447567E-2</v>
      </c>
      <c r="J107" s="118">
        <f ca="1">'public finance'!H105</f>
        <v>-1.7038767987231693</v>
      </c>
      <c r="K107" s="17">
        <f ca="1">'public finance'!C105/'normal case'!D106</f>
        <v>0.19801980186333762</v>
      </c>
      <c r="L107" s="20">
        <f ca="1">'public finance'!A105/'normal case'!D106</f>
        <v>0.2</v>
      </c>
      <c r="M107" s="18" t="str">
        <f>IF(controls!$B$44=0,"",'normal case'!AJ106)</f>
        <v/>
      </c>
      <c r="N107" s="18" t="str">
        <f>IF(controls!$B$44=0,"",'normal case'!AM106)</f>
        <v/>
      </c>
      <c r="O107" s="160" t="str">
        <f>IF(controls!$B$44=0,"",'external balance'!D106)</f>
        <v/>
      </c>
      <c r="P107" s="160" t="str">
        <f>IF(controls!$B$44=0,"",'external balance'!F106)</f>
        <v/>
      </c>
      <c r="Q107" s="159" t="str">
        <f>IF(controls!$B$44=0,"",'external balance'!H106)</f>
        <v/>
      </c>
    </row>
    <row r="108" spans="1:30" ht="14" thickTop="1" thickBot="1">
      <c r="A108" s="15">
        <v>105</v>
      </c>
      <c r="B108" s="17">
        <f ca="1">('normal case'!D107-'normal case'!B107)/'normal case'!B107</f>
        <v>5.9014499777614481E-10</v>
      </c>
      <c r="C108" s="23">
        <f ca="1">'normal case'!D107</f>
        <v>101.00000005960464</v>
      </c>
      <c r="D108" s="24">
        <f ca="1">'normal case'!C107</f>
        <v>-1.5107707374006907E-7</v>
      </c>
      <c r="E108" s="22">
        <f ca="1">'normal case'!L107/100</f>
        <v>1.9999998807907104E-2</v>
      </c>
      <c r="F108" s="25">
        <f ca="1">'normal case'!U107/100</f>
        <v>5.499999850988388E-2</v>
      </c>
      <c r="G108" s="25">
        <f ca="1">'normal case'!T107/100</f>
        <v>3.4999999701976779E-2</v>
      </c>
      <c r="H108" s="25">
        <f ca="1">'public finance'!D106</f>
        <v>1.9802129779314939E-3</v>
      </c>
      <c r="I108" s="20">
        <f ca="1">'public finance'!E106</f>
        <v>6.3772456402530847E-2</v>
      </c>
      <c r="J108" s="118">
        <f ca="1">'public finance'!H106</f>
        <v>-1.7654926843073477</v>
      </c>
      <c r="K108" s="17">
        <f ca="1">'public finance'!C106/'normal case'!D107</f>
        <v>0.19801980186333762</v>
      </c>
      <c r="L108" s="20">
        <f ca="1">'public finance'!A106/'normal case'!D107</f>
        <v>0.2</v>
      </c>
      <c r="M108" s="18" t="str">
        <f>IF(controls!$B$44=0,"",'normal case'!AJ107)</f>
        <v/>
      </c>
      <c r="N108" s="18" t="str">
        <f>IF(controls!$B$44=0,"",'normal case'!AM107)</f>
        <v/>
      </c>
      <c r="O108" s="160" t="str">
        <f>IF(controls!$B$44=0,"",'external balance'!D107)</f>
        <v/>
      </c>
      <c r="P108" s="160" t="str">
        <f>IF(controls!$B$44=0,"",'external balance'!F107)</f>
        <v/>
      </c>
      <c r="Q108" s="159" t="str">
        <f>IF(controls!$B$44=0,"",'external balance'!H107)</f>
        <v/>
      </c>
    </row>
    <row r="109" spans="1:30" ht="14" thickTop="1" thickBot="1">
      <c r="A109" s="15">
        <v>106</v>
      </c>
      <c r="B109" s="17">
        <f ca="1">('normal case'!D108-'normal case'!B108)/'normal case'!B108</f>
        <v>5.9014499777614481E-10</v>
      </c>
      <c r="C109" s="23">
        <f ca="1">'normal case'!D108</f>
        <v>101.00000005960464</v>
      </c>
      <c r="D109" s="24">
        <f ca="1">'normal case'!C108</f>
        <v>-1.5107707374006907E-7</v>
      </c>
      <c r="E109" s="22">
        <f ca="1">'normal case'!L108/100</f>
        <v>1.9999998807907104E-2</v>
      </c>
      <c r="F109" s="25">
        <f ca="1">'normal case'!U108/100</f>
        <v>5.499999850988388E-2</v>
      </c>
      <c r="G109" s="25">
        <f ca="1">'normal case'!T108/100</f>
        <v>3.4999999701976779E-2</v>
      </c>
      <c r="H109" s="25">
        <f ca="1">'public finance'!D107</f>
        <v>1.9802129779314939E-3</v>
      </c>
      <c r="I109" s="20">
        <f ca="1">'public finance'!E107</f>
        <v>6.6004491838169338E-2</v>
      </c>
      <c r="J109" s="118">
        <f ca="1">'public finance'!H107</f>
        <v>-1.8292651258686095</v>
      </c>
      <c r="K109" s="17">
        <f ca="1">'public finance'!C107/'normal case'!D108</f>
        <v>0.19801980186333762</v>
      </c>
      <c r="L109" s="20">
        <f ca="1">'public finance'!A107/'normal case'!D108</f>
        <v>0.2</v>
      </c>
      <c r="M109" s="18" t="str">
        <f>IF(controls!$B$44=0,"",'normal case'!AJ108)</f>
        <v/>
      </c>
      <c r="N109" s="18" t="str">
        <f>IF(controls!$B$44=0,"",'normal case'!AM108)</f>
        <v/>
      </c>
      <c r="O109" s="160" t="str">
        <f>IF(controls!$B$44=0,"",'external balance'!D108)</f>
        <v/>
      </c>
      <c r="P109" s="160" t="str">
        <f>IF(controls!$B$44=0,"",'external balance'!F108)</f>
        <v/>
      </c>
      <c r="Q109" s="159" t="str">
        <f>IF(controls!$B$44=0,"",'external balance'!H108)</f>
        <v/>
      </c>
    </row>
    <row r="110" spans="1:30" ht="14" thickTop="1" thickBot="1">
      <c r="A110" s="15">
        <v>107</v>
      </c>
      <c r="B110" s="17">
        <f ca="1">('normal case'!D109-'normal case'!B109)/'normal case'!B109</f>
        <v>5.9014499777614481E-10</v>
      </c>
      <c r="C110" s="23">
        <f ca="1">'normal case'!D109</f>
        <v>101.00000005960464</v>
      </c>
      <c r="D110" s="24">
        <f ca="1">'normal case'!C109</f>
        <v>-1.5107707374006907E-7</v>
      </c>
      <c r="E110" s="22">
        <f ca="1">'normal case'!L109/100</f>
        <v>1.9999998807907104E-2</v>
      </c>
      <c r="F110" s="25">
        <f ca="1">'normal case'!U109/100</f>
        <v>5.499999850988388E-2</v>
      </c>
      <c r="G110" s="25">
        <f ca="1">'normal case'!T109/100</f>
        <v>3.4999999701976779E-2</v>
      </c>
      <c r="H110" s="25">
        <f ca="1">'public finance'!D108</f>
        <v>1.9802129779314939E-3</v>
      </c>
      <c r="I110" s="20">
        <f ca="1">'public finance'!E108</f>
        <v>6.8314648513389975E-2</v>
      </c>
      <c r="J110" s="118">
        <f ca="1">'public finance'!H108</f>
        <v>-1.8952696028655096</v>
      </c>
      <c r="K110" s="17">
        <f ca="1">'public finance'!C108/'normal case'!D109</f>
        <v>0.19801980186333762</v>
      </c>
      <c r="L110" s="20">
        <f ca="1">'public finance'!A108/'normal case'!D109</f>
        <v>0.2</v>
      </c>
      <c r="M110" s="18" t="str">
        <f>IF(controls!$B$44=0,"",'normal case'!AJ109)</f>
        <v/>
      </c>
      <c r="N110" s="18" t="str">
        <f>IF(controls!$B$44=0,"",'normal case'!AM109)</f>
        <v/>
      </c>
      <c r="O110" s="160" t="str">
        <f>IF(controls!$B$44=0,"",'external balance'!D109)</f>
        <v/>
      </c>
      <c r="P110" s="160" t="str">
        <f>IF(controls!$B$44=0,"",'external balance'!F109)</f>
        <v/>
      </c>
      <c r="Q110" s="159" t="str">
        <f>IF(controls!$B$44=0,"",'external balance'!H109)</f>
        <v/>
      </c>
    </row>
    <row r="111" spans="1:30" ht="14" thickTop="1" thickBot="1">
      <c r="A111" s="15">
        <v>108</v>
      </c>
      <c r="B111" s="17">
        <f ca="1">('normal case'!D110-'normal case'!B110)/'normal case'!B110</f>
        <v>5.9014499777614481E-10</v>
      </c>
      <c r="C111" s="23">
        <f ca="1">'normal case'!D110</f>
        <v>101.00000005960464</v>
      </c>
      <c r="D111" s="24">
        <f ca="1">'normal case'!C110</f>
        <v>-1.5107707374006907E-7</v>
      </c>
      <c r="E111" s="22">
        <f ca="1">'normal case'!L110/100</f>
        <v>1.9999998807907104E-2</v>
      </c>
      <c r="F111" s="25">
        <f ca="1">'normal case'!U110/100</f>
        <v>5.499999850988388E-2</v>
      </c>
      <c r="G111" s="25">
        <f ca="1">'normal case'!T110/100</f>
        <v>3.4999999701976779E-2</v>
      </c>
      <c r="H111" s="25">
        <f ca="1">'public finance'!D109</f>
        <v>1.9802129779314939E-3</v>
      </c>
      <c r="I111" s="20">
        <f ca="1">'public finance'!E109</f>
        <v>7.0705660671554871E-2</v>
      </c>
      <c r="J111" s="118">
        <f ca="1">'public finance'!H109</f>
        <v>-1.9635842365376306</v>
      </c>
      <c r="K111" s="17">
        <f ca="1">'public finance'!C109/'normal case'!D110</f>
        <v>0.19801980186333762</v>
      </c>
      <c r="L111" s="20">
        <f ca="1">'public finance'!A109/'normal case'!D110</f>
        <v>0.2</v>
      </c>
      <c r="M111" s="18" t="str">
        <f>IF(controls!$B$44=0,"",'normal case'!AJ110)</f>
        <v/>
      </c>
      <c r="N111" s="18" t="str">
        <f>IF(controls!$B$44=0,"",'normal case'!AM110)</f>
        <v/>
      </c>
      <c r="O111" s="160" t="str">
        <f>IF(controls!$B$44=0,"",'external balance'!D110)</f>
        <v/>
      </c>
      <c r="P111" s="160" t="str">
        <f>IF(controls!$B$44=0,"",'external balance'!F110)</f>
        <v/>
      </c>
      <c r="Q111" s="159" t="str">
        <f>IF(controls!$B$44=0,"",'external balance'!H110)</f>
        <v/>
      </c>
    </row>
    <row r="112" spans="1:30" ht="14" thickTop="1" thickBot="1">
      <c r="A112" s="15">
        <v>109</v>
      </c>
      <c r="B112" s="17">
        <f ca="1">('normal case'!D111-'normal case'!B111)/'normal case'!B111</f>
        <v>5.9014499777614481E-10</v>
      </c>
      <c r="C112" s="23">
        <f ca="1">'normal case'!D111</f>
        <v>101.00000005960464</v>
      </c>
      <c r="D112" s="24">
        <f ca="1">'normal case'!C111</f>
        <v>-1.5107707374006907E-7</v>
      </c>
      <c r="E112" s="22">
        <f ca="1">'normal case'!L111/100</f>
        <v>1.9999998807907104E-2</v>
      </c>
      <c r="F112" s="25">
        <f ca="1">'normal case'!U111/100</f>
        <v>5.499999850988388E-2</v>
      </c>
      <c r="G112" s="25">
        <f ca="1">'normal case'!T111/100</f>
        <v>3.4999999701976779E-2</v>
      </c>
      <c r="H112" s="25">
        <f ca="1">'public finance'!D110</f>
        <v>1.9802129779314939E-3</v>
      </c>
      <c r="I112" s="20">
        <f ca="1">'public finance'!E110</f>
        <v>7.3180358254542943E-2</v>
      </c>
      <c r="J112" s="118">
        <f ca="1">'public finance'!H110</f>
        <v>-2.0342898823679163</v>
      </c>
      <c r="K112" s="17">
        <f ca="1">'public finance'!C110/'normal case'!D111</f>
        <v>0.19801980186333762</v>
      </c>
      <c r="L112" s="20">
        <f ca="1">'public finance'!A110/'normal case'!D111</f>
        <v>0.2</v>
      </c>
      <c r="M112" s="18" t="str">
        <f>IF(controls!$B$44=0,"",'normal case'!AJ111)</f>
        <v/>
      </c>
      <c r="N112" s="18" t="str">
        <f>IF(controls!$B$44=0,"",'normal case'!AM111)</f>
        <v/>
      </c>
      <c r="O112" s="160" t="str">
        <f>IF(controls!$B$44=0,"",'external balance'!D111)</f>
        <v/>
      </c>
      <c r="P112" s="160" t="str">
        <f>IF(controls!$B$44=0,"",'external balance'!F111)</f>
        <v/>
      </c>
      <c r="Q112" s="159" t="str">
        <f>IF(controls!$B$44=0,"",'external balance'!H111)</f>
        <v/>
      </c>
    </row>
    <row r="113" spans="1:17" ht="14" thickTop="1" thickBot="1">
      <c r="A113" s="15">
        <v>110</v>
      </c>
      <c r="B113" s="17">
        <f ca="1">('normal case'!D112-'normal case'!B112)/'normal case'!B112</f>
        <v>5.9014499777614481E-10</v>
      </c>
      <c r="C113" s="23">
        <f ca="1">'normal case'!D112</f>
        <v>101.00000005960464</v>
      </c>
      <c r="D113" s="24">
        <f ca="1">'normal case'!C112</f>
        <v>-1.5107707374006907E-7</v>
      </c>
      <c r="E113" s="22">
        <f ca="1">'normal case'!L112/100</f>
        <v>1.9999998807907104E-2</v>
      </c>
      <c r="F113" s="25">
        <f ca="1">'normal case'!U112/100</f>
        <v>5.499999850988388E-2</v>
      </c>
      <c r="G113" s="25">
        <f ca="1">'normal case'!T112/100</f>
        <v>3.4999999701976779E-2</v>
      </c>
      <c r="H113" s="25">
        <f ca="1">'public finance'!D111</f>
        <v>1.9802129779314939E-3</v>
      </c>
      <c r="I113" s="20">
        <f ca="1">'public finance'!E111</f>
        <v>7.5741670252198093E-2</v>
      </c>
      <c r="J113" s="118">
        <f ca="1">'public finance'!H111</f>
        <v>-2.1074702257811904</v>
      </c>
      <c r="K113" s="17">
        <f ca="1">'public finance'!C111/'normal case'!D112</f>
        <v>0.19801980186333762</v>
      </c>
      <c r="L113" s="20">
        <f ca="1">'public finance'!A111/'normal case'!D112</f>
        <v>0.2</v>
      </c>
      <c r="M113" s="18" t="str">
        <f>IF(controls!$B$44=0,"",'normal case'!AJ112)</f>
        <v/>
      </c>
      <c r="N113" s="18" t="str">
        <f>IF(controls!$B$44=0,"",'normal case'!AM112)</f>
        <v/>
      </c>
      <c r="O113" s="160" t="str">
        <f>IF(controls!$B$44=0,"",'external balance'!D112)</f>
        <v/>
      </c>
      <c r="P113" s="160" t="str">
        <f>IF(controls!$B$44=0,"",'external balance'!F112)</f>
        <v/>
      </c>
      <c r="Q113" s="159" t="str">
        <f>IF(controls!$B$44=0,"",'external balance'!H112)</f>
        <v/>
      </c>
    </row>
    <row r="114" spans="1:17" ht="14" thickTop="1" thickBot="1">
      <c r="A114" s="15">
        <v>111</v>
      </c>
      <c r="B114" s="17">
        <f ca="1">('normal case'!D113-'normal case'!B113)/'normal case'!B113</f>
        <v>5.9014499777614481E-10</v>
      </c>
      <c r="C114" s="23">
        <f ca="1">'normal case'!D113</f>
        <v>101.00000005960464</v>
      </c>
      <c r="D114" s="24">
        <f ca="1">'normal case'!C113</f>
        <v>-1.5107707374006907E-7</v>
      </c>
      <c r="E114" s="22">
        <f ca="1">'normal case'!L113/100</f>
        <v>1.9999998807907104E-2</v>
      </c>
      <c r="F114" s="25">
        <f ca="1">'normal case'!U113/100</f>
        <v>5.499999850988388E-2</v>
      </c>
      <c r="G114" s="25">
        <f ca="1">'normal case'!T113/100</f>
        <v>3.4999999701976779E-2</v>
      </c>
      <c r="H114" s="25">
        <f ca="1">'public finance'!D112</f>
        <v>1.9802129779314939E-3</v>
      </c>
      <c r="I114" s="20">
        <f ca="1">'public finance'!E112</f>
        <v>7.8392628169007841E-2</v>
      </c>
      <c r="J114" s="118">
        <f ca="1">'public finance'!H112</f>
        <v>-2.1832118811921193</v>
      </c>
      <c r="K114" s="17">
        <f ca="1">'public finance'!C112/'normal case'!D113</f>
        <v>0.19801980186333762</v>
      </c>
      <c r="L114" s="20">
        <f ca="1">'public finance'!A112/'normal case'!D113</f>
        <v>0.2</v>
      </c>
      <c r="M114" s="18" t="str">
        <f>IF(controls!$B$44=0,"",'normal case'!AJ113)</f>
        <v/>
      </c>
      <c r="N114" s="18" t="str">
        <f>IF(controls!$B$44=0,"",'normal case'!AM113)</f>
        <v/>
      </c>
      <c r="O114" s="160" t="str">
        <f>IF(controls!$B$44=0,"",'external balance'!D113)</f>
        <v/>
      </c>
      <c r="P114" s="160" t="str">
        <f>IF(controls!$B$44=0,"",'external balance'!F113)</f>
        <v/>
      </c>
      <c r="Q114" s="159" t="str">
        <f>IF(controls!$B$44=0,"",'external balance'!H113)</f>
        <v/>
      </c>
    </row>
    <row r="115" spans="1:17" ht="14" thickTop="1" thickBot="1">
      <c r="A115" s="15">
        <v>112</v>
      </c>
      <c r="B115" s="17">
        <f ca="1">('normal case'!D114-'normal case'!B114)/'normal case'!B114</f>
        <v>5.9014499777614481E-10</v>
      </c>
      <c r="C115" s="23">
        <f ca="1">'normal case'!D114</f>
        <v>101.00000005960464</v>
      </c>
      <c r="D115" s="24">
        <f ca="1">'normal case'!C114</f>
        <v>-1.5107707374006907E-7</v>
      </c>
      <c r="E115" s="22">
        <f ca="1">'normal case'!L114/100</f>
        <v>1.9999998807907104E-2</v>
      </c>
      <c r="F115" s="25">
        <f ca="1">'normal case'!U114/100</f>
        <v>5.499999850988388E-2</v>
      </c>
      <c r="G115" s="25">
        <f ca="1">'normal case'!T114/100</f>
        <v>3.4999999701976779E-2</v>
      </c>
      <c r="H115" s="25">
        <f ca="1">'public finance'!D113</f>
        <v>1.9802129779314939E-3</v>
      </c>
      <c r="I115" s="20">
        <f ca="1">'public finance'!E113</f>
        <v>8.1136369612115872E-2</v>
      </c>
      <c r="J115" s="118">
        <f ca="1">'public finance'!H113</f>
        <v>-2.2616044945198577</v>
      </c>
      <c r="K115" s="17">
        <f ca="1">'public finance'!C113/'normal case'!D114</f>
        <v>0.19801980186333762</v>
      </c>
      <c r="L115" s="20">
        <f ca="1">'public finance'!A113/'normal case'!D114</f>
        <v>0.2</v>
      </c>
      <c r="M115" s="18" t="str">
        <f>IF(controls!$B$44=0,"",'normal case'!AJ114)</f>
        <v/>
      </c>
      <c r="N115" s="18" t="str">
        <f>IF(controls!$B$44=0,"",'normal case'!AM114)</f>
        <v/>
      </c>
      <c r="O115" s="160" t="str">
        <f>IF(controls!$B$44=0,"",'external balance'!D114)</f>
        <v/>
      </c>
      <c r="P115" s="160" t="str">
        <f>IF(controls!$B$44=0,"",'external balance'!F114)</f>
        <v/>
      </c>
      <c r="Q115" s="159" t="str">
        <f>IF(controls!$B$44=0,"",'external balance'!H114)</f>
        <v/>
      </c>
    </row>
    <row r="116" spans="1:17" ht="14" thickTop="1" thickBot="1">
      <c r="A116" s="15">
        <v>113</v>
      </c>
      <c r="B116" s="17">
        <f ca="1">('normal case'!D115-'normal case'!B115)/'normal case'!B115</f>
        <v>5.9014499777614481E-10</v>
      </c>
      <c r="C116" s="23">
        <f ca="1">'normal case'!D115</f>
        <v>101.00000005960464</v>
      </c>
      <c r="D116" s="24">
        <f ca="1">'normal case'!C115</f>
        <v>-1.5107707374006907E-7</v>
      </c>
      <c r="E116" s="22">
        <f ca="1">'normal case'!L115/100</f>
        <v>1.9999998807907104E-2</v>
      </c>
      <c r="F116" s="25">
        <f ca="1">'normal case'!U115/100</f>
        <v>5.499999850988388E-2</v>
      </c>
      <c r="G116" s="25">
        <f ca="1">'normal case'!T115/100</f>
        <v>3.4999999701976779E-2</v>
      </c>
      <c r="H116" s="25">
        <f ca="1">'public finance'!D114</f>
        <v>1.9802129779314939E-3</v>
      </c>
      <c r="I116" s="20">
        <f ca="1">'public finance'!E114</f>
        <v>8.3976142004914975E-2</v>
      </c>
      <c r="J116" s="118">
        <f ca="1">'public finance'!H114</f>
        <v>-2.3427408492907045</v>
      </c>
      <c r="K116" s="17">
        <f ca="1">'public finance'!C114/'normal case'!D115</f>
        <v>0.19801980186333762</v>
      </c>
      <c r="L116" s="20">
        <f ca="1">'public finance'!A114/'normal case'!D115</f>
        <v>0.2</v>
      </c>
      <c r="M116" s="18" t="str">
        <f>IF(controls!$B$44=0,"",'normal case'!AJ115)</f>
        <v/>
      </c>
      <c r="N116" s="18" t="str">
        <f>IF(controls!$B$44=0,"",'normal case'!AM115)</f>
        <v/>
      </c>
      <c r="O116" s="160" t="str">
        <f>IF(controls!$B$44=0,"",'external balance'!D115)</f>
        <v/>
      </c>
      <c r="P116" s="160" t="str">
        <f>IF(controls!$B$44=0,"",'external balance'!F115)</f>
        <v/>
      </c>
      <c r="Q116" s="159" t="str">
        <f>IF(controls!$B$44=0,"",'external balance'!H115)</f>
        <v/>
      </c>
    </row>
    <row r="117" spans="1:17" ht="14" thickTop="1" thickBot="1">
      <c r="A117" s="15">
        <v>114</v>
      </c>
      <c r="B117" s="17">
        <f ca="1">('normal case'!D116-'normal case'!B116)/'normal case'!B116</f>
        <v>5.9014499777614481E-10</v>
      </c>
      <c r="C117" s="23">
        <f ca="1">'normal case'!D116</f>
        <v>101.00000005960464</v>
      </c>
      <c r="D117" s="24">
        <f ca="1">'normal case'!C116</f>
        <v>-1.5107707374006907E-7</v>
      </c>
      <c r="E117" s="22">
        <f ca="1">'normal case'!L116/100</f>
        <v>1.9999998807907104E-2</v>
      </c>
      <c r="F117" s="25">
        <f ca="1">'normal case'!U116/100</f>
        <v>5.499999850988388E-2</v>
      </c>
      <c r="G117" s="25">
        <f ca="1">'normal case'!T116/100</f>
        <v>3.4999999701976779E-2</v>
      </c>
      <c r="H117" s="25">
        <f ca="1">'public finance'!D115</f>
        <v>1.9802129779314939E-3</v>
      </c>
      <c r="I117" s="20">
        <f ca="1">'public finance'!E115</f>
        <v>8.6915306430615735E-2</v>
      </c>
      <c r="J117" s="118">
        <f ca="1">'public finance'!H115</f>
        <v>-2.4267169764543501</v>
      </c>
      <c r="K117" s="17">
        <f ca="1">'public finance'!C115/'normal case'!D116</f>
        <v>0.19801980186333762</v>
      </c>
      <c r="L117" s="20">
        <f ca="1">'public finance'!A115/'normal case'!D116</f>
        <v>0.2</v>
      </c>
      <c r="M117" s="18" t="str">
        <f>IF(controls!$B$44=0,"",'normal case'!AJ116)</f>
        <v/>
      </c>
      <c r="N117" s="18" t="str">
        <f>IF(controls!$B$44=0,"",'normal case'!AM116)</f>
        <v/>
      </c>
      <c r="O117" s="160" t="str">
        <f>IF(controls!$B$44=0,"",'external balance'!D116)</f>
        <v/>
      </c>
      <c r="P117" s="160" t="str">
        <f>IF(controls!$B$44=0,"",'external balance'!F116)</f>
        <v/>
      </c>
      <c r="Q117" s="159" t="str">
        <f>IF(controls!$B$44=0,"",'external balance'!H116)</f>
        <v/>
      </c>
    </row>
    <row r="118" spans="1:17" ht="14" thickTop="1" thickBot="1">
      <c r="A118" s="15">
        <v>115</v>
      </c>
      <c r="B118" s="17">
        <f ca="1">('normal case'!D117-'normal case'!B117)/'normal case'!B117</f>
        <v>5.9014499777614481E-10</v>
      </c>
      <c r="C118" s="23">
        <f ca="1">'normal case'!D117</f>
        <v>101.00000005960464</v>
      </c>
      <c r="D118" s="24">
        <f ca="1">'normal case'!C117</f>
        <v>-1.5107707374006907E-7</v>
      </c>
      <c r="E118" s="22">
        <f ca="1">'normal case'!L117/100</f>
        <v>1.9999998807907104E-2</v>
      </c>
      <c r="F118" s="25">
        <f ca="1">'normal case'!U117/100</f>
        <v>5.499999850988388E-2</v>
      </c>
      <c r="G118" s="25">
        <f ca="1">'normal case'!T117/100</f>
        <v>3.4999999701976779E-2</v>
      </c>
      <c r="H118" s="25">
        <f ca="1">'public finance'!D116</f>
        <v>1.9802129779314939E-3</v>
      </c>
      <c r="I118" s="20">
        <f ca="1">'public finance'!E116</f>
        <v>8.9957341610340108E-2</v>
      </c>
      <c r="J118" s="118">
        <f ca="1">'public finance'!H116</f>
        <v>-2.5136322680436969</v>
      </c>
      <c r="K118" s="17">
        <f ca="1">'public finance'!C116/'normal case'!D117</f>
        <v>0.19801980186333762</v>
      </c>
      <c r="L118" s="20">
        <f ca="1">'public finance'!A116/'normal case'!D117</f>
        <v>0.2</v>
      </c>
      <c r="M118" s="18" t="str">
        <f>IF(controls!$B$44=0,"",'normal case'!AJ117)</f>
        <v/>
      </c>
      <c r="N118" s="18" t="str">
        <f>IF(controls!$B$44=0,"",'normal case'!AM117)</f>
        <v/>
      </c>
      <c r="O118" s="160" t="str">
        <f>IF(controls!$B$44=0,"",'external balance'!D117)</f>
        <v/>
      </c>
      <c r="P118" s="160" t="str">
        <f>IF(controls!$B$44=0,"",'external balance'!F117)</f>
        <v/>
      </c>
      <c r="Q118" s="159" t="str">
        <f>IF(controls!$B$44=0,"",'external balance'!H117)</f>
        <v/>
      </c>
    </row>
    <row r="119" spans="1:17" ht="14" thickTop="1" thickBot="1">
      <c r="A119" s="15">
        <v>116</v>
      </c>
      <c r="B119" s="17">
        <f ca="1">('normal case'!D118-'normal case'!B118)/'normal case'!B118</f>
        <v>5.9014499777614481E-10</v>
      </c>
      <c r="C119" s="23">
        <f ca="1">'normal case'!D118</f>
        <v>101.00000005960464</v>
      </c>
      <c r="D119" s="24">
        <f ca="1">'normal case'!C118</f>
        <v>-1.5107707374006907E-7</v>
      </c>
      <c r="E119" s="22">
        <f ca="1">'normal case'!L118/100</f>
        <v>1.9999998807907104E-2</v>
      </c>
      <c r="F119" s="25">
        <f ca="1">'normal case'!U118/100</f>
        <v>5.499999850988388E-2</v>
      </c>
      <c r="G119" s="25">
        <f ca="1">'normal case'!T118/100</f>
        <v>3.4999999701976779E-2</v>
      </c>
      <c r="H119" s="25">
        <f ca="1">'public finance'!D117</f>
        <v>1.9802129779314939E-3</v>
      </c>
      <c r="I119" s="20">
        <f ca="1">'public finance'!E117</f>
        <v>9.3105848020448204E-2</v>
      </c>
      <c r="J119" s="118">
        <f ca="1">'public finance'!H117</f>
        <v>-2.6035895948127674</v>
      </c>
      <c r="K119" s="17">
        <f ca="1">'public finance'!C117/'normal case'!D118</f>
        <v>0.19801980186333762</v>
      </c>
      <c r="L119" s="20">
        <f ca="1">'public finance'!A117/'normal case'!D118</f>
        <v>0.2</v>
      </c>
      <c r="M119" s="18" t="str">
        <f>IF(controls!$B$44=0,"",'normal case'!AJ118)</f>
        <v/>
      </c>
      <c r="N119" s="18" t="str">
        <f>IF(controls!$B$44=0,"",'normal case'!AM118)</f>
        <v/>
      </c>
      <c r="O119" s="160" t="str">
        <f>IF(controls!$B$44=0,"",'external balance'!D118)</f>
        <v/>
      </c>
      <c r="P119" s="160" t="str">
        <f>IF(controls!$B$44=0,"",'external balance'!F118)</f>
        <v/>
      </c>
      <c r="Q119" s="159" t="str">
        <f>IF(controls!$B$44=0,"",'external balance'!H118)</f>
        <v/>
      </c>
    </row>
    <row r="120" spans="1:17" ht="14" thickTop="1" thickBot="1">
      <c r="A120" s="15">
        <v>117</v>
      </c>
      <c r="B120" s="17">
        <f ca="1">('normal case'!D119-'normal case'!B119)/'normal case'!B119</f>
        <v>5.9014499777614481E-10</v>
      </c>
      <c r="C120" s="23">
        <f ca="1">'normal case'!D119</f>
        <v>101.00000005960464</v>
      </c>
      <c r="D120" s="24">
        <f ca="1">'normal case'!C119</f>
        <v>-1.5107707374006907E-7</v>
      </c>
      <c r="E120" s="22">
        <f ca="1">'normal case'!L119/100</f>
        <v>1.9999998807907104E-2</v>
      </c>
      <c r="F120" s="25">
        <f ca="1">'normal case'!U119/100</f>
        <v>5.499999850988388E-2</v>
      </c>
      <c r="G120" s="25">
        <f ca="1">'normal case'!T119/100</f>
        <v>3.4999999701976779E-2</v>
      </c>
      <c r="H120" s="25">
        <f ca="1">'public finance'!D118</f>
        <v>1.9802129779314939E-3</v>
      </c>
      <c r="I120" s="20">
        <f ca="1">'public finance'!E118</f>
        <v>9.6364552153971758E-2</v>
      </c>
      <c r="J120" s="118">
        <f ca="1">'public finance'!H118</f>
        <v>-2.6966954279919459</v>
      </c>
      <c r="K120" s="17">
        <f ca="1">'public finance'!C118/'normal case'!D119</f>
        <v>0.19801980186333762</v>
      </c>
      <c r="L120" s="20">
        <f ca="1">'public finance'!A118/'normal case'!D119</f>
        <v>0.2</v>
      </c>
      <c r="M120" s="18" t="str">
        <f>IF(controls!$B$44=0,"",'normal case'!AJ119)</f>
        <v/>
      </c>
      <c r="N120" s="18" t="str">
        <f>IF(controls!$B$44=0,"",'normal case'!AM119)</f>
        <v/>
      </c>
      <c r="O120" s="160" t="str">
        <f>IF(controls!$B$44=0,"",'external balance'!D119)</f>
        <v/>
      </c>
      <c r="P120" s="160" t="str">
        <f>IF(controls!$B$44=0,"",'external balance'!F119)</f>
        <v/>
      </c>
      <c r="Q120" s="159" t="str">
        <f>IF(controls!$B$44=0,"",'external balance'!H119)</f>
        <v/>
      </c>
    </row>
    <row r="121" spans="1:17" ht="14" thickTop="1" thickBot="1">
      <c r="A121" s="15">
        <v>118</v>
      </c>
      <c r="B121" s="17">
        <f ca="1">('normal case'!D120-'normal case'!B120)/'normal case'!B120</f>
        <v>5.9014499777614481E-10</v>
      </c>
      <c r="C121" s="23">
        <f ca="1">'normal case'!D120</f>
        <v>101.00000005960464</v>
      </c>
      <c r="D121" s="24">
        <f ca="1">'normal case'!C120</f>
        <v>-1.5107707374006907E-7</v>
      </c>
      <c r="E121" s="22">
        <f ca="1">'normal case'!L120/100</f>
        <v>1.9999998807907104E-2</v>
      </c>
      <c r="F121" s="25">
        <f ca="1">'normal case'!U120/100</f>
        <v>5.499999850988388E-2</v>
      </c>
      <c r="G121" s="25">
        <f ca="1">'normal case'!T120/100</f>
        <v>3.4999999701976779E-2</v>
      </c>
      <c r="H121" s="25">
        <f ca="1">'public finance'!D119</f>
        <v>1.9802129779314939E-3</v>
      </c>
      <c r="I121" s="20">
        <f ca="1">'public finance'!E119</f>
        <v>9.9737310931197448E-2</v>
      </c>
      <c r="J121" s="118">
        <f ca="1">'public finance'!H119</f>
        <v>-2.7930599653046482</v>
      </c>
      <c r="K121" s="17">
        <f ca="1">'public finance'!C119/'normal case'!D120</f>
        <v>0.19801980186333762</v>
      </c>
      <c r="L121" s="20">
        <f ca="1">'public finance'!A119/'normal case'!D120</f>
        <v>0.2</v>
      </c>
      <c r="M121" s="18" t="str">
        <f>IF(controls!$B$44=0,"",'normal case'!AJ120)</f>
        <v/>
      </c>
      <c r="N121" s="18" t="str">
        <f>IF(controls!$B$44=0,"",'normal case'!AM120)</f>
        <v/>
      </c>
      <c r="O121" s="160" t="str">
        <f>IF(controls!$B$44=0,"",'external balance'!D120)</f>
        <v/>
      </c>
      <c r="P121" s="160" t="str">
        <f>IF(controls!$B$44=0,"",'external balance'!F120)</f>
        <v/>
      </c>
      <c r="Q121" s="159" t="str">
        <f>IF(controls!$B$44=0,"",'external balance'!H120)</f>
        <v/>
      </c>
    </row>
    <row r="122" spans="1:17" ht="14" thickTop="1" thickBot="1">
      <c r="A122" s="15">
        <v>119</v>
      </c>
      <c r="B122" s="17">
        <f ca="1">('normal case'!D121-'normal case'!B121)/'normal case'!B121</f>
        <v>5.9014499777614481E-10</v>
      </c>
      <c r="C122" s="23">
        <f ca="1">'normal case'!D121</f>
        <v>101.00000005960464</v>
      </c>
      <c r="D122" s="24">
        <f ca="1">'normal case'!C121</f>
        <v>-1.5107707374006907E-7</v>
      </c>
      <c r="E122" s="22">
        <f ca="1">'normal case'!L121/100</f>
        <v>1.9999998807907104E-2</v>
      </c>
      <c r="F122" s="25">
        <f ca="1">'normal case'!U121/100</f>
        <v>5.499999850988388E-2</v>
      </c>
      <c r="G122" s="25">
        <f ca="1">'normal case'!T121/100</f>
        <v>3.4999999701976779E-2</v>
      </c>
      <c r="H122" s="25">
        <f ca="1">'public finance'!D120</f>
        <v>1.9802129779314939E-3</v>
      </c>
      <c r="I122" s="20">
        <f ca="1">'public finance'!E120</f>
        <v>0.1032281162646209</v>
      </c>
      <c r="J122" s="118">
        <f ca="1">'public finance'!H120</f>
        <v>-2.892797261394576</v>
      </c>
      <c r="K122" s="17">
        <f ca="1">'public finance'!C120/'normal case'!D121</f>
        <v>0.19801980186333762</v>
      </c>
      <c r="L122" s="20">
        <f ca="1">'public finance'!A120/'normal case'!D121</f>
        <v>0.2</v>
      </c>
      <c r="M122" s="18" t="str">
        <f>IF(controls!$B$44=0,"",'normal case'!AJ121)</f>
        <v/>
      </c>
      <c r="N122" s="18" t="str">
        <f>IF(controls!$B$44=0,"",'normal case'!AM121)</f>
        <v/>
      </c>
      <c r="O122" s="160" t="str">
        <f>IF(controls!$B$44=0,"",'external balance'!D121)</f>
        <v/>
      </c>
      <c r="P122" s="160" t="str">
        <f>IF(controls!$B$44=0,"",'external balance'!F121)</f>
        <v/>
      </c>
      <c r="Q122" s="159" t="str">
        <f>IF(controls!$B$44=0,"",'external balance'!H121)</f>
        <v/>
      </c>
    </row>
    <row r="123" spans="1:17" ht="14" thickTop="1" thickBot="1">
      <c r="A123" s="15">
        <v>120</v>
      </c>
      <c r="B123" s="17">
        <f ca="1">('normal case'!D122-'normal case'!B122)/'normal case'!B122</f>
        <v>5.9014499777614481E-10</v>
      </c>
      <c r="C123" s="23">
        <f ca="1">'normal case'!D122</f>
        <v>101.00000005960464</v>
      </c>
      <c r="D123" s="24">
        <f ca="1">'normal case'!C122</f>
        <v>-1.5107707374006907E-7</v>
      </c>
      <c r="E123" s="22">
        <f ca="1">'normal case'!L122/100</f>
        <v>1.9999998807907104E-2</v>
      </c>
      <c r="F123" s="25">
        <f ca="1">'normal case'!U122/100</f>
        <v>5.499999850988388E-2</v>
      </c>
      <c r="G123" s="25">
        <f ca="1">'normal case'!T122/100</f>
        <v>3.4999999701976779E-2</v>
      </c>
      <c r="H123" s="25">
        <f ca="1">'public finance'!D121</f>
        <v>1.9802129779314939E-3</v>
      </c>
      <c r="I123" s="20">
        <f ca="1">'public finance'!E121</f>
        <v>0.10684109978367383</v>
      </c>
      <c r="J123" s="118">
        <f ca="1">'public finance'!H121</f>
        <v>-2.9960253628179276</v>
      </c>
      <c r="K123" s="17">
        <f ca="1">'public finance'!C121/'normal case'!D122</f>
        <v>0.19801980186333762</v>
      </c>
      <c r="L123" s="20">
        <f ca="1">'public finance'!A121/'normal case'!D122</f>
        <v>0.2</v>
      </c>
      <c r="M123" s="18" t="str">
        <f>IF(controls!$B$44=0,"",'normal case'!AJ122)</f>
        <v/>
      </c>
      <c r="N123" s="18" t="str">
        <f>IF(controls!$B$44=0,"",'normal case'!AM122)</f>
        <v/>
      </c>
      <c r="O123" s="160" t="str">
        <f>IF(controls!$B$44=0,"",'external balance'!D122)</f>
        <v/>
      </c>
      <c r="P123" s="160" t="str">
        <f>IF(controls!$B$44=0,"",'external balance'!F122)</f>
        <v/>
      </c>
      <c r="Q123" s="159" t="str">
        <f>IF(controls!$B$44=0,"",'external balance'!H122)</f>
        <v/>
      </c>
    </row>
    <row r="124" spans="1:17" ht="14" thickTop="1" thickBot="1">
      <c r="A124" s="15">
        <v>121</v>
      </c>
      <c r="B124" s="17">
        <f ca="1">('normal case'!D123-'normal case'!B123)/'normal case'!B123</f>
        <v>5.9014499777614481E-10</v>
      </c>
      <c r="C124" s="23">
        <f ca="1">'normal case'!D123</f>
        <v>101.00000005960464</v>
      </c>
      <c r="D124" s="24">
        <f ca="1">'normal case'!C123</f>
        <v>-1.5107707374006907E-7</v>
      </c>
      <c r="E124" s="22">
        <f ca="1">'normal case'!L123/100</f>
        <v>1.9999998807907104E-2</v>
      </c>
      <c r="F124" s="25">
        <f ca="1">'normal case'!U123/100</f>
        <v>5.499999850988388E-2</v>
      </c>
      <c r="G124" s="25">
        <f ca="1">'normal case'!T123/100</f>
        <v>3.4999999701976779E-2</v>
      </c>
      <c r="H124" s="25">
        <f ca="1">'public finance'!D122</f>
        <v>1.9802129779314939E-3</v>
      </c>
      <c r="I124" s="20">
        <f ca="1">'public finance'!E122</f>
        <v>0.11058053772481687</v>
      </c>
      <c r="J124" s="118">
        <f ca="1">'public finance'!H122</f>
        <v>-3.102866447760332</v>
      </c>
      <c r="K124" s="17">
        <f ca="1">'public finance'!C122/'normal case'!D123</f>
        <v>0.19801980186333762</v>
      </c>
      <c r="L124" s="20">
        <f ca="1">'public finance'!A122/'normal case'!D123</f>
        <v>0.2</v>
      </c>
      <c r="M124" s="18" t="str">
        <f>IF(controls!$B$44=0,"",'normal case'!AJ123)</f>
        <v/>
      </c>
      <c r="N124" s="18" t="str">
        <f>IF(controls!$B$44=0,"",'normal case'!AM123)</f>
        <v/>
      </c>
      <c r="O124" s="160" t="str">
        <f>IF(controls!$B$44=0,"",'external balance'!D123)</f>
        <v/>
      </c>
      <c r="P124" s="160" t="str">
        <f>IF(controls!$B$44=0,"",'external balance'!F123)</f>
        <v/>
      </c>
      <c r="Q124" s="159" t="str">
        <f>IF(controls!$B$44=0,"",'external balance'!H123)</f>
        <v/>
      </c>
    </row>
    <row r="125" spans="1:17" ht="14" thickTop="1" thickBot="1">
      <c r="A125" s="15">
        <v>122</v>
      </c>
      <c r="B125" s="17">
        <f ca="1">('normal case'!D124-'normal case'!B124)/'normal case'!B124</f>
        <v>5.9014499777614481E-10</v>
      </c>
      <c r="C125" s="23">
        <f ca="1">'normal case'!D124</f>
        <v>101.00000005960464</v>
      </c>
      <c r="D125" s="24">
        <f ca="1">'normal case'!C124</f>
        <v>-1.5107707374006907E-7</v>
      </c>
      <c r="E125" s="22">
        <f ca="1">'normal case'!L124/100</f>
        <v>1.9999998807907104E-2</v>
      </c>
      <c r="F125" s="25">
        <f ca="1">'normal case'!U124/100</f>
        <v>5.499999850988388E-2</v>
      </c>
      <c r="G125" s="25">
        <f ca="1">'normal case'!T124/100</f>
        <v>3.4999999701976779E-2</v>
      </c>
      <c r="H125" s="25">
        <f ca="1">'public finance'!D123</f>
        <v>1.9802129779314939E-3</v>
      </c>
      <c r="I125" s="20">
        <f ca="1">'public finance'!E123</f>
        <v>0.11445085599278546</v>
      </c>
      <c r="J125" s="118">
        <f ca="1">'public finance'!H123</f>
        <v>-3.2134469706438793</v>
      </c>
      <c r="K125" s="17">
        <f ca="1">'public finance'!C123/'normal case'!D124</f>
        <v>0.19801980186333762</v>
      </c>
      <c r="L125" s="20">
        <f ca="1">'public finance'!A123/'normal case'!D124</f>
        <v>0.2</v>
      </c>
      <c r="M125" s="18" t="str">
        <f>IF(controls!$B$44=0,"",'normal case'!AJ124)</f>
        <v/>
      </c>
      <c r="N125" s="18" t="str">
        <f>IF(controls!$B$44=0,"",'normal case'!AM124)</f>
        <v/>
      </c>
      <c r="O125" s="160" t="str">
        <f>IF(controls!$B$44=0,"",'external balance'!D124)</f>
        <v/>
      </c>
      <c r="P125" s="160" t="str">
        <f>IF(controls!$B$44=0,"",'external balance'!F124)</f>
        <v/>
      </c>
      <c r="Q125" s="159" t="str">
        <f>IF(controls!$B$44=0,"",'external balance'!H124)</f>
        <v/>
      </c>
    </row>
    <row r="126" spans="1:17" ht="14" thickTop="1" thickBot="1">
      <c r="A126" s="15">
        <v>123</v>
      </c>
      <c r="B126" s="17">
        <f ca="1">('normal case'!D125-'normal case'!B125)/'normal case'!B125</f>
        <v>5.9014499777614481E-10</v>
      </c>
      <c r="C126" s="23">
        <f ca="1">'normal case'!D125</f>
        <v>101.00000005960464</v>
      </c>
      <c r="D126" s="24">
        <f ca="1">'normal case'!C125</f>
        <v>-1.5107707374006907E-7</v>
      </c>
      <c r="E126" s="22">
        <f ca="1">'normal case'!L125/100</f>
        <v>1.9999998807907104E-2</v>
      </c>
      <c r="F126" s="25">
        <f ca="1">'normal case'!U125/100</f>
        <v>5.499999850988388E-2</v>
      </c>
      <c r="G126" s="25">
        <f ca="1">'normal case'!T125/100</f>
        <v>3.4999999701976779E-2</v>
      </c>
      <c r="H126" s="25">
        <f ca="1">'public finance'!D124</f>
        <v>1.9802129779314939E-3</v>
      </c>
      <c r="I126" s="20">
        <f ca="1">'public finance'!E124</f>
        <v>0.11845663539897951</v>
      </c>
      <c r="J126" s="118">
        <f ca="1">'public finance'!H124</f>
        <v>-3.3278978117953955</v>
      </c>
      <c r="K126" s="17">
        <f ca="1">'public finance'!C124/'normal case'!D125</f>
        <v>0.19801980186333762</v>
      </c>
      <c r="L126" s="20">
        <f ca="1">'public finance'!A124/'normal case'!D125</f>
        <v>0.2</v>
      </c>
      <c r="M126" s="18" t="str">
        <f>IF(controls!$B$44=0,"",'normal case'!AJ125)</f>
        <v/>
      </c>
      <c r="N126" s="18" t="str">
        <f>IF(controls!$B$44=0,"",'normal case'!AM125)</f>
        <v/>
      </c>
      <c r="O126" s="160" t="str">
        <f>IF(controls!$B$44=0,"",'external balance'!D125)</f>
        <v/>
      </c>
      <c r="P126" s="160" t="str">
        <f>IF(controls!$B$44=0,"",'external balance'!F125)</f>
        <v/>
      </c>
      <c r="Q126" s="159" t="str">
        <f>IF(controls!$B$44=0,"",'external balance'!H125)</f>
        <v/>
      </c>
    </row>
    <row r="127" spans="1:17" ht="14" thickTop="1" thickBot="1">
      <c r="A127" s="15">
        <v>124</v>
      </c>
      <c r="B127" s="17">
        <f ca="1">('normal case'!D126-'normal case'!B126)/'normal case'!B126</f>
        <v>5.9014499777614481E-10</v>
      </c>
      <c r="C127" s="23">
        <f ca="1">'normal case'!D126</f>
        <v>101.00000005960464</v>
      </c>
      <c r="D127" s="24">
        <f ca="1">'normal case'!C126</f>
        <v>-1.5107707374006907E-7</v>
      </c>
      <c r="E127" s="22">
        <f ca="1">'normal case'!L126/100</f>
        <v>1.9999998807907104E-2</v>
      </c>
      <c r="F127" s="25">
        <f ca="1">'normal case'!U126/100</f>
        <v>5.499999850988388E-2</v>
      </c>
      <c r="G127" s="25">
        <f ca="1">'normal case'!T126/100</f>
        <v>3.4999999701976779E-2</v>
      </c>
      <c r="H127" s="25">
        <f ca="1">'public finance'!D125</f>
        <v>1.9802129779314939E-3</v>
      </c>
      <c r="I127" s="20">
        <f ca="1">'public finance'!E125</f>
        <v>0.12260261708319654</v>
      </c>
      <c r="J127" s="118">
        <f ca="1">'public finance'!H125</f>
        <v>-3.4463544323531057</v>
      </c>
      <c r="K127" s="17">
        <f ca="1">'public finance'!C125/'normal case'!D126</f>
        <v>0.19801980186333762</v>
      </c>
      <c r="L127" s="20">
        <f ca="1">'public finance'!A125/'normal case'!D126</f>
        <v>0.2</v>
      </c>
      <c r="M127" s="18" t="str">
        <f>IF(controls!$B$44=0,"",'normal case'!AJ126)</f>
        <v/>
      </c>
      <c r="N127" s="18" t="str">
        <f>IF(controls!$B$44=0,"",'normal case'!AM126)</f>
        <v/>
      </c>
      <c r="O127" s="160" t="str">
        <f>IF(controls!$B$44=0,"",'external balance'!D126)</f>
        <v/>
      </c>
      <c r="P127" s="160" t="str">
        <f>IF(controls!$B$44=0,"",'external balance'!F126)</f>
        <v/>
      </c>
      <c r="Q127" s="159" t="str">
        <f>IF(controls!$B$44=0,"",'external balance'!H126)</f>
        <v/>
      </c>
    </row>
    <row r="128" spans="1:17" ht="14" thickTop="1" thickBot="1">
      <c r="A128" s="15">
        <v>125</v>
      </c>
      <c r="B128" s="17">
        <f ca="1">('normal case'!D127-'normal case'!B127)/'normal case'!B127</f>
        <v>5.9014499777614481E-10</v>
      </c>
      <c r="C128" s="23">
        <f ca="1">'normal case'!D127</f>
        <v>101.00000005960464</v>
      </c>
      <c r="D128" s="24">
        <f ca="1">'normal case'!C127</f>
        <v>-1.5107707374006907E-7</v>
      </c>
      <c r="E128" s="22">
        <f ca="1">'normal case'!L127/100</f>
        <v>1.9999998807907104E-2</v>
      </c>
      <c r="F128" s="25">
        <f ca="1">'normal case'!U127/100</f>
        <v>5.499999850988388E-2</v>
      </c>
      <c r="G128" s="25">
        <f ca="1">'normal case'!T127/100</f>
        <v>3.4999999701976779E-2</v>
      </c>
      <c r="H128" s="25">
        <f ca="1">'public finance'!D126</f>
        <v>1.9802129779314939E-3</v>
      </c>
      <c r="I128" s="20">
        <f ca="1">'public finance'!E126</f>
        <v>0.12689370812512557</v>
      </c>
      <c r="J128" s="118">
        <f ca="1">'public finance'!H126</f>
        <v>-3.5689570345950323</v>
      </c>
      <c r="K128" s="17">
        <f ca="1">'public finance'!C126/'normal case'!D127</f>
        <v>0.19801980186333762</v>
      </c>
      <c r="L128" s="20">
        <f ca="1">'public finance'!A126/'normal case'!D127</f>
        <v>0.2</v>
      </c>
      <c r="M128" s="18" t="str">
        <f>IF(controls!$B$44=0,"",'normal case'!AJ127)</f>
        <v/>
      </c>
      <c r="N128" s="18" t="str">
        <f>IF(controls!$B$44=0,"",'normal case'!AM127)</f>
        <v/>
      </c>
      <c r="O128" s="160" t="str">
        <f>IF(controls!$B$44=0,"",'external balance'!D127)</f>
        <v/>
      </c>
      <c r="P128" s="160" t="str">
        <f>IF(controls!$B$44=0,"",'external balance'!F127)</f>
        <v/>
      </c>
      <c r="Q128" s="159" t="str">
        <f>IF(controls!$B$44=0,"",'external balance'!H127)</f>
        <v/>
      </c>
    </row>
    <row r="129" spans="1:17" ht="14" thickTop="1" thickBot="1">
      <c r="A129" s="15">
        <v>126</v>
      </c>
      <c r="B129" s="17">
        <f ca="1">('normal case'!D128-'normal case'!B128)/'normal case'!B128</f>
        <v>5.9014499777614481E-10</v>
      </c>
      <c r="C129" s="23">
        <f ca="1">'normal case'!D128</f>
        <v>101.00000005960464</v>
      </c>
      <c r="D129" s="24">
        <f ca="1">'normal case'!C128</f>
        <v>-1.5107707374006907E-7</v>
      </c>
      <c r="E129" s="22">
        <f ca="1">'normal case'!L128/100</f>
        <v>1.9999998807907104E-2</v>
      </c>
      <c r="F129" s="25">
        <f ca="1">'normal case'!U128/100</f>
        <v>5.499999850988388E-2</v>
      </c>
      <c r="G129" s="25">
        <f ca="1">'normal case'!T128/100</f>
        <v>3.4999999701976779E-2</v>
      </c>
      <c r="H129" s="25">
        <f ca="1">'public finance'!D127</f>
        <v>1.9802129779314939E-3</v>
      </c>
      <c r="I129" s="20">
        <f ca="1">'public finance'!E127</f>
        <v>0.13133498735224325</v>
      </c>
      <c r="J129" s="118">
        <f ca="1">'public finance'!H127</f>
        <v>-3.6958507278788888</v>
      </c>
      <c r="K129" s="17">
        <f ca="1">'public finance'!C127/'normal case'!D128</f>
        <v>0.19801980186333762</v>
      </c>
      <c r="L129" s="20">
        <f ca="1">'public finance'!A127/'normal case'!D128</f>
        <v>0.2</v>
      </c>
      <c r="M129" s="18" t="str">
        <f>IF(controls!$B$44=0,"",'normal case'!AJ128)</f>
        <v/>
      </c>
      <c r="N129" s="18" t="str">
        <f>IF(controls!$B$44=0,"",'normal case'!AM128)</f>
        <v/>
      </c>
      <c r="O129" s="160" t="str">
        <f>IF(controls!$B$44=0,"",'external balance'!D128)</f>
        <v/>
      </c>
      <c r="P129" s="160" t="str">
        <f>IF(controls!$B$44=0,"",'external balance'!F128)</f>
        <v/>
      </c>
      <c r="Q129" s="159" t="str">
        <f>IF(controls!$B$44=0,"",'external balance'!H128)</f>
        <v/>
      </c>
    </row>
    <row r="130" spans="1:17" ht="14" thickTop="1" thickBot="1">
      <c r="A130" s="15">
        <v>127</v>
      </c>
      <c r="B130" s="17">
        <f ca="1">('normal case'!D129-'normal case'!B129)/'normal case'!B129</f>
        <v>5.9014499777614481E-10</v>
      </c>
      <c r="C130" s="23">
        <f ca="1">'normal case'!D129</f>
        <v>101.00000005960464</v>
      </c>
      <c r="D130" s="24">
        <f ca="1">'normal case'!C129</f>
        <v>-1.5107707374006907E-7</v>
      </c>
      <c r="E130" s="22">
        <f ca="1">'normal case'!L129/100</f>
        <v>1.9999998807907104E-2</v>
      </c>
      <c r="F130" s="25">
        <f ca="1">'normal case'!U129/100</f>
        <v>5.499999850988388E-2</v>
      </c>
      <c r="G130" s="25">
        <f ca="1">'normal case'!T129/100</f>
        <v>3.4999999701976779E-2</v>
      </c>
      <c r="H130" s="25">
        <f ca="1">'public finance'!D128</f>
        <v>1.9802129779314939E-3</v>
      </c>
      <c r="I130" s="20">
        <f ca="1">'public finance'!E128</f>
        <v>0.13593171135098647</v>
      </c>
      <c r="J130" s="118">
        <f ca="1">'public finance'!H128</f>
        <v>-3.8271857003898622</v>
      </c>
      <c r="K130" s="17">
        <f ca="1">'public finance'!C128/'normal case'!D129</f>
        <v>0.19801980186333762</v>
      </c>
      <c r="L130" s="20">
        <f ca="1">'public finance'!A128/'normal case'!D129</f>
        <v>0.2</v>
      </c>
      <c r="M130" s="18" t="str">
        <f>IF(controls!$B$44=0,"",'normal case'!AJ129)</f>
        <v/>
      </c>
      <c r="N130" s="18" t="str">
        <f>IF(controls!$B$44=0,"",'normal case'!AM129)</f>
        <v/>
      </c>
      <c r="O130" s="160" t="str">
        <f>IF(controls!$B$44=0,"",'external balance'!D129)</f>
        <v/>
      </c>
      <c r="P130" s="160" t="str">
        <f>IF(controls!$B$44=0,"",'external balance'!F129)</f>
        <v/>
      </c>
      <c r="Q130" s="159" t="str">
        <f>IF(controls!$B$44=0,"",'external balance'!H129)</f>
        <v/>
      </c>
    </row>
    <row r="131" spans="1:17" ht="14" thickTop="1" thickBot="1">
      <c r="A131" s="15">
        <v>128</v>
      </c>
      <c r="B131" s="17">
        <f ca="1">('normal case'!D130-'normal case'!B130)/'normal case'!B130</f>
        <v>5.9014499777614481E-10</v>
      </c>
      <c r="C131" s="23">
        <f ca="1">'normal case'!D130</f>
        <v>101.00000005960464</v>
      </c>
      <c r="D131" s="24">
        <f ca="1">'normal case'!C130</f>
        <v>-1.5107707374006907E-7</v>
      </c>
      <c r="E131" s="22">
        <f ca="1">'normal case'!L130/100</f>
        <v>1.9999998807907104E-2</v>
      </c>
      <c r="F131" s="25">
        <f ca="1">'normal case'!U130/100</f>
        <v>5.499999850988388E-2</v>
      </c>
      <c r="G131" s="25">
        <f ca="1">'normal case'!T130/100</f>
        <v>3.4999999701976779E-2</v>
      </c>
      <c r="H131" s="25">
        <f ca="1">'public finance'!D129</f>
        <v>1.9802129779314939E-3</v>
      </c>
      <c r="I131" s="20">
        <f ca="1">'public finance'!E129</f>
        <v>0.14068932068831577</v>
      </c>
      <c r="J131" s="118">
        <f ca="1">'public finance'!H129</f>
        <v>-3.963117396899579</v>
      </c>
      <c r="K131" s="17">
        <f ca="1">'public finance'!C129/'normal case'!D130</f>
        <v>0.19801980186333762</v>
      </c>
      <c r="L131" s="20">
        <f ca="1">'public finance'!A129/'normal case'!D130</f>
        <v>0.2</v>
      </c>
      <c r="M131" s="18" t="str">
        <f>IF(controls!$B$44=0,"",'normal case'!AJ130)</f>
        <v/>
      </c>
      <c r="N131" s="18" t="str">
        <f>IF(controls!$B$44=0,"",'normal case'!AM130)</f>
        <v/>
      </c>
      <c r="O131" s="160" t="str">
        <f>IF(controls!$B$44=0,"",'external balance'!D130)</f>
        <v/>
      </c>
      <c r="P131" s="160" t="str">
        <f>IF(controls!$B$44=0,"",'external balance'!F130)</f>
        <v/>
      </c>
      <c r="Q131" s="159" t="str">
        <f>IF(controls!$B$44=0,"",'external balance'!H130)</f>
        <v/>
      </c>
    </row>
    <row r="132" spans="1:17" ht="14" thickTop="1" thickBot="1">
      <c r="A132" s="15">
        <v>129</v>
      </c>
      <c r="B132" s="17">
        <f ca="1">('normal case'!D131-'normal case'!B131)/'normal case'!B131</f>
        <v>5.9014499777614481E-10</v>
      </c>
      <c r="C132" s="23">
        <f ca="1">'normal case'!D131</f>
        <v>101.00000005960464</v>
      </c>
      <c r="D132" s="24">
        <f ca="1">'normal case'!C131</f>
        <v>-1.5107707374006907E-7</v>
      </c>
      <c r="E132" s="22">
        <f ca="1">'normal case'!L131/100</f>
        <v>1.9999998807907104E-2</v>
      </c>
      <c r="F132" s="25">
        <f ca="1">'normal case'!U131/100</f>
        <v>5.499999850988388E-2</v>
      </c>
      <c r="G132" s="25">
        <f ca="1">'normal case'!T131/100</f>
        <v>3.4999999701976779E-2</v>
      </c>
      <c r="H132" s="25">
        <f ca="1">'public finance'!D130</f>
        <v>1.9802129779314939E-3</v>
      </c>
      <c r="I132" s="20">
        <f ca="1">'public finance'!E130</f>
        <v>0.14561344635103371</v>
      </c>
      <c r="J132" s="118">
        <f ca="1">'public finance'!H130</f>
        <v>-4.1038067027466258</v>
      </c>
      <c r="K132" s="17">
        <f ca="1">'public finance'!C130/'normal case'!D131</f>
        <v>0.19801980186333762</v>
      </c>
      <c r="L132" s="20">
        <f ca="1">'public finance'!A130/'normal case'!D131</f>
        <v>0.2</v>
      </c>
      <c r="M132" s="18" t="str">
        <f>IF(controls!$B$44=0,"",'normal case'!AJ131)</f>
        <v/>
      </c>
      <c r="N132" s="18" t="str">
        <f>IF(controls!$B$44=0,"",'normal case'!AM131)</f>
        <v/>
      </c>
      <c r="O132" s="160" t="str">
        <f>IF(controls!$B$44=0,"",'external balance'!D131)</f>
        <v/>
      </c>
      <c r="P132" s="160" t="str">
        <f>IF(controls!$B$44=0,"",'external balance'!F131)</f>
        <v/>
      </c>
      <c r="Q132" s="159" t="str">
        <f>IF(controls!$B$44=0,"",'external balance'!H131)</f>
        <v/>
      </c>
    </row>
    <row r="133" spans="1:17" ht="14" thickTop="1" thickBot="1">
      <c r="A133" s="15">
        <v>130</v>
      </c>
      <c r="B133" s="17">
        <f ca="1">('normal case'!D132-'normal case'!B132)/'normal case'!B132</f>
        <v>5.9014499777614481E-10</v>
      </c>
      <c r="C133" s="23">
        <f ca="1">'normal case'!D132</f>
        <v>101.00000005960464</v>
      </c>
      <c r="D133" s="24">
        <f ca="1">'normal case'!C132</f>
        <v>-1.5107707374006907E-7</v>
      </c>
      <c r="E133" s="22">
        <f ca="1">'normal case'!L132/100</f>
        <v>1.9999998807907104E-2</v>
      </c>
      <c r="F133" s="25">
        <f ca="1">'normal case'!U132/100</f>
        <v>5.499999850988388E-2</v>
      </c>
      <c r="G133" s="25">
        <f ca="1">'normal case'!T132/100</f>
        <v>3.4999999701976779E-2</v>
      </c>
      <c r="H133" s="25">
        <f ca="1">'public finance'!D131</f>
        <v>1.9802129779314939E-3</v>
      </c>
      <c r="I133" s="20">
        <f ca="1">'public finance'!E131</f>
        <v>0.15070991641047926</v>
      </c>
      <c r="J133" s="118">
        <f ca="1">'public finance'!H131</f>
        <v>-4.2494201342563898</v>
      </c>
      <c r="K133" s="17">
        <f ca="1">'public finance'!C131/'normal case'!D132</f>
        <v>0.19801980186333762</v>
      </c>
      <c r="L133" s="20">
        <f ca="1">'public finance'!A131/'normal case'!D132</f>
        <v>0.2</v>
      </c>
      <c r="M133" s="18" t="str">
        <f>IF(controls!$B$44=0,"",'normal case'!AJ132)</f>
        <v/>
      </c>
      <c r="N133" s="18" t="str">
        <f>IF(controls!$B$44=0,"",'normal case'!AM132)</f>
        <v/>
      </c>
      <c r="O133" s="160" t="str">
        <f>IF(controls!$B$44=0,"",'external balance'!D132)</f>
        <v/>
      </c>
      <c r="P133" s="160" t="str">
        <f>IF(controls!$B$44=0,"",'external balance'!F132)</f>
        <v/>
      </c>
      <c r="Q133" s="159" t="str">
        <f>IF(controls!$B$44=0,"",'external balance'!H132)</f>
        <v/>
      </c>
    </row>
    <row r="134" spans="1:17" ht="14" thickTop="1" thickBot="1">
      <c r="A134" s="15">
        <v>131</v>
      </c>
      <c r="B134" s="17">
        <f ca="1">('normal case'!D133-'normal case'!B133)/'normal case'!B133</f>
        <v>5.9014499777614481E-10</v>
      </c>
      <c r="C134" s="23">
        <f ca="1">'normal case'!D133</f>
        <v>101.00000005960464</v>
      </c>
      <c r="D134" s="24">
        <f ca="1">'normal case'!C133</f>
        <v>-1.5107707374006907E-7</v>
      </c>
      <c r="E134" s="22">
        <f ca="1">'normal case'!L133/100</f>
        <v>1.9999998807907104E-2</v>
      </c>
      <c r="F134" s="25">
        <f ca="1">'normal case'!U133/100</f>
        <v>5.499999850988388E-2</v>
      </c>
      <c r="G134" s="25">
        <f ca="1">'normal case'!T133/100</f>
        <v>3.4999999701976779E-2</v>
      </c>
      <c r="H134" s="25">
        <f ca="1">'public finance'!D132</f>
        <v>1.9802129779314939E-3</v>
      </c>
      <c r="I134" s="20">
        <f ca="1">'public finance'!E132</f>
        <v>0.15598476292048655</v>
      </c>
      <c r="J134" s="118">
        <f ca="1">'public finance'!H132</f>
        <v>-4.4001300358255993</v>
      </c>
      <c r="K134" s="17">
        <f ca="1">'public finance'!C132/'normal case'!D133</f>
        <v>0.19801980186333762</v>
      </c>
      <c r="L134" s="20">
        <f ca="1">'public finance'!A132/'normal case'!D133</f>
        <v>0.2</v>
      </c>
      <c r="M134" s="18" t="str">
        <f>IF(controls!$B$44=0,"",'normal case'!AJ133)</f>
        <v/>
      </c>
      <c r="N134" s="18" t="str">
        <f>IF(controls!$B$44=0,"",'normal case'!AM133)</f>
        <v/>
      </c>
      <c r="O134" s="160" t="str">
        <f>IF(controls!$B$44=0,"",'external balance'!D133)</f>
        <v/>
      </c>
      <c r="P134" s="160" t="str">
        <f>IF(controls!$B$44=0,"",'external balance'!F133)</f>
        <v/>
      </c>
      <c r="Q134" s="159" t="str">
        <f>IF(controls!$B$44=0,"",'external balance'!H133)</f>
        <v/>
      </c>
    </row>
    <row r="135" spans="1:17" ht="14" thickTop="1" thickBot="1">
      <c r="A135" s="15">
        <v>132</v>
      </c>
      <c r="B135" s="17">
        <f ca="1">('normal case'!D134-'normal case'!B134)/'normal case'!B134</f>
        <v>5.9014499777614481E-10</v>
      </c>
      <c r="C135" s="23">
        <f ca="1">'normal case'!D134</f>
        <v>101.00000005960464</v>
      </c>
      <c r="D135" s="24">
        <f ca="1">'normal case'!C134</f>
        <v>-1.5107707374006907E-7</v>
      </c>
      <c r="E135" s="22">
        <f ca="1">'normal case'!L134/100</f>
        <v>1.9999998807907104E-2</v>
      </c>
      <c r="F135" s="25">
        <f ca="1">'normal case'!U134/100</f>
        <v>5.499999850988388E-2</v>
      </c>
      <c r="G135" s="25">
        <f ca="1">'normal case'!T134/100</f>
        <v>3.4999999701976779E-2</v>
      </c>
      <c r="H135" s="25">
        <f ca="1">'public finance'!D133</f>
        <v>1.9802129779314939E-3</v>
      </c>
      <c r="I135" s="20">
        <f ca="1">'public finance'!E133</f>
        <v>0.16144422905677208</v>
      </c>
      <c r="J135" s="118">
        <f ca="1">'public finance'!H133</f>
        <v>-4.5561147839048166</v>
      </c>
      <c r="K135" s="17">
        <f ca="1">'public finance'!C133/'normal case'!D134</f>
        <v>0.19801980186333762</v>
      </c>
      <c r="L135" s="20">
        <f ca="1">'public finance'!A133/'normal case'!D134</f>
        <v>0.2</v>
      </c>
      <c r="M135" s="18" t="str">
        <f>IF(controls!$B$44=0,"",'normal case'!AJ134)</f>
        <v/>
      </c>
      <c r="N135" s="18" t="str">
        <f>IF(controls!$B$44=0,"",'normal case'!AM134)</f>
        <v/>
      </c>
      <c r="O135" s="160" t="str">
        <f>IF(controls!$B$44=0,"",'external balance'!D134)</f>
        <v/>
      </c>
      <c r="P135" s="160" t="str">
        <f>IF(controls!$B$44=0,"",'external balance'!F134)</f>
        <v/>
      </c>
      <c r="Q135" s="159" t="str">
        <f>IF(controls!$B$44=0,"",'external balance'!H134)</f>
        <v/>
      </c>
    </row>
    <row r="136" spans="1:17" ht="14" thickTop="1" thickBot="1">
      <c r="A136" s="15">
        <v>133</v>
      </c>
      <c r="B136" s="17">
        <f ca="1">('normal case'!D135-'normal case'!B135)/'normal case'!B135</f>
        <v>5.9014499777614481E-10</v>
      </c>
      <c r="C136" s="23">
        <f ca="1">'normal case'!D135</f>
        <v>101.00000005960464</v>
      </c>
      <c r="D136" s="24">
        <f ca="1">'normal case'!C135</f>
        <v>-1.5107707374006907E-7</v>
      </c>
      <c r="E136" s="22">
        <f ca="1">'normal case'!L135/100</f>
        <v>1.9999998807907104E-2</v>
      </c>
      <c r="F136" s="25">
        <f ca="1">'normal case'!U135/100</f>
        <v>5.499999850988388E-2</v>
      </c>
      <c r="G136" s="25">
        <f ca="1">'normal case'!T135/100</f>
        <v>3.4999999701976779E-2</v>
      </c>
      <c r="H136" s="25">
        <f ca="1">'public finance'!D134</f>
        <v>1.9802129779314939E-3</v>
      </c>
      <c r="I136" s="20">
        <f ca="1">'public finance'!E134</f>
        <v>0.16709477650620053</v>
      </c>
      <c r="J136" s="118">
        <f ca="1">'public finance'!H134</f>
        <v>-4.7175589981203192</v>
      </c>
      <c r="K136" s="17">
        <f ca="1">'public finance'!C134/'normal case'!D135</f>
        <v>0.19801980186333762</v>
      </c>
      <c r="L136" s="20">
        <f ca="1">'public finance'!A134/'normal case'!D135</f>
        <v>0.2</v>
      </c>
      <c r="M136" s="18" t="str">
        <f>IF(controls!$B$44=0,"",'normal case'!AJ135)</f>
        <v/>
      </c>
      <c r="N136" s="18" t="str">
        <f>IF(controls!$B$44=0,"",'normal case'!AM135)</f>
        <v/>
      </c>
      <c r="O136" s="160" t="str">
        <f>IF(controls!$B$44=0,"",'external balance'!D135)</f>
        <v/>
      </c>
      <c r="P136" s="160" t="str">
        <f>IF(controls!$B$44=0,"",'external balance'!F135)</f>
        <v/>
      </c>
      <c r="Q136" s="159" t="str">
        <f>IF(controls!$B$44=0,"",'external balance'!H135)</f>
        <v/>
      </c>
    </row>
    <row r="137" spans="1:17" ht="14" thickTop="1" thickBot="1">
      <c r="A137" s="15">
        <v>134</v>
      </c>
      <c r="B137" s="17">
        <f ca="1">('normal case'!D136-'normal case'!B136)/'normal case'!B136</f>
        <v>5.9014499777614481E-10</v>
      </c>
      <c r="C137" s="23">
        <f ca="1">'normal case'!D136</f>
        <v>101.00000005960464</v>
      </c>
      <c r="D137" s="24">
        <f ca="1">'normal case'!C136</f>
        <v>-1.5107707374006907E-7</v>
      </c>
      <c r="E137" s="22">
        <f ca="1">'normal case'!L136/100</f>
        <v>1.9999998807907104E-2</v>
      </c>
      <c r="F137" s="25">
        <f ca="1">'normal case'!U136/100</f>
        <v>5.499999850988388E-2</v>
      </c>
      <c r="G137" s="25">
        <f ca="1">'normal case'!T136/100</f>
        <v>3.4999999701976779E-2</v>
      </c>
      <c r="H137" s="25">
        <f ca="1">'public finance'!D135</f>
        <v>1.9802129779314939E-3</v>
      </c>
      <c r="I137" s="20">
        <f ca="1">'public finance'!E135</f>
        <v>0.17294309311467501</v>
      </c>
      <c r="J137" s="118">
        <f ca="1">'public finance'!H135</f>
        <v>-4.88465375978525</v>
      </c>
      <c r="K137" s="17">
        <f ca="1">'public finance'!C135/'normal case'!D136</f>
        <v>0.19801980186333762</v>
      </c>
      <c r="L137" s="20">
        <f ca="1">'public finance'!A135/'normal case'!D136</f>
        <v>0.2</v>
      </c>
      <c r="M137" s="18" t="str">
        <f>IF(controls!$B$44=0,"",'normal case'!AJ136)</f>
        <v/>
      </c>
      <c r="N137" s="18" t="str">
        <f>IF(controls!$B$44=0,"",'normal case'!AM136)</f>
        <v/>
      </c>
      <c r="O137" s="160" t="str">
        <f>IF(controls!$B$44=0,"",'external balance'!D136)</f>
        <v/>
      </c>
      <c r="P137" s="160" t="str">
        <f>IF(controls!$B$44=0,"",'external balance'!F136)</f>
        <v/>
      </c>
      <c r="Q137" s="159" t="str">
        <f>IF(controls!$B$44=0,"",'external balance'!H136)</f>
        <v/>
      </c>
    </row>
    <row r="138" spans="1:17" ht="14" thickTop="1" thickBot="1">
      <c r="A138" s="15">
        <v>135</v>
      </c>
      <c r="B138" s="17">
        <f ca="1">('normal case'!D137-'normal case'!B137)/'normal case'!B137</f>
        <v>5.9014499777614481E-10</v>
      </c>
      <c r="C138" s="23">
        <f ca="1">'normal case'!D137</f>
        <v>101.00000005960464</v>
      </c>
      <c r="D138" s="24">
        <f ca="1">'normal case'!C137</f>
        <v>-1.5107707374006907E-7</v>
      </c>
      <c r="E138" s="22">
        <f ca="1">'normal case'!L137/100</f>
        <v>1.9999998807907104E-2</v>
      </c>
      <c r="F138" s="25">
        <f ca="1">'normal case'!U137/100</f>
        <v>5.499999850988388E-2</v>
      </c>
      <c r="G138" s="25">
        <f ca="1">'normal case'!T137/100</f>
        <v>3.4999999701976779E-2</v>
      </c>
      <c r="H138" s="25">
        <f ca="1">'public finance'!D136</f>
        <v>1.9802129779314939E-3</v>
      </c>
      <c r="I138" s="20">
        <f ca="1">'public finance'!E136</f>
        <v>0.17899610080270315</v>
      </c>
      <c r="J138" s="118">
        <f ca="1">'public finance'!H136</f>
        <v>-5.0575968380586556</v>
      </c>
      <c r="K138" s="17">
        <f ca="1">'public finance'!C136/'normal case'!D137</f>
        <v>0.19801980186333762</v>
      </c>
      <c r="L138" s="20">
        <f ca="1">'public finance'!A136/'normal case'!D137</f>
        <v>0.2</v>
      </c>
      <c r="M138" s="18" t="str">
        <f>IF(controls!$B$44=0,"",'normal case'!AJ137)</f>
        <v/>
      </c>
      <c r="N138" s="18" t="str">
        <f>IF(controls!$B$44=0,"",'normal case'!AM137)</f>
        <v/>
      </c>
      <c r="O138" s="160" t="str">
        <f>IF(controls!$B$44=0,"",'external balance'!D137)</f>
        <v/>
      </c>
      <c r="P138" s="160" t="str">
        <f>IF(controls!$B$44=0,"",'external balance'!F137)</f>
        <v/>
      </c>
      <c r="Q138" s="159" t="str">
        <f>IF(controls!$B$44=0,"",'external balance'!H137)</f>
        <v/>
      </c>
    </row>
    <row r="139" spans="1:17" ht="14" thickTop="1" thickBot="1">
      <c r="A139" s="15">
        <v>136</v>
      </c>
      <c r="B139" s="17">
        <f ca="1">('normal case'!D138-'normal case'!B138)/'normal case'!B138</f>
        <v>5.9014499777614481E-10</v>
      </c>
      <c r="C139" s="23">
        <f ca="1">'normal case'!D138</f>
        <v>101.00000005960464</v>
      </c>
      <c r="D139" s="24">
        <f ca="1">'normal case'!C138</f>
        <v>-1.5107707374006907E-7</v>
      </c>
      <c r="E139" s="22">
        <f ca="1">'normal case'!L138/100</f>
        <v>1.9999998807907104E-2</v>
      </c>
      <c r="F139" s="25">
        <f ca="1">'normal case'!U138/100</f>
        <v>5.499999850988388E-2</v>
      </c>
      <c r="G139" s="25">
        <f ca="1">'normal case'!T138/100</f>
        <v>3.4999999701976779E-2</v>
      </c>
      <c r="H139" s="25">
        <f ca="1">'public finance'!D137</f>
        <v>1.9802129779314939E-3</v>
      </c>
      <c r="I139" s="20">
        <f ca="1">'public finance'!E137</f>
        <v>0.18526096375800835</v>
      </c>
      <c r="J139" s="118">
        <f ca="1">'public finance'!H137</f>
        <v>-5.2365929240200888</v>
      </c>
      <c r="K139" s="17">
        <f ca="1">'public finance'!C137/'normal case'!D138</f>
        <v>0.19801980186333762</v>
      </c>
      <c r="L139" s="20">
        <f ca="1">'public finance'!A137/'normal case'!D138</f>
        <v>0.2</v>
      </c>
      <c r="M139" s="18" t="str">
        <f>IF(controls!$B$44=0,"",'normal case'!AJ138)</f>
        <v/>
      </c>
      <c r="N139" s="18" t="str">
        <f>IF(controls!$B$44=0,"",'normal case'!AM138)</f>
        <v/>
      </c>
      <c r="O139" s="160" t="str">
        <f>IF(controls!$B$44=0,"",'external balance'!D138)</f>
        <v/>
      </c>
      <c r="P139" s="160" t="str">
        <f>IF(controls!$B$44=0,"",'external balance'!F138)</f>
        <v/>
      </c>
      <c r="Q139" s="159" t="str">
        <f>IF(controls!$B$44=0,"",'external balance'!H138)</f>
        <v/>
      </c>
    </row>
    <row r="140" spans="1:17" ht="14" thickTop="1" thickBot="1">
      <c r="A140" s="15">
        <v>137</v>
      </c>
      <c r="B140" s="17">
        <f ca="1">('normal case'!D139-'normal case'!B139)/'normal case'!B139</f>
        <v>5.9014499777614481E-10</v>
      </c>
      <c r="C140" s="23">
        <f ca="1">'normal case'!D139</f>
        <v>101.00000005960464</v>
      </c>
      <c r="D140" s="24">
        <f ca="1">'normal case'!C139</f>
        <v>-1.5107707374006907E-7</v>
      </c>
      <c r="E140" s="22">
        <f ca="1">'normal case'!L139/100</f>
        <v>1.9999998807907104E-2</v>
      </c>
      <c r="F140" s="25">
        <f ca="1">'normal case'!U139/100</f>
        <v>5.499999850988388E-2</v>
      </c>
      <c r="G140" s="25">
        <f ca="1">'normal case'!T139/100</f>
        <v>3.4999999701976779E-2</v>
      </c>
      <c r="H140" s="25">
        <f ca="1">'public finance'!D138</f>
        <v>1.9802129779314939E-3</v>
      </c>
      <c r="I140" s="20">
        <f ca="1">'public finance'!E138</f>
        <v>0.19174509691488209</v>
      </c>
      <c r="J140" s="118">
        <f ca="1">'public finance'!H138</f>
        <v>-5.4218538729368273</v>
      </c>
      <c r="K140" s="17">
        <f ca="1">'public finance'!C138/'normal case'!D139</f>
        <v>0.19801980186333762</v>
      </c>
      <c r="L140" s="20">
        <f ca="1">'public finance'!A138/'normal case'!D139</f>
        <v>0.2</v>
      </c>
      <c r="M140" s="18" t="str">
        <f>IF(controls!$B$44=0,"",'normal case'!AJ139)</f>
        <v/>
      </c>
      <c r="N140" s="18" t="str">
        <f>IF(controls!$B$44=0,"",'normal case'!AM139)</f>
        <v/>
      </c>
      <c r="O140" s="160" t="str">
        <f>IF(controls!$B$44=0,"",'external balance'!D139)</f>
        <v/>
      </c>
      <c r="P140" s="160" t="str">
        <f>IF(controls!$B$44=0,"",'external balance'!F139)</f>
        <v/>
      </c>
      <c r="Q140" s="159" t="str">
        <f>IF(controls!$B$44=0,"",'external balance'!H139)</f>
        <v/>
      </c>
    </row>
    <row r="141" spans="1:17" ht="14" thickTop="1" thickBot="1">
      <c r="A141" s="15">
        <v>138</v>
      </c>
      <c r="B141" s="17">
        <f ca="1">('normal case'!D140-'normal case'!B140)/'normal case'!B140</f>
        <v>5.9014499777614481E-10</v>
      </c>
      <c r="C141" s="23">
        <f ca="1">'normal case'!D140</f>
        <v>101.00000005960464</v>
      </c>
      <c r="D141" s="24">
        <f ca="1">'normal case'!C140</f>
        <v>-1.5107707374006907E-7</v>
      </c>
      <c r="E141" s="22">
        <f ca="1">'normal case'!L140/100</f>
        <v>1.9999998807907104E-2</v>
      </c>
      <c r="F141" s="25">
        <f ca="1">'normal case'!U140/100</f>
        <v>5.499999850988388E-2</v>
      </c>
      <c r="G141" s="25">
        <f ca="1">'normal case'!T140/100</f>
        <v>3.4999999701976779E-2</v>
      </c>
      <c r="H141" s="25">
        <f ca="1">'public finance'!D139</f>
        <v>1.9802129779314939E-3</v>
      </c>
      <c r="I141" s="20">
        <f ca="1">'public finance'!E139</f>
        <v>0.19845617473031407</v>
      </c>
      <c r="J141" s="118">
        <f ca="1">'public finance'!H139</f>
        <v>-5.613598955010441</v>
      </c>
      <c r="K141" s="17">
        <f ca="1">'public finance'!C139/'normal case'!D140</f>
        <v>0.19801980186333762</v>
      </c>
      <c r="L141" s="20">
        <f ca="1">'public finance'!A139/'normal case'!D140</f>
        <v>0.2</v>
      </c>
      <c r="M141" s="18" t="str">
        <f>IF(controls!$B$44=0,"",'normal case'!AJ140)</f>
        <v/>
      </c>
      <c r="N141" s="18" t="str">
        <f>IF(controls!$B$44=0,"",'normal case'!AM140)</f>
        <v/>
      </c>
      <c r="O141" s="160" t="str">
        <f>IF(controls!$B$44=0,"",'external balance'!D140)</f>
        <v/>
      </c>
      <c r="P141" s="160" t="str">
        <f>IF(controls!$B$44=0,"",'external balance'!F140)</f>
        <v/>
      </c>
      <c r="Q141" s="159" t="str">
        <f>IF(controls!$B$44=0,"",'external balance'!H140)</f>
        <v/>
      </c>
    </row>
    <row r="142" spans="1:17" ht="14" thickTop="1" thickBot="1">
      <c r="A142" s="15">
        <v>139</v>
      </c>
      <c r="B142" s="17">
        <f ca="1">('normal case'!D141-'normal case'!B141)/'normal case'!B141</f>
        <v>5.9014499777614481E-10</v>
      </c>
      <c r="C142" s="23">
        <f ca="1">'normal case'!D141</f>
        <v>101.00000005960464</v>
      </c>
      <c r="D142" s="24">
        <f ca="1">'normal case'!C141</f>
        <v>-1.5107707374006907E-7</v>
      </c>
      <c r="E142" s="22">
        <f ca="1">'normal case'!L141/100</f>
        <v>1.9999998807907104E-2</v>
      </c>
      <c r="F142" s="25">
        <f ca="1">'normal case'!U141/100</f>
        <v>5.499999850988388E-2</v>
      </c>
      <c r="G142" s="25">
        <f ca="1">'normal case'!T141/100</f>
        <v>3.4999999701976779E-2</v>
      </c>
      <c r="H142" s="25">
        <f ca="1">'public finance'!D140</f>
        <v>1.9802129779314939E-3</v>
      </c>
      <c r="I142" s="20">
        <f ca="1">'public finance'!E140</f>
        <v>0.20540214026728609</v>
      </c>
      <c r="J142" s="118">
        <f ca="1">'public finance'!H140</f>
        <v>-5.8120551148994846</v>
      </c>
      <c r="K142" s="17">
        <f ca="1">'public finance'!C140/'normal case'!D141</f>
        <v>0.19801980186333762</v>
      </c>
      <c r="L142" s="20">
        <f ca="1">'public finance'!A140/'normal case'!D141</f>
        <v>0.2</v>
      </c>
      <c r="M142" s="18" t="str">
        <f>IF(controls!$B$44=0,"",'normal case'!AJ141)</f>
        <v/>
      </c>
      <c r="N142" s="18" t="str">
        <f>IF(controls!$B$44=0,"",'normal case'!AM141)</f>
        <v/>
      </c>
      <c r="O142" s="160" t="str">
        <f>IF(controls!$B$44=0,"",'external balance'!D141)</f>
        <v/>
      </c>
      <c r="P142" s="160" t="str">
        <f>IF(controls!$B$44=0,"",'external balance'!F141)</f>
        <v/>
      </c>
      <c r="Q142" s="159" t="str">
        <f>IF(controls!$B$44=0,"",'external balance'!H141)</f>
        <v/>
      </c>
    </row>
    <row r="143" spans="1:17" ht="14" thickTop="1" thickBot="1">
      <c r="A143" s="15">
        <v>140</v>
      </c>
      <c r="B143" s="17">
        <f ca="1">('normal case'!D142-'normal case'!B142)/'normal case'!B142</f>
        <v>5.9014499777614481E-10</v>
      </c>
      <c r="C143" s="23">
        <f ca="1">'normal case'!D142</f>
        <v>101.00000005960464</v>
      </c>
      <c r="D143" s="24">
        <f ca="1">'normal case'!C142</f>
        <v>-1.5107707374006907E-7</v>
      </c>
      <c r="E143" s="22">
        <f ca="1">'normal case'!L142/100</f>
        <v>1.9999998807907104E-2</v>
      </c>
      <c r="F143" s="25">
        <f ca="1">'normal case'!U142/100</f>
        <v>5.499999850988388E-2</v>
      </c>
      <c r="G143" s="25">
        <f ca="1">'normal case'!T142/100</f>
        <v>3.4999999701976779E-2</v>
      </c>
      <c r="H143" s="25">
        <f ca="1">'public finance'!D141</f>
        <v>1.9802129779314939E-3</v>
      </c>
      <c r="I143" s="20">
        <f ca="1">'public finance'!E141</f>
        <v>0.21259121459598207</v>
      </c>
      <c r="J143" s="118">
        <f ca="1">'public finance'!H141</f>
        <v>-6.0174572403255011</v>
      </c>
      <c r="K143" s="17">
        <f ca="1">'public finance'!C141/'normal case'!D142</f>
        <v>0.19801980186333762</v>
      </c>
      <c r="L143" s="20">
        <f ca="1">'public finance'!A141/'normal case'!D142</f>
        <v>0.2</v>
      </c>
      <c r="M143" s="18" t="str">
        <f>IF(controls!$B$44=0,"",'normal case'!AJ142)</f>
        <v/>
      </c>
      <c r="N143" s="18" t="str">
        <f>IF(controls!$B$44=0,"",'normal case'!AM142)</f>
        <v/>
      </c>
      <c r="O143" s="160" t="str">
        <f>IF(controls!$B$44=0,"",'external balance'!D142)</f>
        <v/>
      </c>
      <c r="P143" s="160" t="str">
        <f>IF(controls!$B$44=0,"",'external balance'!F142)</f>
        <v/>
      </c>
      <c r="Q143" s="159" t="str">
        <f>IF(controls!$B$44=0,"",'external balance'!H142)</f>
        <v/>
      </c>
    </row>
    <row r="144" spans="1:17" ht="14" thickTop="1" thickBot="1">
      <c r="A144" s="15">
        <v>141</v>
      </c>
      <c r="B144" s="17">
        <f ca="1">('normal case'!D143-'normal case'!B143)/'normal case'!B143</f>
        <v>5.9014499777614481E-10</v>
      </c>
      <c r="C144" s="23">
        <f ca="1">'normal case'!D143</f>
        <v>101.00000005960464</v>
      </c>
      <c r="D144" s="24">
        <f ca="1">'normal case'!C143</f>
        <v>-1.5107707374006907E-7</v>
      </c>
      <c r="E144" s="22">
        <f ca="1">'normal case'!L143/100</f>
        <v>1.9999998807907104E-2</v>
      </c>
      <c r="F144" s="25">
        <f ca="1">'normal case'!U143/100</f>
        <v>5.499999850988388E-2</v>
      </c>
      <c r="G144" s="25">
        <f ca="1">'normal case'!T143/100</f>
        <v>3.4999999701976779E-2</v>
      </c>
      <c r="H144" s="25">
        <f ca="1">'public finance'!D142</f>
        <v>1.9802129779314939E-3</v>
      </c>
      <c r="I144" s="20">
        <f ca="1">'public finance'!E142</f>
        <v>0.22003190652403992</v>
      </c>
      <c r="J144" s="118">
        <f ca="1">'public finance'!H142</f>
        <v>-6.2300484400802141</v>
      </c>
      <c r="K144" s="17">
        <f ca="1">'public finance'!C142/'normal case'!D143</f>
        <v>0.19801980186333762</v>
      </c>
      <c r="L144" s="20">
        <f ca="1">'public finance'!A142/'normal case'!D143</f>
        <v>0.2</v>
      </c>
      <c r="M144" s="18" t="str">
        <f>IF(controls!$B$44=0,"",'normal case'!AJ143)</f>
        <v/>
      </c>
      <c r="N144" s="18" t="str">
        <f>IF(controls!$B$44=0,"",'normal case'!AM143)</f>
        <v/>
      </c>
      <c r="O144" s="160" t="str">
        <f>IF(controls!$B$44=0,"",'external balance'!D143)</f>
        <v/>
      </c>
      <c r="P144" s="160" t="str">
        <f>IF(controls!$B$44=0,"",'external balance'!F143)</f>
        <v/>
      </c>
      <c r="Q144" s="159" t="str">
        <f>IF(controls!$B$44=0,"",'external balance'!H143)</f>
        <v/>
      </c>
    </row>
    <row r="145" spans="1:17" ht="14" thickTop="1" thickBot="1">
      <c r="A145" s="15">
        <v>142</v>
      </c>
      <c r="B145" s="17">
        <f ca="1">('normal case'!D144-'normal case'!B144)/'normal case'!B144</f>
        <v>5.9014499777614481E-10</v>
      </c>
      <c r="C145" s="23">
        <f ca="1">'normal case'!D144</f>
        <v>101.00000005960464</v>
      </c>
      <c r="D145" s="24">
        <f ca="1">'normal case'!C144</f>
        <v>-1.5107707374006907E-7</v>
      </c>
      <c r="E145" s="22">
        <f ca="1">'normal case'!L144/100</f>
        <v>1.9999998807907104E-2</v>
      </c>
      <c r="F145" s="25">
        <f ca="1">'normal case'!U144/100</f>
        <v>5.499999850988388E-2</v>
      </c>
      <c r="G145" s="25">
        <f ca="1">'normal case'!T144/100</f>
        <v>3.4999999701976779E-2</v>
      </c>
      <c r="H145" s="25">
        <f ca="1">'public finance'!D143</f>
        <v>1.9802129779314939E-3</v>
      </c>
      <c r="I145" s="20">
        <f ca="1">'public finance'!E143</f>
        <v>0.22773302266736226</v>
      </c>
      <c r="J145" s="118">
        <f ca="1">'public finance'!H143</f>
        <v>-6.450080331762984</v>
      </c>
      <c r="K145" s="17">
        <f ca="1">'public finance'!C143/'normal case'!D144</f>
        <v>0.19801980186333762</v>
      </c>
      <c r="L145" s="20">
        <f ca="1">'public finance'!A143/'normal case'!D144</f>
        <v>0.2</v>
      </c>
      <c r="M145" s="18" t="str">
        <f>IF(controls!$B$44=0,"",'normal case'!AJ144)</f>
        <v/>
      </c>
      <c r="N145" s="18" t="str">
        <f>IF(controls!$B$44=0,"",'normal case'!AM144)</f>
        <v/>
      </c>
      <c r="O145" s="160" t="str">
        <f>IF(controls!$B$44=0,"",'external balance'!D144)</f>
        <v/>
      </c>
      <c r="P145" s="160" t="str">
        <f>IF(controls!$B$44=0,"",'external balance'!F144)</f>
        <v/>
      </c>
      <c r="Q145" s="159" t="str">
        <f>IF(controls!$B$44=0,"",'external balance'!H144)</f>
        <v/>
      </c>
    </row>
    <row r="146" spans="1:17" ht="14" thickTop="1" thickBot="1">
      <c r="A146" s="15">
        <v>143</v>
      </c>
      <c r="B146" s="17">
        <f ca="1">('normal case'!D145-'normal case'!B145)/'normal case'!B145</f>
        <v>5.9014499777614481E-10</v>
      </c>
      <c r="C146" s="23">
        <f ca="1">'normal case'!D145</f>
        <v>101.00000005960464</v>
      </c>
      <c r="D146" s="24">
        <f ca="1">'normal case'!C145</f>
        <v>-1.5107707374006907E-7</v>
      </c>
      <c r="E146" s="22">
        <f ca="1">'normal case'!L145/100</f>
        <v>1.9999998807907104E-2</v>
      </c>
      <c r="F146" s="25">
        <f ca="1">'normal case'!U145/100</f>
        <v>5.499999850988388E-2</v>
      </c>
      <c r="G146" s="25">
        <f ca="1">'normal case'!T145/100</f>
        <v>3.4999999701976779E-2</v>
      </c>
      <c r="H146" s="25">
        <f ca="1">'public finance'!D144</f>
        <v>1.9802129779314939E-3</v>
      </c>
      <c r="I146" s="20">
        <f ca="1">'public finance'!E144</f>
        <v>0.23570367787340576</v>
      </c>
      <c r="J146" s="118">
        <f ca="1">'public finance'!H144</f>
        <v>-6.6778133395890773</v>
      </c>
      <c r="K146" s="17">
        <f ca="1">'public finance'!C144/'normal case'!D145</f>
        <v>0.19801980186333762</v>
      </c>
      <c r="L146" s="20">
        <f ca="1">'public finance'!A144/'normal case'!D145</f>
        <v>0.2</v>
      </c>
      <c r="M146" s="18" t="str">
        <f>IF(controls!$B$44=0,"",'normal case'!AJ145)</f>
        <v/>
      </c>
      <c r="N146" s="18" t="str">
        <f>IF(controls!$B$44=0,"",'normal case'!AM145)</f>
        <v/>
      </c>
      <c r="O146" s="160" t="str">
        <f>IF(controls!$B$44=0,"",'external balance'!D145)</f>
        <v/>
      </c>
      <c r="P146" s="160" t="str">
        <f>IF(controls!$B$44=0,"",'external balance'!F145)</f>
        <v/>
      </c>
      <c r="Q146" s="159" t="str">
        <f>IF(controls!$B$44=0,"",'external balance'!H145)</f>
        <v/>
      </c>
    </row>
    <row r="147" spans="1:17" ht="14" thickTop="1" thickBot="1">
      <c r="A147" s="15">
        <v>144</v>
      </c>
      <c r="B147" s="17">
        <f ca="1">('normal case'!D146-'normal case'!B146)/'normal case'!B146</f>
        <v>5.9014499777614481E-10</v>
      </c>
      <c r="C147" s="23">
        <f ca="1">'normal case'!D146</f>
        <v>101.00000005960464</v>
      </c>
      <c r="D147" s="24">
        <f ca="1">'normal case'!C146</f>
        <v>-1.5107707374006907E-7</v>
      </c>
      <c r="E147" s="22">
        <f ca="1">'normal case'!L146/100</f>
        <v>1.9999998807907104E-2</v>
      </c>
      <c r="F147" s="25">
        <f ca="1">'normal case'!U146/100</f>
        <v>5.499999850988388E-2</v>
      </c>
      <c r="G147" s="25">
        <f ca="1">'normal case'!T146/100</f>
        <v>3.4999999701976779E-2</v>
      </c>
      <c r="H147" s="25">
        <f ca="1">'public finance'!D145</f>
        <v>1.9802129779314939E-3</v>
      </c>
      <c r="I147" s="20">
        <f ca="1">'public finance'!E145</f>
        <v>0.24395330600928536</v>
      </c>
      <c r="J147" s="118">
        <f ca="1">'public finance'!H145</f>
        <v>-6.9135170026212132</v>
      </c>
      <c r="K147" s="17">
        <f ca="1">'public finance'!C145/'normal case'!D146</f>
        <v>0.19801980186333762</v>
      </c>
      <c r="L147" s="20">
        <f ca="1">'public finance'!A145/'normal case'!D146</f>
        <v>0.2</v>
      </c>
      <c r="M147" s="18" t="str">
        <f>IF(controls!$B$44=0,"",'normal case'!AJ146)</f>
        <v/>
      </c>
      <c r="N147" s="18" t="str">
        <f>IF(controls!$B$44=0,"",'normal case'!AM146)</f>
        <v/>
      </c>
      <c r="O147" s="160" t="str">
        <f>IF(controls!$B$44=0,"",'external balance'!D146)</f>
        <v/>
      </c>
      <c r="P147" s="160" t="str">
        <f>IF(controls!$B$44=0,"",'external balance'!F146)</f>
        <v/>
      </c>
      <c r="Q147" s="159" t="str">
        <f>IF(controls!$B$44=0,"",'external balance'!H146)</f>
        <v/>
      </c>
    </row>
    <row r="148" spans="1:17" ht="14" thickTop="1" thickBot="1">
      <c r="A148" s="15">
        <v>145</v>
      </c>
      <c r="B148" s="17">
        <f ca="1">('normal case'!D147-'normal case'!B147)/'normal case'!B147</f>
        <v>5.9014499777614481E-10</v>
      </c>
      <c r="C148" s="23">
        <f ca="1">'normal case'!D147</f>
        <v>101.00000005960464</v>
      </c>
      <c r="D148" s="24">
        <f ca="1">'normal case'!C147</f>
        <v>-1.5107707374006907E-7</v>
      </c>
      <c r="E148" s="22">
        <f ca="1">'normal case'!L147/100</f>
        <v>1.9999998807907104E-2</v>
      </c>
      <c r="F148" s="25">
        <f ca="1">'normal case'!U147/100</f>
        <v>5.499999850988388E-2</v>
      </c>
      <c r="G148" s="25">
        <f ca="1">'normal case'!T147/100</f>
        <v>3.4999999701976779E-2</v>
      </c>
      <c r="H148" s="25">
        <f ca="1">'public finance'!D146</f>
        <v>1.9802129779314939E-3</v>
      </c>
      <c r="I148" s="20">
        <f ca="1">'public finance'!E146</f>
        <v>0.25249167112746218</v>
      </c>
      <c r="J148" s="118">
        <f ca="1">'public finance'!H146</f>
        <v>-7.1574702937892294</v>
      </c>
      <c r="K148" s="17">
        <f ca="1">'public finance'!C146/'normal case'!D147</f>
        <v>0.19801980186333762</v>
      </c>
      <c r="L148" s="20">
        <f ca="1">'public finance'!A146/'normal case'!D147</f>
        <v>0.2</v>
      </c>
      <c r="M148" s="18" t="str">
        <f>IF(controls!$B$44=0,"",'normal case'!AJ147)</f>
        <v/>
      </c>
      <c r="N148" s="18" t="str">
        <f>IF(controls!$B$44=0,"",'normal case'!AM147)</f>
        <v/>
      </c>
      <c r="O148" s="160" t="str">
        <f>IF(controls!$B$44=0,"",'external balance'!D147)</f>
        <v/>
      </c>
      <c r="P148" s="160" t="str">
        <f>IF(controls!$B$44=0,"",'external balance'!F147)</f>
        <v/>
      </c>
      <c r="Q148" s="159" t="str">
        <f>IF(controls!$B$44=0,"",'external balance'!H147)</f>
        <v/>
      </c>
    </row>
    <row r="149" spans="1:17" ht="14" thickTop="1" thickBot="1">
      <c r="A149" s="15">
        <v>146</v>
      </c>
      <c r="B149" s="17">
        <f ca="1">('normal case'!D148-'normal case'!B148)/'normal case'!B148</f>
        <v>5.9014499777614481E-10</v>
      </c>
      <c r="C149" s="23">
        <f ca="1">'normal case'!D148</f>
        <v>101.00000005960464</v>
      </c>
      <c r="D149" s="24">
        <f ca="1">'normal case'!C148</f>
        <v>-1.5107707374006907E-7</v>
      </c>
      <c r="E149" s="22">
        <f ca="1">'normal case'!L148/100</f>
        <v>1.9999998807907104E-2</v>
      </c>
      <c r="F149" s="25">
        <f ca="1">'normal case'!U148/100</f>
        <v>5.499999850988388E-2</v>
      </c>
      <c r="G149" s="25">
        <f ca="1">'normal case'!T148/100</f>
        <v>3.4999999701976779E-2</v>
      </c>
      <c r="H149" s="25">
        <f ca="1">'public finance'!D147</f>
        <v>1.9802129779314939E-3</v>
      </c>
      <c r="I149" s="20">
        <f ca="1">'public finance'!E147</f>
        <v>0.26132887902223056</v>
      </c>
      <c r="J149" s="118">
        <f ca="1">'public finance'!H147</f>
        <v>-7.4099619500754219</v>
      </c>
      <c r="K149" s="17">
        <f ca="1">'public finance'!C147/'normal case'!D148</f>
        <v>0.19801980186333762</v>
      </c>
      <c r="L149" s="20">
        <f ca="1">'public finance'!A147/'normal case'!D148</f>
        <v>0.2</v>
      </c>
      <c r="M149" s="18" t="str">
        <f>IF(controls!$B$44=0,"",'normal case'!AJ148)</f>
        <v/>
      </c>
      <c r="N149" s="18" t="str">
        <f>IF(controls!$B$44=0,"",'normal case'!AM148)</f>
        <v/>
      </c>
      <c r="O149" s="160" t="str">
        <f>IF(controls!$B$44=0,"",'external balance'!D148)</f>
        <v/>
      </c>
      <c r="P149" s="160" t="str">
        <f>IF(controls!$B$44=0,"",'external balance'!F148)</f>
        <v/>
      </c>
      <c r="Q149" s="159" t="str">
        <f>IF(controls!$B$44=0,"",'external balance'!H148)</f>
        <v/>
      </c>
    </row>
    <row r="150" spans="1:17" ht="14" thickTop="1" thickBot="1">
      <c r="A150" s="15">
        <v>147</v>
      </c>
      <c r="B150" s="17">
        <f ca="1">('normal case'!D149-'normal case'!B149)/'normal case'!B149</f>
        <v>5.9014499777614481E-10</v>
      </c>
      <c r="C150" s="23">
        <f ca="1">'normal case'!D149</f>
        <v>101.00000005960464</v>
      </c>
      <c r="D150" s="24">
        <f ca="1">'normal case'!C149</f>
        <v>-1.5107707374006907E-7</v>
      </c>
      <c r="E150" s="22">
        <f ca="1">'normal case'!L149/100</f>
        <v>1.9999998807907104E-2</v>
      </c>
      <c r="F150" s="25">
        <f ca="1">'normal case'!U149/100</f>
        <v>5.499999850988388E-2</v>
      </c>
      <c r="G150" s="25">
        <f ca="1">'normal case'!T149/100</f>
        <v>3.4999999701976779E-2</v>
      </c>
      <c r="H150" s="25">
        <f ca="1">'public finance'!D148</f>
        <v>1.9802129779314939E-3</v>
      </c>
      <c r="I150" s="20">
        <f ca="1">'public finance'!E148</f>
        <v>0.27047538919068209</v>
      </c>
      <c r="J150" s="118">
        <f ca="1">'public finance'!H148</f>
        <v>-7.671290814256384</v>
      </c>
      <c r="K150" s="17">
        <f ca="1">'public finance'!C148/'normal case'!D149</f>
        <v>0.19801980186333762</v>
      </c>
      <c r="L150" s="20">
        <f ca="1">'public finance'!A148/'normal case'!D149</f>
        <v>0.2</v>
      </c>
      <c r="M150" s="18" t="str">
        <f>IF(controls!$B$44=0,"",'normal case'!AJ149)</f>
        <v/>
      </c>
      <c r="N150" s="18" t="str">
        <f>IF(controls!$B$44=0,"",'normal case'!AM149)</f>
        <v/>
      </c>
      <c r="O150" s="160" t="str">
        <f>IF(controls!$B$44=0,"",'external balance'!D149)</f>
        <v/>
      </c>
      <c r="P150" s="160" t="str">
        <f>IF(controls!$B$44=0,"",'external balance'!F149)</f>
        <v/>
      </c>
      <c r="Q150" s="159" t="str">
        <f>IF(controls!$B$44=0,"",'external balance'!H149)</f>
        <v/>
      </c>
    </row>
    <row r="151" spans="1:17" ht="14" thickTop="1" thickBot="1">
      <c r="A151" s="15">
        <v>148</v>
      </c>
      <c r="B151" s="17">
        <f ca="1">('normal case'!D150-'normal case'!B150)/'normal case'!B150</f>
        <v>5.9014499777614481E-10</v>
      </c>
      <c r="C151" s="23">
        <f ca="1">'normal case'!D150</f>
        <v>101.00000005960464</v>
      </c>
      <c r="D151" s="24">
        <f ca="1">'normal case'!C150</f>
        <v>-1.5107707374006907E-7</v>
      </c>
      <c r="E151" s="22">
        <f ca="1">'normal case'!L150/100</f>
        <v>1.9999998807907104E-2</v>
      </c>
      <c r="F151" s="25">
        <f ca="1">'normal case'!U150/100</f>
        <v>5.499999850988388E-2</v>
      </c>
      <c r="G151" s="25">
        <f ca="1">'normal case'!T150/100</f>
        <v>3.4999999701976779E-2</v>
      </c>
      <c r="H151" s="25">
        <f ca="1">'public finance'!D149</f>
        <v>1.9802129779314939E-3</v>
      </c>
      <c r="I151" s="20">
        <f ca="1">'public finance'!E149</f>
        <v>0.2799420272123036</v>
      </c>
      <c r="J151" s="118">
        <f ca="1">'public finance'!H149</f>
        <v>-7.9417661886057962</v>
      </c>
      <c r="K151" s="17">
        <f ca="1">'public finance'!C149/'normal case'!D150</f>
        <v>0.19801980186333762</v>
      </c>
      <c r="L151" s="20">
        <f ca="1">'public finance'!A149/'normal case'!D150</f>
        <v>0.2</v>
      </c>
      <c r="M151" s="18" t="str">
        <f>IF(controls!$B$44=0,"",'normal case'!AJ150)</f>
        <v/>
      </c>
      <c r="N151" s="18" t="str">
        <f>IF(controls!$B$44=0,"",'normal case'!AM150)</f>
        <v/>
      </c>
      <c r="O151" s="160" t="str">
        <f>IF(controls!$B$44=0,"",'external balance'!D150)</f>
        <v/>
      </c>
      <c r="P151" s="160" t="str">
        <f>IF(controls!$B$44=0,"",'external balance'!F150)</f>
        <v/>
      </c>
      <c r="Q151" s="159" t="str">
        <f>IF(controls!$B$44=0,"",'external balance'!H150)</f>
        <v/>
      </c>
    </row>
    <row r="152" spans="1:17" ht="14" thickTop="1" thickBot="1">
      <c r="A152" s="15">
        <v>149</v>
      </c>
      <c r="B152" s="17">
        <f ca="1">('normal case'!D151-'normal case'!B151)/'normal case'!B151</f>
        <v>5.9014499777614481E-10</v>
      </c>
      <c r="C152" s="23">
        <f ca="1">'normal case'!D151</f>
        <v>101.00000005960464</v>
      </c>
      <c r="D152" s="24">
        <f ca="1">'normal case'!C151</f>
        <v>-1.5107707374006907E-7</v>
      </c>
      <c r="E152" s="22">
        <f ca="1">'normal case'!L151/100</f>
        <v>1.9999998807907104E-2</v>
      </c>
      <c r="F152" s="25">
        <f ca="1">'normal case'!U151/100</f>
        <v>5.499999850988388E-2</v>
      </c>
      <c r="G152" s="25">
        <f ca="1">'normal case'!T151/100</f>
        <v>3.4999999701976779E-2</v>
      </c>
      <c r="H152" s="25">
        <f ca="1">'public finance'!D150</f>
        <v>1.9802129779314939E-3</v>
      </c>
      <c r="I152" s="20">
        <f ca="1">'public finance'!E150</f>
        <v>0.28973999756186058</v>
      </c>
      <c r="J152" s="118">
        <f ca="1">'public finance'!H150</f>
        <v>-8.2217082009768294</v>
      </c>
      <c r="K152" s="17">
        <f ca="1">'public finance'!C150/'normal case'!D151</f>
        <v>0.19801980186333762</v>
      </c>
      <c r="L152" s="20">
        <f ca="1">'public finance'!A150/'normal case'!D151</f>
        <v>0.2</v>
      </c>
      <c r="M152" s="18" t="str">
        <f>IF(controls!$B$44=0,"",'normal case'!AJ151)</f>
        <v/>
      </c>
      <c r="N152" s="18" t="str">
        <f>IF(controls!$B$44=0,"",'normal case'!AM151)</f>
        <v/>
      </c>
      <c r="O152" s="160" t="str">
        <f>IF(controls!$B$44=0,"",'external balance'!D151)</f>
        <v/>
      </c>
      <c r="P152" s="160" t="str">
        <f>IF(controls!$B$44=0,"",'external balance'!F151)</f>
        <v/>
      </c>
      <c r="Q152" s="159" t="str">
        <f>IF(controls!$B$44=0,"",'external balance'!H151)</f>
        <v/>
      </c>
    </row>
    <row r="153" spans="1:17" ht="14" thickTop="1" thickBot="1">
      <c r="A153" s="15">
        <v>150</v>
      </c>
      <c r="B153" s="17">
        <f ca="1">('normal case'!D152-'normal case'!B152)/'normal case'!B152</f>
        <v>5.9014499777614481E-10</v>
      </c>
      <c r="C153" s="23">
        <f ca="1">'normal case'!D152</f>
        <v>101.00000005960464</v>
      </c>
      <c r="D153" s="24">
        <f ca="1">'normal case'!C152</f>
        <v>-1.5107707374006907E-7</v>
      </c>
      <c r="E153" s="22">
        <f ca="1">'normal case'!L152/100</f>
        <v>1.9999998807907104E-2</v>
      </c>
      <c r="F153" s="25">
        <f ca="1">'normal case'!U152/100</f>
        <v>5.499999850988388E-2</v>
      </c>
      <c r="G153" s="25">
        <f ca="1">'normal case'!T152/100</f>
        <v>3.4999999701976779E-2</v>
      </c>
      <c r="H153" s="25">
        <f ca="1">'public finance'!D151</f>
        <v>1.9802129779314939E-3</v>
      </c>
      <c r="I153" s="20">
        <f ca="1">'public finance'!E151</f>
        <v>0.29988089687073205</v>
      </c>
      <c r="J153" s="118">
        <f ca="1">'public finance'!H151</f>
        <v>-8.5114481836974214</v>
      </c>
      <c r="K153" s="17">
        <f ca="1">'public finance'!C151/'normal case'!D152</f>
        <v>0.19801980186333762</v>
      </c>
      <c r="L153" s="20">
        <f ca="1">'public finance'!A151/'normal case'!D152</f>
        <v>0.2</v>
      </c>
      <c r="M153" s="18" t="str">
        <f>IF(controls!$B$44=0,"",'normal case'!AJ152)</f>
        <v/>
      </c>
      <c r="N153" s="18" t="str">
        <f>IF(controls!$B$44=0,"",'normal case'!AM152)</f>
        <v/>
      </c>
      <c r="O153" s="160" t="str">
        <f>IF(controls!$B$44=0,"",'external balance'!D152)</f>
        <v/>
      </c>
      <c r="P153" s="160" t="str">
        <f>IF(controls!$B$44=0,"",'external balance'!F152)</f>
        <v/>
      </c>
      <c r="Q153" s="159" t="str">
        <f>IF(controls!$B$44=0,"",'external balance'!H152)</f>
        <v/>
      </c>
    </row>
    <row r="154" spans="1:17" ht="14" thickTop="1" thickBot="1">
      <c r="A154" s="15">
        <v>151</v>
      </c>
      <c r="B154" s="17">
        <f ca="1">('normal case'!D153-'normal case'!B153)/'normal case'!B153</f>
        <v>5.9014499777614481E-10</v>
      </c>
      <c r="C154" s="23">
        <f ca="1">'normal case'!D153</f>
        <v>101.00000005960464</v>
      </c>
      <c r="D154" s="24">
        <f ca="1">'normal case'!C153</f>
        <v>-1.5107707374006907E-7</v>
      </c>
      <c r="E154" s="22">
        <f ca="1">'normal case'!L153/100</f>
        <v>1.9999998807907104E-2</v>
      </c>
      <c r="F154" s="25">
        <f ca="1">'normal case'!U153/100</f>
        <v>5.499999850988388E-2</v>
      </c>
      <c r="G154" s="25">
        <f ca="1">'normal case'!T153/100</f>
        <v>3.4999999701976779E-2</v>
      </c>
      <c r="H154" s="25">
        <f ca="1">'public finance'!D152</f>
        <v>1.9802129779314939E-3</v>
      </c>
      <c r="I154" s="20">
        <f ca="1">'public finance'!E152</f>
        <v>0.31037672765239172</v>
      </c>
      <c r="J154" s="118">
        <f ca="1">'public finance'!H152</f>
        <v>-8.8113290657268823</v>
      </c>
      <c r="K154" s="17">
        <f ca="1">'public finance'!C152/'normal case'!D153</f>
        <v>0.19801980186333762</v>
      </c>
      <c r="L154" s="20">
        <f ca="1">'public finance'!A152/'normal case'!D153</f>
        <v>0.2</v>
      </c>
      <c r="M154" s="18" t="str">
        <f>IF(controls!$B$44=0,"",'normal case'!AJ153)</f>
        <v/>
      </c>
      <c r="N154" s="18" t="str">
        <f>IF(controls!$B$44=0,"",'normal case'!AM153)</f>
        <v/>
      </c>
      <c r="O154" s="160" t="str">
        <f>IF(controls!$B$44=0,"",'external balance'!D153)</f>
        <v/>
      </c>
      <c r="P154" s="160" t="str">
        <f>IF(controls!$B$44=0,"",'external balance'!F153)</f>
        <v/>
      </c>
      <c r="Q154" s="159" t="str">
        <f>IF(controls!$B$44=0,"",'external balance'!H153)</f>
        <v/>
      </c>
    </row>
    <row r="155" spans="1:17" ht="14" thickTop="1" thickBot="1">
      <c r="A155" s="15">
        <v>152</v>
      </c>
      <c r="B155" s="17">
        <f ca="1">('normal case'!D154-'normal case'!B154)/'normal case'!B154</f>
        <v>5.9014499777614481E-10</v>
      </c>
      <c r="C155" s="23">
        <f ca="1">'normal case'!D154</f>
        <v>101.00000005960464</v>
      </c>
      <c r="D155" s="24">
        <f ca="1">'normal case'!C154</f>
        <v>-1.5107707374006907E-7</v>
      </c>
      <c r="E155" s="22">
        <f ca="1">'normal case'!L154/100</f>
        <v>1.9999998807907104E-2</v>
      </c>
      <c r="F155" s="25">
        <f ca="1">'normal case'!U154/100</f>
        <v>5.499999850988388E-2</v>
      </c>
      <c r="G155" s="25">
        <f ca="1">'normal case'!T154/100</f>
        <v>3.4999999701976779E-2</v>
      </c>
      <c r="H155" s="25">
        <f ca="1">'public finance'!D153</f>
        <v>1.9802129779314939E-3</v>
      </c>
      <c r="I155" s="20">
        <f ca="1">'public finance'!E153</f>
        <v>0.32123991250828154</v>
      </c>
      <c r="J155" s="118">
        <f ca="1">'public finance'!H153</f>
        <v>-9.1217057785380042</v>
      </c>
      <c r="K155" s="17">
        <f ca="1">'public finance'!C153/'normal case'!D154</f>
        <v>0.19801980186333762</v>
      </c>
      <c r="L155" s="20">
        <f ca="1">'public finance'!A153/'normal case'!D154</f>
        <v>0.2</v>
      </c>
      <c r="M155" s="18" t="str">
        <f>IF(controls!$B$44=0,"",'normal case'!AJ154)</f>
        <v/>
      </c>
      <c r="N155" s="18" t="str">
        <f>IF(controls!$B$44=0,"",'normal case'!AM154)</f>
        <v/>
      </c>
      <c r="O155" s="160" t="str">
        <f>IF(controls!$B$44=0,"",'external balance'!D154)</f>
        <v/>
      </c>
      <c r="P155" s="160" t="str">
        <f>IF(controls!$B$44=0,"",'external balance'!F154)</f>
        <v/>
      </c>
      <c r="Q155" s="159" t="str">
        <f>IF(controls!$B$44=0,"",'external balance'!H154)</f>
        <v/>
      </c>
    </row>
    <row r="156" spans="1:17" ht="14" thickTop="1" thickBot="1">
      <c r="A156" s="15">
        <v>153</v>
      </c>
      <c r="B156" s="17">
        <f ca="1">('normal case'!D155-'normal case'!B155)/'normal case'!B155</f>
        <v>5.9014499777614481E-10</v>
      </c>
      <c r="C156" s="23">
        <f ca="1">'normal case'!D155</f>
        <v>101.00000005960464</v>
      </c>
      <c r="D156" s="24">
        <f ca="1">'normal case'!C155</f>
        <v>-1.5107707374006907E-7</v>
      </c>
      <c r="E156" s="22">
        <f ca="1">'normal case'!L155/100</f>
        <v>1.9999998807907104E-2</v>
      </c>
      <c r="F156" s="25">
        <f ca="1">'normal case'!U155/100</f>
        <v>5.499999850988388E-2</v>
      </c>
      <c r="G156" s="25">
        <f ca="1">'normal case'!T155/100</f>
        <v>3.4999999701976779E-2</v>
      </c>
      <c r="H156" s="25">
        <f ca="1">'public finance'!D154</f>
        <v>1.9802129779314939E-3</v>
      </c>
      <c r="I156" s="20">
        <f ca="1">'public finance'!E154</f>
        <v>0.33248330883088995</v>
      </c>
      <c r="J156" s="118">
        <f ca="1">'public finance'!H154</f>
        <v>-9.4429456762050155</v>
      </c>
      <c r="K156" s="17">
        <f ca="1">'public finance'!C154/'normal case'!D155</f>
        <v>0.19801980186333762</v>
      </c>
      <c r="L156" s="20">
        <f ca="1">'public finance'!A154/'normal case'!D155</f>
        <v>0.2</v>
      </c>
      <c r="M156" s="18" t="str">
        <f>IF(controls!$B$44=0,"",'normal case'!AJ155)</f>
        <v/>
      </c>
      <c r="N156" s="18" t="str">
        <f>IF(controls!$B$44=0,"",'normal case'!AM155)</f>
        <v/>
      </c>
      <c r="O156" s="160" t="str">
        <f>IF(controls!$B$44=0,"",'external balance'!D155)</f>
        <v/>
      </c>
      <c r="P156" s="160" t="str">
        <f>IF(controls!$B$44=0,"",'external balance'!F155)</f>
        <v/>
      </c>
      <c r="Q156" s="159" t="str">
        <f>IF(controls!$B$44=0,"",'external balance'!H155)</f>
        <v/>
      </c>
    </row>
    <row r="157" spans="1:17" ht="14" thickTop="1" thickBot="1">
      <c r="A157" s="15">
        <v>154</v>
      </c>
      <c r="B157" s="17">
        <f ca="1">('normal case'!D156-'normal case'!B156)/'normal case'!B156</f>
        <v>5.9014499777614481E-10</v>
      </c>
      <c r="C157" s="23">
        <f ca="1">'normal case'!D156</f>
        <v>101.00000005960464</v>
      </c>
      <c r="D157" s="24">
        <f ca="1">'normal case'!C156</f>
        <v>-1.5107707374006907E-7</v>
      </c>
      <c r="E157" s="22">
        <f ca="1">'normal case'!L156/100</f>
        <v>1.9999998807907104E-2</v>
      </c>
      <c r="F157" s="25">
        <f ca="1">'normal case'!U156/100</f>
        <v>5.499999850988388E-2</v>
      </c>
      <c r="G157" s="25">
        <f ca="1">'normal case'!T156/100</f>
        <v>3.4999999701976779E-2</v>
      </c>
      <c r="H157" s="25">
        <f ca="1">'public finance'!D155</f>
        <v>1.9802129779314939E-3</v>
      </c>
      <c r="I157" s="20">
        <f ca="1">'public finance'!E155</f>
        <v>0.34412022402143894</v>
      </c>
      <c r="J157" s="118">
        <f ca="1">'public finance'!H155</f>
        <v>-9.7754289701946373</v>
      </c>
      <c r="K157" s="17">
        <f ca="1">'public finance'!C155/'normal case'!D156</f>
        <v>0.19801980186333762</v>
      </c>
      <c r="L157" s="20">
        <f ca="1">'public finance'!A155/'normal case'!D156</f>
        <v>0.2</v>
      </c>
      <c r="M157" s="18" t="str">
        <f>IF(controls!$B$44=0,"",'normal case'!AJ156)</f>
        <v/>
      </c>
      <c r="N157" s="18" t="str">
        <f>IF(controls!$B$44=0,"",'normal case'!AM156)</f>
        <v/>
      </c>
      <c r="O157" s="160" t="str">
        <f>IF(controls!$B$44=0,"",'external balance'!D156)</f>
        <v/>
      </c>
      <c r="P157" s="160" t="str">
        <f>IF(controls!$B$44=0,"",'external balance'!F156)</f>
        <v/>
      </c>
      <c r="Q157" s="159" t="str">
        <f>IF(controls!$B$44=0,"",'external balance'!H156)</f>
        <v/>
      </c>
    </row>
    <row r="158" spans="1:17" ht="14" thickTop="1" thickBot="1">
      <c r="A158" s="15">
        <v>155</v>
      </c>
      <c r="B158" s="17">
        <f ca="1">('normal case'!D157-'normal case'!B157)/'normal case'!B157</f>
        <v>5.9014499777614481E-10</v>
      </c>
      <c r="C158" s="23">
        <f ca="1">'normal case'!D157</f>
        <v>101.00000005960464</v>
      </c>
      <c r="D158" s="24">
        <f ca="1">'normal case'!C157</f>
        <v>-1.5107707374006907E-7</v>
      </c>
      <c r="E158" s="22">
        <f ca="1">'normal case'!L157/100</f>
        <v>1.9999998807907104E-2</v>
      </c>
      <c r="F158" s="25">
        <f ca="1">'normal case'!U157/100</f>
        <v>5.499999850988388E-2</v>
      </c>
      <c r="G158" s="25">
        <f ca="1">'normal case'!T157/100</f>
        <v>3.4999999701976779E-2</v>
      </c>
      <c r="H158" s="25">
        <f ca="1">'public finance'!D156</f>
        <v>1.9802129779314939E-3</v>
      </c>
      <c r="I158" s="20">
        <f ca="1">'public finance'!E156</f>
        <v>0.35616443124018909</v>
      </c>
      <c r="J158" s="118">
        <f ca="1">'public finance'!H156</f>
        <v>-10.119549179374806</v>
      </c>
      <c r="K158" s="17">
        <f ca="1">'public finance'!C156/'normal case'!D157</f>
        <v>0.19801980186333762</v>
      </c>
      <c r="L158" s="20">
        <f ca="1">'public finance'!A156/'normal case'!D157</f>
        <v>0.2</v>
      </c>
      <c r="M158" s="18" t="str">
        <f>IF(controls!$B$44=0,"",'normal case'!AJ157)</f>
        <v/>
      </c>
      <c r="N158" s="18" t="str">
        <f>IF(controls!$B$44=0,"",'normal case'!AM157)</f>
        <v/>
      </c>
      <c r="O158" s="160" t="str">
        <f>IF(controls!$B$44=0,"",'external balance'!D157)</f>
        <v/>
      </c>
      <c r="P158" s="160" t="str">
        <f>IF(controls!$B$44=0,"",'external balance'!F157)</f>
        <v/>
      </c>
      <c r="Q158" s="159" t="str">
        <f>IF(controls!$B$44=0,"",'external balance'!H157)</f>
        <v/>
      </c>
    </row>
    <row r="159" spans="1:17" ht="14" thickTop="1" thickBot="1">
      <c r="A159" s="15">
        <v>156</v>
      </c>
      <c r="B159" s="17">
        <f ca="1">('normal case'!D158-'normal case'!B158)/'normal case'!B158</f>
        <v>5.9014499777614481E-10</v>
      </c>
      <c r="C159" s="23">
        <f ca="1">'normal case'!D158</f>
        <v>101.00000005960464</v>
      </c>
      <c r="D159" s="24">
        <f ca="1">'normal case'!C158</f>
        <v>-1.5107707374006907E-7</v>
      </c>
      <c r="E159" s="22">
        <f ca="1">'normal case'!L158/100</f>
        <v>1.9999998807907104E-2</v>
      </c>
      <c r="F159" s="25">
        <f ca="1">'normal case'!U158/100</f>
        <v>5.499999850988388E-2</v>
      </c>
      <c r="G159" s="25">
        <f ca="1">'normal case'!T158/100</f>
        <v>3.4999999701976779E-2</v>
      </c>
      <c r="H159" s="25">
        <f ca="1">'public finance'!D157</f>
        <v>1.9802129779314939E-3</v>
      </c>
      <c r="I159" s="20">
        <f ca="1">'public finance'!E157</f>
        <v>0.36863018570800604</v>
      </c>
      <c r="J159" s="118">
        <f ca="1">'public finance'!H157</f>
        <v>-10.475713595773728</v>
      </c>
      <c r="K159" s="17">
        <f ca="1">'public finance'!C157/'normal case'!D158</f>
        <v>0.19801980186333762</v>
      </c>
      <c r="L159" s="20">
        <f ca="1">'public finance'!A157/'normal case'!D158</f>
        <v>0.2</v>
      </c>
      <c r="M159" s="18" t="str">
        <f>IF(controls!$B$44=0,"",'normal case'!AJ158)</f>
        <v/>
      </c>
      <c r="N159" s="18" t="str">
        <f>IF(controls!$B$44=0,"",'normal case'!AM158)</f>
        <v/>
      </c>
      <c r="O159" s="160" t="str">
        <f>IF(controls!$B$44=0,"",'external balance'!D158)</f>
        <v/>
      </c>
      <c r="P159" s="160" t="str">
        <f>IF(controls!$B$44=0,"",'external balance'!F158)</f>
        <v/>
      </c>
      <c r="Q159" s="159" t="str">
        <f>IF(controls!$B$44=0,"",'external balance'!H158)</f>
        <v/>
      </c>
    </row>
    <row r="160" spans="1:17" ht="14" thickTop="1" thickBot="1">
      <c r="A160" s="15">
        <v>157</v>
      </c>
      <c r="B160" s="17">
        <f ca="1">('normal case'!D159-'normal case'!B159)/'normal case'!B159</f>
        <v>5.9014499777614481E-10</v>
      </c>
      <c r="C160" s="23">
        <f ca="1">'normal case'!D159</f>
        <v>101.00000005960464</v>
      </c>
      <c r="D160" s="24">
        <f ca="1">'normal case'!C159</f>
        <v>-1.5107707374006907E-7</v>
      </c>
      <c r="E160" s="22">
        <f ca="1">'normal case'!L159/100</f>
        <v>1.9999998807907104E-2</v>
      </c>
      <c r="F160" s="25">
        <f ca="1">'normal case'!U159/100</f>
        <v>5.499999850988388E-2</v>
      </c>
      <c r="G160" s="25">
        <f ca="1">'normal case'!T159/100</f>
        <v>3.4999999701976779E-2</v>
      </c>
      <c r="H160" s="25">
        <f ca="1">'public finance'!D158</f>
        <v>1.9802129779314939E-3</v>
      </c>
      <c r="I160" s="20">
        <f ca="1">'public finance'!E158</f>
        <v>0.38153224157848153</v>
      </c>
      <c r="J160" s="118">
        <f ca="1">'public finance'!H158</f>
        <v>-10.844343766640465</v>
      </c>
      <c r="K160" s="17">
        <f ca="1">'public finance'!C158/'normal case'!D159</f>
        <v>0.19801980186333762</v>
      </c>
      <c r="L160" s="20">
        <f ca="1">'public finance'!A158/'normal case'!D159</f>
        <v>0.2</v>
      </c>
      <c r="M160" s="18" t="str">
        <f>IF(controls!$B$44=0,"",'normal case'!AJ159)</f>
        <v/>
      </c>
      <c r="N160" s="18" t="str">
        <f>IF(controls!$B$44=0,"",'normal case'!AM159)</f>
        <v/>
      </c>
      <c r="O160" s="160" t="str">
        <f>IF(controls!$B$44=0,"",'external balance'!D159)</f>
        <v/>
      </c>
      <c r="P160" s="160" t="str">
        <f>IF(controls!$B$44=0,"",'external balance'!F159)</f>
        <v/>
      </c>
      <c r="Q160" s="159" t="str">
        <f>IF(controls!$B$44=0,"",'external balance'!H159)</f>
        <v/>
      </c>
    </row>
    <row r="161" spans="1:17" ht="14" thickTop="1" thickBot="1">
      <c r="A161" s="15">
        <v>158</v>
      </c>
      <c r="B161" s="17">
        <f ca="1">('normal case'!D160-'normal case'!B160)/'normal case'!B160</f>
        <v>5.9014499777614481E-10</v>
      </c>
      <c r="C161" s="23">
        <f ca="1">'normal case'!D160</f>
        <v>101.00000005960464</v>
      </c>
      <c r="D161" s="24">
        <f ca="1">'normal case'!C160</f>
        <v>-1.5107707374006907E-7</v>
      </c>
      <c r="E161" s="22">
        <f ca="1">'normal case'!L160/100</f>
        <v>1.9999998807907104E-2</v>
      </c>
      <c r="F161" s="25">
        <f ca="1">'normal case'!U160/100</f>
        <v>5.499999850988388E-2</v>
      </c>
      <c r="G161" s="25">
        <f ca="1">'normal case'!T160/100</f>
        <v>3.4999999701976779E-2</v>
      </c>
      <c r="H161" s="25">
        <f ca="1">'public finance'!D159</f>
        <v>1.9802129779314939E-3</v>
      </c>
      <c r="I161" s="20">
        <f ca="1">'public finance'!E159</f>
        <v>0.39488586940057857</v>
      </c>
      <c r="J161" s="118">
        <f ca="1">'public finance'!H159</f>
        <v>-11.225875993377679</v>
      </c>
      <c r="K161" s="17">
        <f ca="1">'public finance'!C159/'normal case'!D160</f>
        <v>0.19801980186333762</v>
      </c>
      <c r="L161" s="20">
        <f ca="1">'public finance'!A159/'normal case'!D160</f>
        <v>0.2</v>
      </c>
      <c r="M161" s="18" t="str">
        <f>IF(controls!$B$44=0,"",'normal case'!AJ160)</f>
        <v/>
      </c>
      <c r="N161" s="18" t="str">
        <f>IF(controls!$B$44=0,"",'normal case'!AM160)</f>
        <v/>
      </c>
      <c r="O161" s="160" t="str">
        <f>IF(controls!$B$44=0,"",'external balance'!D160)</f>
        <v/>
      </c>
      <c r="P161" s="160" t="str">
        <f>IF(controls!$B$44=0,"",'external balance'!F160)</f>
        <v/>
      </c>
      <c r="Q161" s="159" t="str">
        <f>IF(controls!$B$44=0,"",'external balance'!H160)</f>
        <v/>
      </c>
    </row>
    <row r="162" spans="1:17" ht="14" thickTop="1" thickBot="1">
      <c r="A162" s="15">
        <v>159</v>
      </c>
      <c r="B162" s="17">
        <f ca="1">('normal case'!D161-'normal case'!B161)/'normal case'!B161</f>
        <v>5.9014499777614481E-10</v>
      </c>
      <c r="C162" s="23">
        <f ca="1">'normal case'!D161</f>
        <v>101.00000005960464</v>
      </c>
      <c r="D162" s="24">
        <f ca="1">'normal case'!C161</f>
        <v>-1.5107707374006907E-7</v>
      </c>
      <c r="E162" s="22">
        <f ca="1">'normal case'!L161/100</f>
        <v>1.9999998807907104E-2</v>
      </c>
      <c r="F162" s="25">
        <f ca="1">'normal case'!U161/100</f>
        <v>5.499999850988388E-2</v>
      </c>
      <c r="G162" s="25">
        <f ca="1">'normal case'!T161/100</f>
        <v>3.4999999701976779E-2</v>
      </c>
      <c r="H162" s="25">
        <f ca="1">'public finance'!D160</f>
        <v>1.9802129779314939E-3</v>
      </c>
      <c r="I162" s="20">
        <f ca="1">'public finance'!E160</f>
        <v>0.40870687419246921</v>
      </c>
      <c r="J162" s="118">
        <f ca="1">'public finance'!H160</f>
        <v>-11.620761847936988</v>
      </c>
      <c r="K162" s="17">
        <f ca="1">'public finance'!C160/'normal case'!D161</f>
        <v>0.19801980186333762</v>
      </c>
      <c r="L162" s="20">
        <f ca="1">'public finance'!A160/'normal case'!D161</f>
        <v>0.2</v>
      </c>
      <c r="M162" s="18" t="str">
        <f>IF(controls!$B$44=0,"",'normal case'!AJ161)</f>
        <v/>
      </c>
      <c r="N162" s="18" t="str">
        <f>IF(controls!$B$44=0,"",'normal case'!AM161)</f>
        <v/>
      </c>
      <c r="O162" s="160" t="str">
        <f>IF(controls!$B$44=0,"",'external balance'!D161)</f>
        <v/>
      </c>
      <c r="P162" s="160" t="str">
        <f>IF(controls!$B$44=0,"",'external balance'!F161)</f>
        <v/>
      </c>
      <c r="Q162" s="159" t="str">
        <f>IF(controls!$B$44=0,"",'external balance'!H161)</f>
        <v/>
      </c>
    </row>
    <row r="163" spans="1:17" ht="14" thickTop="1" thickBot="1">
      <c r="A163" s="15">
        <v>160</v>
      </c>
      <c r="B163" s="17">
        <f ca="1">('normal case'!D162-'normal case'!B162)/'normal case'!B162</f>
        <v>5.9014499777614481E-10</v>
      </c>
      <c r="C163" s="23">
        <f ca="1">'normal case'!D162</f>
        <v>101.00000005960464</v>
      </c>
      <c r="D163" s="24">
        <f ca="1">'normal case'!C162</f>
        <v>-1.5107707374006907E-7</v>
      </c>
      <c r="E163" s="22">
        <f ca="1">'normal case'!L162/100</f>
        <v>1.9999998807907104E-2</v>
      </c>
      <c r="F163" s="25">
        <f ca="1">'normal case'!U162/100</f>
        <v>5.499999850988388E-2</v>
      </c>
      <c r="G163" s="25">
        <f ca="1">'normal case'!T162/100</f>
        <v>3.4999999701976779E-2</v>
      </c>
      <c r="H163" s="25">
        <f ca="1">'public finance'!D161</f>
        <v>1.9802129779314939E-3</v>
      </c>
      <c r="I163" s="20">
        <f ca="1">'public finance'!E161</f>
        <v>0.42301161414795707</v>
      </c>
      <c r="J163" s="118">
        <f ca="1">'public finance'!H161</f>
        <v>-12.029468707288189</v>
      </c>
      <c r="K163" s="17">
        <f ca="1">'public finance'!C161/'normal case'!D162</f>
        <v>0.19801980186333762</v>
      </c>
      <c r="L163" s="20">
        <f ca="1">'public finance'!A161/'normal case'!D162</f>
        <v>0.2</v>
      </c>
      <c r="M163" s="18" t="str">
        <f>IF(controls!$B$44=0,"",'normal case'!AJ162)</f>
        <v/>
      </c>
      <c r="N163" s="18" t="str">
        <f>IF(controls!$B$44=0,"",'normal case'!AM162)</f>
        <v/>
      </c>
      <c r="O163" s="160" t="str">
        <f>IF(controls!$B$44=0,"",'external balance'!D162)</f>
        <v/>
      </c>
      <c r="P163" s="160" t="str">
        <f>IF(controls!$B$44=0,"",'external balance'!F162)</f>
        <v/>
      </c>
      <c r="Q163" s="159" t="str">
        <f>IF(controls!$B$44=0,"",'external balance'!H162)</f>
        <v/>
      </c>
    </row>
    <row r="164" spans="1:17" ht="14" thickTop="1" thickBot="1">
      <c r="A164" s="15">
        <v>161</v>
      </c>
      <c r="B164" s="17">
        <f ca="1">('normal case'!D163-'normal case'!B163)/'normal case'!B163</f>
        <v>5.9014499777614481E-10</v>
      </c>
      <c r="C164" s="23">
        <f ca="1">'normal case'!D163</f>
        <v>101.00000005960464</v>
      </c>
      <c r="D164" s="24">
        <f ca="1">'normal case'!C163</f>
        <v>-1.5107707374006907E-7</v>
      </c>
      <c r="E164" s="22">
        <f ca="1">'normal case'!L163/100</f>
        <v>1.9999998807907104E-2</v>
      </c>
      <c r="F164" s="25">
        <f ca="1">'normal case'!U163/100</f>
        <v>5.499999850988388E-2</v>
      </c>
      <c r="G164" s="25">
        <f ca="1">'normal case'!T163/100</f>
        <v>3.4999999701976779E-2</v>
      </c>
      <c r="H164" s="25">
        <f ca="1">'public finance'!D162</f>
        <v>1.9802129779314939E-3</v>
      </c>
      <c r="I164" s="20">
        <f ca="1">'public finance'!E162</f>
        <v>0.43781701999762396</v>
      </c>
      <c r="J164" s="118">
        <f ca="1">'public finance'!H162</f>
        <v>-12.452480306594879</v>
      </c>
      <c r="K164" s="17">
        <f ca="1">'public finance'!C162/'normal case'!D163</f>
        <v>0.19801980186333762</v>
      </c>
      <c r="L164" s="20">
        <f ca="1">'public finance'!A162/'normal case'!D163</f>
        <v>0.2</v>
      </c>
      <c r="M164" s="18" t="str">
        <f>IF(controls!$B$44=0,"",'normal case'!AJ163)</f>
        <v/>
      </c>
      <c r="N164" s="18" t="str">
        <f>IF(controls!$B$44=0,"",'normal case'!AM163)</f>
        <v/>
      </c>
      <c r="O164" s="160" t="str">
        <f>IF(controls!$B$44=0,"",'external balance'!D163)</f>
        <v/>
      </c>
      <c r="P164" s="160" t="str">
        <f>IF(controls!$B$44=0,"",'external balance'!F163)</f>
        <v/>
      </c>
      <c r="Q164" s="159" t="str">
        <f>IF(controls!$B$44=0,"",'external balance'!H163)</f>
        <v/>
      </c>
    </row>
    <row r="165" spans="1:17" ht="14" thickTop="1" thickBot="1">
      <c r="A165" s="15">
        <v>162</v>
      </c>
      <c r="B165" s="17">
        <f ca="1">('normal case'!D164-'normal case'!B164)/'normal case'!B164</f>
        <v>5.9014499777614481E-10</v>
      </c>
      <c r="C165" s="23">
        <f ca="1">'normal case'!D164</f>
        <v>101.00000005960464</v>
      </c>
      <c r="D165" s="24">
        <f ca="1">'normal case'!C164</f>
        <v>-1.5107707374006907E-7</v>
      </c>
      <c r="E165" s="22">
        <f ca="1">'normal case'!L164/100</f>
        <v>1.9999998807907104E-2</v>
      </c>
      <c r="F165" s="25">
        <f ca="1">'normal case'!U164/100</f>
        <v>5.499999850988388E-2</v>
      </c>
      <c r="G165" s="25">
        <f ca="1">'normal case'!T164/100</f>
        <v>3.4999999701976779E-2</v>
      </c>
      <c r="H165" s="25">
        <f ca="1">'public finance'!D163</f>
        <v>1.9802129779314939E-3</v>
      </c>
      <c r="I165" s="20">
        <f ca="1">'public finance'!E163</f>
        <v>0.45314061504761677</v>
      </c>
      <c r="J165" s="118">
        <f ca="1">'public finance'!H163</f>
        <v>-12.890297311751233</v>
      </c>
      <c r="K165" s="17">
        <f ca="1">'public finance'!C163/'normal case'!D164</f>
        <v>0.19801980186333762</v>
      </c>
      <c r="L165" s="20">
        <f ca="1">'public finance'!A163/'normal case'!D164</f>
        <v>0.2</v>
      </c>
      <c r="M165" s="18" t="str">
        <f>IF(controls!$B$44=0,"",'normal case'!AJ164)</f>
        <v/>
      </c>
      <c r="N165" s="18" t="str">
        <f>IF(controls!$B$44=0,"",'normal case'!AM164)</f>
        <v/>
      </c>
      <c r="O165" s="160" t="str">
        <f>IF(controls!$B$44=0,"",'external balance'!D164)</f>
        <v/>
      </c>
      <c r="P165" s="160" t="str">
        <f>IF(controls!$B$44=0,"",'external balance'!F164)</f>
        <v/>
      </c>
      <c r="Q165" s="159" t="str">
        <f>IF(controls!$B$44=0,"",'external balance'!H164)</f>
        <v/>
      </c>
    </row>
    <row r="166" spans="1:17" ht="14" thickTop="1" thickBot="1">
      <c r="A166" s="15">
        <v>163</v>
      </c>
      <c r="B166" s="17">
        <f ca="1">('normal case'!D165-'normal case'!B165)/'normal case'!B165</f>
        <v>5.9014499777614481E-10</v>
      </c>
      <c r="C166" s="23">
        <f ca="1">'normal case'!D165</f>
        <v>101.00000005960464</v>
      </c>
      <c r="D166" s="24">
        <f ca="1">'normal case'!C165</f>
        <v>-1.5107707374006907E-7</v>
      </c>
      <c r="E166" s="22">
        <f ca="1">'normal case'!L165/100</f>
        <v>1.9999998807907104E-2</v>
      </c>
      <c r="F166" s="25">
        <f ca="1">'normal case'!U165/100</f>
        <v>5.499999850988388E-2</v>
      </c>
      <c r="G166" s="25">
        <f ca="1">'normal case'!T165/100</f>
        <v>3.4999999701976779E-2</v>
      </c>
      <c r="H166" s="25">
        <f ca="1">'public finance'!D164</f>
        <v>1.9802129779314939E-3</v>
      </c>
      <c r="I166" s="20">
        <f ca="1">'public finance'!E164</f>
        <v>0.46900053591979246</v>
      </c>
      <c r="J166" s="118">
        <f ca="1">'public finance'!H164</f>
        <v>-13.343437911957581</v>
      </c>
      <c r="K166" s="17">
        <f ca="1">'public finance'!C164/'normal case'!D165</f>
        <v>0.19801980186333762</v>
      </c>
      <c r="L166" s="20">
        <f ca="1">'public finance'!A164/'normal case'!D165</f>
        <v>0.2</v>
      </c>
      <c r="M166" s="18" t="str">
        <f>IF(controls!$B$44=0,"",'normal case'!AJ165)</f>
        <v/>
      </c>
      <c r="N166" s="18" t="str">
        <f>IF(controls!$B$44=0,"",'normal case'!AM165)</f>
        <v/>
      </c>
      <c r="O166" s="160" t="str">
        <f>IF(controls!$B$44=0,"",'external balance'!D165)</f>
        <v/>
      </c>
      <c r="P166" s="160" t="str">
        <f>IF(controls!$B$44=0,"",'external balance'!F165)</f>
        <v/>
      </c>
      <c r="Q166" s="159" t="str">
        <f>IF(controls!$B$44=0,"",'external balance'!H165)</f>
        <v/>
      </c>
    </row>
    <row r="167" spans="1:17" ht="14" thickTop="1" thickBot="1">
      <c r="A167" s="15">
        <v>164</v>
      </c>
      <c r="B167" s="17">
        <f ca="1">('normal case'!D166-'normal case'!B166)/'normal case'!B166</f>
        <v>5.9014499777614481E-10</v>
      </c>
      <c r="C167" s="23">
        <f ca="1">'normal case'!D166</f>
        <v>101.00000005960464</v>
      </c>
      <c r="D167" s="24">
        <f ca="1">'normal case'!C166</f>
        <v>-1.5107707374006907E-7</v>
      </c>
      <c r="E167" s="22">
        <f ca="1">'normal case'!L166/100</f>
        <v>1.9999998807907104E-2</v>
      </c>
      <c r="F167" s="25">
        <f ca="1">'normal case'!U166/100</f>
        <v>5.499999850988388E-2</v>
      </c>
      <c r="G167" s="25">
        <f ca="1">'normal case'!T166/100</f>
        <v>3.4999999701976779E-2</v>
      </c>
      <c r="H167" s="25">
        <f ca="1">'public finance'!D165</f>
        <v>1.9802129779314939E-3</v>
      </c>
      <c r="I167" s="20">
        <f ca="1">'public finance'!E165</f>
        <v>0.48541555401776776</v>
      </c>
      <c r="J167" s="118">
        <f ca="1">'public finance'!H165</f>
        <v>-13.812438433036105</v>
      </c>
      <c r="K167" s="17">
        <f ca="1">'public finance'!C165/'normal case'!D166</f>
        <v>0.19801980186333762</v>
      </c>
      <c r="L167" s="20">
        <f ca="1">'public finance'!A165/'normal case'!D166</f>
        <v>0.2</v>
      </c>
      <c r="M167" s="18" t="str">
        <f>IF(controls!$B$44=0,"",'normal case'!AJ166)</f>
        <v/>
      </c>
      <c r="N167" s="18" t="str">
        <f>IF(controls!$B$44=0,"",'normal case'!AM166)</f>
        <v/>
      </c>
      <c r="O167" s="160" t="str">
        <f>IF(controls!$B$44=0,"",'external balance'!D166)</f>
        <v/>
      </c>
      <c r="P167" s="160" t="str">
        <f>IF(controls!$B$44=0,"",'external balance'!F166)</f>
        <v/>
      </c>
      <c r="Q167" s="159" t="str">
        <f>IF(controls!$B$44=0,"",'external balance'!H166)</f>
        <v/>
      </c>
    </row>
    <row r="168" spans="1:17" ht="14" thickTop="1" thickBot="1">
      <c r="A168" s="15">
        <v>165</v>
      </c>
      <c r="B168" s="17">
        <f ca="1">('normal case'!D167-'normal case'!B167)/'normal case'!B167</f>
        <v>5.9014499777614481E-10</v>
      </c>
      <c r="C168" s="23">
        <f ca="1">'normal case'!D167</f>
        <v>101.00000005960464</v>
      </c>
      <c r="D168" s="24">
        <f ca="1">'normal case'!C167</f>
        <v>-1.5107707374006907E-7</v>
      </c>
      <c r="E168" s="22">
        <f ca="1">'normal case'!L167/100</f>
        <v>1.9999998807907104E-2</v>
      </c>
      <c r="F168" s="25">
        <f ca="1">'normal case'!U167/100</f>
        <v>5.499999850988388E-2</v>
      </c>
      <c r="G168" s="25">
        <f ca="1">'normal case'!T167/100</f>
        <v>3.4999999701976779E-2</v>
      </c>
      <c r="H168" s="25">
        <f ca="1">'public finance'!D166</f>
        <v>1.9802129779314939E-3</v>
      </c>
      <c r="I168" s="20">
        <f ca="1">'public finance'!E166</f>
        <v>0.50240509774428022</v>
      </c>
      <c r="J168" s="118">
        <f ca="1">'public finance'!H166</f>
        <v>-14.297853972212604</v>
      </c>
      <c r="K168" s="17">
        <f ca="1">'public finance'!C166/'normal case'!D167</f>
        <v>0.19801980186333762</v>
      </c>
      <c r="L168" s="20">
        <f ca="1">'public finance'!A166/'normal case'!D167</f>
        <v>0.2</v>
      </c>
      <c r="M168" s="18" t="str">
        <f>IF(controls!$B$44=0,"",'normal case'!AJ167)</f>
        <v/>
      </c>
      <c r="N168" s="18" t="str">
        <f>IF(controls!$B$44=0,"",'normal case'!AM167)</f>
        <v/>
      </c>
      <c r="O168" s="160" t="str">
        <f>IF(controls!$B$44=0,"",'external balance'!D167)</f>
        <v/>
      </c>
      <c r="P168" s="160" t="str">
        <f>IF(controls!$B$44=0,"",'external balance'!F167)</f>
        <v/>
      </c>
      <c r="Q168" s="159" t="str">
        <f>IF(controls!$B$44=0,"",'external balance'!H167)</f>
        <v/>
      </c>
    </row>
    <row r="169" spans="1:17" ht="14" thickTop="1" thickBot="1">
      <c r="A169" s="15">
        <v>166</v>
      </c>
      <c r="B169" s="17">
        <f ca="1">('normal case'!D168-'normal case'!B168)/'normal case'!B168</f>
        <v>5.9014499777614481E-10</v>
      </c>
      <c r="C169" s="23">
        <f ca="1">'normal case'!D168</f>
        <v>101.00000005960464</v>
      </c>
      <c r="D169" s="24">
        <f ca="1">'normal case'!C168</f>
        <v>-1.5107707374006907E-7</v>
      </c>
      <c r="E169" s="22">
        <f ca="1">'normal case'!L168/100</f>
        <v>1.9999998807907104E-2</v>
      </c>
      <c r="F169" s="25">
        <f ca="1">'normal case'!U168/100</f>
        <v>5.499999850988388E-2</v>
      </c>
      <c r="G169" s="25">
        <f ca="1">'normal case'!T168/100</f>
        <v>3.4999999701976779E-2</v>
      </c>
      <c r="H169" s="25">
        <f ca="1">'public finance'!D167</f>
        <v>1.9802129779314939E-3</v>
      </c>
      <c r="I169" s="20">
        <f ca="1">'public finance'!E167</f>
        <v>0.51998927549615725</v>
      </c>
      <c r="J169" s="118">
        <f ca="1">'public finance'!H167</f>
        <v>-14.800259055115617</v>
      </c>
      <c r="K169" s="17">
        <f ca="1">'public finance'!C167/'normal case'!D168</f>
        <v>0.19801980186333762</v>
      </c>
      <c r="L169" s="20">
        <f ca="1">'public finance'!A167/'normal case'!D168</f>
        <v>0.2</v>
      </c>
      <c r="M169" s="18" t="str">
        <f>IF(controls!$B$44=0,"",'normal case'!AJ168)</f>
        <v/>
      </c>
      <c r="N169" s="18" t="str">
        <f>IF(controls!$B$44=0,"",'normal case'!AM168)</f>
        <v/>
      </c>
      <c r="O169" s="160" t="str">
        <f>IF(controls!$B$44=0,"",'external balance'!D168)</f>
        <v/>
      </c>
      <c r="P169" s="160" t="str">
        <f>IF(controls!$B$44=0,"",'external balance'!F168)</f>
        <v/>
      </c>
      <c r="Q169" s="159" t="str">
        <f>IF(controls!$B$44=0,"",'external balance'!H168)</f>
        <v/>
      </c>
    </row>
    <row r="170" spans="1:17" ht="14" thickTop="1" thickBot="1">
      <c r="A170" s="15">
        <v>167</v>
      </c>
      <c r="B170" s="17">
        <f ca="1">('normal case'!D169-'normal case'!B169)/'normal case'!B169</f>
        <v>5.9014499777614481E-10</v>
      </c>
      <c r="C170" s="23">
        <f ca="1">'normal case'!D169</f>
        <v>101.00000005960464</v>
      </c>
      <c r="D170" s="24">
        <f ca="1">'normal case'!C169</f>
        <v>-1.5107707374006907E-7</v>
      </c>
      <c r="E170" s="22">
        <f ca="1">'normal case'!L169/100</f>
        <v>1.9999998807907104E-2</v>
      </c>
      <c r="F170" s="25">
        <f ca="1">'normal case'!U169/100</f>
        <v>5.499999850988388E-2</v>
      </c>
      <c r="G170" s="25">
        <f ca="1">'normal case'!T169/100</f>
        <v>3.4999999701976779E-2</v>
      </c>
      <c r="H170" s="25">
        <f ca="1">'public finance'!D168</f>
        <v>1.9802129779314939E-3</v>
      </c>
      <c r="I170" s="20">
        <f ca="1">'public finance'!E168</f>
        <v>0.53818889946410942</v>
      </c>
      <c r="J170" s="118">
        <f ca="1">'public finance'!H168</f>
        <v>-15.320248315770506</v>
      </c>
      <c r="K170" s="17">
        <f ca="1">'public finance'!C168/'normal case'!D169</f>
        <v>0.19801980186333762</v>
      </c>
      <c r="L170" s="20">
        <f ca="1">'public finance'!A168/'normal case'!D169</f>
        <v>0.2</v>
      </c>
      <c r="M170" s="18" t="str">
        <f>IF(controls!$B$44=0,"",'normal case'!AJ169)</f>
        <v/>
      </c>
      <c r="N170" s="18" t="str">
        <f>IF(controls!$B$44=0,"",'normal case'!AM169)</f>
        <v/>
      </c>
      <c r="O170" s="160" t="str">
        <f>IF(controls!$B$44=0,"",'external balance'!D169)</f>
        <v/>
      </c>
      <c r="P170" s="160" t="str">
        <f>IF(controls!$B$44=0,"",'external balance'!F169)</f>
        <v/>
      </c>
      <c r="Q170" s="159" t="str">
        <f>IF(controls!$B$44=0,"",'external balance'!H169)</f>
        <v/>
      </c>
    </row>
    <row r="171" spans="1:17" ht="14" thickTop="1" thickBot="1">
      <c r="A171" s="15">
        <v>168</v>
      </c>
      <c r="B171" s="17">
        <f ca="1">('normal case'!D170-'normal case'!B170)/'normal case'!B170</f>
        <v>5.9014499777614481E-10</v>
      </c>
      <c r="C171" s="23">
        <f ca="1">'normal case'!D170</f>
        <v>101.00000005960464</v>
      </c>
      <c r="D171" s="24">
        <f ca="1">'normal case'!C170</f>
        <v>-1.5107707374006907E-7</v>
      </c>
      <c r="E171" s="22">
        <f ca="1">'normal case'!L170/100</f>
        <v>1.9999998807907104E-2</v>
      </c>
      <c r="F171" s="25">
        <f ca="1">'normal case'!U170/100</f>
        <v>5.499999850988388E-2</v>
      </c>
      <c r="G171" s="25">
        <f ca="1">'normal case'!T170/100</f>
        <v>3.4999999701976779E-2</v>
      </c>
      <c r="H171" s="25">
        <f ca="1">'public finance'!D169</f>
        <v>1.9802129779314939E-3</v>
      </c>
      <c r="I171" s="20">
        <f ca="1">'public finance'!E169</f>
        <v>0.55702551026551606</v>
      </c>
      <c r="J171" s="118">
        <f ca="1">'public finance'!H169</f>
        <v>-15.858437200393347</v>
      </c>
      <c r="K171" s="17">
        <f ca="1">'public finance'!C169/'normal case'!D170</f>
        <v>0.19801980186333762</v>
      </c>
      <c r="L171" s="20">
        <f ca="1">'public finance'!A169/'normal case'!D170</f>
        <v>0.2</v>
      </c>
      <c r="M171" s="18" t="str">
        <f>IF(controls!$B$44=0,"",'normal case'!AJ170)</f>
        <v/>
      </c>
      <c r="N171" s="18" t="str">
        <f>IF(controls!$B$44=0,"",'normal case'!AM170)</f>
        <v/>
      </c>
      <c r="O171" s="160" t="str">
        <f>IF(controls!$B$44=0,"",'external balance'!D170)</f>
        <v/>
      </c>
      <c r="P171" s="160" t="str">
        <f>IF(controls!$B$44=0,"",'external balance'!F170)</f>
        <v/>
      </c>
      <c r="Q171" s="159" t="str">
        <f>IF(controls!$B$44=0,"",'external balance'!H170)</f>
        <v/>
      </c>
    </row>
    <row r="172" spans="1:17" ht="14" thickTop="1" thickBot="1">
      <c r="A172" s="15">
        <v>169</v>
      </c>
      <c r="B172" s="17">
        <f ca="1">('normal case'!D171-'normal case'!B171)/'normal case'!B171</f>
        <v>5.9014499777614481E-10</v>
      </c>
      <c r="C172" s="23">
        <f ca="1">'normal case'!D171</f>
        <v>101.00000005960464</v>
      </c>
      <c r="D172" s="24">
        <f ca="1">'normal case'!C171</f>
        <v>-1.5107707374006907E-7</v>
      </c>
      <c r="E172" s="22">
        <f ca="1">'normal case'!L171/100</f>
        <v>1.9999998807907104E-2</v>
      </c>
      <c r="F172" s="25">
        <f ca="1">'normal case'!U171/100</f>
        <v>5.499999850988388E-2</v>
      </c>
      <c r="G172" s="25">
        <f ca="1">'normal case'!T171/100</f>
        <v>3.4999999701976779E-2</v>
      </c>
      <c r="H172" s="25">
        <f ca="1">'public finance'!D170</f>
        <v>1.9802129779314939E-3</v>
      </c>
      <c r="I172" s="20">
        <f ca="1">'public finance'!E170</f>
        <v>0.57652140243935812</v>
      </c>
      <c r="J172" s="118">
        <f ca="1">'public finance'!H170</f>
        <v>-16.415462695817592</v>
      </c>
      <c r="K172" s="17">
        <f ca="1">'public finance'!C170/'normal case'!D171</f>
        <v>0.19801980186333762</v>
      </c>
      <c r="L172" s="20">
        <f ca="1">'public finance'!A170/'normal case'!D171</f>
        <v>0.2</v>
      </c>
      <c r="M172" s="18" t="str">
        <f>IF(controls!$B$44=0,"",'normal case'!AJ171)</f>
        <v/>
      </c>
      <c r="N172" s="18" t="str">
        <f>IF(controls!$B$44=0,"",'normal case'!AM171)</f>
        <v/>
      </c>
      <c r="O172" s="160" t="str">
        <f>IF(controls!$B$44=0,"",'external balance'!D171)</f>
        <v/>
      </c>
      <c r="P172" s="160" t="str">
        <f>IF(controls!$B$44=0,"",'external balance'!F171)</f>
        <v/>
      </c>
      <c r="Q172" s="159" t="str">
        <f>IF(controls!$B$44=0,"",'external balance'!H171)</f>
        <v/>
      </c>
    </row>
    <row r="173" spans="1:17" ht="14" thickTop="1" thickBot="1">
      <c r="A173" s="15">
        <v>170</v>
      </c>
      <c r="B173" s="17">
        <f ca="1">('normal case'!D172-'normal case'!B172)/'normal case'!B172</f>
        <v>5.9014499777614481E-10</v>
      </c>
      <c r="C173" s="23">
        <f ca="1">'normal case'!D172</f>
        <v>101.00000005960464</v>
      </c>
      <c r="D173" s="24">
        <f ca="1">'normal case'!C172</f>
        <v>-1.5107707374006907E-7</v>
      </c>
      <c r="E173" s="22">
        <f ca="1">'normal case'!L172/100</f>
        <v>1.9999998807907104E-2</v>
      </c>
      <c r="F173" s="25">
        <f ca="1">'normal case'!U172/100</f>
        <v>5.499999850988388E-2</v>
      </c>
      <c r="G173" s="25">
        <f ca="1">'normal case'!T172/100</f>
        <v>3.4999999701976779E-2</v>
      </c>
      <c r="H173" s="25">
        <f ca="1">'public finance'!D171</f>
        <v>1.9802129779314939E-3</v>
      </c>
      <c r="I173" s="20">
        <f ca="1">'public finance'!E171</f>
        <v>0.59669965083347454</v>
      </c>
      <c r="J173" s="118">
        <f ca="1">'public finance'!H171</f>
        <v>-16.991984083415684</v>
      </c>
      <c r="K173" s="17">
        <f ca="1">'public finance'!C171/'normal case'!D172</f>
        <v>0.19801980186333762</v>
      </c>
      <c r="L173" s="20">
        <f ca="1">'public finance'!A171/'normal case'!D172</f>
        <v>0.2</v>
      </c>
      <c r="M173" s="18" t="str">
        <f>IF(controls!$B$44=0,"",'normal case'!AJ172)</f>
        <v/>
      </c>
      <c r="N173" s="18" t="str">
        <f>IF(controls!$B$44=0,"",'normal case'!AM172)</f>
        <v/>
      </c>
      <c r="O173" s="160" t="str">
        <f>IF(controls!$B$44=0,"",'external balance'!D172)</f>
        <v/>
      </c>
      <c r="P173" s="160" t="str">
        <f>IF(controls!$B$44=0,"",'external balance'!F172)</f>
        <v/>
      </c>
      <c r="Q173" s="159" t="str">
        <f>IF(controls!$B$44=0,"",'external balance'!H172)</f>
        <v/>
      </c>
    </row>
    <row r="174" spans="1:17" ht="14" thickTop="1" thickBot="1">
      <c r="A174" s="15">
        <v>171</v>
      </c>
      <c r="B174" s="17">
        <f ca="1">('normal case'!D173-'normal case'!B173)/'normal case'!B173</f>
        <v>5.9014499777614481E-10</v>
      </c>
      <c r="C174" s="23">
        <f ca="1">'normal case'!D173</f>
        <v>101.00000005960464</v>
      </c>
      <c r="D174" s="24">
        <f ca="1">'normal case'!C173</f>
        <v>-1.5107707374006907E-7</v>
      </c>
      <c r="E174" s="22">
        <f ca="1">'normal case'!L173/100</f>
        <v>1.9999998807907104E-2</v>
      </c>
      <c r="F174" s="25">
        <f ca="1">'normal case'!U173/100</f>
        <v>5.499999850988388E-2</v>
      </c>
      <c r="G174" s="25">
        <f ca="1">'normal case'!T173/100</f>
        <v>3.4999999701976779E-2</v>
      </c>
      <c r="H174" s="25">
        <f ca="1">'public finance'!D172</f>
        <v>1.9802129779314939E-3</v>
      </c>
      <c r="I174" s="20">
        <f ca="1">'public finance'!E172</f>
        <v>0.61758413791537148</v>
      </c>
      <c r="J174" s="118">
        <f ca="1">'public finance'!H172</f>
        <v>-17.588683719407889</v>
      </c>
      <c r="K174" s="17">
        <f ca="1">'public finance'!C172/'normal case'!D173</f>
        <v>0.19801980186333762</v>
      </c>
      <c r="L174" s="20">
        <f ca="1">'public finance'!A172/'normal case'!D173</f>
        <v>0.2</v>
      </c>
      <c r="M174" s="18" t="str">
        <f>IF(controls!$B$44=0,"",'normal case'!AJ173)</f>
        <v/>
      </c>
      <c r="N174" s="18" t="str">
        <f>IF(controls!$B$44=0,"",'normal case'!AM173)</f>
        <v/>
      </c>
      <c r="O174" s="160" t="str">
        <f>IF(controls!$B$44=0,"",'external balance'!D173)</f>
        <v/>
      </c>
      <c r="P174" s="160" t="str">
        <f>IF(controls!$B$44=0,"",'external balance'!F173)</f>
        <v/>
      </c>
      <c r="Q174" s="159" t="str">
        <f>IF(controls!$B$44=0,"",'external balance'!H173)</f>
        <v/>
      </c>
    </row>
    <row r="175" spans="1:17" ht="14" thickTop="1" thickBot="1">
      <c r="A175" s="15">
        <v>172</v>
      </c>
      <c r="B175" s="17">
        <f ca="1">('normal case'!D174-'normal case'!B174)/'normal case'!B174</f>
        <v>5.9014499777614481E-10</v>
      </c>
      <c r="C175" s="23">
        <f ca="1">'normal case'!D174</f>
        <v>101.00000005960464</v>
      </c>
      <c r="D175" s="24">
        <f ca="1">'normal case'!C174</f>
        <v>-1.5107707374006907E-7</v>
      </c>
      <c r="E175" s="22">
        <f ca="1">'normal case'!L174/100</f>
        <v>1.9999998807907104E-2</v>
      </c>
      <c r="F175" s="25">
        <f ca="1">'normal case'!U174/100</f>
        <v>5.499999850988388E-2</v>
      </c>
      <c r="G175" s="25">
        <f ca="1">'normal case'!T174/100</f>
        <v>3.4999999701976779E-2</v>
      </c>
      <c r="H175" s="25">
        <f ca="1">'public finance'!D173</f>
        <v>1.9802129779314939E-3</v>
      </c>
      <c r="I175" s="20">
        <f ca="1">'public finance'!E173</f>
        <v>0.63919958203891059</v>
      </c>
      <c r="J175" s="118">
        <f ca="1">'public finance'!H173</f>
        <v>-18.206267842481992</v>
      </c>
      <c r="K175" s="17">
        <f ca="1">'public finance'!C173/'normal case'!D174</f>
        <v>0.19801980186333762</v>
      </c>
      <c r="L175" s="20">
        <f ca="1">'public finance'!A173/'normal case'!D174</f>
        <v>0.2</v>
      </c>
      <c r="M175" s="18" t="str">
        <f>IF(controls!$B$44=0,"",'normal case'!AJ174)</f>
        <v/>
      </c>
      <c r="N175" s="18" t="str">
        <f>IF(controls!$B$44=0,"",'normal case'!AM174)</f>
        <v/>
      </c>
      <c r="O175" s="160" t="str">
        <f>IF(controls!$B$44=0,"",'external balance'!D174)</f>
        <v/>
      </c>
      <c r="P175" s="160" t="str">
        <f>IF(controls!$B$44=0,"",'external balance'!F174)</f>
        <v/>
      </c>
      <c r="Q175" s="159" t="str">
        <f>IF(controls!$B$44=0,"",'external balance'!H174)</f>
        <v/>
      </c>
    </row>
    <row r="176" spans="1:17" ht="14" thickTop="1" thickBot="1">
      <c r="A176" s="15">
        <v>173</v>
      </c>
      <c r="B176" s="17">
        <f ca="1">('normal case'!D175-'normal case'!B175)/'normal case'!B175</f>
        <v>5.9014499777614481E-10</v>
      </c>
      <c r="C176" s="23">
        <f ca="1">'normal case'!D175</f>
        <v>101.00000005960464</v>
      </c>
      <c r="D176" s="24">
        <f ca="1">'normal case'!C175</f>
        <v>-1.5107707374006907E-7</v>
      </c>
      <c r="E176" s="22">
        <f ca="1">'normal case'!L175/100</f>
        <v>1.9999998807907104E-2</v>
      </c>
      <c r="F176" s="25">
        <f ca="1">'normal case'!U175/100</f>
        <v>5.499999850988388E-2</v>
      </c>
      <c r="G176" s="25">
        <f ca="1">'normal case'!T175/100</f>
        <v>3.4999999701976779E-2</v>
      </c>
      <c r="H176" s="25">
        <f ca="1">'public finance'!D174</f>
        <v>1.9802129779314939E-3</v>
      </c>
      <c r="I176" s="20">
        <f ca="1">'public finance'!E174</f>
        <v>0.6615715667003319</v>
      </c>
      <c r="J176" s="118">
        <f ca="1">'public finance'!H174</f>
        <v>-18.845467409679635</v>
      </c>
      <c r="K176" s="17">
        <f ca="1">'public finance'!C174/'normal case'!D175</f>
        <v>0.19801980186333762</v>
      </c>
      <c r="L176" s="20">
        <f ca="1">'public finance'!A174/'normal case'!D175</f>
        <v>0.2</v>
      </c>
      <c r="M176" s="18" t="str">
        <f>IF(controls!$B$44=0,"",'normal case'!AJ175)</f>
        <v/>
      </c>
      <c r="N176" s="18" t="str">
        <f>IF(controls!$B$44=0,"",'normal case'!AM175)</f>
        <v/>
      </c>
      <c r="O176" s="160" t="str">
        <f>IF(controls!$B$44=0,"",'external balance'!D175)</f>
        <v/>
      </c>
      <c r="P176" s="160" t="str">
        <f>IF(controls!$B$44=0,"",'external balance'!F175)</f>
        <v/>
      </c>
      <c r="Q176" s="159" t="str">
        <f>IF(controls!$B$44=0,"",'external balance'!H175)</f>
        <v/>
      </c>
    </row>
    <row r="177" spans="1:17" ht="14" thickTop="1" thickBot="1">
      <c r="A177" s="15">
        <v>174</v>
      </c>
      <c r="B177" s="17">
        <f ca="1">('normal case'!D176-'normal case'!B176)/'normal case'!B176</f>
        <v>5.9014499777614481E-10</v>
      </c>
      <c r="C177" s="23">
        <f ca="1">'normal case'!D176</f>
        <v>101.00000005960464</v>
      </c>
      <c r="D177" s="24">
        <f ca="1">'normal case'!C176</f>
        <v>-1.5107707374006907E-7</v>
      </c>
      <c r="E177" s="22">
        <f ca="1">'normal case'!L176/100</f>
        <v>1.9999998807907104E-2</v>
      </c>
      <c r="F177" s="25">
        <f ca="1">'normal case'!U176/100</f>
        <v>5.499999850988388E-2</v>
      </c>
      <c r="G177" s="25">
        <f ca="1">'normal case'!T176/100</f>
        <v>3.4999999701976779E-2</v>
      </c>
      <c r="H177" s="25">
        <f ca="1">'public finance'!D175</f>
        <v>1.9802129779314939E-3</v>
      </c>
      <c r="I177" s="20">
        <f ca="1">'public finance'!E175</f>
        <v>0.68472657081823529</v>
      </c>
      <c r="J177" s="118">
        <f ca="1">'public finance'!H175</f>
        <v>-19.507038961538697</v>
      </c>
      <c r="K177" s="17">
        <f ca="1">'public finance'!C175/'normal case'!D176</f>
        <v>0.19801980186333762</v>
      </c>
      <c r="L177" s="20">
        <f ca="1">'public finance'!A175/'normal case'!D176</f>
        <v>0.2</v>
      </c>
      <c r="M177" s="18" t="str">
        <f>IF(controls!$B$44=0,"",'normal case'!AJ176)</f>
        <v/>
      </c>
      <c r="N177" s="18" t="str">
        <f>IF(controls!$B$44=0,"",'normal case'!AM176)</f>
        <v/>
      </c>
      <c r="O177" s="160" t="str">
        <f>IF(controls!$B$44=0,"",'external balance'!D176)</f>
        <v/>
      </c>
      <c r="P177" s="160" t="str">
        <f>IF(controls!$B$44=0,"",'external balance'!F176)</f>
        <v/>
      </c>
      <c r="Q177" s="159" t="str">
        <f>IF(controls!$B$44=0,"",'external balance'!H176)</f>
        <v/>
      </c>
    </row>
    <row r="178" spans="1:17" ht="14" thickTop="1" thickBot="1">
      <c r="A178" s="15">
        <v>175</v>
      </c>
      <c r="B178" s="17">
        <f ca="1">('normal case'!D177-'normal case'!B177)/'normal case'!B177</f>
        <v>5.9014499777614481E-10</v>
      </c>
      <c r="C178" s="23">
        <f ca="1">'normal case'!D177</f>
        <v>101.00000005960464</v>
      </c>
      <c r="D178" s="24">
        <f ca="1">'normal case'!C177</f>
        <v>-1.5107707374006907E-7</v>
      </c>
      <c r="E178" s="22">
        <f ca="1">'normal case'!L177/100</f>
        <v>1.9999998807907104E-2</v>
      </c>
      <c r="F178" s="25">
        <f ca="1">'normal case'!U177/100</f>
        <v>5.499999850988388E-2</v>
      </c>
      <c r="G178" s="25">
        <f ca="1">'normal case'!T177/100</f>
        <v>3.4999999701976779E-2</v>
      </c>
      <c r="H178" s="25">
        <f ca="1">'public finance'!D176</f>
        <v>1.9802129779314939E-3</v>
      </c>
      <c r="I178" s="20">
        <f ca="1">'public finance'!E176</f>
        <v>0.70869200007336475</v>
      </c>
      <c r="J178" s="118">
        <f ca="1">'public finance'!H176</f>
        <v>-20.191765517515663</v>
      </c>
      <c r="K178" s="17">
        <f ca="1">'public finance'!C176/'normal case'!D177</f>
        <v>0.19801980186333762</v>
      </c>
      <c r="L178" s="20">
        <f ca="1">'public finance'!A176/'normal case'!D177</f>
        <v>0.2</v>
      </c>
      <c r="M178" s="18" t="str">
        <f>IF(controls!$B$44=0,"",'normal case'!AJ177)</f>
        <v/>
      </c>
      <c r="N178" s="18" t="str">
        <f>IF(controls!$B$44=0,"",'normal case'!AM177)</f>
        <v/>
      </c>
      <c r="O178" s="160" t="str">
        <f>IF(controls!$B$44=0,"",'external balance'!D177)</f>
        <v/>
      </c>
      <c r="P178" s="160" t="str">
        <f>IF(controls!$B$44=0,"",'external balance'!F177)</f>
        <v/>
      </c>
      <c r="Q178" s="159" t="str">
        <f>IF(controls!$B$44=0,"",'external balance'!H177)</f>
        <v/>
      </c>
    </row>
    <row r="179" spans="1:17" ht="14" thickTop="1" thickBot="1">
      <c r="A179" s="15">
        <v>176</v>
      </c>
      <c r="B179" s="17">
        <f ca="1">('normal case'!D178-'normal case'!B178)/'normal case'!B178</f>
        <v>5.9014499777614481E-10</v>
      </c>
      <c r="C179" s="23">
        <f ca="1">'normal case'!D178</f>
        <v>101.00000005960464</v>
      </c>
      <c r="D179" s="24">
        <f ca="1">'normal case'!C178</f>
        <v>-1.5107707374006907E-7</v>
      </c>
      <c r="E179" s="22">
        <f ca="1">'normal case'!L178/100</f>
        <v>1.9999998807907104E-2</v>
      </c>
      <c r="F179" s="25">
        <f ca="1">'normal case'!U178/100</f>
        <v>5.499999850988388E-2</v>
      </c>
      <c r="G179" s="25">
        <f ca="1">'normal case'!T178/100</f>
        <v>3.4999999701976779E-2</v>
      </c>
      <c r="H179" s="25">
        <f ca="1">'public finance'!D177</f>
        <v>1.9802129779314939E-3</v>
      </c>
      <c r="I179" s="20">
        <f ca="1">'public finance'!E177</f>
        <v>0.73349621934528142</v>
      </c>
      <c r="J179" s="118">
        <f ca="1">'public finance'!H177</f>
        <v>-20.900457502747763</v>
      </c>
      <c r="K179" s="17">
        <f ca="1">'public finance'!C177/'normal case'!D178</f>
        <v>0.19801980186333762</v>
      </c>
      <c r="L179" s="20">
        <f ca="1">'public finance'!A177/'normal case'!D178</f>
        <v>0.2</v>
      </c>
      <c r="M179" s="18" t="str">
        <f>IF(controls!$B$44=0,"",'normal case'!AJ178)</f>
        <v/>
      </c>
      <c r="N179" s="18" t="str">
        <f>IF(controls!$B$44=0,"",'normal case'!AM178)</f>
        <v/>
      </c>
      <c r="O179" s="160" t="str">
        <f>IF(controls!$B$44=0,"",'external balance'!D178)</f>
        <v/>
      </c>
      <c r="P179" s="160" t="str">
        <f>IF(controls!$B$44=0,"",'external balance'!F178)</f>
        <v/>
      </c>
      <c r="Q179" s="159" t="str">
        <f>IF(controls!$B$44=0,"",'external balance'!H178)</f>
        <v/>
      </c>
    </row>
    <row r="180" spans="1:17" ht="14" thickTop="1" thickBot="1">
      <c r="A180" s="15">
        <v>177</v>
      </c>
      <c r="B180" s="17">
        <f ca="1">('normal case'!D179-'normal case'!B179)/'normal case'!B179</f>
        <v>5.9014499777614481E-10</v>
      </c>
      <c r="C180" s="23">
        <f ca="1">'normal case'!D179</f>
        <v>101.00000005960464</v>
      </c>
      <c r="D180" s="24">
        <f ca="1">'normal case'!C179</f>
        <v>-1.5107707374006907E-7</v>
      </c>
      <c r="E180" s="22">
        <f ca="1">'normal case'!L179/100</f>
        <v>1.9999998807907104E-2</v>
      </c>
      <c r="F180" s="25">
        <f ca="1">'normal case'!U179/100</f>
        <v>5.499999850988388E-2</v>
      </c>
      <c r="G180" s="25">
        <f ca="1">'normal case'!T179/100</f>
        <v>3.4999999701976779E-2</v>
      </c>
      <c r="H180" s="25">
        <f ca="1">'public finance'!D178</f>
        <v>1.9802129779314939E-3</v>
      </c>
      <c r="I180" s="20">
        <f ca="1">'public finance'!E178</f>
        <v>0.75916858628432293</v>
      </c>
      <c r="J180" s="118">
        <f ca="1">'public finance'!H178</f>
        <v>-21.633953707251774</v>
      </c>
      <c r="K180" s="17">
        <f ca="1">'public finance'!C178/'normal case'!D179</f>
        <v>0.19801980186333762</v>
      </c>
      <c r="L180" s="20">
        <f ca="1">'public finance'!A178/'normal case'!D179</f>
        <v>0.2</v>
      </c>
      <c r="M180" s="18" t="str">
        <f>IF(controls!$B$44=0,"",'normal case'!AJ179)</f>
        <v/>
      </c>
      <c r="N180" s="18" t="str">
        <f>IF(controls!$B$44=0,"",'normal case'!AM179)</f>
        <v/>
      </c>
      <c r="O180" s="160" t="str">
        <f>IF(controls!$B$44=0,"",'external balance'!D179)</f>
        <v/>
      </c>
      <c r="P180" s="160" t="str">
        <f>IF(controls!$B$44=0,"",'external balance'!F179)</f>
        <v/>
      </c>
      <c r="Q180" s="159" t="str">
        <f>IF(controls!$B$44=0,"",'external balance'!H179)</f>
        <v/>
      </c>
    </row>
    <row r="181" spans="1:17" ht="14" thickTop="1" thickBot="1">
      <c r="A181" s="15">
        <v>178</v>
      </c>
      <c r="B181" s="17">
        <f ca="1">('normal case'!D180-'normal case'!B180)/'normal case'!B180</f>
        <v>5.9014499777614481E-10</v>
      </c>
      <c r="C181" s="23">
        <f ca="1">'normal case'!D180</f>
        <v>101.00000005960464</v>
      </c>
      <c r="D181" s="24">
        <f ca="1">'normal case'!C180</f>
        <v>-1.5107707374006907E-7</v>
      </c>
      <c r="E181" s="22">
        <f ca="1">'normal case'!L180/100</f>
        <v>1.9999998807907104E-2</v>
      </c>
      <c r="F181" s="25">
        <f ca="1">'normal case'!U180/100</f>
        <v>5.499999850988388E-2</v>
      </c>
      <c r="G181" s="25">
        <f ca="1">'normal case'!T180/100</f>
        <v>3.4999999701976779E-2</v>
      </c>
      <c r="H181" s="25">
        <f ca="1">'public finance'!D179</f>
        <v>1.9802129779314939E-3</v>
      </c>
      <c r="I181" s="20">
        <f ca="1">'public finance'!E179</f>
        <v>0.78573948605858002</v>
      </c>
      <c r="J181" s="118">
        <f ca="1">'public finance'!H179</f>
        <v>-22.393122278694829</v>
      </c>
      <c r="K181" s="17">
        <f ca="1">'public finance'!C179/'normal case'!D180</f>
        <v>0.19801980186333762</v>
      </c>
      <c r="L181" s="20">
        <f ca="1">'public finance'!A179/'normal case'!D180</f>
        <v>0.2</v>
      </c>
      <c r="M181" s="18" t="str">
        <f>IF(controls!$B$44=0,"",'normal case'!AJ180)</f>
        <v/>
      </c>
      <c r="N181" s="18" t="str">
        <f>IF(controls!$B$44=0,"",'normal case'!AM180)</f>
        <v/>
      </c>
      <c r="O181" s="160" t="str">
        <f>IF(controls!$B$44=0,"",'external balance'!D180)</f>
        <v/>
      </c>
      <c r="P181" s="160" t="str">
        <f>IF(controls!$B$44=0,"",'external balance'!F180)</f>
        <v/>
      </c>
      <c r="Q181" s="159" t="str">
        <f>IF(controls!$B$44=0,"",'external balance'!H180)</f>
        <v/>
      </c>
    </row>
    <row r="182" spans="1:17" ht="14" thickTop="1" thickBot="1">
      <c r="A182" s="15">
        <v>179</v>
      </c>
      <c r="B182" s="17">
        <f ca="1">('normal case'!D181-'normal case'!B181)/'normal case'!B181</f>
        <v>5.9014499777614481E-10</v>
      </c>
      <c r="C182" s="23">
        <f ca="1">'normal case'!D181</f>
        <v>101.00000005960464</v>
      </c>
      <c r="D182" s="24">
        <f ca="1">'normal case'!C181</f>
        <v>-1.5107707374006907E-7</v>
      </c>
      <c r="E182" s="22">
        <f ca="1">'normal case'!L181/100</f>
        <v>1.9999998807907104E-2</v>
      </c>
      <c r="F182" s="25">
        <f ca="1">'normal case'!U181/100</f>
        <v>5.499999850988388E-2</v>
      </c>
      <c r="G182" s="25">
        <f ca="1">'normal case'!T181/100</f>
        <v>3.4999999701976779E-2</v>
      </c>
      <c r="H182" s="25">
        <f ca="1">'public finance'!D180</f>
        <v>1.9802129779314939E-3</v>
      </c>
      <c r="I182" s="20">
        <f ca="1">'public finance'!E180</f>
        <v>0.81324036731701721</v>
      </c>
      <c r="J182" s="118">
        <f ca="1">'public finance'!H180</f>
        <v>-23.178861749912137</v>
      </c>
      <c r="K182" s="17">
        <f ca="1">'public finance'!C180/'normal case'!D181</f>
        <v>0.19801980186333762</v>
      </c>
      <c r="L182" s="20">
        <f ca="1">'public finance'!A180/'normal case'!D181</f>
        <v>0.2</v>
      </c>
      <c r="M182" s="18" t="str">
        <f>IF(controls!$B$44=0,"",'normal case'!AJ181)</f>
        <v/>
      </c>
      <c r="N182" s="18" t="str">
        <f>IF(controls!$B$44=0,"",'normal case'!AM181)</f>
        <v/>
      </c>
      <c r="O182" s="160" t="str">
        <f>IF(controls!$B$44=0,"",'external balance'!D181)</f>
        <v/>
      </c>
      <c r="P182" s="160" t="str">
        <f>IF(controls!$B$44=0,"",'external balance'!F181)</f>
        <v/>
      </c>
      <c r="Q182" s="159" t="str">
        <f>IF(controls!$B$44=0,"",'external balance'!H181)</f>
        <v/>
      </c>
    </row>
    <row r="183" spans="1:17" ht="14" thickTop="1" thickBot="1">
      <c r="A183" s="15">
        <v>180</v>
      </c>
      <c r="B183" s="17">
        <f ca="1">('normal case'!D182-'normal case'!B182)/'normal case'!B182</f>
        <v>5.9014499777614481E-10</v>
      </c>
      <c r="C183" s="23">
        <f ca="1">'normal case'!D182</f>
        <v>101.00000005960464</v>
      </c>
      <c r="D183" s="24">
        <f ca="1">'normal case'!C182</f>
        <v>-1.5107707374006907E-7</v>
      </c>
      <c r="E183" s="22">
        <f ca="1">'normal case'!L182/100</f>
        <v>1.9999998807907104E-2</v>
      </c>
      <c r="F183" s="25">
        <f ca="1">'normal case'!U182/100</f>
        <v>5.499999850988388E-2</v>
      </c>
      <c r="G183" s="25">
        <f ca="1">'normal case'!T182/100</f>
        <v>3.4999999701976779E-2</v>
      </c>
      <c r="H183" s="25">
        <f ca="1">'public finance'!D181</f>
        <v>1.9802129779314939E-3</v>
      </c>
      <c r="I183" s="20">
        <f ca="1">'public finance'!E181</f>
        <v>0.84170377941130392</v>
      </c>
      <c r="J183" s="118">
        <f ca="1">'public finance'!H181</f>
        <v>-23.992102102387886</v>
      </c>
      <c r="K183" s="17">
        <f ca="1">'public finance'!C181/'normal case'!D182</f>
        <v>0.19801980186333762</v>
      </c>
      <c r="L183" s="20">
        <f ca="1">'public finance'!A181/'normal case'!D182</f>
        <v>0.2</v>
      </c>
      <c r="M183" s="18" t="str">
        <f>IF(controls!$B$44=0,"",'normal case'!AJ182)</f>
        <v/>
      </c>
      <c r="N183" s="18" t="str">
        <f>IF(controls!$B$44=0,"",'normal case'!AM182)</f>
        <v/>
      </c>
      <c r="O183" s="160" t="str">
        <f>IF(controls!$B$44=0,"",'external balance'!D182)</f>
        <v/>
      </c>
      <c r="P183" s="160" t="str">
        <f>IF(controls!$B$44=0,"",'external balance'!F182)</f>
        <v/>
      </c>
      <c r="Q183" s="159" t="str">
        <f>IF(controls!$B$44=0,"",'external balance'!H182)</f>
        <v/>
      </c>
    </row>
    <row r="184" spans="1:17" ht="14" thickTop="1" thickBot="1">
      <c r="A184" s="15">
        <v>181</v>
      </c>
      <c r="B184" s="17">
        <f ca="1">('normal case'!D183-'normal case'!B183)/'normal case'!B183</f>
        <v>5.9014499777614481E-10</v>
      </c>
      <c r="C184" s="23">
        <f ca="1">'normal case'!D183</f>
        <v>101.00000005960464</v>
      </c>
      <c r="D184" s="24">
        <f ca="1">'normal case'!C183</f>
        <v>-1.5107707374006907E-7</v>
      </c>
      <c r="E184" s="22">
        <f ca="1">'normal case'!L183/100</f>
        <v>1.9999998807907104E-2</v>
      </c>
      <c r="F184" s="25">
        <f ca="1">'normal case'!U183/100</f>
        <v>5.499999850988388E-2</v>
      </c>
      <c r="G184" s="25">
        <f ca="1">'normal case'!T183/100</f>
        <v>3.4999999701976779E-2</v>
      </c>
      <c r="H184" s="25">
        <f ca="1">'public finance'!D182</f>
        <v>1.9802129779314939E-3</v>
      </c>
      <c r="I184" s="20">
        <f ca="1">'public finance'!E182</f>
        <v>0.87116341092040794</v>
      </c>
      <c r="J184" s="118">
        <f ca="1">'public finance'!H182</f>
        <v>-24.83380586695792</v>
      </c>
      <c r="K184" s="17">
        <f ca="1">'public finance'!C182/'normal case'!D183</f>
        <v>0.19801980186333762</v>
      </c>
      <c r="L184" s="20">
        <f ca="1">'public finance'!A182/'normal case'!D183</f>
        <v>0.2</v>
      </c>
      <c r="M184" s="18" t="str">
        <f>IF(controls!$B$44=0,"",'normal case'!AJ183)</f>
        <v/>
      </c>
      <c r="N184" s="18" t="str">
        <f>IF(controls!$B$44=0,"",'normal case'!AM183)</f>
        <v/>
      </c>
      <c r="O184" s="160" t="str">
        <f>IF(controls!$B$44=0,"",'external balance'!D183)</f>
        <v/>
      </c>
      <c r="P184" s="160" t="str">
        <f>IF(controls!$B$44=0,"",'external balance'!F183)</f>
        <v/>
      </c>
      <c r="Q184" s="159" t="str">
        <f>IF(controls!$B$44=0,"",'external balance'!H183)</f>
        <v/>
      </c>
    </row>
    <row r="185" spans="1:17" ht="14" thickTop="1" thickBot="1">
      <c r="A185" s="15">
        <v>182</v>
      </c>
      <c r="B185" s="17">
        <f ca="1">('normal case'!D184-'normal case'!B184)/'normal case'!B184</f>
        <v>5.9014499777614481E-10</v>
      </c>
      <c r="C185" s="23">
        <f ca="1">'normal case'!D184</f>
        <v>101.00000005960464</v>
      </c>
      <c r="D185" s="24">
        <f ca="1">'normal case'!C184</f>
        <v>-1.5107707374006907E-7</v>
      </c>
      <c r="E185" s="22">
        <f ca="1">'normal case'!L184/100</f>
        <v>1.9999998807907104E-2</v>
      </c>
      <c r="F185" s="25">
        <f ca="1">'normal case'!U184/100</f>
        <v>5.499999850988388E-2</v>
      </c>
      <c r="G185" s="25">
        <f ca="1">'normal case'!T184/100</f>
        <v>3.4999999701976779E-2</v>
      </c>
      <c r="H185" s="25">
        <f ca="1">'public finance'!D183</f>
        <v>1.9802129779314939E-3</v>
      </c>
      <c r="I185" s="20">
        <f ca="1">'public finance'!E183</f>
        <v>0.90165412952355073</v>
      </c>
      <c r="J185" s="118">
        <f ca="1">'public finance'!H183</f>
        <v>-25.704969263037057</v>
      </c>
      <c r="K185" s="17">
        <f ca="1">'public finance'!C183/'normal case'!D184</f>
        <v>0.19801980186333762</v>
      </c>
      <c r="L185" s="20">
        <f ca="1">'public finance'!A183/'normal case'!D184</f>
        <v>0.2</v>
      </c>
      <c r="M185" s="18" t="str">
        <f>IF(controls!$B$44=0,"",'normal case'!AJ184)</f>
        <v/>
      </c>
      <c r="N185" s="18" t="str">
        <f>IF(controls!$B$44=0,"",'normal case'!AM184)</f>
        <v/>
      </c>
      <c r="O185" s="160" t="str">
        <f>IF(controls!$B$44=0,"",'external balance'!D184)</f>
        <v/>
      </c>
      <c r="P185" s="160" t="str">
        <f>IF(controls!$B$44=0,"",'external balance'!F184)</f>
        <v/>
      </c>
      <c r="Q185" s="159" t="str">
        <f>IF(controls!$B$44=0,"",'external balance'!H184)</f>
        <v/>
      </c>
    </row>
    <row r="186" spans="1:17" ht="14" thickTop="1" thickBot="1">
      <c r="A186" s="15">
        <v>183</v>
      </c>
      <c r="B186" s="17">
        <f ca="1">('normal case'!D185-'normal case'!B185)/'normal case'!B185</f>
        <v>5.9014499777614481E-10</v>
      </c>
      <c r="C186" s="23">
        <f ca="1">'normal case'!D185</f>
        <v>101.00000005960464</v>
      </c>
      <c r="D186" s="24">
        <f ca="1">'normal case'!C185</f>
        <v>-1.5107707374006907E-7</v>
      </c>
      <c r="E186" s="22">
        <f ca="1">'normal case'!L185/100</f>
        <v>1.9999998807907104E-2</v>
      </c>
      <c r="F186" s="25">
        <f ca="1">'normal case'!U185/100</f>
        <v>5.499999850988388E-2</v>
      </c>
      <c r="G186" s="25">
        <f ca="1">'normal case'!T185/100</f>
        <v>3.4999999701976779E-2</v>
      </c>
      <c r="H186" s="25">
        <f ca="1">'public finance'!D184</f>
        <v>1.9802129779314939E-3</v>
      </c>
      <c r="I186" s="20">
        <f ca="1">'public finance'!E184</f>
        <v>0.93321202326871677</v>
      </c>
      <c r="J186" s="118">
        <f ca="1">'public finance'!H184</f>
        <v>-26.606623377719341</v>
      </c>
      <c r="K186" s="17">
        <f ca="1">'public finance'!C184/'normal case'!D185</f>
        <v>0.19801980186333762</v>
      </c>
      <c r="L186" s="20">
        <f ca="1">'public finance'!A184/'normal case'!D185</f>
        <v>0.2</v>
      </c>
      <c r="M186" s="18" t="str">
        <f>IF(controls!$B$44=0,"",'normal case'!AJ185)</f>
        <v/>
      </c>
      <c r="N186" s="18" t="str">
        <f>IF(controls!$B$44=0,"",'normal case'!AM185)</f>
        <v/>
      </c>
      <c r="O186" s="160" t="str">
        <f>IF(controls!$B$44=0,"",'external balance'!D185)</f>
        <v/>
      </c>
      <c r="P186" s="160" t="str">
        <f>IF(controls!$B$44=0,"",'external balance'!F185)</f>
        <v/>
      </c>
      <c r="Q186" s="159" t="str">
        <f>IF(controls!$B$44=0,"",'external balance'!H185)</f>
        <v/>
      </c>
    </row>
    <row r="187" spans="1:17" ht="14" thickTop="1" thickBot="1">
      <c r="A187" s="15">
        <v>184</v>
      </c>
      <c r="B187" s="17">
        <f ca="1">('normal case'!D186-'normal case'!B186)/'normal case'!B186</f>
        <v>5.9014499777614481E-10</v>
      </c>
      <c r="C187" s="23">
        <f ca="1">'normal case'!D186</f>
        <v>101.00000005960464</v>
      </c>
      <c r="D187" s="24">
        <f ca="1">'normal case'!C186</f>
        <v>-1.5107707374006907E-7</v>
      </c>
      <c r="E187" s="22">
        <f ca="1">'normal case'!L186/100</f>
        <v>1.9999998807907104E-2</v>
      </c>
      <c r="F187" s="25">
        <f ca="1">'normal case'!U186/100</f>
        <v>5.499999850988388E-2</v>
      </c>
      <c r="G187" s="25">
        <f ca="1">'normal case'!T186/100</f>
        <v>3.4999999701976779E-2</v>
      </c>
      <c r="H187" s="25">
        <f ca="1">'public finance'!D185</f>
        <v>1.9802129779314939E-3</v>
      </c>
      <c r="I187" s="20">
        <f ca="1">'public finance'!E185</f>
        <v>0.9658744432855586</v>
      </c>
      <c r="J187" s="118">
        <f ca="1">'public finance'!H185</f>
        <v>-27.539835386146787</v>
      </c>
      <c r="K187" s="17">
        <f ca="1">'public finance'!C185/'normal case'!D186</f>
        <v>0.19801980186333762</v>
      </c>
      <c r="L187" s="20">
        <f ca="1">'public finance'!A185/'normal case'!D186</f>
        <v>0.2</v>
      </c>
      <c r="M187" s="18" t="str">
        <f>IF(controls!$B$44=0,"",'normal case'!AJ186)</f>
        <v/>
      </c>
      <c r="N187" s="18" t="str">
        <f>IF(controls!$B$44=0,"",'normal case'!AM186)</f>
        <v/>
      </c>
      <c r="O187" s="160" t="str">
        <f>IF(controls!$B$44=0,"",'external balance'!D186)</f>
        <v/>
      </c>
      <c r="P187" s="160" t="str">
        <f>IF(controls!$B$44=0,"",'external balance'!F186)</f>
        <v/>
      </c>
      <c r="Q187" s="159" t="str">
        <f>IF(controls!$B$44=0,"",'external balance'!H186)</f>
        <v/>
      </c>
    </row>
    <row r="188" spans="1:17" ht="14" thickTop="1" thickBot="1">
      <c r="A188" s="15">
        <v>185</v>
      </c>
      <c r="B188" s="17">
        <f ca="1">('normal case'!D187-'normal case'!B187)/'normal case'!B187</f>
        <v>5.9014499777614481E-10</v>
      </c>
      <c r="C188" s="23">
        <f ca="1">'normal case'!D187</f>
        <v>101.00000005960464</v>
      </c>
      <c r="D188" s="24">
        <f ca="1">'normal case'!C187</f>
        <v>-1.5107707374006907E-7</v>
      </c>
      <c r="E188" s="22">
        <f ca="1">'normal case'!L187/100</f>
        <v>1.9999998807907104E-2</v>
      </c>
      <c r="F188" s="25">
        <f ca="1">'normal case'!U187/100</f>
        <v>5.499999850988388E-2</v>
      </c>
      <c r="G188" s="25">
        <f ca="1">'normal case'!T187/100</f>
        <v>3.4999999701976779E-2</v>
      </c>
      <c r="H188" s="25">
        <f ca="1">'public finance'!D186</f>
        <v>1.9802129779314939E-3</v>
      </c>
      <c r="I188" s="20">
        <f ca="1">'public finance'!E186</f>
        <v>0.99968004799325583</v>
      </c>
      <c r="J188" s="118">
        <f ca="1">'public finance'!H186</f>
        <v>-28.505709814591079</v>
      </c>
      <c r="K188" s="17">
        <f ca="1">'public finance'!C186/'normal case'!D187</f>
        <v>0.19801980186333762</v>
      </c>
      <c r="L188" s="20">
        <f ca="1">'public finance'!A186/'normal case'!D187</f>
        <v>0.2</v>
      </c>
      <c r="M188" s="18" t="str">
        <f>IF(controls!$B$44=0,"",'normal case'!AJ187)</f>
        <v/>
      </c>
      <c r="N188" s="18" t="str">
        <f>IF(controls!$B$44=0,"",'normal case'!AM187)</f>
        <v/>
      </c>
      <c r="O188" s="160" t="str">
        <f>IF(controls!$B$44=0,"",'external balance'!D187)</f>
        <v/>
      </c>
      <c r="P188" s="160" t="str">
        <f>IF(controls!$B$44=0,"",'external balance'!F187)</f>
        <v/>
      </c>
      <c r="Q188" s="159" t="str">
        <f>IF(controls!$B$44=0,"",'external balance'!H187)</f>
        <v/>
      </c>
    </row>
    <row r="189" spans="1:17" ht="14" thickTop="1" thickBot="1">
      <c r="A189" s="15">
        <v>186</v>
      </c>
      <c r="B189" s="17">
        <f ca="1">('normal case'!D188-'normal case'!B188)/'normal case'!B188</f>
        <v>5.9014499777614481E-10</v>
      </c>
      <c r="C189" s="23">
        <f ca="1">'normal case'!D188</f>
        <v>101.00000005960464</v>
      </c>
      <c r="D189" s="24">
        <f ca="1">'normal case'!C188</f>
        <v>-1.5107707374006907E-7</v>
      </c>
      <c r="E189" s="22">
        <f ca="1">'normal case'!L188/100</f>
        <v>1.9999998807907104E-2</v>
      </c>
      <c r="F189" s="25">
        <f ca="1">'normal case'!U188/100</f>
        <v>5.499999850988388E-2</v>
      </c>
      <c r="G189" s="25">
        <f ca="1">'normal case'!T188/100</f>
        <v>3.4999999701976779E-2</v>
      </c>
      <c r="H189" s="25">
        <f ca="1">'public finance'!D187</f>
        <v>1.9802129779314939E-3</v>
      </c>
      <c r="I189" s="20">
        <f ca="1">'public finance'!E187</f>
        <v>1.0346688488556472</v>
      </c>
      <c r="J189" s="118">
        <f ca="1">'public finance'!H187</f>
        <v>-29.505389847743064</v>
      </c>
      <c r="K189" s="17">
        <f ca="1">'public finance'!C187/'normal case'!D188</f>
        <v>0.19801980186333762</v>
      </c>
      <c r="L189" s="20">
        <f ca="1">'public finance'!A187/'normal case'!D188</f>
        <v>0.2</v>
      </c>
      <c r="M189" s="18" t="str">
        <f>IF(controls!$B$44=0,"",'normal case'!AJ188)</f>
        <v/>
      </c>
      <c r="N189" s="18" t="str">
        <f>IF(controls!$B$44=0,"",'normal case'!AM188)</f>
        <v/>
      </c>
      <c r="O189" s="160" t="str">
        <f>IF(controls!$B$44=0,"",'external balance'!D188)</f>
        <v/>
      </c>
      <c r="P189" s="160" t="str">
        <f>IF(controls!$B$44=0,"",'external balance'!F188)</f>
        <v/>
      </c>
      <c r="Q189" s="159" t="str">
        <f>IF(controls!$B$44=0,"",'external balance'!H188)</f>
        <v/>
      </c>
    </row>
    <row r="190" spans="1:17" ht="14" thickTop="1" thickBot="1">
      <c r="A190" s="15">
        <v>187</v>
      </c>
      <c r="B190" s="17">
        <f ca="1">('normal case'!D189-'normal case'!B189)/'normal case'!B189</f>
        <v>5.9014499777614481E-10</v>
      </c>
      <c r="C190" s="23">
        <f ca="1">'normal case'!D189</f>
        <v>101.00000005960464</v>
      </c>
      <c r="D190" s="24">
        <f ca="1">'normal case'!C189</f>
        <v>-1.5107707374006907E-7</v>
      </c>
      <c r="E190" s="22">
        <f ca="1">'normal case'!L189/100</f>
        <v>1.9999998807907104E-2</v>
      </c>
      <c r="F190" s="25">
        <f ca="1">'normal case'!U189/100</f>
        <v>5.499999850988388E-2</v>
      </c>
      <c r="G190" s="25">
        <f ca="1">'normal case'!T189/100</f>
        <v>3.4999999701976779E-2</v>
      </c>
      <c r="H190" s="25">
        <f ca="1">'public finance'!D188</f>
        <v>1.9802129779314939E-3</v>
      </c>
      <c r="I190" s="20">
        <f ca="1">'public finance'!E188</f>
        <v>1.0708822577377954</v>
      </c>
      <c r="J190" s="118">
        <f ca="1">'public finance'!H188</f>
        <v>-30.540058681757447</v>
      </c>
      <c r="K190" s="17">
        <f ca="1">'public finance'!C188/'normal case'!D189</f>
        <v>0.19801980186333762</v>
      </c>
      <c r="L190" s="20">
        <f ca="1">'public finance'!A188/'normal case'!D189</f>
        <v>0.2</v>
      </c>
      <c r="M190" s="18" t="str">
        <f>IF(controls!$B$44=0,"",'normal case'!AJ189)</f>
        <v/>
      </c>
      <c r="N190" s="18" t="str">
        <f>IF(controls!$B$44=0,"",'normal case'!AM189)</f>
        <v/>
      </c>
      <c r="O190" s="160" t="str">
        <f>IF(controls!$B$44=0,"",'external balance'!D189)</f>
        <v/>
      </c>
      <c r="P190" s="160" t="str">
        <f>IF(controls!$B$44=0,"",'external balance'!F189)</f>
        <v/>
      </c>
      <c r="Q190" s="159" t="str">
        <f>IF(controls!$B$44=0,"",'external balance'!H189)</f>
        <v/>
      </c>
    </row>
    <row r="191" spans="1:17" ht="14" thickTop="1" thickBot="1">
      <c r="A191" s="15">
        <v>188</v>
      </c>
      <c r="B191" s="17">
        <f ca="1">('normal case'!D190-'normal case'!B190)/'normal case'!B190</f>
        <v>5.9014499777614481E-10</v>
      </c>
      <c r="C191" s="23">
        <f ca="1">'normal case'!D190</f>
        <v>101.00000005960464</v>
      </c>
      <c r="D191" s="24">
        <f ca="1">'normal case'!C190</f>
        <v>-1.5107707374006907E-7</v>
      </c>
      <c r="E191" s="22">
        <f ca="1">'normal case'!L190/100</f>
        <v>1.9999998807907104E-2</v>
      </c>
      <c r="F191" s="25">
        <f ca="1">'normal case'!U190/100</f>
        <v>5.499999850988388E-2</v>
      </c>
      <c r="G191" s="25">
        <f ca="1">'normal case'!T190/100</f>
        <v>3.4999999701976779E-2</v>
      </c>
      <c r="H191" s="25">
        <f ca="1">'public finance'!D189</f>
        <v>1.9802129779314939E-3</v>
      </c>
      <c r="I191" s="20">
        <f ca="1">'public finance'!E189</f>
        <v>1.1083631359200261</v>
      </c>
      <c r="J191" s="118">
        <f ca="1">'public finance'!H189</f>
        <v>-31.610940924653974</v>
      </c>
      <c r="K191" s="17">
        <f ca="1">'public finance'!C189/'normal case'!D190</f>
        <v>0.19801980186333762</v>
      </c>
      <c r="L191" s="20">
        <f ca="1">'public finance'!A189/'normal case'!D190</f>
        <v>0.2</v>
      </c>
      <c r="M191" s="18" t="str">
        <f>IF(controls!$B$44=0,"",'normal case'!AJ190)</f>
        <v/>
      </c>
      <c r="N191" s="18" t="str">
        <f>IF(controls!$B$44=0,"",'normal case'!AM190)</f>
        <v/>
      </c>
      <c r="O191" s="160" t="str">
        <f>IF(controls!$B$44=0,"",'external balance'!D190)</f>
        <v/>
      </c>
      <c r="P191" s="160" t="str">
        <f>IF(controls!$B$44=0,"",'external balance'!F190)</f>
        <v/>
      </c>
      <c r="Q191" s="159" t="str">
        <f>IF(controls!$B$44=0,"",'external balance'!H190)</f>
        <v/>
      </c>
    </row>
    <row r="192" spans="1:17" ht="14" thickTop="1" thickBot="1">
      <c r="A192" s="15">
        <v>189</v>
      </c>
      <c r="B192" s="17">
        <f ca="1">('normal case'!D191-'normal case'!B191)/'normal case'!B191</f>
        <v>5.9014499777614481E-10</v>
      </c>
      <c r="C192" s="23">
        <f ca="1">'normal case'!D191</f>
        <v>101.00000005960464</v>
      </c>
      <c r="D192" s="24">
        <f ca="1">'normal case'!C191</f>
        <v>-1.5107707374006907E-7</v>
      </c>
      <c r="E192" s="22">
        <f ca="1">'normal case'!L191/100</f>
        <v>1.9999998807907104E-2</v>
      </c>
      <c r="F192" s="25">
        <f ca="1">'normal case'!U191/100</f>
        <v>5.499999850988388E-2</v>
      </c>
      <c r="G192" s="25">
        <f ca="1">'normal case'!T191/100</f>
        <v>3.4999999701976779E-2</v>
      </c>
      <c r="H192" s="25">
        <f ca="1">'public finance'!D190</f>
        <v>1.9802129779314939E-3</v>
      </c>
      <c r="I192" s="20">
        <f ca="1">'public finance'!E190</f>
        <v>1.1471558448274646</v>
      </c>
      <c r="J192" s="118">
        <f ca="1">'public finance'!H190</f>
        <v>-32.719304045732734</v>
      </c>
      <c r="K192" s="17">
        <f ca="1">'public finance'!C190/'normal case'!D191</f>
        <v>0.19801980186333762</v>
      </c>
      <c r="L192" s="20">
        <f ca="1">'public finance'!A190/'normal case'!D191</f>
        <v>0.2</v>
      </c>
      <c r="M192" s="18" t="str">
        <f>IF(controls!$B$44=0,"",'normal case'!AJ191)</f>
        <v/>
      </c>
      <c r="N192" s="18" t="str">
        <f>IF(controls!$B$44=0,"",'normal case'!AM191)</f>
        <v/>
      </c>
      <c r="O192" s="160" t="str">
        <f>IF(controls!$B$44=0,"",'external balance'!D191)</f>
        <v/>
      </c>
      <c r="P192" s="160" t="str">
        <f>IF(controls!$B$44=0,"",'external balance'!F191)</f>
        <v/>
      </c>
      <c r="Q192" s="159" t="str">
        <f>IF(controls!$B$44=0,"",'external balance'!H191)</f>
        <v/>
      </c>
    </row>
    <row r="193" spans="1:17" ht="14" thickTop="1" thickBot="1">
      <c r="A193" s="15">
        <v>190</v>
      </c>
      <c r="B193" s="17">
        <f ca="1">('normal case'!D192-'normal case'!B192)/'normal case'!B192</f>
        <v>5.9014499777614481E-10</v>
      </c>
      <c r="C193" s="23">
        <f ca="1">'normal case'!D192</f>
        <v>101.00000005960464</v>
      </c>
      <c r="D193" s="24">
        <f ca="1">'normal case'!C192</f>
        <v>-1.5107707374006907E-7</v>
      </c>
      <c r="E193" s="22">
        <f ca="1">'normal case'!L192/100</f>
        <v>1.9999998807907104E-2</v>
      </c>
      <c r="F193" s="25">
        <f ca="1">'normal case'!U192/100</f>
        <v>5.499999850988388E-2</v>
      </c>
      <c r="G193" s="25">
        <f ca="1">'normal case'!T192/100</f>
        <v>3.4999999701976779E-2</v>
      </c>
      <c r="H193" s="25">
        <f ca="1">'public finance'!D191</f>
        <v>1.9802129779314939E-3</v>
      </c>
      <c r="I193" s="20">
        <f ca="1">'public finance'!E191</f>
        <v>1.1873062985351024</v>
      </c>
      <c r="J193" s="118">
        <f ca="1">'public finance'!H191</f>
        <v>-33.866459875718931</v>
      </c>
      <c r="K193" s="17">
        <f ca="1">'public finance'!C191/'normal case'!D192</f>
        <v>0.19801980186333762</v>
      </c>
      <c r="L193" s="20">
        <f ca="1">'public finance'!A191/'normal case'!D192</f>
        <v>0.2</v>
      </c>
      <c r="M193" s="18" t="str">
        <f>IF(controls!$B$44=0,"",'normal case'!AJ192)</f>
        <v/>
      </c>
      <c r="N193" s="18" t="str">
        <f>IF(controls!$B$44=0,"",'normal case'!AM192)</f>
        <v/>
      </c>
      <c r="O193" s="160" t="str">
        <f>IF(controls!$B$44=0,"",'external balance'!D192)</f>
        <v/>
      </c>
      <c r="P193" s="160" t="str">
        <f>IF(controls!$B$44=0,"",'external balance'!F192)</f>
        <v/>
      </c>
      <c r="Q193" s="159" t="str">
        <f>IF(controls!$B$44=0,"",'external balance'!H192)</f>
        <v/>
      </c>
    </row>
    <row r="194" spans="1:17" ht="14" thickTop="1" thickBot="1">
      <c r="A194" s="15">
        <v>191</v>
      </c>
      <c r="B194" s="17">
        <f ca="1">('normal case'!D193-'normal case'!B193)/'normal case'!B193</f>
        <v>5.9014499777614481E-10</v>
      </c>
      <c r="C194" s="23">
        <f ca="1">'normal case'!D193</f>
        <v>101.00000005960464</v>
      </c>
      <c r="D194" s="24">
        <f ca="1">'normal case'!C193</f>
        <v>-1.5107707374006907E-7</v>
      </c>
      <c r="E194" s="22">
        <f ca="1">'normal case'!L193/100</f>
        <v>1.9999998807907104E-2</v>
      </c>
      <c r="F194" s="25">
        <f ca="1">'normal case'!U193/100</f>
        <v>5.499999850988388E-2</v>
      </c>
      <c r="G194" s="25">
        <f ca="1">'normal case'!T193/100</f>
        <v>3.4999999701976779E-2</v>
      </c>
      <c r="H194" s="25">
        <f ca="1">'public finance'!D192</f>
        <v>1.9802129779314939E-3</v>
      </c>
      <c r="I194" s="20">
        <f ca="1">'public finance'!E192</f>
        <v>1.2288620181105416</v>
      </c>
      <c r="J194" s="118">
        <f ca="1">'public finance'!H192</f>
        <v>-35.05376615941276</v>
      </c>
      <c r="K194" s="17">
        <f ca="1">'public finance'!C192/'normal case'!D193</f>
        <v>0.19801980186333762</v>
      </c>
      <c r="L194" s="20">
        <f ca="1">'public finance'!A192/'normal case'!D193</f>
        <v>0.2</v>
      </c>
      <c r="M194" s="18" t="str">
        <f>IF(controls!$B$44=0,"",'normal case'!AJ193)</f>
        <v/>
      </c>
      <c r="N194" s="18" t="str">
        <f>IF(controls!$B$44=0,"",'normal case'!AM193)</f>
        <v/>
      </c>
      <c r="O194" s="160" t="str">
        <f>IF(controls!$B$44=0,"",'external balance'!D193)</f>
        <v/>
      </c>
      <c r="P194" s="160" t="str">
        <f>IF(controls!$B$44=0,"",'external balance'!F193)</f>
        <v/>
      </c>
      <c r="Q194" s="159" t="str">
        <f>IF(controls!$B$44=0,"",'external balance'!H193)</f>
        <v/>
      </c>
    </row>
    <row r="195" spans="1:17" ht="14" thickTop="1" thickBot="1">
      <c r="A195" s="15">
        <v>192</v>
      </c>
      <c r="B195" s="17">
        <f ca="1">('normal case'!D194-'normal case'!B194)/'normal case'!B194</f>
        <v>5.9014499777614481E-10</v>
      </c>
      <c r="C195" s="23">
        <f ca="1">'normal case'!D194</f>
        <v>101.00000005960464</v>
      </c>
      <c r="D195" s="24">
        <f ca="1">'normal case'!C194</f>
        <v>-1.5107707374006907E-7</v>
      </c>
      <c r="E195" s="22">
        <f ca="1">'normal case'!L194/100</f>
        <v>1.9999998807907104E-2</v>
      </c>
      <c r="F195" s="25">
        <f ca="1">'normal case'!U194/100</f>
        <v>5.499999850988388E-2</v>
      </c>
      <c r="G195" s="25">
        <f ca="1">'normal case'!T194/100</f>
        <v>3.4999999701976779E-2</v>
      </c>
      <c r="H195" s="25">
        <f ca="1">'public finance'!D193</f>
        <v>1.9802129779314939E-3</v>
      </c>
      <c r="I195" s="20">
        <f ca="1">'public finance'!E193</f>
        <v>1.2718721878587367</v>
      </c>
      <c r="J195" s="118">
        <f ca="1">'public finance'!H193</f>
        <v>-36.28262816268203</v>
      </c>
      <c r="K195" s="17">
        <f ca="1">'public finance'!C193/'normal case'!D194</f>
        <v>0.19801980186333762</v>
      </c>
      <c r="L195" s="20">
        <f ca="1">'public finance'!A193/'normal case'!D194</f>
        <v>0.2</v>
      </c>
      <c r="M195" s="18" t="str">
        <f>IF(controls!$B$44=0,"",'normal case'!AJ194)</f>
        <v/>
      </c>
      <c r="N195" s="18" t="str">
        <f>IF(controls!$B$44=0,"",'normal case'!AM194)</f>
        <v/>
      </c>
      <c r="O195" s="160" t="str">
        <f>IF(controls!$B$44=0,"",'external balance'!D194)</f>
        <v/>
      </c>
      <c r="P195" s="160" t="str">
        <f>IF(controls!$B$44=0,"",'external balance'!F194)</f>
        <v/>
      </c>
      <c r="Q195" s="159" t="str">
        <f>IF(controls!$B$44=0,"",'external balance'!H194)</f>
        <v/>
      </c>
    </row>
    <row r="196" spans="1:17" ht="14" thickTop="1" thickBot="1">
      <c r="A196" s="15">
        <v>193</v>
      </c>
      <c r="B196" s="17">
        <f ca="1">('normal case'!D195-'normal case'!B195)/'normal case'!B195</f>
        <v>5.9014499777614481E-10</v>
      </c>
      <c r="C196" s="23">
        <f ca="1">'normal case'!D195</f>
        <v>101.00000005960464</v>
      </c>
      <c r="D196" s="24">
        <f ca="1">'normal case'!C195</f>
        <v>-1.5107707374006907E-7</v>
      </c>
      <c r="E196" s="22">
        <f ca="1">'normal case'!L195/100</f>
        <v>1.9999998807907104E-2</v>
      </c>
      <c r="F196" s="25">
        <f ca="1">'normal case'!U195/100</f>
        <v>5.499999850988388E-2</v>
      </c>
      <c r="G196" s="25">
        <f ca="1">'normal case'!T195/100</f>
        <v>3.4999999701976779E-2</v>
      </c>
      <c r="H196" s="25">
        <f ca="1">'public finance'!D194</f>
        <v>1.9802129779314939E-3</v>
      </c>
      <c r="I196" s="20">
        <f ca="1">'public finance'!E194</f>
        <v>1.316387713535301</v>
      </c>
      <c r="J196" s="118">
        <f ca="1">'public finance'!H194</f>
        <v>-37.554500335699501</v>
      </c>
      <c r="K196" s="17">
        <f ca="1">'public finance'!C194/'normal case'!D195</f>
        <v>0.19801980186333762</v>
      </c>
      <c r="L196" s="20">
        <f ca="1">'public finance'!A194/'normal case'!D195</f>
        <v>0.2</v>
      </c>
      <c r="M196" s="18" t="str">
        <f>IF(controls!$B$44=0,"",'normal case'!AJ195)</f>
        <v/>
      </c>
      <c r="N196" s="18" t="str">
        <f>IF(controls!$B$44=0,"",'normal case'!AM195)</f>
        <v/>
      </c>
      <c r="O196" s="160" t="str">
        <f>IF(controls!$B$44=0,"",'external balance'!D195)</f>
        <v/>
      </c>
      <c r="P196" s="160" t="str">
        <f>IF(controls!$B$44=0,"",'external balance'!F195)</f>
        <v/>
      </c>
      <c r="Q196" s="159" t="str">
        <f>IF(controls!$B$44=0,"",'external balance'!H195)</f>
        <v/>
      </c>
    </row>
    <row r="197" spans="1:17" ht="14" thickTop="1" thickBot="1">
      <c r="A197" s="15">
        <v>194</v>
      </c>
      <c r="B197" s="17">
        <f ca="1">('normal case'!D196-'normal case'!B196)/'normal case'!B196</f>
        <v>5.9014499777614481E-10</v>
      </c>
      <c r="C197" s="23">
        <f ca="1">'normal case'!D196</f>
        <v>101.00000005960464</v>
      </c>
      <c r="D197" s="24">
        <f ca="1">'normal case'!C196</f>
        <v>-1.5107707374006907E-7</v>
      </c>
      <c r="E197" s="22">
        <f ca="1">'normal case'!L196/100</f>
        <v>1.9999998807907104E-2</v>
      </c>
      <c r="F197" s="25">
        <f ca="1">'normal case'!U196/100</f>
        <v>5.499999850988388E-2</v>
      </c>
      <c r="G197" s="25">
        <f ca="1">'normal case'!T196/100</f>
        <v>3.4999999701976779E-2</v>
      </c>
      <c r="H197" s="25">
        <f ca="1">'public finance'!D195</f>
        <v>1.9802129779314939E-3</v>
      </c>
      <c r="I197" s="20">
        <f ca="1">'public finance'!E195</f>
        <v>1.3624612825972779</v>
      </c>
      <c r="J197" s="118">
        <f ca="1">'public finance'!H195</f>
        <v>-38.870888034393538</v>
      </c>
      <c r="K197" s="17">
        <f ca="1">'public finance'!C195/'normal case'!D196</f>
        <v>0.19801980186333762</v>
      </c>
      <c r="L197" s="20">
        <f ca="1">'public finance'!A195/'normal case'!D196</f>
        <v>0.2</v>
      </c>
      <c r="M197" s="18" t="str">
        <f>IF(controls!$B$44=0,"",'normal case'!AJ196)</f>
        <v/>
      </c>
      <c r="N197" s="18" t="str">
        <f>IF(controls!$B$44=0,"",'normal case'!AM196)</f>
        <v/>
      </c>
      <c r="O197" s="160" t="str">
        <f>IF(controls!$B$44=0,"",'external balance'!D196)</f>
        <v/>
      </c>
      <c r="P197" s="160" t="str">
        <f>IF(controls!$B$44=0,"",'external balance'!F196)</f>
        <v/>
      </c>
      <c r="Q197" s="159" t="str">
        <f>IF(controls!$B$44=0,"",'external balance'!H196)</f>
        <v/>
      </c>
    </row>
    <row r="198" spans="1:17" ht="14" thickTop="1" thickBot="1">
      <c r="A198" s="15">
        <v>195</v>
      </c>
      <c r="B198" s="17">
        <f ca="1">('normal case'!D197-'normal case'!B197)/'normal case'!B197</f>
        <v>5.9014499777614481E-10</v>
      </c>
      <c r="C198" s="23">
        <f ca="1">'normal case'!D197</f>
        <v>101.00000005960464</v>
      </c>
      <c r="D198" s="24">
        <f ca="1">'normal case'!C197</f>
        <v>-1.5107707374006907E-7</v>
      </c>
      <c r="E198" s="22">
        <f ca="1">'normal case'!L197/100</f>
        <v>1.9999998807907104E-2</v>
      </c>
      <c r="F198" s="25">
        <f ca="1">'normal case'!U197/100</f>
        <v>5.499999850988388E-2</v>
      </c>
      <c r="G198" s="25">
        <f ca="1">'normal case'!T197/100</f>
        <v>3.4999999701976779E-2</v>
      </c>
      <c r="H198" s="25">
        <f ca="1">'public finance'!D196</f>
        <v>1.9802129779314939E-3</v>
      </c>
      <c r="I198" s="20">
        <f ca="1">'public finance'!E196</f>
        <v>1.4101474265626932</v>
      </c>
      <c r="J198" s="118">
        <f ca="1">'public finance'!H196</f>
        <v>-40.233349302149541</v>
      </c>
      <c r="K198" s="17">
        <f ca="1">'public finance'!C196/'normal case'!D197</f>
        <v>0.19801980186333762</v>
      </c>
      <c r="L198" s="20">
        <f ca="1">'public finance'!A196/'normal case'!D197</f>
        <v>0.2</v>
      </c>
      <c r="M198" s="18" t="str">
        <f>IF(controls!$B$44=0,"",'normal case'!AJ197)</f>
        <v/>
      </c>
      <c r="N198" s="18" t="str">
        <f>IF(controls!$B$44=0,"",'normal case'!AM197)</f>
        <v/>
      </c>
      <c r="O198" s="160" t="str">
        <f>IF(controls!$B$44=0,"",'external balance'!D197)</f>
        <v/>
      </c>
      <c r="P198" s="160" t="str">
        <f>IF(controls!$B$44=0,"",'external balance'!F197)</f>
        <v/>
      </c>
      <c r="Q198" s="159" t="str">
        <f>IF(controls!$B$44=0,"",'external balance'!H197)</f>
        <v/>
      </c>
    </row>
    <row r="199" spans="1:17" ht="14" thickTop="1" thickBot="1">
      <c r="A199" s="15">
        <v>196</v>
      </c>
      <c r="B199" s="17">
        <f ca="1">('normal case'!D198-'normal case'!B198)/'normal case'!B198</f>
        <v>5.9014499777614481E-10</v>
      </c>
      <c r="C199" s="23">
        <f ca="1">'normal case'!D198</f>
        <v>101.00000005960464</v>
      </c>
      <c r="D199" s="24">
        <f ca="1">'normal case'!C198</f>
        <v>-1.5107707374006907E-7</v>
      </c>
      <c r="E199" s="22">
        <f ca="1">'normal case'!L198/100</f>
        <v>1.9999998807907104E-2</v>
      </c>
      <c r="F199" s="25">
        <f ca="1">'normal case'!U198/100</f>
        <v>5.499999850988388E-2</v>
      </c>
      <c r="G199" s="25">
        <f ca="1">'normal case'!T198/100</f>
        <v>3.4999999701976779E-2</v>
      </c>
      <c r="H199" s="25">
        <f ca="1">'public finance'!D197</f>
        <v>1.9802129779314939E-3</v>
      </c>
      <c r="I199" s="20">
        <f ca="1">'public finance'!E197</f>
        <v>1.4595025855526862</v>
      </c>
      <c r="J199" s="118">
        <f ca="1">'public finance'!H197</f>
        <v>-41.643496713870967</v>
      </c>
      <c r="K199" s="17">
        <f ca="1">'public finance'!C197/'normal case'!D198</f>
        <v>0.19801980186333762</v>
      </c>
      <c r="L199" s="20">
        <f ca="1">'public finance'!A197/'normal case'!D198</f>
        <v>0.2</v>
      </c>
      <c r="M199" s="18" t="str">
        <f>IF(controls!$B$44=0,"",'normal case'!AJ198)</f>
        <v/>
      </c>
      <c r="N199" s="18" t="str">
        <f>IF(controls!$B$44=0,"",'normal case'!AM198)</f>
        <v/>
      </c>
      <c r="O199" s="160" t="str">
        <f>IF(controls!$B$44=0,"",'external balance'!D198)</f>
        <v/>
      </c>
      <c r="P199" s="160" t="str">
        <f>IF(controls!$B$44=0,"",'external balance'!F198)</f>
        <v/>
      </c>
      <c r="Q199" s="159" t="str">
        <f>IF(controls!$B$44=0,"",'external balance'!H198)</f>
        <v/>
      </c>
    </row>
    <row r="200" spans="1:17" ht="14" thickTop="1" thickBot="1">
      <c r="A200" s="15">
        <v>197</v>
      </c>
      <c r="B200" s="17">
        <f ca="1">('normal case'!D199-'normal case'!B199)/'normal case'!B199</f>
        <v>5.9014499777614481E-10</v>
      </c>
      <c r="C200" s="23">
        <f ca="1">'normal case'!D199</f>
        <v>101.00000005960464</v>
      </c>
      <c r="D200" s="24">
        <f ca="1">'normal case'!C199</f>
        <v>-1.5107707374006907E-7</v>
      </c>
      <c r="E200" s="22">
        <f ca="1">'normal case'!L199/100</f>
        <v>1.9999998807907104E-2</v>
      </c>
      <c r="F200" s="25">
        <f ca="1">'normal case'!U199/100</f>
        <v>5.499999850988388E-2</v>
      </c>
      <c r="G200" s="25">
        <f ca="1">'normal case'!T199/100</f>
        <v>3.4999999701976779E-2</v>
      </c>
      <c r="H200" s="25">
        <f ca="1">'public finance'!D198</f>
        <v>1.9802129779314939E-3</v>
      </c>
      <c r="I200" s="20">
        <f ca="1">'public finance'!E198</f>
        <v>1.5105851750926196</v>
      </c>
      <c r="J200" s="118">
        <f ca="1">'public finance'!H198</f>
        <v>-43.102999284582374</v>
      </c>
      <c r="K200" s="17">
        <f ca="1">'public finance'!C198/'normal case'!D199</f>
        <v>0.19801980186333762</v>
      </c>
      <c r="L200" s="20">
        <f ca="1">'public finance'!A198/'normal case'!D199</f>
        <v>0.2</v>
      </c>
      <c r="M200" s="18" t="str">
        <f>IF(controls!$B$44=0,"",'normal case'!AJ199)</f>
        <v/>
      </c>
      <c r="N200" s="18" t="str">
        <f>IF(controls!$B$44=0,"",'normal case'!AM199)</f>
        <v/>
      </c>
      <c r="O200" s="160" t="str">
        <f>IF(controls!$B$44=0,"",'external balance'!D199)</f>
        <v/>
      </c>
      <c r="P200" s="160" t="str">
        <f>IF(controls!$B$44=0,"",'external balance'!F199)</f>
        <v/>
      </c>
      <c r="Q200" s="159" t="str">
        <f>IF(controls!$B$44=0,"",'external balance'!H199)</f>
        <v/>
      </c>
    </row>
    <row r="201" spans="1:17" ht="14" thickTop="1" thickBot="1">
      <c r="A201" s="15">
        <v>198</v>
      </c>
      <c r="B201" s="17">
        <f ca="1">('normal case'!D200-'normal case'!B200)/'normal case'!B200</f>
        <v>5.9014499777614481E-10</v>
      </c>
      <c r="C201" s="23">
        <f ca="1">'normal case'!D200</f>
        <v>101.00000005960464</v>
      </c>
      <c r="D201" s="24">
        <f ca="1">'normal case'!C200</f>
        <v>-1.5107707374006907E-7</v>
      </c>
      <c r="E201" s="22">
        <f ca="1">'normal case'!L200/100</f>
        <v>1.9999998807907104E-2</v>
      </c>
      <c r="F201" s="25">
        <f ca="1">'normal case'!U200/100</f>
        <v>5.499999850988388E-2</v>
      </c>
      <c r="G201" s="25">
        <f ca="1">'normal case'!T200/100</f>
        <v>3.4999999701976779E-2</v>
      </c>
      <c r="H201" s="25">
        <f ca="1">'public finance'!D199</f>
        <v>1.9802129779314939E-3</v>
      </c>
      <c r="I201" s="20">
        <f ca="1">'public finance'!E199</f>
        <v>1.5634556552512275</v>
      </c>
      <c r="J201" s="118">
        <f ca="1">'public finance'!H199</f>
        <v>-44.61358444483372</v>
      </c>
      <c r="K201" s="17">
        <f ca="1">'public finance'!C199/'normal case'!D200</f>
        <v>0.19801980186333762</v>
      </c>
      <c r="L201" s="20">
        <f ca="1">'public finance'!A199/'normal case'!D200</f>
        <v>0.2</v>
      </c>
      <c r="M201" s="18" t="str">
        <f>IF(controls!$B$44=0,"",'normal case'!AJ200)</f>
        <v/>
      </c>
      <c r="N201" s="18" t="str">
        <f>IF(controls!$B$44=0,"",'normal case'!AM200)</f>
        <v/>
      </c>
      <c r="O201" s="160" t="str">
        <f>IF(controls!$B$44=0,"",'external balance'!D200)</f>
        <v/>
      </c>
      <c r="P201" s="160" t="str">
        <f>IF(controls!$B$44=0,"",'external balance'!F200)</f>
        <v/>
      </c>
      <c r="Q201" s="159" t="str">
        <f>IF(controls!$B$44=0,"",'external balance'!H200)</f>
        <v/>
      </c>
    </row>
    <row r="202" spans="1:17" ht="14" thickTop="1" thickBot="1">
      <c r="A202" s="15">
        <v>199</v>
      </c>
      <c r="B202" s="17">
        <f ca="1">('normal case'!D201-'normal case'!B201)/'normal case'!B201</f>
        <v>5.9014499777614481E-10</v>
      </c>
      <c r="C202" s="23">
        <f ca="1">'normal case'!D201</f>
        <v>101.00000005960464</v>
      </c>
      <c r="D202" s="24">
        <f ca="1">'normal case'!C201</f>
        <v>-1.5107707374006907E-7</v>
      </c>
      <c r="E202" s="22">
        <f ca="1">'normal case'!L201/100</f>
        <v>1.9999998807907104E-2</v>
      </c>
      <c r="F202" s="25">
        <f ca="1">'normal case'!U201/100</f>
        <v>5.499999850988388E-2</v>
      </c>
      <c r="G202" s="25">
        <f ca="1">'normal case'!T201/100</f>
        <v>3.4999999701976779E-2</v>
      </c>
      <c r="H202" s="25">
        <f ca="1">'public finance'!D200</f>
        <v>1.9802129779314939E-3</v>
      </c>
      <c r="I202" s="20">
        <f ca="1">'public finance'!E200</f>
        <v>1.6181766021996298</v>
      </c>
      <c r="J202" s="118">
        <f ca="1">'public finance'!H200</f>
        <v>-46.177040085243675</v>
      </c>
      <c r="K202" s="17">
        <f ca="1">'public finance'!C200/'normal case'!D201</f>
        <v>0.19801980186333762</v>
      </c>
      <c r="L202" s="20">
        <f ca="1">'public finance'!A200/'normal case'!D201</f>
        <v>0.2</v>
      </c>
      <c r="M202" s="18" t="str">
        <f>IF(controls!$B$44=0,"",'normal case'!AJ201)</f>
        <v/>
      </c>
      <c r="N202" s="18" t="str">
        <f>IF(controls!$B$44=0,"",'normal case'!AM201)</f>
        <v/>
      </c>
      <c r="O202" s="160" t="str">
        <f>IF(controls!$B$44=0,"",'external balance'!D201)</f>
        <v/>
      </c>
      <c r="P202" s="160" t="str">
        <f>IF(controls!$B$44=0,"",'external balance'!F201)</f>
        <v/>
      </c>
      <c r="Q202" s="159" t="str">
        <f>IF(controls!$B$44=0,"",'external balance'!H201)</f>
        <v/>
      </c>
    </row>
    <row r="203" spans="1:17" ht="14" thickTop="1" thickBot="1">
      <c r="A203" s="15">
        <v>200</v>
      </c>
      <c r="B203" s="17">
        <f ca="1">('normal case'!D202-'normal case'!B202)/'normal case'!B202</f>
        <v>5.9014499777614481E-10</v>
      </c>
      <c r="C203" s="23">
        <f ca="1">'normal case'!D202</f>
        <v>101.00000005960464</v>
      </c>
      <c r="D203" s="24">
        <f ca="1">'normal case'!C202</f>
        <v>-1.5107707374006907E-7</v>
      </c>
      <c r="E203" s="22">
        <f ca="1">'normal case'!L202/100</f>
        <v>1.9999998807907104E-2</v>
      </c>
      <c r="F203" s="25">
        <f ca="1">'normal case'!U202/100</f>
        <v>5.499999850988388E-2</v>
      </c>
      <c r="G203" s="25">
        <f ca="1">'normal case'!T202/100</f>
        <v>3.4999999701976779E-2</v>
      </c>
      <c r="H203" s="25">
        <f ca="1">'public finance'!D201</f>
        <v>1.9802129779314939E-3</v>
      </c>
      <c r="I203" s="20">
        <f ca="1">'public finance'!E201</f>
        <v>1.6748127822749179</v>
      </c>
      <c r="J203" s="118">
        <f ca="1">'public finance'!H201</f>
        <v>-47.795216672602031</v>
      </c>
      <c r="K203" s="17">
        <f ca="1">'public finance'!C201/'normal case'!D202</f>
        <v>0.19801980186333762</v>
      </c>
      <c r="L203" s="20">
        <f ca="1">'public finance'!A201/'normal case'!D202</f>
        <v>0.2</v>
      </c>
      <c r="M203" s="18" t="str">
        <f>IF(controls!$B$44=0,"",'normal case'!AJ202)</f>
        <v/>
      </c>
      <c r="N203" s="18" t="str">
        <f>IF(controls!$B$44=0,"",'normal case'!AM202)</f>
        <v/>
      </c>
      <c r="O203" s="160" t="str">
        <f>IF(controls!$B$44=0,"",'external balance'!D202)</f>
        <v/>
      </c>
      <c r="P203" s="160" t="str">
        <f>IF(controls!$B$44=0,"",'external balance'!F202)</f>
        <v/>
      </c>
      <c r="Q203" s="159" t="str">
        <f>IF(controls!$B$44=0,"",'external balance'!H202)</f>
        <v/>
      </c>
    </row>
    <row r="204" spans="1:17" ht="14" thickTop="1" thickBot="1">
      <c r="A204" s="15">
        <v>201</v>
      </c>
      <c r="B204" s="17">
        <f ca="1">('normal case'!D203-'normal case'!B203)/'normal case'!B203</f>
        <v>5.9014499777614481E-10</v>
      </c>
      <c r="C204" s="23">
        <f ca="1">'normal case'!D203</f>
        <v>101.00000005960464</v>
      </c>
      <c r="D204" s="24">
        <f ca="1">'normal case'!C203</f>
        <v>-1.5107707374006907E-7</v>
      </c>
      <c r="E204" s="22">
        <f ca="1">'normal case'!L203/100</f>
        <v>1.9999998807907104E-2</v>
      </c>
      <c r="F204" s="25">
        <f ca="1">'normal case'!U203/100</f>
        <v>5.499999850988388E-2</v>
      </c>
      <c r="G204" s="25">
        <f ca="1">'normal case'!T203/100</f>
        <v>3.4999999701976779E-2</v>
      </c>
      <c r="H204" s="25">
        <f ca="1">'public finance'!D202</f>
        <v>1.9802129779314939E-3</v>
      </c>
      <c r="I204" s="20">
        <f ca="1">'public finance'!E202</f>
        <v>1.7334312286359626</v>
      </c>
      <c r="J204" s="118">
        <f ca="1">'public finance'!H202</f>
        <v>-49.470029440035674</v>
      </c>
      <c r="K204" s="17">
        <f ca="1">'public finance'!C202/'normal case'!D203</f>
        <v>0.19801980186333762</v>
      </c>
      <c r="L204" s="20">
        <f ca="1">'public finance'!A202/'normal case'!D203</f>
        <v>0.2</v>
      </c>
      <c r="M204" s="18" t="str">
        <f>IF(controls!$B$44=0,"",'normal case'!AJ203)</f>
        <v/>
      </c>
      <c r="N204" s="18" t="str">
        <f>IF(controls!$B$44=0,"",'normal case'!AM203)</f>
        <v/>
      </c>
      <c r="O204" s="160" t="str">
        <f>IF(controls!$B$44=0,"",'external balance'!D203)</f>
        <v/>
      </c>
      <c r="P204" s="160" t="str">
        <f>IF(controls!$B$44=0,"",'external balance'!F203)</f>
        <v/>
      </c>
      <c r="Q204" s="159" t="str">
        <f>IF(controls!$B$44=0,"",'external balance'!H203)</f>
        <v/>
      </c>
    </row>
    <row r="205" spans="1:17" ht="14" thickTop="1" thickBot="1">
      <c r="A205" s="15">
        <v>202</v>
      </c>
      <c r="B205" s="17">
        <f ca="1">('normal case'!D204-'normal case'!B204)/'normal case'!B204</f>
        <v>5.9014499777614481E-10</v>
      </c>
      <c r="C205" s="23">
        <f ca="1">'normal case'!D204</f>
        <v>101.00000005960464</v>
      </c>
      <c r="D205" s="24">
        <f ca="1">'normal case'!C204</f>
        <v>-1.5107707374006907E-7</v>
      </c>
      <c r="E205" s="22">
        <f ca="1">'normal case'!L204/100</f>
        <v>1.9999998807907104E-2</v>
      </c>
      <c r="F205" s="25">
        <f ca="1">'normal case'!U204/100</f>
        <v>5.499999850988388E-2</v>
      </c>
      <c r="G205" s="25">
        <f ca="1">'normal case'!T204/100</f>
        <v>3.4999999701976779E-2</v>
      </c>
      <c r="H205" s="25">
        <f ca="1">'public finance'!D203</f>
        <v>1.9802129779314939E-3</v>
      </c>
      <c r="I205" s="20">
        <f ca="1">'public finance'!E203</f>
        <v>1.7941013206021739</v>
      </c>
      <c r="J205" s="118">
        <f ca="1">'public finance'!H203</f>
        <v>-51.203460653830369</v>
      </c>
      <c r="K205" s="17">
        <f ca="1">'public finance'!C203/'normal case'!D204</f>
        <v>0.19801980186333762</v>
      </c>
      <c r="L205" s="20">
        <f ca="1">'public finance'!A203/'normal case'!D204</f>
        <v>0.2</v>
      </c>
      <c r="M205" s="18" t="str">
        <f>IF(controls!$B$44=0,"",'normal case'!AJ204)</f>
        <v/>
      </c>
      <c r="N205" s="18" t="str">
        <f>IF(controls!$B$44=0,"",'normal case'!AM204)</f>
        <v/>
      </c>
      <c r="O205" s="160" t="str">
        <f>IF(controls!$B$44=0,"",'external balance'!D204)</f>
        <v/>
      </c>
      <c r="P205" s="160" t="str">
        <f>IF(controls!$B$44=0,"",'external balance'!F204)</f>
        <v/>
      </c>
      <c r="Q205" s="159" t="str">
        <f>IF(controls!$B$44=0,"",'external balance'!H204)</f>
        <v/>
      </c>
    </row>
    <row r="206" spans="1:17" ht="14" thickTop="1" thickBot="1">
      <c r="A206" s="15">
        <v>203</v>
      </c>
      <c r="B206" s="17">
        <f ca="1">('normal case'!D205-'normal case'!B205)/'normal case'!B205</f>
        <v>5.9014499777614481E-10</v>
      </c>
      <c r="C206" s="23">
        <f ca="1">'normal case'!D205</f>
        <v>101.00000005960464</v>
      </c>
      <c r="D206" s="24">
        <f ca="1">'normal case'!C205</f>
        <v>-1.5107707374006907E-7</v>
      </c>
      <c r="E206" s="22">
        <f ca="1">'normal case'!L205/100</f>
        <v>1.9999998807907104E-2</v>
      </c>
      <c r="F206" s="25">
        <f ca="1">'normal case'!U205/100</f>
        <v>5.499999850988388E-2</v>
      </c>
      <c r="G206" s="25">
        <f ca="1">'normal case'!T205/100</f>
        <v>3.4999999701976779E-2</v>
      </c>
      <c r="H206" s="25">
        <f ca="1">'public finance'!D204</f>
        <v>1.9802129779314939E-3</v>
      </c>
      <c r="I206" s="20">
        <f ca="1">'public finance'!E204</f>
        <v>1.8568948657691215</v>
      </c>
      <c r="J206" s="118">
        <f ca="1">'public finance'!H204</f>
        <v>-52.997561959591266</v>
      </c>
      <c r="K206" s="17">
        <f ca="1">'public finance'!C204/'normal case'!D205</f>
        <v>0.19801980186333762</v>
      </c>
      <c r="L206" s="20">
        <f ca="1">'public finance'!A204/'normal case'!D205</f>
        <v>0.2</v>
      </c>
      <c r="M206" s="18" t="str">
        <f>IF(controls!$B$44=0,"",'normal case'!AJ205)</f>
        <v/>
      </c>
      <c r="N206" s="18" t="str">
        <f>IF(controls!$B$44=0,"",'normal case'!AM205)</f>
        <v/>
      </c>
      <c r="O206" s="160" t="str">
        <f>IF(controls!$B$44=0,"",'external balance'!D205)</f>
        <v/>
      </c>
      <c r="P206" s="160" t="str">
        <f>IF(controls!$B$44=0,"",'external balance'!F205)</f>
        <v/>
      </c>
      <c r="Q206" s="159" t="str">
        <f>IF(controls!$B$44=0,"",'external balance'!H205)</f>
        <v/>
      </c>
    </row>
    <row r="207" spans="1:17" ht="14" thickTop="1" thickBot="1">
      <c r="A207" s="15">
        <v>204</v>
      </c>
      <c r="B207" s="17">
        <f ca="1">('normal case'!D206-'normal case'!B206)/'normal case'!B206</f>
        <v>5.9014499777614481E-10</v>
      </c>
      <c r="C207" s="23">
        <f ca="1">'normal case'!D206</f>
        <v>101.00000005960464</v>
      </c>
      <c r="D207" s="24">
        <f ca="1">'normal case'!C206</f>
        <v>-1.5107707374006907E-7</v>
      </c>
      <c r="E207" s="22">
        <f ca="1">'normal case'!L206/100</f>
        <v>1.9999998807907104E-2</v>
      </c>
      <c r="F207" s="25">
        <f ca="1">'normal case'!U206/100</f>
        <v>5.499999850988388E-2</v>
      </c>
      <c r="G207" s="25">
        <f ca="1">'normal case'!T206/100</f>
        <v>3.4999999701976779E-2</v>
      </c>
      <c r="H207" s="25">
        <f ca="1">'public finance'!D205</f>
        <v>1.9802129779314939E-3</v>
      </c>
      <c r="I207" s="20">
        <f ca="1">'public finance'!E205</f>
        <v>1.9218861849981985</v>
      </c>
      <c r="J207" s="118">
        <f ca="1">'public finance'!H205</f>
        <v>-54.854456810519117</v>
      </c>
      <c r="K207" s="17">
        <f ca="1">'public finance'!C205/'normal case'!D206</f>
        <v>0.19801980186333762</v>
      </c>
      <c r="L207" s="20">
        <f ca="1">'public finance'!A205/'normal case'!D206</f>
        <v>0.2</v>
      </c>
      <c r="M207" s="18" t="str">
        <f>IF(controls!$B$44=0,"",'normal case'!AJ206)</f>
        <v/>
      </c>
      <c r="N207" s="18" t="str">
        <f>IF(controls!$B$44=0,"",'normal case'!AM206)</f>
        <v/>
      </c>
      <c r="O207" s="160" t="str">
        <f>IF(controls!$B$44=0,"",'external balance'!D206)</f>
        <v/>
      </c>
      <c r="P207" s="160" t="str">
        <f>IF(controls!$B$44=0,"",'external balance'!F206)</f>
        <v/>
      </c>
      <c r="Q207" s="159" t="str">
        <f>IF(controls!$B$44=0,"",'external balance'!H206)</f>
        <v/>
      </c>
    </row>
    <row r="208" spans="1:17" ht="14" thickTop="1" thickBot="1">
      <c r="A208" s="15">
        <v>205</v>
      </c>
      <c r="B208" s="17">
        <f ca="1">('normal case'!D207-'normal case'!B207)/'normal case'!B207</f>
        <v>5.9014499777614481E-10</v>
      </c>
      <c r="C208" s="23">
        <f ca="1">'normal case'!D207</f>
        <v>101.00000005960464</v>
      </c>
      <c r="D208" s="24">
        <f ca="1">'normal case'!C207</f>
        <v>-1.5107707374006907E-7</v>
      </c>
      <c r="E208" s="22">
        <f ca="1">'normal case'!L207/100</f>
        <v>1.9999998807907104E-2</v>
      </c>
      <c r="F208" s="25">
        <f ca="1">'normal case'!U207/100</f>
        <v>5.499999850988388E-2</v>
      </c>
      <c r="G208" s="25">
        <f ca="1">'normal case'!T207/100</f>
        <v>3.4999999701976779E-2</v>
      </c>
      <c r="H208" s="25">
        <f ca="1">'public finance'!D206</f>
        <v>1.9802129779314939E-3</v>
      </c>
      <c r="I208" s="20">
        <f ca="1">'public finance'!E206</f>
        <v>1.9891522003809239</v>
      </c>
      <c r="J208" s="118">
        <f ca="1">'public finance'!H206</f>
        <v>-56.776342980676034</v>
      </c>
      <c r="K208" s="17">
        <f ca="1">'public finance'!C206/'normal case'!D207</f>
        <v>0.19801980186333762</v>
      </c>
      <c r="L208" s="20">
        <f ca="1">'public finance'!A206/'normal case'!D207</f>
        <v>0.2</v>
      </c>
      <c r="M208" s="18" t="str">
        <f>IF(controls!$B$44=0,"",'normal case'!AJ207)</f>
        <v/>
      </c>
      <c r="N208" s="18" t="str">
        <f>IF(controls!$B$44=0,"",'normal case'!AM207)</f>
        <v/>
      </c>
      <c r="O208" s="160" t="str">
        <f>IF(controls!$B$44=0,"",'external balance'!D207)</f>
        <v/>
      </c>
      <c r="P208" s="160" t="str">
        <f>IF(controls!$B$44=0,"",'external balance'!F207)</f>
        <v/>
      </c>
      <c r="Q208" s="159" t="str">
        <f>IF(controls!$B$44=0,"",'external balance'!H207)</f>
        <v/>
      </c>
    </row>
    <row r="209" spans="1:17" ht="14" thickTop="1" thickBot="1">
      <c r="A209" s="15">
        <v>206</v>
      </c>
      <c r="B209" s="17">
        <f ca="1">('normal case'!D208-'normal case'!B208)/'normal case'!B208</f>
        <v>5.9014499777614481E-10</v>
      </c>
      <c r="C209" s="23">
        <f ca="1">'normal case'!D208</f>
        <v>101.00000005960464</v>
      </c>
      <c r="D209" s="24">
        <f ca="1">'normal case'!C208</f>
        <v>-1.5107707374006907E-7</v>
      </c>
      <c r="E209" s="22">
        <f ca="1">'normal case'!L208/100</f>
        <v>1.9999998807907104E-2</v>
      </c>
      <c r="F209" s="25">
        <f ca="1">'normal case'!U208/100</f>
        <v>5.499999850988388E-2</v>
      </c>
      <c r="G209" s="25">
        <f ca="1">'normal case'!T208/100</f>
        <v>3.4999999701976779E-2</v>
      </c>
      <c r="H209" s="25">
        <f ca="1">'public finance'!D207</f>
        <v>1.9802129779314939E-3</v>
      </c>
      <c r="I209" s="20">
        <f ca="1">'public finance'!E207</f>
        <v>2.0587725262819982</v>
      </c>
      <c r="J209" s="118">
        <f ca="1">'public finance'!H207</f>
        <v>-58.765495166215686</v>
      </c>
      <c r="K209" s="17">
        <f ca="1">'public finance'!C207/'normal case'!D208</f>
        <v>0.19801980186333762</v>
      </c>
      <c r="L209" s="20">
        <f ca="1">'public finance'!A207/'normal case'!D208</f>
        <v>0.2</v>
      </c>
      <c r="M209" s="18" t="str">
        <f>IF(controls!$B$44=0,"",'normal case'!AJ208)</f>
        <v/>
      </c>
      <c r="N209" s="18" t="str">
        <f>IF(controls!$B$44=0,"",'normal case'!AM208)</f>
        <v/>
      </c>
      <c r="O209" s="160" t="str">
        <f>IF(controls!$B$44=0,"",'external balance'!D208)</f>
        <v/>
      </c>
      <c r="P209" s="160" t="str">
        <f>IF(controls!$B$44=0,"",'external balance'!F208)</f>
        <v/>
      </c>
      <c r="Q209" s="159" t="str">
        <f>IF(controls!$B$44=0,"",'external balance'!H208)</f>
        <v/>
      </c>
    </row>
    <row r="210" spans="1:17" ht="14" thickTop="1" thickBot="1">
      <c r="A210" s="15">
        <v>207</v>
      </c>
      <c r="B210" s="17">
        <f ca="1">('normal case'!D209-'normal case'!B209)/'normal case'!B209</f>
        <v>5.9014499777614481E-10</v>
      </c>
      <c r="C210" s="23">
        <f ca="1">'normal case'!D209</f>
        <v>101.00000005960464</v>
      </c>
      <c r="D210" s="24">
        <f ca="1">'normal case'!C209</f>
        <v>-1.5107707374006907E-7</v>
      </c>
      <c r="E210" s="22">
        <f ca="1">'normal case'!L209/100</f>
        <v>1.9999998807907104E-2</v>
      </c>
      <c r="F210" s="25">
        <f ca="1">'normal case'!U209/100</f>
        <v>5.499999850988388E-2</v>
      </c>
      <c r="G210" s="25">
        <f ca="1">'normal case'!T209/100</f>
        <v>3.4999999701976779E-2</v>
      </c>
      <c r="H210" s="25">
        <f ca="1">'public finance'!D208</f>
        <v>1.9802129779314939E-3</v>
      </c>
      <c r="I210" s="20">
        <f ca="1">'public finance'!E208</f>
        <v>2.1308295635688617</v>
      </c>
      <c r="J210" s="118">
        <f ca="1">'public finance'!H208</f>
        <v>-60.824267677656415</v>
      </c>
      <c r="K210" s="17">
        <f ca="1">'public finance'!C208/'normal case'!D209</f>
        <v>0.19801980186333762</v>
      </c>
      <c r="L210" s="20">
        <f ca="1">'public finance'!A208/'normal case'!D209</f>
        <v>0.2</v>
      </c>
      <c r="M210" s="18" t="str">
        <f>IF(controls!$B$44=0,"",'normal case'!AJ209)</f>
        <v/>
      </c>
      <c r="N210" s="18" t="str">
        <f>IF(controls!$B$44=0,"",'normal case'!AM209)</f>
        <v/>
      </c>
      <c r="O210" s="160" t="str">
        <f>IF(controls!$B$44=0,"",'external balance'!D209)</f>
        <v/>
      </c>
      <c r="P210" s="160" t="str">
        <f>IF(controls!$B$44=0,"",'external balance'!F209)</f>
        <v/>
      </c>
      <c r="Q210" s="159" t="str">
        <f>IF(controls!$B$44=0,"",'external balance'!H209)</f>
        <v/>
      </c>
    </row>
    <row r="211" spans="1:17" ht="14" thickTop="1" thickBot="1">
      <c r="A211" s="15">
        <v>208</v>
      </c>
      <c r="B211" s="17">
        <f ca="1">('normal case'!D210-'normal case'!B210)/'normal case'!B210</f>
        <v>5.9014499777614481E-10</v>
      </c>
      <c r="C211" s="23">
        <f ca="1">'normal case'!D210</f>
        <v>101.00000005960464</v>
      </c>
      <c r="D211" s="24">
        <f ca="1">'normal case'!C210</f>
        <v>-1.5107707374006907E-7</v>
      </c>
      <c r="E211" s="22">
        <f ca="1">'normal case'!L210/100</f>
        <v>1.9999998807907104E-2</v>
      </c>
      <c r="F211" s="25">
        <f ca="1">'normal case'!U210/100</f>
        <v>5.499999850988388E-2</v>
      </c>
      <c r="G211" s="25">
        <f ca="1">'normal case'!T210/100</f>
        <v>3.4999999701976779E-2</v>
      </c>
      <c r="H211" s="25">
        <f ca="1">'public finance'!D209</f>
        <v>1.9802129779314939E-3</v>
      </c>
      <c r="I211" s="20">
        <f ca="1">'public finance'!E209</f>
        <v>2.2054085971392907</v>
      </c>
      <c r="J211" s="118">
        <f ca="1">'public finance'!H209</f>
        <v>-62.955097226384005</v>
      </c>
      <c r="K211" s="17">
        <f ca="1">'public finance'!C209/'normal case'!D210</f>
        <v>0.19801980186333762</v>
      </c>
      <c r="L211" s="20">
        <f ca="1">'public finance'!A209/'normal case'!D210</f>
        <v>0.2</v>
      </c>
      <c r="M211" s="18" t="str">
        <f>IF(controls!$B$44=0,"",'normal case'!AJ210)</f>
        <v/>
      </c>
      <c r="N211" s="18" t="str">
        <f>IF(controls!$B$44=0,"",'normal case'!AM210)</f>
        <v/>
      </c>
      <c r="O211" s="160" t="str">
        <f>IF(controls!$B$44=0,"",'external balance'!D210)</f>
        <v/>
      </c>
      <c r="P211" s="160" t="str">
        <f>IF(controls!$B$44=0,"",'external balance'!F210)</f>
        <v/>
      </c>
      <c r="Q211" s="159" t="str">
        <f>IF(controls!$B$44=0,"",'external balance'!H210)</f>
        <v/>
      </c>
    </row>
    <row r="212" spans="1:17" ht="14" thickTop="1" thickBot="1">
      <c r="A212" s="15">
        <v>209</v>
      </c>
      <c r="B212" s="17">
        <f ca="1">('normal case'!D211-'normal case'!B211)/'normal case'!B211</f>
        <v>5.9014499777614481E-10</v>
      </c>
      <c r="C212" s="23">
        <f ca="1">'normal case'!D211</f>
        <v>101.00000005960464</v>
      </c>
      <c r="D212" s="24">
        <f ca="1">'normal case'!C211</f>
        <v>-1.5107707374006907E-7</v>
      </c>
      <c r="E212" s="22">
        <f ca="1">'normal case'!L211/100</f>
        <v>1.9999998807907104E-2</v>
      </c>
      <c r="F212" s="25">
        <f ca="1">'normal case'!U211/100</f>
        <v>5.499999850988388E-2</v>
      </c>
      <c r="G212" s="25">
        <f ca="1">'normal case'!T211/100</f>
        <v>3.4999999701976779E-2</v>
      </c>
      <c r="H212" s="25">
        <f ca="1">'public finance'!D210</f>
        <v>1.9802129779314939E-3</v>
      </c>
      <c r="I212" s="20">
        <f ca="1">'public finance'!E210</f>
        <v>2.2825978968624585</v>
      </c>
      <c r="J212" s="118">
        <f ca="1">'public finance'!H210</f>
        <v>-65.160505808682018</v>
      </c>
      <c r="K212" s="17">
        <f ca="1">'public finance'!C210/'normal case'!D211</f>
        <v>0.19801980186333762</v>
      </c>
      <c r="L212" s="20">
        <f ca="1">'public finance'!A210/'normal case'!D211</f>
        <v>0.2</v>
      </c>
      <c r="M212" s="18" t="str">
        <f>IF(controls!$B$44=0,"",'normal case'!AJ211)</f>
        <v/>
      </c>
      <c r="N212" s="18" t="str">
        <f>IF(controls!$B$44=0,"",'normal case'!AM211)</f>
        <v/>
      </c>
      <c r="O212" s="160" t="str">
        <f>IF(controls!$B$44=0,"",'external balance'!D211)</f>
        <v/>
      </c>
      <c r="P212" s="160" t="str">
        <f>IF(controls!$B$44=0,"",'external balance'!F211)</f>
        <v/>
      </c>
      <c r="Q212" s="159" t="str">
        <f>IF(controls!$B$44=0,"",'external balance'!H211)</f>
        <v/>
      </c>
    </row>
    <row r="213" spans="1:17" ht="14" thickTop="1" thickBot="1">
      <c r="A213" s="15">
        <v>210</v>
      </c>
      <c r="B213" s="17">
        <f ca="1">('normal case'!D212-'normal case'!B212)/'normal case'!B212</f>
        <v>5.9014499777614481E-10</v>
      </c>
      <c r="C213" s="23">
        <f ca="1">'normal case'!D212</f>
        <v>101.00000005960464</v>
      </c>
      <c r="D213" s="24">
        <f ca="1">'normal case'!C212</f>
        <v>-1.5107707374006907E-7</v>
      </c>
      <c r="E213" s="22">
        <f ca="1">'normal case'!L212/100</f>
        <v>1.9999998807907104E-2</v>
      </c>
      <c r="F213" s="25">
        <f ca="1">'normal case'!U212/100</f>
        <v>5.499999850988388E-2</v>
      </c>
      <c r="G213" s="25">
        <f ca="1">'normal case'!T212/100</f>
        <v>3.4999999701976779E-2</v>
      </c>
      <c r="H213" s="25">
        <f ca="1">'public finance'!D211</f>
        <v>1.9802129779314939E-3</v>
      </c>
      <c r="I213" s="20">
        <f ca="1">'public finance'!E211</f>
        <v>2.3624888220529328</v>
      </c>
      <c r="J213" s="118">
        <f ca="1">'public finance'!H211</f>
        <v>-67.443103690703211</v>
      </c>
      <c r="K213" s="17">
        <f ca="1">'public finance'!C211/'normal case'!D212</f>
        <v>0.19801980186333762</v>
      </c>
      <c r="L213" s="20">
        <f ca="1">'public finance'!A211/'normal case'!D212</f>
        <v>0.2</v>
      </c>
      <c r="M213" s="18" t="str">
        <f>IF(controls!$B$44=0,"",'normal case'!AJ212)</f>
        <v/>
      </c>
      <c r="N213" s="18" t="str">
        <f>IF(controls!$B$44=0,"",'normal case'!AM212)</f>
        <v/>
      </c>
      <c r="O213" s="160" t="str">
        <f>IF(controls!$B$44=0,"",'external balance'!D212)</f>
        <v/>
      </c>
      <c r="P213" s="160" t="str">
        <f>IF(controls!$B$44=0,"",'external balance'!F212)</f>
        <v/>
      </c>
      <c r="Q213" s="159" t="str">
        <f>IF(controls!$B$44=0,"",'external balance'!H212)</f>
        <v/>
      </c>
    </row>
    <row r="214" spans="1:17" ht="14" thickTop="1" thickBot="1">
      <c r="A214" s="15">
        <v>211</v>
      </c>
      <c r="B214" s="17">
        <f ca="1">('normal case'!D213-'normal case'!B213)/'normal case'!B213</f>
        <v>5.9014499777614481E-10</v>
      </c>
      <c r="C214" s="23">
        <f ca="1">'normal case'!D213</f>
        <v>101.00000005960464</v>
      </c>
      <c r="D214" s="24">
        <f ca="1">'normal case'!C213</f>
        <v>-1.5107707374006907E-7</v>
      </c>
      <c r="E214" s="22">
        <f ca="1">'normal case'!L213/100</f>
        <v>1.9999998807907104E-2</v>
      </c>
      <c r="F214" s="25">
        <f ca="1">'normal case'!U213/100</f>
        <v>5.499999850988388E-2</v>
      </c>
      <c r="G214" s="25">
        <f ca="1">'normal case'!T213/100</f>
        <v>3.4999999701976779E-2</v>
      </c>
      <c r="H214" s="25">
        <f ca="1">'public finance'!D212</f>
        <v>1.9802129779314939E-3</v>
      </c>
      <c r="I214" s="20">
        <f ca="1">'public finance'!E212</f>
        <v>2.4451759296012643</v>
      </c>
      <c r="J214" s="118">
        <f ca="1">'public finance'!H212</f>
        <v>-69.805592497914873</v>
      </c>
      <c r="K214" s="17">
        <f ca="1">'public finance'!C212/'normal case'!D213</f>
        <v>0.19801980186333762</v>
      </c>
      <c r="L214" s="20">
        <f ca="1">'public finance'!A212/'normal case'!D213</f>
        <v>0.2</v>
      </c>
      <c r="M214" s="18" t="str">
        <f>IF(controls!$B$44=0,"",'normal case'!AJ213)</f>
        <v/>
      </c>
      <c r="N214" s="18" t="str">
        <f>IF(controls!$B$44=0,"",'normal case'!AM213)</f>
        <v/>
      </c>
      <c r="O214" s="160" t="str">
        <f>IF(controls!$B$44=0,"",'external balance'!D213)</f>
        <v/>
      </c>
      <c r="P214" s="160" t="str">
        <f>IF(controls!$B$44=0,"",'external balance'!F213)</f>
        <v/>
      </c>
      <c r="Q214" s="159" t="str">
        <f>IF(controls!$B$44=0,"",'external balance'!H213)</f>
        <v/>
      </c>
    </row>
    <row r="215" spans="1:17" ht="14" thickTop="1" thickBot="1">
      <c r="A215" s="15">
        <v>212</v>
      </c>
      <c r="B215" s="17">
        <f ca="1">('normal case'!D214-'normal case'!B214)/'normal case'!B214</f>
        <v>5.9014499777614481E-10</v>
      </c>
      <c r="C215" s="23">
        <f ca="1">'normal case'!D214</f>
        <v>101.00000005960464</v>
      </c>
      <c r="D215" s="24">
        <f ca="1">'normal case'!C214</f>
        <v>-1.5107707374006907E-7</v>
      </c>
      <c r="E215" s="22">
        <f ca="1">'normal case'!L214/100</f>
        <v>1.9999998807907104E-2</v>
      </c>
      <c r="F215" s="25">
        <f ca="1">'normal case'!U214/100</f>
        <v>5.499999850988388E-2</v>
      </c>
      <c r="G215" s="25">
        <f ca="1">'normal case'!T214/100</f>
        <v>3.4999999701976779E-2</v>
      </c>
      <c r="H215" s="25">
        <f ca="1">'public finance'!D213</f>
        <v>1.9802129779314939E-3</v>
      </c>
      <c r="I215" s="20">
        <f ca="1">'public finance'!E213</f>
        <v>2.5307570858891446</v>
      </c>
      <c r="J215" s="118">
        <f ca="1">'public finance'!H213</f>
        <v>-72.250768412674859</v>
      </c>
      <c r="K215" s="17">
        <f ca="1">'public finance'!C213/'normal case'!D214</f>
        <v>0.19801980186333762</v>
      </c>
      <c r="L215" s="20">
        <f ca="1">'public finance'!A213/'normal case'!D214</f>
        <v>0.2</v>
      </c>
      <c r="M215" s="18" t="str">
        <f>IF(controls!$B$44=0,"",'normal case'!AJ214)</f>
        <v/>
      </c>
      <c r="N215" s="18" t="str">
        <f>IF(controls!$B$44=0,"",'normal case'!AM214)</f>
        <v/>
      </c>
      <c r="O215" s="160" t="str">
        <f>IF(controls!$B$44=0,"",'external balance'!D214)</f>
        <v/>
      </c>
      <c r="P215" s="160" t="str">
        <f>IF(controls!$B$44=0,"",'external balance'!F214)</f>
        <v/>
      </c>
      <c r="Q215" s="159" t="str">
        <f>IF(controls!$B$44=0,"",'external balance'!H214)</f>
        <v/>
      </c>
    </row>
    <row r="216" spans="1:17" ht="14" thickTop="1" thickBot="1">
      <c r="A216" s="15">
        <v>213</v>
      </c>
      <c r="B216" s="17">
        <f ca="1">('normal case'!D215-'normal case'!B215)/'normal case'!B215</f>
        <v>5.9014499777614481E-10</v>
      </c>
      <c r="C216" s="23">
        <f ca="1">'normal case'!D215</f>
        <v>101.00000005960464</v>
      </c>
      <c r="D216" s="24">
        <f ca="1">'normal case'!C215</f>
        <v>-1.5107707374006907E-7</v>
      </c>
      <c r="E216" s="22">
        <f ca="1">'normal case'!L215/100</f>
        <v>1.9999998807907104E-2</v>
      </c>
      <c r="F216" s="25">
        <f ca="1">'normal case'!U215/100</f>
        <v>5.499999850988388E-2</v>
      </c>
      <c r="G216" s="25">
        <f ca="1">'normal case'!T215/100</f>
        <v>3.4999999701976779E-2</v>
      </c>
      <c r="H216" s="25">
        <f ca="1">'public finance'!D214</f>
        <v>1.9802129779314939E-3</v>
      </c>
      <c r="I216" s="20">
        <f ca="1">'public finance'!E214</f>
        <v>2.619333582621596</v>
      </c>
      <c r="J216" s="118">
        <f ca="1">'public finance'!H214</f>
        <v>-74.781525483722731</v>
      </c>
      <c r="K216" s="17">
        <f ca="1">'public finance'!C214/'normal case'!D215</f>
        <v>0.19801980186333762</v>
      </c>
      <c r="L216" s="20">
        <f ca="1">'public finance'!A214/'normal case'!D215</f>
        <v>0.2</v>
      </c>
      <c r="M216" s="18" t="str">
        <f>IF(controls!$B$44=0,"",'normal case'!AJ215)</f>
        <v/>
      </c>
      <c r="N216" s="18" t="str">
        <f>IF(controls!$B$44=0,"",'normal case'!AM215)</f>
        <v/>
      </c>
      <c r="O216" s="160" t="str">
        <f>IF(controls!$B$44=0,"",'external balance'!D215)</f>
        <v/>
      </c>
      <c r="P216" s="160" t="str">
        <f>IF(controls!$B$44=0,"",'external balance'!F215)</f>
        <v/>
      </c>
      <c r="Q216" s="159" t="str">
        <f>IF(controls!$B$44=0,"",'external balance'!H215)</f>
        <v/>
      </c>
    </row>
    <row r="217" spans="1:17" ht="14" thickTop="1" thickBot="1">
      <c r="A217" s="15">
        <v>214</v>
      </c>
      <c r="B217" s="17">
        <f ca="1">('normal case'!D216-'normal case'!B216)/'normal case'!B216</f>
        <v>5.9014499777614481E-10</v>
      </c>
      <c r="C217" s="23">
        <f ca="1">'normal case'!D216</f>
        <v>101.00000005960464</v>
      </c>
      <c r="D217" s="24">
        <f ca="1">'normal case'!C216</f>
        <v>-1.5107707374006907E-7</v>
      </c>
      <c r="E217" s="22">
        <f ca="1">'normal case'!L216/100</f>
        <v>1.9999998807907104E-2</v>
      </c>
      <c r="F217" s="25">
        <f ca="1">'normal case'!U216/100</f>
        <v>5.499999850988388E-2</v>
      </c>
      <c r="G217" s="25">
        <f ca="1">'normal case'!T216/100</f>
        <v>3.4999999701976779E-2</v>
      </c>
      <c r="H217" s="25">
        <f ca="1">'public finance'!D215</f>
        <v>1.9802129779314939E-3</v>
      </c>
      <c r="I217" s="20">
        <f ca="1">'public finance'!E215</f>
        <v>2.7110102567132848</v>
      </c>
      <c r="J217" s="118">
        <f ca="1">'public finance'!H215</f>
        <v>-77.400859051503048</v>
      </c>
      <c r="K217" s="17">
        <f ca="1">'public finance'!C215/'normal case'!D216</f>
        <v>0.19801980186333762</v>
      </c>
      <c r="L217" s="20">
        <f ca="1">'public finance'!A215/'normal case'!D216</f>
        <v>0.2</v>
      </c>
      <c r="M217" s="18" t="str">
        <f>IF(controls!$B$44=0,"",'normal case'!AJ216)</f>
        <v/>
      </c>
      <c r="N217" s="18" t="str">
        <f>IF(controls!$B$44=0,"",'normal case'!AM216)</f>
        <v/>
      </c>
      <c r="O217" s="160" t="str">
        <f>IF(controls!$B$44=0,"",'external balance'!D216)</f>
        <v/>
      </c>
      <c r="P217" s="160" t="str">
        <f>IF(controls!$B$44=0,"",'external balance'!F216)</f>
        <v/>
      </c>
      <c r="Q217" s="159" t="str">
        <f>IF(controls!$B$44=0,"",'external balance'!H216)</f>
        <v/>
      </c>
    </row>
    <row r="218" spans="1:17" ht="14" thickTop="1" thickBot="1">
      <c r="A218" s="15">
        <v>215</v>
      </c>
      <c r="B218" s="17">
        <f ca="1">('normal case'!D217-'normal case'!B217)/'normal case'!B217</f>
        <v>5.9014499777614481E-10</v>
      </c>
      <c r="C218" s="23">
        <f ca="1">'normal case'!D217</f>
        <v>101.00000005960464</v>
      </c>
      <c r="D218" s="24">
        <f ca="1">'normal case'!C217</f>
        <v>-1.5107707374006907E-7</v>
      </c>
      <c r="E218" s="22">
        <f ca="1">'normal case'!L217/100</f>
        <v>1.9999998807907104E-2</v>
      </c>
      <c r="F218" s="25">
        <f ca="1">'normal case'!U217/100</f>
        <v>5.499999850988388E-2</v>
      </c>
      <c r="G218" s="25">
        <f ca="1">'normal case'!T217/100</f>
        <v>3.4999999701976779E-2</v>
      </c>
      <c r="H218" s="25">
        <f ca="1">'public finance'!D216</f>
        <v>1.9802129779314939E-3</v>
      </c>
      <c r="I218" s="20">
        <f ca="1">'public finance'!E216</f>
        <v>2.8058956143708613</v>
      </c>
      <c r="J218" s="118">
        <f ca="1">'public finance'!H216</f>
        <v>-80.111869293375065</v>
      </c>
      <c r="K218" s="17">
        <f ca="1">'public finance'!C216/'normal case'!D217</f>
        <v>0.19801980186333762</v>
      </c>
      <c r="L218" s="20">
        <f ca="1">'public finance'!A216/'normal case'!D217</f>
        <v>0.2</v>
      </c>
      <c r="M218" s="18" t="str">
        <f>IF(controls!$B$44=0,"",'normal case'!AJ217)</f>
        <v/>
      </c>
      <c r="N218" s="18" t="str">
        <f>IF(controls!$B$44=0,"",'normal case'!AM217)</f>
        <v/>
      </c>
      <c r="O218" s="160" t="str">
        <f>IF(controls!$B$44=0,"",'external balance'!D217)</f>
        <v/>
      </c>
      <c r="P218" s="160" t="str">
        <f>IF(controls!$B$44=0,"",'external balance'!F217)</f>
        <v/>
      </c>
      <c r="Q218" s="159" t="str">
        <f>IF(controls!$B$44=0,"",'external balance'!H217)</f>
        <v/>
      </c>
    </row>
    <row r="219" spans="1:17" ht="14" thickTop="1" thickBot="1">
      <c r="A219" s="15">
        <v>216</v>
      </c>
      <c r="B219" s="17">
        <f ca="1">('normal case'!D218-'normal case'!B218)/'normal case'!B218</f>
        <v>5.9014499777614481E-10</v>
      </c>
      <c r="C219" s="23">
        <f ca="1">'normal case'!D218</f>
        <v>101.00000005960464</v>
      </c>
      <c r="D219" s="24">
        <f ca="1">'normal case'!C218</f>
        <v>-1.5107707374006907E-7</v>
      </c>
      <c r="E219" s="22">
        <f ca="1">'normal case'!L218/100</f>
        <v>1.9999998807907104E-2</v>
      </c>
      <c r="F219" s="25">
        <f ca="1">'normal case'!U218/100</f>
        <v>5.499999850988388E-2</v>
      </c>
      <c r="G219" s="25">
        <f ca="1">'normal case'!T218/100</f>
        <v>3.4999999701976779E-2</v>
      </c>
      <c r="H219" s="25">
        <f ca="1">'public finance'!D217</f>
        <v>1.9802129779314939E-3</v>
      </c>
      <c r="I219" s="20">
        <f ca="1">'public finance'!E217</f>
        <v>2.904101959518175</v>
      </c>
      <c r="J219" s="118">
        <f ca="1">'public finance'!H217</f>
        <v>-82.917764892904657</v>
      </c>
      <c r="K219" s="17">
        <f ca="1">'public finance'!C217/'normal case'!D218</f>
        <v>0.19801980186333762</v>
      </c>
      <c r="L219" s="20">
        <f ca="1">'public finance'!A217/'normal case'!D218</f>
        <v>0.2</v>
      </c>
      <c r="M219" s="18" t="str">
        <f>IF(controls!$B$44=0,"",'normal case'!AJ218)</f>
        <v/>
      </c>
      <c r="N219" s="18" t="str">
        <f>IF(controls!$B$44=0,"",'normal case'!AM218)</f>
        <v/>
      </c>
      <c r="O219" s="160" t="str">
        <f>IF(controls!$B$44=0,"",'external balance'!D218)</f>
        <v/>
      </c>
      <c r="P219" s="160" t="str">
        <f>IF(controls!$B$44=0,"",'external balance'!F218)</f>
        <v/>
      </c>
      <c r="Q219" s="159" t="str">
        <f>IF(controls!$B$44=0,"",'external balance'!H218)</f>
        <v/>
      </c>
    </row>
    <row r="220" spans="1:17" ht="14" thickTop="1" thickBot="1">
      <c r="A220" s="15">
        <v>217</v>
      </c>
      <c r="B220" s="17">
        <f ca="1">('normal case'!D219-'normal case'!B219)/'normal case'!B219</f>
        <v>5.9014499777614481E-10</v>
      </c>
      <c r="C220" s="23">
        <f ca="1">'normal case'!D219</f>
        <v>101.00000005960464</v>
      </c>
      <c r="D220" s="24">
        <f ca="1">'normal case'!C219</f>
        <v>-1.5107707374006907E-7</v>
      </c>
      <c r="E220" s="22">
        <f ca="1">'normal case'!L219/100</f>
        <v>1.9999998807907104E-2</v>
      </c>
      <c r="F220" s="25">
        <f ca="1">'normal case'!U219/100</f>
        <v>5.499999850988388E-2</v>
      </c>
      <c r="G220" s="25">
        <f ca="1">'normal case'!T219/100</f>
        <v>3.4999999701976779E-2</v>
      </c>
      <c r="H220" s="25">
        <f ca="1">'public finance'!D218</f>
        <v>1.9802129779314939E-3</v>
      </c>
      <c r="I220" s="20">
        <f ca="1">'public finance'!E218</f>
        <v>3.005745526716376</v>
      </c>
      <c r="J220" s="118">
        <f ca="1">'public finance'!H218</f>
        <v>-85.821866837581538</v>
      </c>
      <c r="K220" s="17">
        <f ca="1">'public finance'!C218/'normal case'!D219</f>
        <v>0.19801980186333762</v>
      </c>
      <c r="L220" s="20">
        <f ca="1">'public finance'!A218/'normal case'!D219</f>
        <v>0.2</v>
      </c>
      <c r="M220" s="18" t="str">
        <f>IF(controls!$B$44=0,"",'normal case'!AJ219)</f>
        <v/>
      </c>
      <c r="N220" s="18" t="str">
        <f>IF(controls!$B$44=0,"",'normal case'!AM219)</f>
        <v/>
      </c>
      <c r="O220" s="160" t="str">
        <f>IF(controls!$B$44=0,"",'external balance'!D219)</f>
        <v/>
      </c>
      <c r="P220" s="160" t="str">
        <f>IF(controls!$B$44=0,"",'external balance'!F219)</f>
        <v/>
      </c>
      <c r="Q220" s="159" t="str">
        <f>IF(controls!$B$44=0,"",'external balance'!H219)</f>
        <v/>
      </c>
    </row>
    <row r="221" spans="1:17" ht="14" thickTop="1" thickBot="1">
      <c r="A221" s="15">
        <v>218</v>
      </c>
      <c r="B221" s="17">
        <f ca="1">('normal case'!D220-'normal case'!B220)/'normal case'!B220</f>
        <v>5.9014499777614481E-10</v>
      </c>
      <c r="C221" s="23">
        <f ca="1">'normal case'!D220</f>
        <v>101.00000005960464</v>
      </c>
      <c r="D221" s="24">
        <f ca="1">'normal case'!C220</f>
        <v>-1.5107707374006907E-7</v>
      </c>
      <c r="E221" s="22">
        <f ca="1">'normal case'!L220/100</f>
        <v>1.9999998807907104E-2</v>
      </c>
      <c r="F221" s="25">
        <f ca="1">'normal case'!U220/100</f>
        <v>5.499999850988388E-2</v>
      </c>
      <c r="G221" s="25">
        <f ca="1">'normal case'!T220/100</f>
        <v>3.4999999701976779E-2</v>
      </c>
      <c r="H221" s="25">
        <f ca="1">'public finance'!D219</f>
        <v>1.9802129779314939E-3</v>
      </c>
      <c r="I221" s="20">
        <f ca="1">'public finance'!E219</f>
        <v>3.1109466187362225</v>
      </c>
      <c r="J221" s="118">
        <f ca="1">'public finance'!H219</f>
        <v>-88.827612349456643</v>
      </c>
      <c r="K221" s="17">
        <f ca="1">'public finance'!C219/'normal case'!D220</f>
        <v>0.19801980186333762</v>
      </c>
      <c r="L221" s="20">
        <f ca="1">'public finance'!A219/'normal case'!D220</f>
        <v>0.2</v>
      </c>
      <c r="M221" s="18" t="str">
        <f>IF(controls!$B$44=0,"",'normal case'!AJ220)</f>
        <v/>
      </c>
      <c r="N221" s="18" t="str">
        <f>IF(controls!$B$44=0,"",'normal case'!AM220)</f>
        <v/>
      </c>
      <c r="O221" s="160" t="str">
        <f>IF(controls!$B$44=0,"",'external balance'!D220)</f>
        <v/>
      </c>
      <c r="P221" s="160" t="str">
        <f>IF(controls!$B$44=0,"",'external balance'!F220)</f>
        <v/>
      </c>
      <c r="Q221" s="159" t="str">
        <f>IF(controls!$B$44=0,"",'external balance'!H220)</f>
        <v/>
      </c>
    </row>
    <row r="222" spans="1:17" ht="14" thickTop="1" thickBot="1">
      <c r="A222" s="15">
        <v>219</v>
      </c>
      <c r="B222" s="17">
        <f ca="1">('normal case'!D221-'normal case'!B221)/'normal case'!B221</f>
        <v>5.9014499777614481E-10</v>
      </c>
      <c r="C222" s="23">
        <f ca="1">'normal case'!D221</f>
        <v>101.00000005960464</v>
      </c>
      <c r="D222" s="24">
        <f ca="1">'normal case'!C221</f>
        <v>-1.5107707374006907E-7</v>
      </c>
      <c r="E222" s="22">
        <f ca="1">'normal case'!L221/100</f>
        <v>1.9999998807907104E-2</v>
      </c>
      <c r="F222" s="25">
        <f ca="1">'normal case'!U221/100</f>
        <v>5.499999850988388E-2</v>
      </c>
      <c r="G222" s="25">
        <f ca="1">'normal case'!T221/100</f>
        <v>3.4999999701976779E-2</v>
      </c>
      <c r="H222" s="25">
        <f ca="1">'public finance'!D220</f>
        <v>1.9802129779314939E-3</v>
      </c>
      <c r="I222" s="20">
        <f ca="1">'public finance'!E220</f>
        <v>3.2198297489454117</v>
      </c>
      <c r="J222" s="118">
        <f ca="1">'public finance'!H220</f>
        <v>-91.938558953351603</v>
      </c>
      <c r="K222" s="17">
        <f ca="1">'public finance'!C220/'normal case'!D221</f>
        <v>0.19801980186333762</v>
      </c>
      <c r="L222" s="20">
        <f ca="1">'public finance'!A220/'normal case'!D221</f>
        <v>0.2</v>
      </c>
      <c r="M222" s="18" t="str">
        <f>IF(controls!$B$44=0,"",'normal case'!AJ221)</f>
        <v/>
      </c>
      <c r="N222" s="18" t="str">
        <f>IF(controls!$B$44=0,"",'normal case'!AM221)</f>
        <v/>
      </c>
      <c r="O222" s="160" t="str">
        <f>IF(controls!$B$44=0,"",'external balance'!D221)</f>
        <v/>
      </c>
      <c r="P222" s="160" t="str">
        <f>IF(controls!$B$44=0,"",'external balance'!F221)</f>
        <v/>
      </c>
      <c r="Q222" s="159" t="str">
        <f>IF(controls!$B$44=0,"",'external balance'!H221)</f>
        <v/>
      </c>
    </row>
    <row r="223" spans="1:17" ht="14" thickTop="1" thickBot="1">
      <c r="A223" s="15">
        <v>220</v>
      </c>
      <c r="B223" s="17">
        <f ca="1">('normal case'!D222-'normal case'!B222)/'normal case'!B222</f>
        <v>5.9014499777614481E-10</v>
      </c>
      <c r="C223" s="23">
        <f ca="1">'normal case'!D222</f>
        <v>101.00000005960464</v>
      </c>
      <c r="D223" s="24">
        <f ca="1">'normal case'!C222</f>
        <v>-1.5107707374006907E-7</v>
      </c>
      <c r="E223" s="22">
        <f ca="1">'normal case'!L222/100</f>
        <v>1.9999998807907104E-2</v>
      </c>
      <c r="F223" s="25">
        <f ca="1">'normal case'!U222/100</f>
        <v>5.499999850988388E-2</v>
      </c>
      <c r="G223" s="25">
        <f ca="1">'normal case'!T222/100</f>
        <v>3.4999999701976779E-2</v>
      </c>
      <c r="H223" s="25">
        <f ca="1">'public finance'!D221</f>
        <v>1.9802129779314939E-3</v>
      </c>
      <c r="I223" s="20">
        <f ca="1">'public finance'!E221</f>
        <v>3.3325237886794725</v>
      </c>
      <c r="J223" s="118">
        <f ca="1">'public finance'!H221</f>
        <v>-95.158388687455741</v>
      </c>
      <c r="K223" s="17">
        <f ca="1">'public finance'!C221/'normal case'!D222</f>
        <v>0.19801980186333762</v>
      </c>
      <c r="L223" s="20">
        <f ca="1">'public finance'!A221/'normal case'!D222</f>
        <v>0.2</v>
      </c>
      <c r="M223" s="18" t="str">
        <f>IF(controls!$B$44=0,"",'normal case'!AJ222)</f>
        <v/>
      </c>
      <c r="N223" s="18" t="str">
        <f>IF(controls!$B$44=0,"",'normal case'!AM222)</f>
        <v/>
      </c>
      <c r="O223" s="160" t="str">
        <f>IF(controls!$B$44=0,"",'external balance'!D222)</f>
        <v/>
      </c>
      <c r="P223" s="160" t="str">
        <f>IF(controls!$B$44=0,"",'external balance'!F222)</f>
        <v/>
      </c>
      <c r="Q223" s="159" t="str">
        <f>IF(controls!$B$44=0,"",'external balance'!H222)</f>
        <v/>
      </c>
    </row>
    <row r="224" spans="1:17" ht="14" thickTop="1" thickBot="1">
      <c r="A224" s="15">
        <v>221</v>
      </c>
      <c r="B224" s="17">
        <f ca="1">('normal case'!D223-'normal case'!B223)/'normal case'!B223</f>
        <v>5.9014499777614481E-10</v>
      </c>
      <c r="C224" s="23">
        <f ca="1">'normal case'!D223</f>
        <v>101.00000005960464</v>
      </c>
      <c r="D224" s="24">
        <f ca="1">'normal case'!C223</f>
        <v>-1.5107707374006907E-7</v>
      </c>
      <c r="E224" s="22">
        <f ca="1">'normal case'!L223/100</f>
        <v>1.9999998807907104E-2</v>
      </c>
      <c r="F224" s="25">
        <f ca="1">'normal case'!U223/100</f>
        <v>5.499999850988388E-2</v>
      </c>
      <c r="G224" s="25">
        <f ca="1">'normal case'!T223/100</f>
        <v>3.4999999701976779E-2</v>
      </c>
      <c r="H224" s="25">
        <f ca="1">'public finance'!D222</f>
        <v>1.9802129779314939E-3</v>
      </c>
      <c r="I224" s="20">
        <f ca="1">'public finance'!E222</f>
        <v>3.4491621197706395</v>
      </c>
      <c r="J224" s="118">
        <f ca="1">'public finance'!H222</f>
        <v>-98.490912461293931</v>
      </c>
      <c r="K224" s="17">
        <f ca="1">'public finance'!C222/'normal case'!D223</f>
        <v>0.19801980186333762</v>
      </c>
      <c r="L224" s="20">
        <f ca="1">'public finance'!A222/'normal case'!D223</f>
        <v>0.2</v>
      </c>
      <c r="M224" s="18" t="str">
        <f>IF(controls!$B$44=0,"",'normal case'!AJ223)</f>
        <v/>
      </c>
      <c r="N224" s="18" t="str">
        <f>IF(controls!$B$44=0,"",'normal case'!AM223)</f>
        <v/>
      </c>
      <c r="O224" s="160" t="str">
        <f>IF(controls!$B$44=0,"",'external balance'!D223)</f>
        <v/>
      </c>
      <c r="P224" s="160" t="str">
        <f>IF(controls!$B$44=0,"",'external balance'!F223)</f>
        <v/>
      </c>
      <c r="Q224" s="159" t="str">
        <f>IF(controls!$B$44=0,"",'external balance'!H223)</f>
        <v/>
      </c>
    </row>
    <row r="225" spans="1:17" ht="14" thickTop="1" thickBot="1">
      <c r="A225" s="15">
        <v>222</v>
      </c>
      <c r="B225" s="17">
        <f ca="1">('normal case'!D224-'normal case'!B224)/'normal case'!B224</f>
        <v>5.9014499777614481E-10</v>
      </c>
      <c r="C225" s="23">
        <f ca="1">'normal case'!D224</f>
        <v>101.00000005960464</v>
      </c>
      <c r="D225" s="24">
        <f ca="1">'normal case'!C224</f>
        <v>-1.5107707374006907E-7</v>
      </c>
      <c r="E225" s="22">
        <f ca="1">'normal case'!L224/100</f>
        <v>1.9999998807907104E-2</v>
      </c>
      <c r="F225" s="25">
        <f ca="1">'normal case'!U224/100</f>
        <v>5.499999850988388E-2</v>
      </c>
      <c r="G225" s="25">
        <f ca="1">'normal case'!T224/100</f>
        <v>3.4999999701976779E-2</v>
      </c>
      <c r="H225" s="25">
        <f ca="1">'public finance'!D223</f>
        <v>1.9802129779314939E-3</v>
      </c>
      <c r="I225" s="20">
        <f ca="1">'public finance'!E223</f>
        <v>3.5698827924152372</v>
      </c>
      <c r="J225" s="118">
        <f ca="1">'public finance'!H223</f>
        <v>-101.94007456622329</v>
      </c>
      <c r="K225" s="17">
        <f ca="1">'public finance'!C223/'normal case'!D224</f>
        <v>0.19801980186333762</v>
      </c>
      <c r="L225" s="20">
        <f ca="1">'public finance'!A223/'normal case'!D224</f>
        <v>0.2</v>
      </c>
      <c r="M225" s="18" t="str">
        <f>IF(controls!$B$44=0,"",'normal case'!AJ224)</f>
        <v/>
      </c>
      <c r="N225" s="18" t="str">
        <f>IF(controls!$B$44=0,"",'normal case'!AM224)</f>
        <v/>
      </c>
      <c r="O225" s="160" t="str">
        <f>IF(controls!$B$44=0,"",'external balance'!D224)</f>
        <v/>
      </c>
      <c r="P225" s="160" t="str">
        <f>IF(controls!$B$44=0,"",'external balance'!F224)</f>
        <v/>
      </c>
      <c r="Q225" s="159" t="str">
        <f>IF(controls!$B$44=0,"",'external balance'!H224)</f>
        <v/>
      </c>
    </row>
    <row r="226" spans="1:17" ht="14" thickTop="1" thickBot="1">
      <c r="A226" s="15">
        <v>223</v>
      </c>
      <c r="B226" s="17">
        <f ca="1">('normal case'!D225-'normal case'!B225)/'normal case'!B225</f>
        <v>5.9014499777614481E-10</v>
      </c>
      <c r="C226" s="23">
        <f ca="1">'normal case'!D225</f>
        <v>101.00000005960464</v>
      </c>
      <c r="D226" s="24">
        <f ca="1">'normal case'!C225</f>
        <v>-1.5107707374006907E-7</v>
      </c>
      <c r="E226" s="22">
        <f ca="1">'normal case'!L225/100</f>
        <v>1.9999998807907104E-2</v>
      </c>
      <c r="F226" s="25">
        <f ca="1">'normal case'!U225/100</f>
        <v>5.499999850988388E-2</v>
      </c>
      <c r="G226" s="25">
        <f ca="1">'normal case'!T225/100</f>
        <v>3.4999999701976779E-2</v>
      </c>
      <c r="H226" s="25">
        <f ca="1">'public finance'!D224</f>
        <v>1.9802129779314939E-3</v>
      </c>
      <c r="I226" s="20">
        <f ca="1">'public finance'!E224</f>
        <v>3.6948286885664179</v>
      </c>
      <c r="J226" s="118">
        <f ca="1">'public finance'!H224</f>
        <v>-105.50995734379725</v>
      </c>
      <c r="K226" s="17">
        <f ca="1">'public finance'!C224/'normal case'!D225</f>
        <v>0.19801980186333762</v>
      </c>
      <c r="L226" s="20">
        <f ca="1">'public finance'!A224/'normal case'!D225</f>
        <v>0.2</v>
      </c>
      <c r="M226" s="18" t="str">
        <f>IF(controls!$B$44=0,"",'normal case'!AJ225)</f>
        <v/>
      </c>
      <c r="N226" s="18" t="str">
        <f>IF(controls!$B$44=0,"",'normal case'!AM225)</f>
        <v/>
      </c>
      <c r="O226" s="160" t="str">
        <f>IF(controls!$B$44=0,"",'external balance'!D225)</f>
        <v/>
      </c>
      <c r="P226" s="160" t="str">
        <f>IF(controls!$B$44=0,"",'external balance'!F225)</f>
        <v/>
      </c>
      <c r="Q226" s="159" t="str">
        <f>IF(controls!$B$44=0,"",'external balance'!H225)</f>
        <v/>
      </c>
    </row>
    <row r="227" spans="1:17" ht="14" thickTop="1" thickBot="1">
      <c r="A227" s="15">
        <v>224</v>
      </c>
      <c r="B227" s="17">
        <f ca="1">('normal case'!D226-'normal case'!B226)/'normal case'!B226</f>
        <v>5.9014499777614481E-10</v>
      </c>
      <c r="C227" s="23">
        <f ca="1">'normal case'!D226</f>
        <v>101.00000005960464</v>
      </c>
      <c r="D227" s="24">
        <f ca="1">'normal case'!C226</f>
        <v>-1.5107707374006907E-7</v>
      </c>
      <c r="E227" s="22">
        <f ca="1">'normal case'!L226/100</f>
        <v>1.9999998807907104E-2</v>
      </c>
      <c r="F227" s="25">
        <f ca="1">'normal case'!U226/100</f>
        <v>5.499999850988388E-2</v>
      </c>
      <c r="G227" s="25">
        <f ca="1">'normal case'!T226/100</f>
        <v>3.4999999701976779E-2</v>
      </c>
      <c r="H227" s="25">
        <f ca="1">'public finance'!D225</f>
        <v>1.9802129779314939E-3</v>
      </c>
      <c r="I227" s="20">
        <f ca="1">'public finance'!E225</f>
        <v>3.8241476910456531</v>
      </c>
      <c r="J227" s="118">
        <f ca="1">'public finance'!H225</f>
        <v>-109.20478601752239</v>
      </c>
      <c r="K227" s="17">
        <f ca="1">'public finance'!C225/'normal case'!D226</f>
        <v>0.19801980186333762</v>
      </c>
      <c r="L227" s="20">
        <f ca="1">'public finance'!A225/'normal case'!D226</f>
        <v>0.2</v>
      </c>
      <c r="M227" s="18" t="str">
        <f>IF(controls!$B$44=0,"",'normal case'!AJ226)</f>
        <v/>
      </c>
      <c r="N227" s="18" t="str">
        <f>IF(controls!$B$44=0,"",'normal case'!AM226)</f>
        <v/>
      </c>
      <c r="O227" s="160" t="str">
        <f>IF(controls!$B$44=0,"",'external balance'!D226)</f>
        <v/>
      </c>
      <c r="P227" s="160" t="str">
        <f>IF(controls!$B$44=0,"",'external balance'!F226)</f>
        <v/>
      </c>
      <c r="Q227" s="159" t="str">
        <f>IF(controls!$B$44=0,"",'external balance'!H226)</f>
        <v/>
      </c>
    </row>
    <row r="228" spans="1:17" ht="14" thickTop="1" thickBot="1">
      <c r="A228" s="15">
        <v>225</v>
      </c>
      <c r="B228" s="17">
        <f ca="1">('normal case'!D227-'normal case'!B227)/'normal case'!B227</f>
        <v>5.9014499777614481E-10</v>
      </c>
      <c r="C228" s="23">
        <f ca="1">'normal case'!D227</f>
        <v>101.00000005960464</v>
      </c>
      <c r="D228" s="24">
        <f ca="1">'normal case'!C227</f>
        <v>-1.5107707374006907E-7</v>
      </c>
      <c r="E228" s="22">
        <f ca="1">'normal case'!L227/100</f>
        <v>1.9999998807907104E-2</v>
      </c>
      <c r="F228" s="25">
        <f ca="1">'normal case'!U227/100</f>
        <v>5.499999850988388E-2</v>
      </c>
      <c r="G228" s="25">
        <f ca="1">'normal case'!T227/100</f>
        <v>3.4999999701976779E-2</v>
      </c>
      <c r="H228" s="25">
        <f ca="1">'public finance'!D226</f>
        <v>1.9802129779314939E-3</v>
      </c>
      <c r="I228" s="20">
        <f ca="1">'public finance'!E226</f>
        <v>3.9579928585731219</v>
      </c>
      <c r="J228" s="118">
        <f ca="1">'public finance'!H226</f>
        <v>-113.02893369372678</v>
      </c>
      <c r="K228" s="17">
        <f ca="1">'public finance'!C226/'normal case'!D227</f>
        <v>0.19801980186333762</v>
      </c>
      <c r="L228" s="20">
        <f ca="1">'public finance'!A226/'normal case'!D227</f>
        <v>0.2</v>
      </c>
      <c r="M228" s="18" t="str">
        <f>IF(controls!$B$44=0,"",'normal case'!AJ227)</f>
        <v/>
      </c>
      <c r="N228" s="18" t="str">
        <f>IF(controls!$B$44=0,"",'normal case'!AM227)</f>
        <v/>
      </c>
      <c r="O228" s="160" t="str">
        <f>IF(controls!$B$44=0,"",'external balance'!D227)</f>
        <v/>
      </c>
      <c r="P228" s="160" t="str">
        <f>IF(controls!$B$44=0,"",'external balance'!F227)</f>
        <v/>
      </c>
      <c r="Q228" s="159" t="str">
        <f>IF(controls!$B$44=0,"",'external balance'!H227)</f>
        <v/>
      </c>
    </row>
    <row r="229" spans="1:17" ht="14" thickTop="1" thickBot="1">
      <c r="A229" s="15">
        <v>226</v>
      </c>
      <c r="B229" s="17">
        <f ca="1">('normal case'!D228-'normal case'!B228)/'normal case'!B228</f>
        <v>5.9014499777614481E-10</v>
      </c>
      <c r="C229" s="23">
        <f ca="1">'normal case'!D228</f>
        <v>101.00000005960464</v>
      </c>
      <c r="D229" s="24">
        <f ca="1">'normal case'!C228</f>
        <v>-1.5107707374006907E-7</v>
      </c>
      <c r="E229" s="22">
        <f ca="1">'normal case'!L228/100</f>
        <v>1.9999998807907104E-2</v>
      </c>
      <c r="F229" s="25">
        <f ca="1">'normal case'!U228/100</f>
        <v>5.499999850988388E-2</v>
      </c>
      <c r="G229" s="25">
        <f ca="1">'normal case'!T228/100</f>
        <v>3.4999999701976779E-2</v>
      </c>
      <c r="H229" s="25">
        <f ca="1">'public finance'!D227</f>
        <v>1.9802129779314939E-3</v>
      </c>
      <c r="I229" s="20">
        <f ca="1">'public finance'!E227</f>
        <v>4.0965226069241627</v>
      </c>
      <c r="J229" s="118">
        <f ca="1">'public finance'!H227</f>
        <v>-116.98692653745863</v>
      </c>
      <c r="K229" s="17">
        <f ca="1">'public finance'!C227/'normal case'!D228</f>
        <v>0.19801980186333762</v>
      </c>
      <c r="L229" s="20">
        <f ca="1">'public finance'!A227/'normal case'!D228</f>
        <v>0.2</v>
      </c>
      <c r="M229" s="18" t="str">
        <f>IF(controls!$B$44=0,"",'normal case'!AJ228)</f>
        <v/>
      </c>
      <c r="N229" s="18" t="str">
        <f>IF(controls!$B$44=0,"",'normal case'!AM228)</f>
        <v/>
      </c>
      <c r="O229" s="160" t="str">
        <f>IF(controls!$B$44=0,"",'external balance'!D228)</f>
        <v/>
      </c>
      <c r="P229" s="160" t="str">
        <f>IF(controls!$B$44=0,"",'external balance'!F228)</f>
        <v/>
      </c>
      <c r="Q229" s="159" t="str">
        <f>IF(controls!$B$44=0,"",'external balance'!H228)</f>
        <v/>
      </c>
    </row>
    <row r="230" spans="1:17" ht="14" thickTop="1" thickBot="1">
      <c r="A230" s="15">
        <v>227</v>
      </c>
      <c r="B230" s="17">
        <f ca="1">('normal case'!D229-'normal case'!B229)/'normal case'!B229</f>
        <v>5.9014499777614481E-10</v>
      </c>
      <c r="C230" s="23">
        <f ca="1">'normal case'!D229</f>
        <v>101.00000005960464</v>
      </c>
      <c r="D230" s="24">
        <f ca="1">'normal case'!C229</f>
        <v>-1.5107707374006907E-7</v>
      </c>
      <c r="E230" s="22">
        <f ca="1">'normal case'!L229/100</f>
        <v>1.9999998807907104E-2</v>
      </c>
      <c r="F230" s="25">
        <f ca="1">'normal case'!U229/100</f>
        <v>5.499999850988388E-2</v>
      </c>
      <c r="G230" s="25">
        <f ca="1">'normal case'!T229/100</f>
        <v>3.4999999701976779E-2</v>
      </c>
      <c r="H230" s="25">
        <f ca="1">'public finance'!D228</f>
        <v>1.9802129779314939E-3</v>
      </c>
      <c r="I230" s="20">
        <f ca="1">'public finance'!E228</f>
        <v>4.2399008964262057</v>
      </c>
      <c r="J230" s="118">
        <f ca="1">'public finance'!H228</f>
        <v>-121.08344912954152</v>
      </c>
      <c r="K230" s="17">
        <f ca="1">'public finance'!C228/'normal case'!D229</f>
        <v>0.19801980186333762</v>
      </c>
      <c r="L230" s="20">
        <f ca="1">'public finance'!A228/'normal case'!D229</f>
        <v>0.2</v>
      </c>
      <c r="M230" s="18" t="str">
        <f>IF(controls!$B$44=0,"",'normal case'!AJ229)</f>
        <v/>
      </c>
      <c r="N230" s="18" t="str">
        <f>IF(controls!$B$44=0,"",'normal case'!AM229)</f>
        <v/>
      </c>
      <c r="O230" s="160" t="str">
        <f>IF(controls!$B$44=0,"",'external balance'!D229)</f>
        <v/>
      </c>
      <c r="P230" s="160" t="str">
        <f>IF(controls!$B$44=0,"",'external balance'!F229)</f>
        <v/>
      </c>
      <c r="Q230" s="159" t="str">
        <f>IF(controls!$B$44=0,"",'external balance'!H229)</f>
        <v/>
      </c>
    </row>
    <row r="231" spans="1:17" ht="14" thickTop="1" thickBot="1">
      <c r="A231" s="15">
        <v>228</v>
      </c>
      <c r="B231" s="17">
        <f ca="1">('normal case'!D230-'normal case'!B230)/'normal case'!B230</f>
        <v>5.9014499777614481E-10</v>
      </c>
      <c r="C231" s="23">
        <f ca="1">'normal case'!D230</f>
        <v>101.00000005960464</v>
      </c>
      <c r="D231" s="24">
        <f ca="1">'normal case'!C230</f>
        <v>-1.5107707374006907E-7</v>
      </c>
      <c r="E231" s="22">
        <f ca="1">'normal case'!L230/100</f>
        <v>1.9999998807907104E-2</v>
      </c>
      <c r="F231" s="25">
        <f ca="1">'normal case'!U230/100</f>
        <v>5.499999850988388E-2</v>
      </c>
      <c r="G231" s="25">
        <f ca="1">'normal case'!T230/100</f>
        <v>3.4999999701976779E-2</v>
      </c>
      <c r="H231" s="25">
        <f ca="1">'public finance'!D229</f>
        <v>1.9802129779314939E-3</v>
      </c>
      <c r="I231" s="20">
        <f ca="1">'public finance'!E229</f>
        <v>4.3882974260180889</v>
      </c>
      <c r="J231" s="118">
        <f ca="1">'public finance'!H229</f>
        <v>-125.32335001112644</v>
      </c>
      <c r="K231" s="17">
        <f ca="1">'public finance'!C229/'normal case'!D230</f>
        <v>0.19801980186333762</v>
      </c>
      <c r="L231" s="20">
        <f ca="1">'public finance'!A229/'normal case'!D230</f>
        <v>0.2</v>
      </c>
      <c r="M231" s="18" t="str">
        <f>IF(controls!$B$44=0,"",'normal case'!AJ230)</f>
        <v/>
      </c>
      <c r="N231" s="18" t="str">
        <f>IF(controls!$B$44=0,"",'normal case'!AM230)</f>
        <v/>
      </c>
      <c r="O231" s="160" t="str">
        <f>IF(controls!$B$44=0,"",'external balance'!D230)</f>
        <v/>
      </c>
      <c r="P231" s="160" t="str">
        <f>IF(controls!$B$44=0,"",'external balance'!F230)</f>
        <v/>
      </c>
      <c r="Q231" s="159" t="str">
        <f>IF(controls!$B$44=0,"",'external balance'!H230)</f>
        <v/>
      </c>
    </row>
    <row r="232" spans="1:17" ht="14" thickTop="1" thickBot="1">
      <c r="A232" s="15">
        <v>229</v>
      </c>
      <c r="B232" s="17">
        <f ca="1">('normal case'!D231-'normal case'!B231)/'normal case'!B231</f>
        <v>5.9014499777614481E-10</v>
      </c>
      <c r="C232" s="23">
        <f ca="1">'normal case'!D231</f>
        <v>101.00000005960464</v>
      </c>
      <c r="D232" s="24">
        <f ca="1">'normal case'!C231</f>
        <v>-1.5107707374006907E-7</v>
      </c>
      <c r="E232" s="22">
        <f ca="1">'normal case'!L231/100</f>
        <v>1.9999998807907104E-2</v>
      </c>
      <c r="F232" s="25">
        <f ca="1">'normal case'!U231/100</f>
        <v>5.499999850988388E-2</v>
      </c>
      <c r="G232" s="25">
        <f ca="1">'normal case'!T231/100</f>
        <v>3.4999999701976779E-2</v>
      </c>
      <c r="H232" s="25">
        <f ca="1">'public finance'!D230</f>
        <v>1.9802129779314939E-3</v>
      </c>
      <c r="I232" s="20">
        <f ca="1">'public finance'!E230</f>
        <v>4.5418878341014626</v>
      </c>
      <c r="J232" s="118">
        <f ca="1">'public finance'!H230</f>
        <v>-129.71164742230326</v>
      </c>
      <c r="K232" s="17">
        <f ca="1">'public finance'!C230/'normal case'!D231</f>
        <v>0.19801980186333762</v>
      </c>
      <c r="L232" s="20">
        <f ca="1">'public finance'!A230/'normal case'!D231</f>
        <v>0.2</v>
      </c>
      <c r="M232" s="18" t="str">
        <f>IF(controls!$B$44=0,"",'normal case'!AJ231)</f>
        <v/>
      </c>
      <c r="N232" s="18" t="str">
        <f>IF(controls!$B$44=0,"",'normal case'!AM231)</f>
        <v/>
      </c>
      <c r="O232" s="160" t="str">
        <f>IF(controls!$B$44=0,"",'external balance'!D231)</f>
        <v/>
      </c>
      <c r="P232" s="160" t="str">
        <f>IF(controls!$B$44=0,"",'external balance'!F231)</f>
        <v/>
      </c>
      <c r="Q232" s="159" t="str">
        <f>IF(controls!$B$44=0,"",'external balance'!H231)</f>
        <v/>
      </c>
    </row>
    <row r="233" spans="1:17" ht="14" thickTop="1" thickBot="1">
      <c r="A233" s="15">
        <v>230</v>
      </c>
      <c r="B233" s="17">
        <f ca="1">('normal case'!D232-'normal case'!B232)/'normal case'!B232</f>
        <v>5.9014499777614481E-10</v>
      </c>
      <c r="C233" s="23">
        <f ca="1">'normal case'!D232</f>
        <v>101.00000005960464</v>
      </c>
      <c r="D233" s="24">
        <f ca="1">'normal case'!C232</f>
        <v>-1.5107707374006907E-7</v>
      </c>
      <c r="E233" s="22">
        <f ca="1">'normal case'!L232/100</f>
        <v>1.9999998807907104E-2</v>
      </c>
      <c r="F233" s="25">
        <f ca="1">'normal case'!U232/100</f>
        <v>5.499999850988388E-2</v>
      </c>
      <c r="G233" s="25">
        <f ca="1">'normal case'!T232/100</f>
        <v>3.4999999701976779E-2</v>
      </c>
      <c r="H233" s="25">
        <f ca="1">'public finance'!D231</f>
        <v>1.9802129779314939E-3</v>
      </c>
      <c r="I233" s="20">
        <f ca="1">'public finance'!E231</f>
        <v>4.7008539064219814</v>
      </c>
      <c r="J233" s="118">
        <f ca="1">'public finance'!H231</f>
        <v>-134.25353524156344</v>
      </c>
      <c r="K233" s="17">
        <f ca="1">'public finance'!C231/'normal case'!D232</f>
        <v>0.19801980186333762</v>
      </c>
      <c r="L233" s="20">
        <f ca="1">'public finance'!A231/'normal case'!D232</f>
        <v>0.2</v>
      </c>
      <c r="M233" s="18" t="str">
        <f>IF(controls!$B$44=0,"",'normal case'!AJ232)</f>
        <v/>
      </c>
      <c r="N233" s="18" t="str">
        <f>IF(controls!$B$44=0,"",'normal case'!AM232)</f>
        <v/>
      </c>
      <c r="O233" s="160" t="str">
        <f>IF(controls!$B$44=0,"",'external balance'!D232)</f>
        <v/>
      </c>
      <c r="P233" s="160" t="str">
        <f>IF(controls!$B$44=0,"",'external balance'!F232)</f>
        <v/>
      </c>
      <c r="Q233" s="159" t="str">
        <f>IF(controls!$B$44=0,"",'external balance'!H232)</f>
        <v/>
      </c>
    </row>
    <row r="234" spans="1:17" ht="14" thickTop="1" thickBot="1">
      <c r="A234" s="15">
        <v>231</v>
      </c>
      <c r="B234" s="17">
        <f ca="1">('normal case'!D233-'normal case'!B233)/'normal case'!B233</f>
        <v>5.9014499777614481E-10</v>
      </c>
      <c r="C234" s="23">
        <f ca="1">'normal case'!D233</f>
        <v>101.00000005960464</v>
      </c>
      <c r="D234" s="24">
        <f ca="1">'normal case'!C233</f>
        <v>-1.5107707374006907E-7</v>
      </c>
      <c r="E234" s="22">
        <f ca="1">'normal case'!L233/100</f>
        <v>1.9999998807907104E-2</v>
      </c>
      <c r="F234" s="25">
        <f ca="1">'normal case'!U233/100</f>
        <v>5.499999850988388E-2</v>
      </c>
      <c r="G234" s="25">
        <f ca="1">'normal case'!T233/100</f>
        <v>3.4999999701976779E-2</v>
      </c>
      <c r="H234" s="25">
        <f ca="1">'public finance'!D232</f>
        <v>1.9802129779314939E-3</v>
      </c>
      <c r="I234" s="20">
        <f ca="1">'public finance'!E232</f>
        <v>4.8653837912263418</v>
      </c>
      <c r="J234" s="118">
        <f ca="1">'public finance'!H232</f>
        <v>-138.95438913314413</v>
      </c>
      <c r="K234" s="17">
        <f ca="1">'public finance'!C232/'normal case'!D233</f>
        <v>0.19801980186333762</v>
      </c>
      <c r="L234" s="20">
        <f ca="1">'public finance'!A232/'normal case'!D233</f>
        <v>0.2</v>
      </c>
      <c r="M234" s="18" t="str">
        <f>IF(controls!$B$44=0,"",'normal case'!AJ233)</f>
        <v/>
      </c>
      <c r="N234" s="18" t="str">
        <f>IF(controls!$B$44=0,"",'normal case'!AM233)</f>
        <v/>
      </c>
      <c r="O234" s="160" t="str">
        <f>IF(controls!$B$44=0,"",'external balance'!D233)</f>
        <v/>
      </c>
      <c r="P234" s="160" t="str">
        <f>IF(controls!$B$44=0,"",'external balance'!F233)</f>
        <v/>
      </c>
      <c r="Q234" s="159" t="str">
        <f>IF(controls!$B$44=0,"",'external balance'!H233)</f>
        <v/>
      </c>
    </row>
    <row r="235" spans="1:17" ht="14" thickTop="1" thickBot="1">
      <c r="A235" s="15">
        <v>232</v>
      </c>
      <c r="B235" s="17">
        <f ca="1">('normal case'!D234-'normal case'!B234)/'normal case'!B234</f>
        <v>5.9014499777614481E-10</v>
      </c>
      <c r="C235" s="23">
        <f ca="1">'normal case'!D234</f>
        <v>101.00000005960464</v>
      </c>
      <c r="D235" s="24">
        <f ca="1">'normal case'!C234</f>
        <v>-1.5107707374006907E-7</v>
      </c>
      <c r="E235" s="22">
        <f ca="1">'normal case'!L234/100</f>
        <v>1.9999998807907104E-2</v>
      </c>
      <c r="F235" s="25">
        <f ca="1">'normal case'!U234/100</f>
        <v>5.499999850988388E-2</v>
      </c>
      <c r="G235" s="25">
        <f ca="1">'normal case'!T234/100</f>
        <v>3.4999999701976779E-2</v>
      </c>
      <c r="H235" s="25">
        <f ca="1">'public finance'!D233</f>
        <v>1.9802129779314939E-3</v>
      </c>
      <c r="I235" s="20">
        <f ca="1">'public finance'!E233</f>
        <v>5.035672221949822</v>
      </c>
      <c r="J235" s="118">
        <f ca="1">'public finance'!H233</f>
        <v>-143.81977290952921</v>
      </c>
      <c r="K235" s="17">
        <f ca="1">'public finance'!C233/'normal case'!D234</f>
        <v>0.19801980186333762</v>
      </c>
      <c r="L235" s="20">
        <f ca="1">'public finance'!A233/'normal case'!D234</f>
        <v>0.2</v>
      </c>
      <c r="M235" s="18" t="str">
        <f>IF(controls!$B$44=0,"",'normal case'!AJ234)</f>
        <v/>
      </c>
      <c r="N235" s="18" t="str">
        <f>IF(controls!$B$44=0,"",'normal case'!AM234)</f>
        <v/>
      </c>
      <c r="O235" s="160" t="str">
        <f>IF(controls!$B$44=0,"",'external balance'!D234)</f>
        <v/>
      </c>
      <c r="P235" s="160" t="str">
        <f>IF(controls!$B$44=0,"",'external balance'!F234)</f>
        <v/>
      </c>
      <c r="Q235" s="159" t="str">
        <f>IF(controls!$B$44=0,"",'external balance'!H234)</f>
        <v/>
      </c>
    </row>
    <row r="236" spans="1:17" ht="14" thickTop="1" thickBot="1">
      <c r="A236" s="15">
        <v>233</v>
      </c>
      <c r="B236" s="17">
        <f ca="1">('normal case'!D235-'normal case'!B235)/'normal case'!B235</f>
        <v>5.9014499777614481E-10</v>
      </c>
      <c r="C236" s="23">
        <f ca="1">'normal case'!D235</f>
        <v>101.00000005960464</v>
      </c>
      <c r="D236" s="24">
        <f ca="1">'normal case'!C235</f>
        <v>-1.5107707374006907E-7</v>
      </c>
      <c r="E236" s="22">
        <f ca="1">'normal case'!L235/100</f>
        <v>1.9999998807907104E-2</v>
      </c>
      <c r="F236" s="25">
        <f ca="1">'normal case'!U235/100</f>
        <v>5.499999850988388E-2</v>
      </c>
      <c r="G236" s="25">
        <f ca="1">'normal case'!T235/100</f>
        <v>3.4999999701976779E-2</v>
      </c>
      <c r="H236" s="25">
        <f ca="1">'public finance'!D234</f>
        <v>1.9802129779314939E-3</v>
      </c>
      <c r="I236" s="20">
        <f ca="1">'public finance'!E234</f>
        <v>5.2119207476978744</v>
      </c>
      <c r="J236" s="118">
        <f ca="1">'public finance'!H234</f>
        <v>-148.85544511663775</v>
      </c>
      <c r="K236" s="17">
        <f ca="1">'public finance'!C234/'normal case'!D235</f>
        <v>0.19801980186333762</v>
      </c>
      <c r="L236" s="20">
        <f ca="1">'public finance'!A234/'normal case'!D235</f>
        <v>0.2</v>
      </c>
      <c r="M236" s="18" t="str">
        <f>IF(controls!$B$44=0,"",'normal case'!AJ235)</f>
        <v/>
      </c>
      <c r="N236" s="18" t="str">
        <f>IF(controls!$B$44=0,"",'normal case'!AM235)</f>
        <v/>
      </c>
      <c r="O236" s="160" t="str">
        <f>IF(controls!$B$44=0,"",'external balance'!D235)</f>
        <v/>
      </c>
      <c r="P236" s="160" t="str">
        <f>IF(controls!$B$44=0,"",'external balance'!F235)</f>
        <v/>
      </c>
      <c r="Q236" s="159" t="str">
        <f>IF(controls!$B$44=0,"",'external balance'!H235)</f>
        <v/>
      </c>
    </row>
    <row r="237" spans="1:17" ht="14" thickTop="1" thickBot="1">
      <c r="A237" s="15">
        <v>234</v>
      </c>
      <c r="B237" s="17">
        <f ca="1">('normal case'!D236-'normal case'!B236)/'normal case'!B236</f>
        <v>5.9014499777614481E-10</v>
      </c>
      <c r="C237" s="23">
        <f ca="1">'normal case'!D236</f>
        <v>101.00000005960464</v>
      </c>
      <c r="D237" s="24">
        <f ca="1">'normal case'!C236</f>
        <v>-1.5107707374006907E-7</v>
      </c>
      <c r="E237" s="22">
        <f ca="1">'normal case'!L236/100</f>
        <v>1.9999998807907104E-2</v>
      </c>
      <c r="F237" s="25">
        <f ca="1">'normal case'!U236/100</f>
        <v>5.499999850988388E-2</v>
      </c>
      <c r="G237" s="25">
        <f ca="1">'normal case'!T236/100</f>
        <v>3.4999999701976779E-2</v>
      </c>
      <c r="H237" s="25">
        <f ca="1">'public finance'!D235</f>
        <v>1.9802129779314939E-3</v>
      </c>
      <c r="I237" s="20">
        <f ca="1">'public finance'!E235</f>
        <v>5.3943379717945819</v>
      </c>
      <c r="J237" s="118">
        <f ca="1">'public finance'!H235</f>
        <v>-154.06736584949437</v>
      </c>
      <c r="K237" s="17">
        <f ca="1">'public finance'!C235/'normal case'!D236</f>
        <v>0.19801980186333762</v>
      </c>
      <c r="L237" s="20">
        <f ca="1">'public finance'!A235/'normal case'!D236</f>
        <v>0.2</v>
      </c>
      <c r="M237" s="18" t="str">
        <f>IF(controls!$B$44=0,"",'normal case'!AJ236)</f>
        <v/>
      </c>
      <c r="N237" s="18" t="str">
        <f>IF(controls!$B$44=0,"",'normal case'!AM236)</f>
        <v/>
      </c>
      <c r="O237" s="160" t="str">
        <f>IF(controls!$B$44=0,"",'external balance'!D236)</f>
        <v/>
      </c>
      <c r="P237" s="160" t="str">
        <f>IF(controls!$B$44=0,"",'external balance'!F236)</f>
        <v/>
      </c>
      <c r="Q237" s="159" t="str">
        <f>IF(controls!$B$44=0,"",'external balance'!H236)</f>
        <v/>
      </c>
    </row>
    <row r="238" spans="1:17" ht="14" thickTop="1" thickBot="1">
      <c r="A238" s="15">
        <v>235</v>
      </c>
      <c r="B238" s="17">
        <f ca="1">('normal case'!D237-'normal case'!B237)/'normal case'!B237</f>
        <v>5.9014499777614481E-10</v>
      </c>
      <c r="C238" s="23">
        <f ca="1">'normal case'!D237</f>
        <v>101.00000005960464</v>
      </c>
      <c r="D238" s="24">
        <f ca="1">'normal case'!C237</f>
        <v>-1.5107707374006907E-7</v>
      </c>
      <c r="E238" s="22">
        <f ca="1">'normal case'!L237/100</f>
        <v>1.9999998807907104E-2</v>
      </c>
      <c r="F238" s="25">
        <f ca="1">'normal case'!U237/100</f>
        <v>5.499999850988388E-2</v>
      </c>
      <c r="G238" s="25">
        <f ca="1">'normal case'!T237/100</f>
        <v>3.4999999701976779E-2</v>
      </c>
      <c r="H238" s="25">
        <f ca="1">'public finance'!D236</f>
        <v>1.9802129779314939E-3</v>
      </c>
      <c r="I238" s="20">
        <f ca="1">'public finance'!E236</f>
        <v>5.5831397986803086</v>
      </c>
      <c r="J238" s="118">
        <f ca="1">'public finance'!H236</f>
        <v>-159.46170380644767</v>
      </c>
      <c r="K238" s="17">
        <f ca="1">'public finance'!C236/'normal case'!D237</f>
        <v>0.19801980186333762</v>
      </c>
      <c r="L238" s="20">
        <f ca="1">'public finance'!A236/'normal case'!D237</f>
        <v>0.2</v>
      </c>
      <c r="M238" s="18" t="str">
        <f>IF(controls!$B$44=0,"",'normal case'!AJ237)</f>
        <v/>
      </c>
      <c r="N238" s="18" t="str">
        <f>IF(controls!$B$44=0,"",'normal case'!AM237)</f>
        <v/>
      </c>
      <c r="O238" s="160" t="str">
        <f>IF(controls!$B$44=0,"",'external balance'!D237)</f>
        <v/>
      </c>
      <c r="P238" s="160" t="str">
        <f>IF(controls!$B$44=0,"",'external balance'!F237)</f>
        <v/>
      </c>
      <c r="Q238" s="159" t="str">
        <f>IF(controls!$B$44=0,"",'external balance'!H237)</f>
        <v/>
      </c>
    </row>
    <row r="239" spans="1:17" ht="14" thickTop="1" thickBot="1">
      <c r="A239" s="15">
        <v>236</v>
      </c>
      <c r="B239" s="17">
        <f ca="1">('normal case'!D238-'normal case'!B238)/'normal case'!B238</f>
        <v>5.9014499777614481E-10</v>
      </c>
      <c r="C239" s="23">
        <f ca="1">'normal case'!D238</f>
        <v>101.00000005960464</v>
      </c>
      <c r="D239" s="24">
        <f ca="1">'normal case'!C238</f>
        <v>-1.5107707374006907E-7</v>
      </c>
      <c r="E239" s="22">
        <f ca="1">'normal case'!L238/100</f>
        <v>1.9999998807907104E-2</v>
      </c>
      <c r="F239" s="25">
        <f ca="1">'normal case'!U238/100</f>
        <v>5.499999850988388E-2</v>
      </c>
      <c r="G239" s="25">
        <f ca="1">'normal case'!T238/100</f>
        <v>3.4999999701976779E-2</v>
      </c>
      <c r="H239" s="25">
        <f ca="1">'public finance'!D237</f>
        <v>1.9802129779314939E-3</v>
      </c>
      <c r="I239" s="20">
        <f ca="1">'public finance'!E237</f>
        <v>5.7785496894507702</v>
      </c>
      <c r="J239" s="118">
        <f ca="1">'public finance'!H237</f>
        <v>-165.04484359028672</v>
      </c>
      <c r="K239" s="17">
        <f ca="1">'public finance'!C237/'normal case'!D238</f>
        <v>0.19801980186333762</v>
      </c>
      <c r="L239" s="20">
        <f ca="1">'public finance'!A237/'normal case'!D238</f>
        <v>0.2</v>
      </c>
      <c r="M239" s="18" t="str">
        <f>IF(controls!$B$44=0,"",'normal case'!AJ238)</f>
        <v/>
      </c>
      <c r="N239" s="18" t="str">
        <f>IF(controls!$B$44=0,"",'normal case'!AM238)</f>
        <v/>
      </c>
      <c r="O239" s="160" t="str">
        <f>IF(controls!$B$44=0,"",'external balance'!D238)</f>
        <v/>
      </c>
      <c r="P239" s="160" t="str">
        <f>IF(controls!$B$44=0,"",'external balance'!F238)</f>
        <v/>
      </c>
      <c r="Q239" s="159" t="str">
        <f>IF(controls!$B$44=0,"",'external balance'!H238)</f>
        <v/>
      </c>
    </row>
    <row r="240" spans="1:17" ht="14" thickTop="1" thickBot="1">
      <c r="A240" s="15">
        <v>237</v>
      </c>
      <c r="B240" s="17">
        <f ca="1">('normal case'!D239-'normal case'!B239)/'normal case'!B239</f>
        <v>5.9014499777614481E-10</v>
      </c>
      <c r="C240" s="23">
        <f ca="1">'normal case'!D239</f>
        <v>101.00000005960464</v>
      </c>
      <c r="D240" s="24">
        <f ca="1">'normal case'!C239</f>
        <v>-1.5107707374006907E-7</v>
      </c>
      <c r="E240" s="22">
        <f ca="1">'normal case'!L239/100</f>
        <v>1.9999998807907104E-2</v>
      </c>
      <c r="F240" s="25">
        <f ca="1">'normal case'!U239/100</f>
        <v>5.499999850988388E-2</v>
      </c>
      <c r="G240" s="25">
        <f ca="1">'normal case'!T239/100</f>
        <v>3.4999999701976779E-2</v>
      </c>
      <c r="H240" s="25">
        <f ca="1">'public finance'!D238</f>
        <v>1.9802129779314939E-3</v>
      </c>
      <c r="I240" s="20">
        <f ca="1">'public finance'!E238</f>
        <v>5.9807989263399621</v>
      </c>
      <c r="J240" s="118">
        <f ca="1">'public finance'!H238</f>
        <v>-170.82339326489623</v>
      </c>
      <c r="K240" s="17">
        <f ca="1">'public finance'!C238/'normal case'!D239</f>
        <v>0.19801980186333762</v>
      </c>
      <c r="L240" s="20">
        <f ca="1">'public finance'!A238/'normal case'!D239</f>
        <v>0.2</v>
      </c>
      <c r="M240" s="18" t="str">
        <f>IF(controls!$B$44=0,"",'normal case'!AJ239)</f>
        <v/>
      </c>
      <c r="N240" s="18" t="str">
        <f>IF(controls!$B$44=0,"",'normal case'!AM239)</f>
        <v/>
      </c>
      <c r="O240" s="160" t="str">
        <f>IF(controls!$B$44=0,"",'external balance'!D239)</f>
        <v/>
      </c>
      <c r="P240" s="160" t="str">
        <f>IF(controls!$B$44=0,"",'external balance'!F239)</f>
        <v/>
      </c>
      <c r="Q240" s="159" t="str">
        <f>IF(controls!$B$44=0,"",'external balance'!H239)</f>
        <v/>
      </c>
    </row>
    <row r="241" spans="1:17" ht="14" thickTop="1" thickBot="1">
      <c r="A241" s="15">
        <v>238</v>
      </c>
      <c r="B241" s="17">
        <f ca="1">('normal case'!D240-'normal case'!B240)/'normal case'!B240</f>
        <v>5.9014499777614481E-10</v>
      </c>
      <c r="C241" s="23">
        <f ca="1">'normal case'!D240</f>
        <v>101.00000005960464</v>
      </c>
      <c r="D241" s="24">
        <f ca="1">'normal case'!C240</f>
        <v>-1.5107707374006907E-7</v>
      </c>
      <c r="E241" s="22">
        <f ca="1">'normal case'!L240/100</f>
        <v>1.9999998807907104E-2</v>
      </c>
      <c r="F241" s="25">
        <f ca="1">'normal case'!U240/100</f>
        <v>5.499999850988388E-2</v>
      </c>
      <c r="G241" s="25">
        <f ca="1">'normal case'!T240/100</f>
        <v>3.4999999701976779E-2</v>
      </c>
      <c r="H241" s="25">
        <f ca="1">'public finance'!D239</f>
        <v>1.9802129779314939E-3</v>
      </c>
      <c r="I241" s="20">
        <f ca="1">'public finance'!E239</f>
        <v>6.1901268864599999</v>
      </c>
      <c r="J241" s="118">
        <f ca="1">'public finance'!H239</f>
        <v>-176.80419217639493</v>
      </c>
      <c r="K241" s="17">
        <f ca="1">'public finance'!C239/'normal case'!D240</f>
        <v>0.19801980186333762</v>
      </c>
      <c r="L241" s="20">
        <f ca="1">'public finance'!A239/'normal case'!D240</f>
        <v>0.2</v>
      </c>
      <c r="M241" s="18" t="str">
        <f>IF(controls!$B$44=0,"",'normal case'!AJ240)</f>
        <v/>
      </c>
      <c r="N241" s="18" t="str">
        <f>IF(controls!$B$44=0,"",'normal case'!AM240)</f>
        <v/>
      </c>
      <c r="O241" s="160" t="str">
        <f>IF(controls!$B$44=0,"",'external balance'!D240)</f>
        <v/>
      </c>
      <c r="P241" s="160" t="str">
        <f>IF(controls!$B$44=0,"",'external balance'!F240)</f>
        <v/>
      </c>
      <c r="Q241" s="159" t="str">
        <f>IF(controls!$B$44=0,"",'external balance'!H240)</f>
        <v/>
      </c>
    </row>
    <row r="242" spans="1:17" ht="14" thickTop="1" thickBot="1">
      <c r="A242" s="15">
        <v>239</v>
      </c>
      <c r="B242" s="17">
        <f ca="1">('normal case'!D241-'normal case'!B241)/'normal case'!B241</f>
        <v>5.9014499777614481E-10</v>
      </c>
      <c r="C242" s="23">
        <f ca="1">'normal case'!D241</f>
        <v>101.00000005960464</v>
      </c>
      <c r="D242" s="24">
        <f ca="1">'normal case'!C241</f>
        <v>-1.5107707374006907E-7</v>
      </c>
      <c r="E242" s="22">
        <f ca="1">'normal case'!L241/100</f>
        <v>1.9999998807907104E-2</v>
      </c>
      <c r="F242" s="25">
        <f ca="1">'normal case'!U241/100</f>
        <v>5.499999850988388E-2</v>
      </c>
      <c r="G242" s="25">
        <f ca="1">'normal case'!T241/100</f>
        <v>3.4999999701976779E-2</v>
      </c>
      <c r="H242" s="25">
        <f ca="1">'public finance'!D240</f>
        <v>1.9802129779314939E-3</v>
      </c>
      <c r="I242" s="20">
        <f ca="1">'public finance'!E240</f>
        <v>6.4067813251218535</v>
      </c>
      <c r="J242" s="118">
        <f ca="1">'public finance'!H240</f>
        <v>-182.99431904801366</v>
      </c>
      <c r="K242" s="17">
        <f ca="1">'public finance'!C240/'normal case'!D241</f>
        <v>0.19801980186333762</v>
      </c>
      <c r="L242" s="20">
        <f ca="1">'public finance'!A240/'normal case'!D241</f>
        <v>0.2</v>
      </c>
      <c r="M242" s="18" t="str">
        <f>IF(controls!$B$44=0,"",'normal case'!AJ241)</f>
        <v/>
      </c>
      <c r="N242" s="18" t="str">
        <f>IF(controls!$B$44=0,"",'normal case'!AM241)</f>
        <v/>
      </c>
      <c r="O242" s="160" t="str">
        <f>IF(controls!$B$44=0,"",'external balance'!D241)</f>
        <v/>
      </c>
      <c r="P242" s="160" t="str">
        <f>IF(controls!$B$44=0,"",'external balance'!F241)</f>
        <v/>
      </c>
      <c r="Q242" s="159" t="str">
        <f>IF(controls!$B$44=0,"",'external balance'!H241)</f>
        <v/>
      </c>
    </row>
    <row r="243" spans="1:17" ht="14" thickTop="1" thickBot="1">
      <c r="A243" s="15">
        <v>240</v>
      </c>
      <c r="B243" s="17">
        <f ca="1">('normal case'!D242-'normal case'!B242)/'normal case'!B242</f>
        <v>5.9014499777614481E-10</v>
      </c>
      <c r="C243" s="23">
        <f ca="1">'normal case'!D242</f>
        <v>101.00000005960464</v>
      </c>
      <c r="D243" s="24">
        <f ca="1">'normal case'!C242</f>
        <v>-1.5107707374006907E-7</v>
      </c>
      <c r="E243" s="22">
        <f ca="1">'normal case'!L242/100</f>
        <v>1.9999998807907104E-2</v>
      </c>
      <c r="F243" s="25">
        <f ca="1">'normal case'!U242/100</f>
        <v>5.499999850988388E-2</v>
      </c>
      <c r="G243" s="25">
        <f ca="1">'normal case'!T242/100</f>
        <v>3.4999999701976779E-2</v>
      </c>
      <c r="H243" s="25">
        <f ca="1">'public finance'!D241</f>
        <v>1.9802129779314939E-3</v>
      </c>
      <c r="I243" s="20">
        <f ca="1">'public finance'!E241</f>
        <v>6.6310186690723043</v>
      </c>
      <c r="J243" s="118">
        <f ca="1">'public finance'!H241</f>
        <v>-189.40110035829423</v>
      </c>
      <c r="K243" s="17">
        <f ca="1">'public finance'!C241/'normal case'!D242</f>
        <v>0.19801980186333762</v>
      </c>
      <c r="L243" s="20">
        <f ca="1">'public finance'!A241/'normal case'!D242</f>
        <v>0.2</v>
      </c>
      <c r="M243" s="18" t="str">
        <f>IF(controls!$B$44=0,"",'normal case'!AJ242)</f>
        <v/>
      </c>
      <c r="N243" s="18" t="str">
        <f>IF(controls!$B$44=0,"",'normal case'!AM242)</f>
        <v/>
      </c>
      <c r="O243" s="160" t="str">
        <f>IF(controls!$B$44=0,"",'external balance'!D242)</f>
        <v/>
      </c>
      <c r="P243" s="160" t="str">
        <f>IF(controls!$B$44=0,"",'external balance'!F242)</f>
        <v/>
      </c>
      <c r="Q243" s="159" t="str">
        <f>IF(controls!$B$44=0,"",'external balance'!H242)</f>
        <v/>
      </c>
    </row>
    <row r="244" spans="1:17" ht="14" thickTop="1" thickBot="1">
      <c r="A244" s="15">
        <v>241</v>
      </c>
      <c r="B244" s="17">
        <f ca="1">('normal case'!D243-'normal case'!B243)/'normal case'!B243</f>
        <v>5.9014499777614481E-10</v>
      </c>
      <c r="C244" s="23">
        <f ca="1">'normal case'!D243</f>
        <v>101.00000005960464</v>
      </c>
      <c r="D244" s="24">
        <f ca="1">'normal case'!C243</f>
        <v>-1.5107707374006907E-7</v>
      </c>
      <c r="E244" s="22">
        <f ca="1">'normal case'!L243/100</f>
        <v>1.9999998807907104E-2</v>
      </c>
      <c r="F244" s="25">
        <f ca="1">'normal case'!U243/100</f>
        <v>5.499999850988388E-2</v>
      </c>
      <c r="G244" s="25">
        <f ca="1">'normal case'!T243/100</f>
        <v>3.4999999701976779E-2</v>
      </c>
      <c r="H244" s="25">
        <f ca="1">'public finance'!D242</f>
        <v>1.9802129779314939E-3</v>
      </c>
      <c r="I244" s="20">
        <f ca="1">'public finance'!E242</f>
        <v>6.8631043199941928</v>
      </c>
      <c r="J244" s="118">
        <f ca="1">'public finance'!H242</f>
        <v>-196.03211901252527</v>
      </c>
      <c r="K244" s="17">
        <f ca="1">'public finance'!C242/'normal case'!D243</f>
        <v>0.19801980186333762</v>
      </c>
      <c r="L244" s="20">
        <f ca="1">'public finance'!A242/'normal case'!D243</f>
        <v>0.2</v>
      </c>
      <c r="M244" s="18" t="str">
        <f>IF(controls!$B$44=0,"",'normal case'!AJ243)</f>
        <v/>
      </c>
      <c r="N244" s="18" t="str">
        <f>IF(controls!$B$44=0,"",'normal case'!AM243)</f>
        <v/>
      </c>
      <c r="O244" s="160" t="str">
        <f>IF(controls!$B$44=0,"",'external balance'!D243)</f>
        <v/>
      </c>
      <c r="P244" s="160" t="str">
        <f>IF(controls!$B$44=0,"",'external balance'!F243)</f>
        <v/>
      </c>
      <c r="Q244" s="159" t="str">
        <f>IF(controls!$B$44=0,"",'external balance'!H243)</f>
        <v/>
      </c>
    </row>
    <row r="245" spans="1:17" ht="14" thickTop="1" thickBot="1">
      <c r="A245" s="15">
        <v>242</v>
      </c>
      <c r="B245" s="17">
        <f ca="1">('normal case'!D244-'normal case'!B244)/'normal case'!B244</f>
        <v>5.9014499777614481E-10</v>
      </c>
      <c r="C245" s="23">
        <f ca="1">'normal case'!D244</f>
        <v>101.00000005960464</v>
      </c>
      <c r="D245" s="24">
        <f ca="1">'normal case'!C244</f>
        <v>-1.5107707374006907E-7</v>
      </c>
      <c r="E245" s="22">
        <f ca="1">'normal case'!L244/100</f>
        <v>1.9999998807907104E-2</v>
      </c>
      <c r="F245" s="25">
        <f ca="1">'normal case'!U244/100</f>
        <v>5.499999850988388E-2</v>
      </c>
      <c r="G245" s="25">
        <f ca="1">'normal case'!T244/100</f>
        <v>3.4999999701976779E-2</v>
      </c>
      <c r="H245" s="25">
        <f ca="1">'public finance'!D243</f>
        <v>1.9802129779314939E-3</v>
      </c>
      <c r="I245" s="20">
        <f ca="1">'public finance'!E243</f>
        <v>7.1033129686291812</v>
      </c>
      <c r="J245" s="118">
        <f ca="1">'public finance'!H243</f>
        <v>-202.89522331767822</v>
      </c>
      <c r="K245" s="17">
        <f ca="1">'public finance'!C243/'normal case'!D244</f>
        <v>0.19801980186333762</v>
      </c>
      <c r="L245" s="20">
        <f ca="1">'public finance'!A243/'normal case'!D244</f>
        <v>0.2</v>
      </c>
      <c r="M245" s="18" t="str">
        <f>IF(controls!$B$44=0,"",'normal case'!AJ244)</f>
        <v/>
      </c>
      <c r="N245" s="18" t="str">
        <f>IF(controls!$B$44=0,"",'normal case'!AM244)</f>
        <v/>
      </c>
      <c r="O245" s="160" t="str">
        <f>IF(controls!$B$44=0,"",'external balance'!D244)</f>
        <v/>
      </c>
      <c r="P245" s="160" t="str">
        <f>IF(controls!$B$44=0,"",'external balance'!F244)</f>
        <v/>
      </c>
      <c r="Q245" s="159" t="str">
        <f>IF(controls!$B$44=0,"",'external balance'!H244)</f>
        <v/>
      </c>
    </row>
    <row r="246" spans="1:17" ht="14" thickTop="1" thickBot="1">
      <c r="A246" s="15">
        <v>243</v>
      </c>
      <c r="B246" s="17">
        <f ca="1">('normal case'!D245-'normal case'!B245)/'normal case'!B245</f>
        <v>5.9014499777614481E-10</v>
      </c>
      <c r="C246" s="23">
        <f ca="1">'normal case'!D245</f>
        <v>101.00000005960464</v>
      </c>
      <c r="D246" s="24">
        <f ca="1">'normal case'!C245</f>
        <v>-1.5107707374006907E-7</v>
      </c>
      <c r="E246" s="22">
        <f ca="1">'normal case'!L245/100</f>
        <v>1.9999998807907104E-2</v>
      </c>
      <c r="F246" s="25">
        <f ca="1">'normal case'!U245/100</f>
        <v>5.499999850988388E-2</v>
      </c>
      <c r="G246" s="25">
        <f ca="1">'normal case'!T245/100</f>
        <v>3.4999999701976779E-2</v>
      </c>
      <c r="H246" s="25">
        <f ca="1">'public finance'!D244</f>
        <v>1.9802129779314939E-3</v>
      </c>
      <c r="I246" s="20">
        <f ca="1">'public finance'!E244</f>
        <v>7.3519289198948057</v>
      </c>
      <c r="J246" s="118">
        <f ca="1">'public finance'!H244</f>
        <v>-209.99853627146612</v>
      </c>
      <c r="K246" s="17">
        <f ca="1">'public finance'!C244/'normal case'!D245</f>
        <v>0.19801980186333762</v>
      </c>
      <c r="L246" s="20">
        <f ca="1">'public finance'!A244/'normal case'!D245</f>
        <v>0.2</v>
      </c>
      <c r="M246" s="18" t="str">
        <f>IF(controls!$B$44=0,"",'normal case'!AJ245)</f>
        <v/>
      </c>
      <c r="N246" s="18" t="str">
        <f>IF(controls!$B$44=0,"",'normal case'!AM245)</f>
        <v/>
      </c>
      <c r="O246" s="160" t="str">
        <f>IF(controls!$B$44=0,"",'external balance'!D245)</f>
        <v/>
      </c>
      <c r="P246" s="160" t="str">
        <f>IF(controls!$B$44=0,"",'external balance'!F245)</f>
        <v/>
      </c>
      <c r="Q246" s="159" t="str">
        <f>IF(controls!$B$44=0,"",'external balance'!H245)</f>
        <v/>
      </c>
    </row>
    <row r="247" spans="1:17" ht="14" thickTop="1" thickBot="1">
      <c r="A247" s="15">
        <v>244</v>
      </c>
      <c r="B247" s="17">
        <f ca="1">('normal case'!D246-'normal case'!B246)/'normal case'!B246</f>
        <v>5.9014499777614481E-10</v>
      </c>
      <c r="C247" s="23">
        <f ca="1">'normal case'!D246</f>
        <v>101.00000005960464</v>
      </c>
      <c r="D247" s="24">
        <f ca="1">'normal case'!C246</f>
        <v>-1.5107707374006907E-7</v>
      </c>
      <c r="E247" s="22">
        <f ca="1">'normal case'!L246/100</f>
        <v>1.9999998807907104E-2</v>
      </c>
      <c r="F247" s="25">
        <f ca="1">'normal case'!U246/100</f>
        <v>5.499999850988388E-2</v>
      </c>
      <c r="G247" s="25">
        <f ca="1">'normal case'!T246/100</f>
        <v>3.4999999701976779E-2</v>
      </c>
      <c r="H247" s="25">
        <f ca="1">'public finance'!D245</f>
        <v>1.9802129779314939E-3</v>
      </c>
      <c r="I247" s="20">
        <f ca="1">'public finance'!E245</f>
        <v>7.6092464293806339</v>
      </c>
      <c r="J247" s="118">
        <f ca="1">'public finance'!H245</f>
        <v>-217.35046517651966</v>
      </c>
      <c r="K247" s="17">
        <f ca="1">'public finance'!C245/'normal case'!D246</f>
        <v>0.19801980186333762</v>
      </c>
      <c r="L247" s="20">
        <f ca="1">'public finance'!A245/'normal case'!D246</f>
        <v>0.2</v>
      </c>
      <c r="M247" s="18" t="str">
        <f>IF(controls!$B$44=0,"",'normal case'!AJ246)</f>
        <v/>
      </c>
      <c r="N247" s="18" t="str">
        <f>IF(controls!$B$44=0,"",'normal case'!AM246)</f>
        <v/>
      </c>
      <c r="O247" s="160" t="str">
        <f>IF(controls!$B$44=0,"",'external balance'!D246)</f>
        <v/>
      </c>
      <c r="P247" s="160" t="str">
        <f>IF(controls!$B$44=0,"",'external balance'!F246)</f>
        <v/>
      </c>
      <c r="Q247" s="159" t="str">
        <f>IF(controls!$B$44=0,"",'external balance'!H246)</f>
        <v/>
      </c>
    </row>
    <row r="248" spans="1:17" ht="14" thickTop="1" thickBot="1">
      <c r="A248" s="15">
        <v>245</v>
      </c>
      <c r="B248" s="17">
        <f ca="1">('normal case'!D247-'normal case'!B247)/'normal case'!B247</f>
        <v>5.9014499777614481E-10</v>
      </c>
      <c r="C248" s="23">
        <f ca="1">'normal case'!D247</f>
        <v>101.00000005960464</v>
      </c>
      <c r="D248" s="24">
        <f ca="1">'normal case'!C247</f>
        <v>-1.5107707374006907E-7</v>
      </c>
      <c r="E248" s="22">
        <f ca="1">'normal case'!L247/100</f>
        <v>1.9999998807907104E-2</v>
      </c>
      <c r="F248" s="25">
        <f ca="1">'normal case'!U247/100</f>
        <v>5.499999850988388E-2</v>
      </c>
      <c r="G248" s="25">
        <f ca="1">'normal case'!T247/100</f>
        <v>3.4999999701976779E-2</v>
      </c>
      <c r="H248" s="25">
        <f ca="1">'public finance'!D246</f>
        <v>1.9802129779314939E-3</v>
      </c>
      <c r="I248" s="20">
        <f ca="1">'public finance'!E246</f>
        <v>7.8755700516217813</v>
      </c>
      <c r="J248" s="118">
        <f ca="1">'public finance'!H246</f>
        <v>-224.95971159105906</v>
      </c>
      <c r="K248" s="17">
        <f ca="1">'public finance'!C246/'normal case'!D247</f>
        <v>0.19801980186333762</v>
      </c>
      <c r="L248" s="20">
        <f ca="1">'public finance'!A246/'normal case'!D247</f>
        <v>0.2</v>
      </c>
      <c r="M248" s="18" t="str">
        <f>IF(controls!$B$44=0,"",'normal case'!AJ247)</f>
        <v/>
      </c>
      <c r="N248" s="18" t="str">
        <f>IF(controls!$B$44=0,"",'normal case'!AM247)</f>
        <v/>
      </c>
      <c r="O248" s="160" t="str">
        <f>IF(controls!$B$44=0,"",'external balance'!D247)</f>
        <v/>
      </c>
      <c r="P248" s="160" t="str">
        <f>IF(controls!$B$44=0,"",'external balance'!F247)</f>
        <v/>
      </c>
      <c r="Q248" s="159" t="str">
        <f>IF(controls!$B$44=0,"",'external balance'!H247)</f>
        <v/>
      </c>
    </row>
    <row r="249" spans="1:17" ht="14" thickTop="1" thickBot="1">
      <c r="A249" s="15">
        <v>246</v>
      </c>
      <c r="B249" s="17">
        <f ca="1">('normal case'!D248-'normal case'!B248)/'normal case'!B248</f>
        <v>5.9014499777614481E-10</v>
      </c>
      <c r="C249" s="23">
        <f ca="1">'normal case'!D248</f>
        <v>101.00000005960464</v>
      </c>
      <c r="D249" s="24">
        <f ca="1">'normal case'!C248</f>
        <v>-1.5107707374006907E-7</v>
      </c>
      <c r="E249" s="22">
        <f ca="1">'normal case'!L248/100</f>
        <v>1.9999998807907104E-2</v>
      </c>
      <c r="F249" s="25">
        <f ca="1">'normal case'!U248/100</f>
        <v>5.499999850988388E-2</v>
      </c>
      <c r="G249" s="25">
        <f ca="1">'normal case'!T248/100</f>
        <v>3.4999999701976779E-2</v>
      </c>
      <c r="H249" s="25">
        <f ca="1">'public finance'!D247</f>
        <v>1.9802129779314939E-3</v>
      </c>
      <c r="I249" s="20">
        <f ca="1">'public finance'!E247</f>
        <v>8.1512150005619972</v>
      </c>
      <c r="J249" s="118">
        <f ca="1">'public finance'!H247</f>
        <v>-232.83528162783958</v>
      </c>
      <c r="K249" s="17">
        <f ca="1">'public finance'!C247/'normal case'!D248</f>
        <v>0.19801980186333762</v>
      </c>
      <c r="L249" s="20">
        <f ca="1">'public finance'!A247/'normal case'!D248</f>
        <v>0.2</v>
      </c>
      <c r="M249" s="18" t="str">
        <f>IF(controls!$B$44=0,"",'normal case'!AJ248)</f>
        <v/>
      </c>
      <c r="N249" s="18" t="str">
        <f>IF(controls!$B$44=0,"",'normal case'!AM248)</f>
        <v/>
      </c>
      <c r="O249" s="160" t="str">
        <f>IF(controls!$B$44=0,"",'external balance'!D248)</f>
        <v/>
      </c>
      <c r="P249" s="160" t="str">
        <f>IF(controls!$B$44=0,"",'external balance'!F248)</f>
        <v/>
      </c>
      <c r="Q249" s="159" t="str">
        <f>IF(controls!$B$44=0,"",'external balance'!H248)</f>
        <v/>
      </c>
    </row>
    <row r="250" spans="1:17" ht="14" thickTop="1" thickBot="1">
      <c r="A250" s="15">
        <v>247</v>
      </c>
      <c r="B250" s="17">
        <f ca="1">('normal case'!D249-'normal case'!B249)/'normal case'!B249</f>
        <v>5.9014499777614481E-10</v>
      </c>
      <c r="C250" s="23">
        <f ca="1">'normal case'!D249</f>
        <v>101.00000005960464</v>
      </c>
      <c r="D250" s="24">
        <f ca="1">'normal case'!C249</f>
        <v>-1.5107707374006907E-7</v>
      </c>
      <c r="E250" s="22">
        <f ca="1">'normal case'!L249/100</f>
        <v>1.9999998807907104E-2</v>
      </c>
      <c r="F250" s="25">
        <f ca="1">'normal case'!U249/100</f>
        <v>5.499999850988388E-2</v>
      </c>
      <c r="G250" s="25">
        <f ca="1">'normal case'!T249/100</f>
        <v>3.4999999701976779E-2</v>
      </c>
      <c r="H250" s="25">
        <f ca="1">'public finance'!D248</f>
        <v>1.9802129779314939E-3</v>
      </c>
      <c r="I250" s="20">
        <f ca="1">'public finance'!E248</f>
        <v>8.4365075226329722</v>
      </c>
      <c r="J250" s="118">
        <f ca="1">'public finance'!H248</f>
        <v>-240.98649661356032</v>
      </c>
      <c r="K250" s="17">
        <f ca="1">'public finance'!C248/'normal case'!D249</f>
        <v>0.19801980186333762</v>
      </c>
      <c r="L250" s="20">
        <f ca="1">'public finance'!A248/'normal case'!D249</f>
        <v>0.2</v>
      </c>
      <c r="M250" s="18" t="str">
        <f>IF(controls!$B$44=0,"",'normal case'!AJ249)</f>
        <v/>
      </c>
      <c r="N250" s="18" t="str">
        <f>IF(controls!$B$44=0,"",'normal case'!AM249)</f>
        <v/>
      </c>
      <c r="O250" s="160" t="str">
        <f>IF(controls!$B$44=0,"",'external balance'!D249)</f>
        <v/>
      </c>
      <c r="P250" s="160" t="str">
        <f>IF(controls!$B$44=0,"",'external balance'!F249)</f>
        <v/>
      </c>
      <c r="Q250" s="159" t="str">
        <f>IF(controls!$B$44=0,"",'external balance'!H249)</f>
        <v/>
      </c>
    </row>
    <row r="251" spans="1:17" ht="14" thickTop="1" thickBot="1">
      <c r="A251" s="15">
        <v>248</v>
      </c>
      <c r="B251" s="17">
        <f ca="1">('normal case'!D250-'normal case'!B250)/'normal case'!B250</f>
        <v>5.9014499777614481E-10</v>
      </c>
      <c r="C251" s="23">
        <f ca="1">'normal case'!D250</f>
        <v>101.00000005960464</v>
      </c>
      <c r="D251" s="24">
        <f ca="1">'normal case'!C250</f>
        <v>-1.5107707374006907E-7</v>
      </c>
      <c r="E251" s="22">
        <f ca="1">'normal case'!L250/100</f>
        <v>1.9999998807907104E-2</v>
      </c>
      <c r="F251" s="25">
        <f ca="1">'normal case'!U250/100</f>
        <v>5.499999850988388E-2</v>
      </c>
      <c r="G251" s="25">
        <f ca="1">'normal case'!T250/100</f>
        <v>3.4999999701976779E-2</v>
      </c>
      <c r="H251" s="25">
        <f ca="1">'public finance'!D249</f>
        <v>1.9802129779314939E-3</v>
      </c>
      <c r="I251" s="20">
        <f ca="1">'public finance'!E249</f>
        <v>8.7317852828914067</v>
      </c>
      <c r="J251" s="118">
        <f ca="1">'public finance'!H249</f>
        <v>-249.42300412135205</v>
      </c>
      <c r="K251" s="17">
        <f ca="1">'public finance'!C249/'normal case'!D250</f>
        <v>0.19801980186333762</v>
      </c>
      <c r="L251" s="20">
        <f ca="1">'public finance'!A249/'normal case'!D250</f>
        <v>0.2</v>
      </c>
      <c r="M251" s="18" t="str">
        <f>IF(controls!$B$44=0,"",'normal case'!AJ250)</f>
        <v/>
      </c>
      <c r="N251" s="18" t="str">
        <f>IF(controls!$B$44=0,"",'normal case'!AM250)</f>
        <v/>
      </c>
      <c r="O251" s="160" t="str">
        <f>IF(controls!$B$44=0,"",'external balance'!D250)</f>
        <v/>
      </c>
      <c r="P251" s="160" t="str">
        <f>IF(controls!$B$44=0,"",'external balance'!F250)</f>
        <v/>
      </c>
      <c r="Q251" s="159" t="str">
        <f>IF(controls!$B$44=0,"",'external balance'!H250)</f>
        <v/>
      </c>
    </row>
    <row r="252" spans="1:17" ht="14" thickTop="1" thickBot="1">
      <c r="A252" s="15">
        <v>249</v>
      </c>
      <c r="B252" s="17">
        <f ca="1">('normal case'!D251-'normal case'!B251)/'normal case'!B251</f>
        <v>5.9014499777614481E-10</v>
      </c>
      <c r="C252" s="23">
        <f ca="1">'normal case'!D251</f>
        <v>101.00000005960464</v>
      </c>
      <c r="D252" s="24">
        <f ca="1">'normal case'!C251</f>
        <v>-1.5107707374006907E-7</v>
      </c>
      <c r="E252" s="22">
        <f ca="1">'normal case'!L251/100</f>
        <v>1.9999998807907104E-2</v>
      </c>
      <c r="F252" s="25">
        <f ca="1">'normal case'!U251/100</f>
        <v>5.499999850988388E-2</v>
      </c>
      <c r="G252" s="25">
        <f ca="1">'normal case'!T251/100</f>
        <v>3.4999999701976779E-2</v>
      </c>
      <c r="H252" s="25">
        <f ca="1">'public finance'!D250</f>
        <v>1.9802129779314939E-3</v>
      </c>
      <c r="I252" s="20">
        <f ca="1">'public finance'!E250</f>
        <v>9.037397764670887</v>
      </c>
      <c r="J252" s="118">
        <f ca="1">'public finance'!H250</f>
        <v>-258.1547893894022</v>
      </c>
      <c r="K252" s="17">
        <f ca="1">'public finance'!C250/'normal case'!D251</f>
        <v>0.19801980186333762</v>
      </c>
      <c r="L252" s="20">
        <f ca="1">'public finance'!A250/'normal case'!D251</f>
        <v>0.2</v>
      </c>
      <c r="M252" s="18" t="str">
        <f>IF(controls!$B$44=0,"",'normal case'!AJ251)</f>
        <v/>
      </c>
      <c r="N252" s="18" t="str">
        <f>IF(controls!$B$44=0,"",'normal case'!AM251)</f>
        <v/>
      </c>
      <c r="O252" s="160" t="str">
        <f>IF(controls!$B$44=0,"",'external balance'!D251)</f>
        <v/>
      </c>
      <c r="P252" s="160" t="str">
        <f>IF(controls!$B$44=0,"",'external balance'!F251)</f>
        <v/>
      </c>
      <c r="Q252" s="159" t="str">
        <f>IF(controls!$B$44=0,"",'external balance'!H251)</f>
        <v/>
      </c>
    </row>
    <row r="253" spans="1:17" ht="14" thickTop="1" thickBot="1">
      <c r="A253" s="15">
        <v>250</v>
      </c>
      <c r="B253" s="17">
        <f ca="1">('normal case'!D252-'normal case'!B252)/'normal case'!B252</f>
        <v>5.9014499777614481E-10</v>
      </c>
      <c r="C253" s="23">
        <f ca="1">'normal case'!D252</f>
        <v>101.00000005960464</v>
      </c>
      <c r="D253" s="24">
        <f ca="1">'normal case'!C252</f>
        <v>-1.5107707374006907E-7</v>
      </c>
      <c r="E253" s="22">
        <f ca="1">'normal case'!L252/100</f>
        <v>1.9999998807907104E-2</v>
      </c>
      <c r="F253" s="25">
        <f ca="1">'normal case'!U252/100</f>
        <v>5.499999850988388E-2</v>
      </c>
      <c r="G253" s="25">
        <f ca="1">'normal case'!T252/100</f>
        <v>3.4999999701976779E-2</v>
      </c>
      <c r="H253" s="25">
        <f ca="1">'public finance'!D251</f>
        <v>1.9802129779314939E-3</v>
      </c>
      <c r="I253" s="20">
        <f ca="1">'public finance'!E251</f>
        <v>9.353706683221569</v>
      </c>
      <c r="J253" s="118">
        <f ca="1">'public finance'!H251</f>
        <v>-267.19218713923181</v>
      </c>
      <c r="K253" s="17">
        <f ca="1">'public finance'!C251/'normal case'!D252</f>
        <v>0.19801980186333762</v>
      </c>
      <c r="L253" s="20">
        <f ca="1">'public finance'!A251/'normal case'!D252</f>
        <v>0.2</v>
      </c>
      <c r="M253" s="18" t="str">
        <f>IF(controls!$B$44=0,"",'normal case'!AJ252)</f>
        <v/>
      </c>
      <c r="N253" s="18" t="str">
        <f>IF(controls!$B$44=0,"",'normal case'!AM252)</f>
        <v/>
      </c>
      <c r="O253" s="160" t="str">
        <f>IF(controls!$B$44=0,"",'external balance'!D252)</f>
        <v/>
      </c>
      <c r="P253" s="160" t="str">
        <f>IF(controls!$B$44=0,"",'external balance'!F252)</f>
        <v/>
      </c>
      <c r="Q253" s="159" t="str">
        <f>IF(controls!$B$44=0,"",'external balance'!H252)</f>
        <v/>
      </c>
    </row>
    <row r="254" spans="1:17" ht="14" thickTop="1" thickBot="1">
      <c r="A254" s="15">
        <v>251</v>
      </c>
      <c r="B254" s="17">
        <f ca="1">('normal case'!D253-'normal case'!B253)/'normal case'!B253</f>
        <v>5.9014499777614481E-10</v>
      </c>
      <c r="C254" s="23">
        <f ca="1">'normal case'!D253</f>
        <v>101.00000005960464</v>
      </c>
      <c r="D254" s="24">
        <f ca="1">'normal case'!C253</f>
        <v>-1.5107707374006907E-7</v>
      </c>
      <c r="E254" s="22">
        <f ca="1">'normal case'!L253/100</f>
        <v>1.9999998807907104E-2</v>
      </c>
      <c r="F254" s="25">
        <f ca="1">'normal case'!U253/100</f>
        <v>5.499999850988388E-2</v>
      </c>
      <c r="G254" s="25">
        <f ca="1">'normal case'!T253/100</f>
        <v>3.4999999701976779E-2</v>
      </c>
      <c r="H254" s="25">
        <f ca="1">'public finance'!D252</f>
        <v>1.9802129779314939E-3</v>
      </c>
      <c r="I254" s="20">
        <f ca="1">'public finance'!E252</f>
        <v>9.6810864138272574</v>
      </c>
      <c r="J254" s="118">
        <f ca="1">'public finance'!H252</f>
        <v>-276.54589380761212</v>
      </c>
      <c r="K254" s="17">
        <f ca="1">'public finance'!C252/'normal case'!D253</f>
        <v>0.19801980186333762</v>
      </c>
      <c r="L254" s="20">
        <f ca="1">'public finance'!A252/'normal case'!D253</f>
        <v>0.2</v>
      </c>
      <c r="M254" s="18" t="str">
        <f>IF(controls!$B$44=0,"",'normal case'!AJ253)</f>
        <v/>
      </c>
      <c r="N254" s="18" t="str">
        <f>IF(controls!$B$44=0,"",'normal case'!AM253)</f>
        <v/>
      </c>
      <c r="O254" s="160" t="str">
        <f>IF(controls!$B$44=0,"",'external balance'!D253)</f>
        <v/>
      </c>
      <c r="P254" s="160" t="str">
        <f>IF(controls!$B$44=0,"",'external balance'!F253)</f>
        <v/>
      </c>
      <c r="Q254" s="159" t="str">
        <f>IF(controls!$B$44=0,"",'external balance'!H253)</f>
        <v/>
      </c>
    </row>
    <row r="255" spans="1:17" ht="14" thickTop="1" thickBot="1">
      <c r="A255" s="15">
        <v>252</v>
      </c>
      <c r="B255" s="17">
        <f ca="1">('normal case'!D254-'normal case'!B254)/'normal case'!B254</f>
        <v>5.9014499777614481E-10</v>
      </c>
      <c r="C255" s="23">
        <f ca="1">'normal case'!D254</f>
        <v>101.00000005960464</v>
      </c>
      <c r="D255" s="24">
        <f ca="1">'normal case'!C254</f>
        <v>-1.5107707374006907E-7</v>
      </c>
      <c r="E255" s="22">
        <f ca="1">'normal case'!L254/100</f>
        <v>1.9999998807907104E-2</v>
      </c>
      <c r="F255" s="25">
        <f ca="1">'normal case'!U254/100</f>
        <v>5.499999850988388E-2</v>
      </c>
      <c r="G255" s="25">
        <f ca="1">'normal case'!T254/100</f>
        <v>3.4999999701976779E-2</v>
      </c>
      <c r="H255" s="25">
        <f ca="1">'public finance'!D253</f>
        <v>1.9802129779314939E-3</v>
      </c>
      <c r="I255" s="20">
        <f ca="1">'public finance'!E253</f>
        <v>10.01992443490658</v>
      </c>
      <c r="J255" s="118">
        <f ca="1">'public finance'!H253</f>
        <v>-286.22698020659811</v>
      </c>
      <c r="K255" s="17">
        <f ca="1">'public finance'!C253/'normal case'!D254</f>
        <v>0.19801980186333762</v>
      </c>
      <c r="L255" s="20">
        <f ca="1">'public finance'!A253/'normal case'!D254</f>
        <v>0.2</v>
      </c>
      <c r="M255" s="18" t="str">
        <f>IF(controls!$B$44=0,"",'normal case'!AJ254)</f>
        <v/>
      </c>
      <c r="N255" s="18" t="str">
        <f>IF(controls!$B$44=0,"",'normal case'!AM254)</f>
        <v/>
      </c>
      <c r="O255" s="160" t="str">
        <f>IF(controls!$B$44=0,"",'external balance'!D254)</f>
        <v/>
      </c>
      <c r="P255" s="160" t="str">
        <f>IF(controls!$B$44=0,"",'external balance'!F254)</f>
        <v/>
      </c>
      <c r="Q255" s="159" t="str">
        <f>IF(controls!$B$44=0,"",'external balance'!H254)</f>
        <v/>
      </c>
    </row>
    <row r="256" spans="1:17" ht="14" thickTop="1" thickBot="1">
      <c r="A256" s="15">
        <v>253</v>
      </c>
      <c r="B256" s="17">
        <f ca="1">('normal case'!D255-'normal case'!B255)/'normal case'!B255</f>
        <v>5.9014499777614481E-10</v>
      </c>
      <c r="C256" s="23">
        <f ca="1">'normal case'!D255</f>
        <v>101.00000005960464</v>
      </c>
      <c r="D256" s="24">
        <f ca="1">'normal case'!C255</f>
        <v>-1.5107707374006907E-7</v>
      </c>
      <c r="E256" s="22">
        <f ca="1">'normal case'!L255/100</f>
        <v>1.9999998807907104E-2</v>
      </c>
      <c r="F256" s="25">
        <f ca="1">'normal case'!U255/100</f>
        <v>5.499999850988388E-2</v>
      </c>
      <c r="G256" s="25">
        <f ca="1">'normal case'!T255/100</f>
        <v>3.4999999701976779E-2</v>
      </c>
      <c r="H256" s="25">
        <f ca="1">'public finance'!D254</f>
        <v>1.9802129779314939E-3</v>
      </c>
      <c r="I256" s="20">
        <f ca="1">'public finance'!E254</f>
        <v>10.370621786622696</v>
      </c>
      <c r="J256" s="118">
        <f ca="1">'public finance'!H254</f>
        <v>-296.24690462666342</v>
      </c>
      <c r="K256" s="17">
        <f ca="1">'public finance'!C254/'normal case'!D255</f>
        <v>0.19801980186333762</v>
      </c>
      <c r="L256" s="20">
        <f ca="1">'public finance'!A254/'normal case'!D255</f>
        <v>0.2</v>
      </c>
      <c r="M256" s="18" t="str">
        <f>IF(controls!$B$44=0,"",'normal case'!AJ255)</f>
        <v/>
      </c>
      <c r="N256" s="18" t="str">
        <f>IF(controls!$B$44=0,"",'normal case'!AM255)</f>
        <v/>
      </c>
      <c r="O256" s="160" t="str">
        <f>IF(controls!$B$44=0,"",'external balance'!D255)</f>
        <v/>
      </c>
      <c r="P256" s="160" t="str">
        <f>IF(controls!$B$44=0,"",'external balance'!F255)</f>
        <v/>
      </c>
      <c r="Q256" s="159" t="str">
        <f>IF(controls!$B$44=0,"",'external balance'!H255)</f>
        <v/>
      </c>
    </row>
    <row r="257" spans="1:17" ht="14" thickTop="1" thickBot="1">
      <c r="A257" s="15">
        <v>254</v>
      </c>
      <c r="B257" s="17">
        <f ca="1">('normal case'!D256-'normal case'!B256)/'normal case'!B256</f>
        <v>5.9014499777614481E-10</v>
      </c>
      <c r="C257" s="23">
        <f ca="1">'normal case'!D256</f>
        <v>101.00000005960464</v>
      </c>
      <c r="D257" s="24">
        <f ca="1">'normal case'!C256</f>
        <v>-1.5107707374006907E-7</v>
      </c>
      <c r="E257" s="22">
        <f ca="1">'normal case'!L256/100</f>
        <v>1.9999998807907104E-2</v>
      </c>
      <c r="F257" s="25">
        <f ca="1">'normal case'!U256/100</f>
        <v>5.499999850988388E-2</v>
      </c>
      <c r="G257" s="25">
        <f ca="1">'normal case'!T256/100</f>
        <v>3.4999999701976779E-2</v>
      </c>
      <c r="H257" s="25">
        <f ca="1">'public finance'!D255</f>
        <v>1.9802129779314939E-3</v>
      </c>
      <c r="I257" s="20">
        <f ca="1">'public finance'!E255</f>
        <v>10.733593545544361</v>
      </c>
      <c r="J257" s="118">
        <f ca="1">'public finance'!H255</f>
        <v>-306.61752639844485</v>
      </c>
      <c r="K257" s="17">
        <f ca="1">'public finance'!C255/'normal case'!D256</f>
        <v>0.19801980186333762</v>
      </c>
      <c r="L257" s="20">
        <f ca="1">'public finance'!A255/'normal case'!D256</f>
        <v>0.2</v>
      </c>
      <c r="M257" s="18" t="str">
        <f>IF(controls!$B$44=0,"",'normal case'!AJ256)</f>
        <v/>
      </c>
      <c r="N257" s="18" t="str">
        <f>IF(controls!$B$44=0,"",'normal case'!AM256)</f>
        <v/>
      </c>
      <c r="O257" s="160" t="str">
        <f>IF(controls!$B$44=0,"",'external balance'!D256)</f>
        <v/>
      </c>
      <c r="P257" s="160" t="str">
        <f>IF(controls!$B$44=0,"",'external balance'!F256)</f>
        <v/>
      </c>
      <c r="Q257" s="159" t="str">
        <f>IF(controls!$B$44=0,"",'external balance'!H256)</f>
        <v/>
      </c>
    </row>
    <row r="258" spans="1:17" ht="14" thickTop="1" thickBot="1">
      <c r="A258" s="15">
        <v>255</v>
      </c>
      <c r="B258" s="17">
        <f ca="1">('normal case'!D257-'normal case'!B257)/'normal case'!B257</f>
        <v>5.9014499777614481E-10</v>
      </c>
      <c r="C258" s="23">
        <f ca="1">'normal case'!D257</f>
        <v>101.00000005960464</v>
      </c>
      <c r="D258" s="24">
        <f ca="1">'normal case'!C257</f>
        <v>-1.5107707374006907E-7</v>
      </c>
      <c r="E258" s="22">
        <f ca="1">'normal case'!L257/100</f>
        <v>1.9999998807907104E-2</v>
      </c>
      <c r="F258" s="25">
        <f ca="1">'normal case'!U257/100</f>
        <v>5.499999850988388E-2</v>
      </c>
      <c r="G258" s="25">
        <f ca="1">'normal case'!T257/100</f>
        <v>3.4999999701976779E-2</v>
      </c>
      <c r="H258" s="25">
        <f ca="1">'public finance'!D256</f>
        <v>1.9802129779314939E-3</v>
      </c>
      <c r="I258" s="20">
        <f ca="1">'public finance'!E256</f>
        <v>11.109269315920107</v>
      </c>
      <c r="J258" s="118">
        <f ca="1">'public finance'!H256</f>
        <v>-317.35111992914796</v>
      </c>
      <c r="K258" s="17">
        <f ca="1">'public finance'!C256/'normal case'!D257</f>
        <v>0.19801980186333762</v>
      </c>
      <c r="L258" s="20">
        <f ca="1">'public finance'!A256/'normal case'!D257</f>
        <v>0.2</v>
      </c>
      <c r="M258" s="18" t="str">
        <f>IF(controls!$B$44=0,"",'normal case'!AJ257)</f>
        <v/>
      </c>
      <c r="N258" s="18" t="str">
        <f>IF(controls!$B$44=0,"",'normal case'!AM257)</f>
        <v/>
      </c>
      <c r="O258" s="160" t="str">
        <f>IF(controls!$B$44=0,"",'external balance'!D257)</f>
        <v/>
      </c>
      <c r="P258" s="160" t="str">
        <f>IF(controls!$B$44=0,"",'external balance'!F257)</f>
        <v/>
      </c>
      <c r="Q258" s="159" t="str">
        <f>IF(controls!$B$44=0,"",'external balance'!H257)</f>
        <v/>
      </c>
    </row>
    <row r="259" spans="1:17" ht="14" thickTop="1" thickBot="1">
      <c r="A259" s="15">
        <v>256</v>
      </c>
      <c r="B259" s="17">
        <f ca="1">('normal case'!D258-'normal case'!B258)/'normal case'!B258</f>
        <v>5.9014499777614481E-10</v>
      </c>
      <c r="C259" s="23">
        <f ca="1">'normal case'!D258</f>
        <v>101.00000005960464</v>
      </c>
      <c r="D259" s="24">
        <f ca="1">'normal case'!C258</f>
        <v>-1.5107707374006907E-7</v>
      </c>
      <c r="E259" s="22">
        <f ca="1">'normal case'!L258/100</f>
        <v>1.9999998807907104E-2</v>
      </c>
      <c r="F259" s="25">
        <f ca="1">'normal case'!U258/100</f>
        <v>5.499999850988388E-2</v>
      </c>
      <c r="G259" s="25">
        <f ca="1">'normal case'!T258/100</f>
        <v>3.4999999701976779E-2</v>
      </c>
      <c r="H259" s="25">
        <f ca="1">'public finance'!D257</f>
        <v>1.9802129779314939E-3</v>
      </c>
      <c r="I259" s="20">
        <f ca="1">'public finance'!E257</f>
        <v>11.498093738147046</v>
      </c>
      <c r="J259" s="118">
        <f ca="1">'public finance'!H257</f>
        <v>-328.46038923022684</v>
      </c>
      <c r="K259" s="17">
        <f ca="1">'public finance'!C257/'normal case'!D258</f>
        <v>0.19801980186333762</v>
      </c>
      <c r="L259" s="20">
        <f ca="1">'public finance'!A257/'normal case'!D258</f>
        <v>0.2</v>
      </c>
      <c r="M259" s="18" t="str">
        <f>IF(controls!$B$44=0,"",'normal case'!AJ258)</f>
        <v/>
      </c>
      <c r="N259" s="18" t="str">
        <f>IF(controls!$B$44=0,"",'normal case'!AM258)</f>
        <v/>
      </c>
      <c r="O259" s="160" t="str">
        <f>IF(controls!$B$44=0,"",'external balance'!D258)</f>
        <v/>
      </c>
      <c r="P259" s="160" t="str">
        <f>IF(controls!$B$44=0,"",'external balance'!F258)</f>
        <v/>
      </c>
      <c r="Q259" s="159" t="str">
        <f>IF(controls!$B$44=0,"",'external balance'!H258)</f>
        <v/>
      </c>
    </row>
    <row r="260" spans="1:17" ht="14" thickTop="1" thickBot="1">
      <c r="A260" s="15">
        <v>257</v>
      </c>
      <c r="B260" s="17">
        <f ca="1">('normal case'!D259-'normal case'!B259)/'normal case'!B259</f>
        <v>5.9014499777614481E-10</v>
      </c>
      <c r="C260" s="23">
        <f ca="1">'normal case'!D259</f>
        <v>101.00000005960464</v>
      </c>
      <c r="D260" s="24">
        <f ca="1">'normal case'!C259</f>
        <v>-1.5107707374006907E-7</v>
      </c>
      <c r="E260" s="22">
        <f ca="1">'normal case'!L259/100</f>
        <v>1.9999998807907104E-2</v>
      </c>
      <c r="F260" s="25">
        <f ca="1">'normal case'!U259/100</f>
        <v>5.499999850988388E-2</v>
      </c>
      <c r="G260" s="25">
        <f ca="1">'normal case'!T259/100</f>
        <v>3.4999999701976779E-2</v>
      </c>
      <c r="H260" s="25">
        <f ca="1">'public finance'!D258</f>
        <v>1.9802129779314939E-3</v>
      </c>
      <c r="I260" s="20">
        <f ca="1">'public finance'!E258</f>
        <v>11.900527015036049</v>
      </c>
      <c r="J260" s="118">
        <f ca="1">'public finance'!H258</f>
        <v>-339.95848295353255</v>
      </c>
      <c r="K260" s="17">
        <f ca="1">'public finance'!C258/'normal case'!D259</f>
        <v>0.19801980186333762</v>
      </c>
      <c r="L260" s="20">
        <f ca="1">'public finance'!A258/'normal case'!D259</f>
        <v>0.2</v>
      </c>
      <c r="M260" s="18" t="str">
        <f>IF(controls!$B$44=0,"",'normal case'!AJ259)</f>
        <v/>
      </c>
      <c r="N260" s="18" t="str">
        <f>IF(controls!$B$44=0,"",'normal case'!AM259)</f>
        <v/>
      </c>
      <c r="O260" s="160" t="str">
        <f>IF(controls!$B$44=0,"",'external balance'!D259)</f>
        <v/>
      </c>
      <c r="P260" s="160" t="str">
        <f>IF(controls!$B$44=0,"",'external balance'!F259)</f>
        <v/>
      </c>
      <c r="Q260" s="159" t="str">
        <f>IF(controls!$B$44=0,"",'external balance'!H259)</f>
        <v/>
      </c>
    </row>
    <row r="261" spans="1:17" ht="14" thickTop="1" thickBot="1">
      <c r="A261" s="15">
        <v>258</v>
      </c>
      <c r="B261" s="17">
        <f ca="1">('normal case'!D260-'normal case'!B260)/'normal case'!B260</f>
        <v>5.9014499777614481E-10</v>
      </c>
      <c r="C261" s="23">
        <f ca="1">'normal case'!D260</f>
        <v>101.00000005960464</v>
      </c>
      <c r="D261" s="24">
        <f ca="1">'normal case'!C260</f>
        <v>-1.5107707374006907E-7</v>
      </c>
      <c r="E261" s="22">
        <f ca="1">'normal case'!L260/100</f>
        <v>1.9999998807907104E-2</v>
      </c>
      <c r="F261" s="25">
        <f ca="1">'normal case'!U260/100</f>
        <v>5.499999850988388E-2</v>
      </c>
      <c r="G261" s="25">
        <f ca="1">'normal case'!T260/100</f>
        <v>3.4999999701976779E-2</v>
      </c>
      <c r="H261" s="25">
        <f ca="1">'public finance'!D259</f>
        <v>1.9802129779314939E-3</v>
      </c>
      <c r="I261" s="20">
        <f ca="1">'public finance'!E259</f>
        <v>12.317045456496233</v>
      </c>
      <c r="J261" s="118">
        <f ca="1">'public finance'!H259</f>
        <v>-351.85900995372737</v>
      </c>
      <c r="K261" s="17">
        <f ca="1">'public finance'!C259/'normal case'!D260</f>
        <v>0.19801980186333762</v>
      </c>
      <c r="L261" s="20">
        <f ca="1">'public finance'!A259/'normal case'!D260</f>
        <v>0.2</v>
      </c>
      <c r="M261" s="18" t="str">
        <f>IF(controls!$B$44=0,"",'normal case'!AJ260)</f>
        <v/>
      </c>
      <c r="N261" s="18" t="str">
        <f>IF(controls!$B$44=0,"",'normal case'!AM260)</f>
        <v/>
      </c>
      <c r="O261" s="160" t="str">
        <f>IF(controls!$B$44=0,"",'external balance'!D260)</f>
        <v/>
      </c>
      <c r="P261" s="160" t="str">
        <f>IF(controls!$B$44=0,"",'external balance'!F260)</f>
        <v/>
      </c>
      <c r="Q261" s="159" t="str">
        <f>IF(controls!$B$44=0,"",'external balance'!H260)</f>
        <v/>
      </c>
    </row>
    <row r="262" spans="1:17" ht="14" thickTop="1" thickBot="1">
      <c r="A262" s="15">
        <v>259</v>
      </c>
      <c r="B262" s="17">
        <f ca="1">('normal case'!D261-'normal case'!B261)/'normal case'!B261</f>
        <v>5.9014499777614481E-10</v>
      </c>
      <c r="C262" s="23">
        <f ca="1">'normal case'!D261</f>
        <v>101.00000005960464</v>
      </c>
      <c r="D262" s="24">
        <f ca="1">'normal case'!C261</f>
        <v>-1.5107707374006907E-7</v>
      </c>
      <c r="E262" s="22">
        <f ca="1">'normal case'!L261/100</f>
        <v>1.9999998807907104E-2</v>
      </c>
      <c r="F262" s="25">
        <f ca="1">'normal case'!U261/100</f>
        <v>5.499999850988388E-2</v>
      </c>
      <c r="G262" s="25">
        <f ca="1">'normal case'!T261/100</f>
        <v>3.4999999701976779E-2</v>
      </c>
      <c r="H262" s="25">
        <f ca="1">'public finance'!D260</f>
        <v>1.9802129779314939E-3</v>
      </c>
      <c r="I262" s="20">
        <f ca="1">'public finance'!E260</f>
        <v>12.748142043283393</v>
      </c>
      <c r="J262" s="118">
        <f ca="1">'public finance'!H260</f>
        <v>-364.17605539538232</v>
      </c>
      <c r="K262" s="17">
        <f ca="1">'public finance'!C260/'normal case'!D261</f>
        <v>0.19801980186333762</v>
      </c>
      <c r="L262" s="20">
        <f ca="1">'public finance'!A260/'normal case'!D261</f>
        <v>0.2</v>
      </c>
      <c r="M262" s="18" t="str">
        <f>IF(controls!$B$44=0,"",'normal case'!AJ261)</f>
        <v/>
      </c>
      <c r="N262" s="18" t="str">
        <f>IF(controls!$B$44=0,"",'normal case'!AM261)</f>
        <v/>
      </c>
      <c r="O262" s="160" t="str">
        <f>IF(controls!$B$44=0,"",'external balance'!D261)</f>
        <v/>
      </c>
      <c r="P262" s="160" t="str">
        <f>IF(controls!$B$44=0,"",'external balance'!F261)</f>
        <v/>
      </c>
      <c r="Q262" s="159" t="str">
        <f>IF(controls!$B$44=0,"",'external balance'!H261)</f>
        <v/>
      </c>
    </row>
    <row r="263" spans="1:17" ht="14" thickTop="1" thickBot="1">
      <c r="A263" s="15">
        <v>260</v>
      </c>
      <c r="B263" s="17">
        <f ca="1">('normal case'!D262-'normal case'!B262)/'normal case'!B262</f>
        <v>5.9014499777614481E-10</v>
      </c>
      <c r="C263" s="23">
        <f ca="1">'normal case'!D262</f>
        <v>101.00000005960464</v>
      </c>
      <c r="D263" s="24">
        <f ca="1">'normal case'!C262</f>
        <v>-1.5107707374006907E-7</v>
      </c>
      <c r="E263" s="22">
        <f ca="1">'normal case'!L262/100</f>
        <v>1.9999998807907104E-2</v>
      </c>
      <c r="F263" s="25">
        <f ca="1">'normal case'!U262/100</f>
        <v>5.499999850988388E-2</v>
      </c>
      <c r="G263" s="25">
        <f ca="1">'normal case'!T262/100</f>
        <v>3.4999999701976779E-2</v>
      </c>
      <c r="H263" s="25">
        <f ca="1">'public finance'!D261</f>
        <v>1.9802129779314939E-3</v>
      </c>
      <c r="I263" s="20">
        <f ca="1">'public finance'!E261</f>
        <v>13.194327010479624</v>
      </c>
      <c r="J263" s="118">
        <f ca="1">'public finance'!H261</f>
        <v>-376.92419742382447</v>
      </c>
      <c r="K263" s="17">
        <f ca="1">'public finance'!C261/'normal case'!D262</f>
        <v>0.19801980186333762</v>
      </c>
      <c r="L263" s="20">
        <f ca="1">'public finance'!A261/'normal case'!D262</f>
        <v>0.2</v>
      </c>
      <c r="M263" s="18" t="str">
        <f>IF(controls!$B$44=0,"",'normal case'!AJ262)</f>
        <v/>
      </c>
      <c r="N263" s="18" t="str">
        <f>IF(controls!$B$44=0,"",'normal case'!AM262)</f>
        <v/>
      </c>
      <c r="O263" s="160" t="str">
        <f>IF(controls!$B$44=0,"",'external balance'!D262)</f>
        <v/>
      </c>
      <c r="P263" s="160" t="str">
        <f>IF(controls!$B$44=0,"",'external balance'!F262)</f>
        <v/>
      </c>
      <c r="Q263" s="159" t="str">
        <f>IF(controls!$B$44=0,"",'external balance'!H262)</f>
        <v/>
      </c>
    </row>
    <row r="264" spans="1:17" ht="14" thickTop="1" thickBot="1">
      <c r="A264" s="15">
        <v>261</v>
      </c>
      <c r="B264" s="17">
        <f ca="1">('normal case'!D263-'normal case'!B263)/'normal case'!B263</f>
        <v>5.9014499777614481E-10</v>
      </c>
      <c r="C264" s="23">
        <f ca="1">'normal case'!D263</f>
        <v>101.00000005960464</v>
      </c>
      <c r="D264" s="24">
        <f ca="1">'normal case'!C263</f>
        <v>-1.5107707374006907E-7</v>
      </c>
      <c r="E264" s="22">
        <f ca="1">'normal case'!L263/100</f>
        <v>1.9999998807907104E-2</v>
      </c>
      <c r="F264" s="25">
        <f ca="1">'normal case'!U263/100</f>
        <v>5.499999850988388E-2</v>
      </c>
      <c r="G264" s="25">
        <f ca="1">'normal case'!T263/100</f>
        <v>3.4999999701976779E-2</v>
      </c>
      <c r="H264" s="25">
        <f ca="1">'public finance'!D262</f>
        <v>1.9802129779314939E-3</v>
      </c>
      <c r="I264" s="20">
        <f ca="1">'public finance'!E262</f>
        <v>13.656128451394752</v>
      </c>
      <c r="J264" s="118">
        <f ca="1">'public finance'!H262</f>
        <v>-390.1185244194628</v>
      </c>
      <c r="K264" s="17">
        <f ca="1">'public finance'!C262/'normal case'!D263</f>
        <v>0.19801980186333762</v>
      </c>
      <c r="L264" s="20">
        <f ca="1">'public finance'!A262/'normal case'!D263</f>
        <v>0.2</v>
      </c>
      <c r="M264" s="18" t="str">
        <f>IF(controls!$B$44=0,"",'normal case'!AJ263)</f>
        <v/>
      </c>
      <c r="N264" s="18" t="str">
        <f>IF(controls!$B$44=0,"",'normal case'!AM263)</f>
        <v/>
      </c>
      <c r="O264" s="160" t="str">
        <f>IF(controls!$B$44=0,"",'external balance'!D263)</f>
        <v/>
      </c>
      <c r="P264" s="160" t="str">
        <f>IF(controls!$B$44=0,"",'external balance'!F263)</f>
        <v/>
      </c>
      <c r="Q264" s="159" t="str">
        <f>IF(controls!$B$44=0,"",'external balance'!H263)</f>
        <v/>
      </c>
    </row>
    <row r="265" spans="1:17" ht="14" thickTop="1" thickBot="1">
      <c r="A265" s="15">
        <v>262</v>
      </c>
      <c r="B265" s="17">
        <f ca="1">('normal case'!D264-'normal case'!B264)/'normal case'!B264</f>
        <v>5.9014499777614481E-10</v>
      </c>
      <c r="C265" s="23">
        <f ca="1">'normal case'!D264</f>
        <v>101.00000005960464</v>
      </c>
      <c r="D265" s="24">
        <f ca="1">'normal case'!C264</f>
        <v>-1.5107707374006907E-7</v>
      </c>
      <c r="E265" s="22">
        <f ca="1">'normal case'!L264/100</f>
        <v>1.9999998807907104E-2</v>
      </c>
      <c r="F265" s="25">
        <f ca="1">'normal case'!U264/100</f>
        <v>5.499999850988388E-2</v>
      </c>
      <c r="G265" s="25">
        <f ca="1">'normal case'!T264/100</f>
        <v>3.4999999701976779E-2</v>
      </c>
      <c r="H265" s="25">
        <f ca="1">'public finance'!D263</f>
        <v>1.9802129779314939E-3</v>
      </c>
      <c r="I265" s="20">
        <f ca="1">'public finance'!E263</f>
        <v>14.134092942604278</v>
      </c>
      <c r="J265" s="118">
        <f ca="1">'public finance'!H263</f>
        <v>-403.77465285601625</v>
      </c>
      <c r="K265" s="17">
        <f ca="1">'public finance'!C263/'normal case'!D264</f>
        <v>0.19801980186333762</v>
      </c>
      <c r="L265" s="20">
        <f ca="1">'public finance'!A263/'normal case'!D264</f>
        <v>0.2</v>
      </c>
      <c r="M265" s="18" t="str">
        <f>IF(controls!$B$44=0,"",'normal case'!AJ264)</f>
        <v/>
      </c>
      <c r="N265" s="18" t="str">
        <f>IF(controls!$B$44=0,"",'normal case'!AM264)</f>
        <v/>
      </c>
      <c r="O265" s="160" t="str">
        <f>IF(controls!$B$44=0,"",'external balance'!D264)</f>
        <v/>
      </c>
      <c r="P265" s="160" t="str">
        <f>IF(controls!$B$44=0,"",'external balance'!F264)</f>
        <v/>
      </c>
      <c r="Q265" s="159" t="str">
        <f>IF(controls!$B$44=0,"",'external balance'!H264)</f>
        <v/>
      </c>
    </row>
    <row r="266" spans="1:17" ht="14" thickTop="1" thickBot="1">
      <c r="A266" s="15">
        <v>263</v>
      </c>
      <c r="B266" s="17">
        <f ca="1">('normal case'!D265-'normal case'!B265)/'normal case'!B265</f>
        <v>5.9014499777614481E-10</v>
      </c>
      <c r="C266" s="23">
        <f ca="1">'normal case'!D265</f>
        <v>101.00000005960464</v>
      </c>
      <c r="D266" s="24">
        <f ca="1">'normal case'!C265</f>
        <v>-1.5107707374006907E-7</v>
      </c>
      <c r="E266" s="22">
        <f ca="1">'normal case'!L265/100</f>
        <v>1.9999998807907104E-2</v>
      </c>
      <c r="F266" s="25">
        <f ca="1">'normal case'!U265/100</f>
        <v>5.499999850988388E-2</v>
      </c>
      <c r="G266" s="25">
        <f ca="1">'normal case'!T265/100</f>
        <v>3.4999999701976779E-2</v>
      </c>
      <c r="H266" s="25">
        <f ca="1">'public finance'!D264</f>
        <v>1.9802129779314939E-3</v>
      </c>
      <c r="I266" s="20">
        <f ca="1">'public finance'!E264</f>
        <v>14.628786190863696</v>
      </c>
      <c r="J266" s="118">
        <f ca="1">'public finance'!H264</f>
        <v>-417.9087457837793</v>
      </c>
      <c r="K266" s="17">
        <f ca="1">'public finance'!C264/'normal case'!D265</f>
        <v>0.19801980186333762</v>
      </c>
      <c r="L266" s="20">
        <f ca="1">'public finance'!A264/'normal case'!D265</f>
        <v>0.2</v>
      </c>
      <c r="M266" s="18" t="str">
        <f>IF(controls!$B$44=0,"",'normal case'!AJ265)</f>
        <v/>
      </c>
      <c r="N266" s="18" t="str">
        <f>IF(controls!$B$44=0,"",'normal case'!AM265)</f>
        <v/>
      </c>
      <c r="O266" s="160" t="str">
        <f>IF(controls!$B$44=0,"",'external balance'!D265)</f>
        <v/>
      </c>
      <c r="P266" s="160" t="str">
        <f>IF(controls!$B$44=0,"",'external balance'!F265)</f>
        <v/>
      </c>
      <c r="Q266" s="159" t="str">
        <f>IF(controls!$B$44=0,"",'external balance'!H265)</f>
        <v/>
      </c>
    </row>
    <row r="267" spans="1:17" ht="14" thickTop="1" thickBot="1">
      <c r="A267" s="15">
        <v>264</v>
      </c>
      <c r="B267" s="17">
        <f ca="1">('normal case'!D266-'normal case'!B266)/'normal case'!B266</f>
        <v>5.9014499777614481E-10</v>
      </c>
      <c r="C267" s="23">
        <f ca="1">'normal case'!D266</f>
        <v>101.00000005960464</v>
      </c>
      <c r="D267" s="24">
        <f ca="1">'normal case'!C266</f>
        <v>-1.5107707374006907E-7</v>
      </c>
      <c r="E267" s="22">
        <f ca="1">'normal case'!L266/100</f>
        <v>1.9999998807907104E-2</v>
      </c>
      <c r="F267" s="25">
        <f ca="1">'normal case'!U266/100</f>
        <v>5.499999850988388E-2</v>
      </c>
      <c r="G267" s="25">
        <f ca="1">'normal case'!T266/100</f>
        <v>3.4999999701976779E-2</v>
      </c>
      <c r="H267" s="25">
        <f ca="1">'public finance'!D265</f>
        <v>1.9802129779314939E-3</v>
      </c>
      <c r="I267" s="20">
        <f ca="1">'public finance'!E265</f>
        <v>15.140793702664764</v>
      </c>
      <c r="J267" s="118">
        <f ca="1">'public finance'!H265</f>
        <v>-432.53753195980175</v>
      </c>
      <c r="K267" s="17">
        <f ca="1">'public finance'!C265/'normal case'!D266</f>
        <v>0.19801980186333762</v>
      </c>
      <c r="L267" s="20">
        <f ca="1">'public finance'!A265/'normal case'!D266</f>
        <v>0.2</v>
      </c>
      <c r="M267" s="18" t="str">
        <f>IF(controls!$B$44=0,"",'normal case'!AJ266)</f>
        <v/>
      </c>
      <c r="N267" s="18" t="str">
        <f>IF(controls!$B$44=0,"",'normal case'!AM266)</f>
        <v/>
      </c>
      <c r="O267" s="160" t="str">
        <f>IF(controls!$B$44=0,"",'external balance'!D266)</f>
        <v/>
      </c>
      <c r="P267" s="160" t="str">
        <f>IF(controls!$B$44=0,"",'external balance'!F266)</f>
        <v/>
      </c>
      <c r="Q267" s="159" t="str">
        <f>IF(controls!$B$44=0,"",'external balance'!H266)</f>
        <v/>
      </c>
    </row>
    <row r="268" spans="1:17" ht="14" thickTop="1" thickBot="1">
      <c r="A268" s="15">
        <v>265</v>
      </c>
      <c r="B268" s="17">
        <f ca="1">('normal case'!D267-'normal case'!B267)/'normal case'!B267</f>
        <v>5.9014499777614481E-10</v>
      </c>
      <c r="C268" s="23">
        <f ca="1">'normal case'!D267</f>
        <v>101.00000005960464</v>
      </c>
      <c r="D268" s="24">
        <f ca="1">'normal case'!C267</f>
        <v>-1.5107707374006907E-7</v>
      </c>
      <c r="E268" s="22">
        <f ca="1">'normal case'!L267/100</f>
        <v>1.9999998807907104E-2</v>
      </c>
      <c r="F268" s="25">
        <f ca="1">'normal case'!U267/100</f>
        <v>5.499999850988388E-2</v>
      </c>
      <c r="G268" s="25">
        <f ca="1">'normal case'!T267/100</f>
        <v>3.4999999701976779E-2</v>
      </c>
      <c r="H268" s="25">
        <f ca="1">'public finance'!D266</f>
        <v>1.9802129779314939E-3</v>
      </c>
      <c r="I268" s="20">
        <f ca="1">'public finance'!E266</f>
        <v>15.67072147722628</v>
      </c>
      <c r="J268" s="118">
        <f ca="1">'public finance'!H266</f>
        <v>-447.67832564762529</v>
      </c>
      <c r="K268" s="17">
        <f ca="1">'public finance'!C266/'normal case'!D267</f>
        <v>0.19801980186333762</v>
      </c>
      <c r="L268" s="20">
        <f ca="1">'public finance'!A266/'normal case'!D267</f>
        <v>0.2</v>
      </c>
      <c r="M268" s="18" t="str">
        <f>IF(controls!$B$44=0,"",'normal case'!AJ267)</f>
        <v/>
      </c>
      <c r="N268" s="18" t="str">
        <f>IF(controls!$B$44=0,"",'normal case'!AM267)</f>
        <v/>
      </c>
      <c r="O268" s="160" t="str">
        <f>IF(controls!$B$44=0,"",'external balance'!D267)</f>
        <v/>
      </c>
      <c r="P268" s="160" t="str">
        <f>IF(controls!$B$44=0,"",'external balance'!F267)</f>
        <v/>
      </c>
      <c r="Q268" s="159" t="str">
        <f>IF(controls!$B$44=0,"",'external balance'!H267)</f>
        <v/>
      </c>
    </row>
    <row r="269" spans="1:17" ht="14" thickTop="1" thickBot="1">
      <c r="A269" s="15">
        <v>266</v>
      </c>
      <c r="B269" s="17">
        <f ca="1">('normal case'!D268-'normal case'!B268)/'normal case'!B268</f>
        <v>5.9014499777614481E-10</v>
      </c>
      <c r="C269" s="23">
        <f ca="1">'normal case'!D268</f>
        <v>101.00000005960464</v>
      </c>
      <c r="D269" s="24">
        <f ca="1">'normal case'!C268</f>
        <v>-1.5107707374006907E-7</v>
      </c>
      <c r="E269" s="22">
        <f ca="1">'normal case'!L268/100</f>
        <v>1.9999998807907104E-2</v>
      </c>
      <c r="F269" s="25">
        <f ca="1">'normal case'!U268/100</f>
        <v>5.499999850988388E-2</v>
      </c>
      <c r="G269" s="25">
        <f ca="1">'normal case'!T268/100</f>
        <v>3.4999999701976779E-2</v>
      </c>
      <c r="H269" s="25">
        <f ca="1">'public finance'!D267</f>
        <v>1.9802129779314939E-3</v>
      </c>
      <c r="I269" s="20">
        <f ca="1">'public finance'!E267</f>
        <v>16.219196723739515</v>
      </c>
      <c r="J269" s="118">
        <f ca="1">'public finance'!H267</f>
        <v>-463.3490471100103</v>
      </c>
      <c r="K269" s="17">
        <f ca="1">'public finance'!C267/'normal case'!D268</f>
        <v>0.19801980186333762</v>
      </c>
      <c r="L269" s="20">
        <f ca="1">'public finance'!A267/'normal case'!D268</f>
        <v>0.2</v>
      </c>
      <c r="M269" s="18" t="str">
        <f>IF(controls!$B$44=0,"",'normal case'!AJ268)</f>
        <v/>
      </c>
      <c r="N269" s="18" t="str">
        <f>IF(controls!$B$44=0,"",'normal case'!AM268)</f>
        <v/>
      </c>
      <c r="O269" s="160" t="str">
        <f>IF(controls!$B$44=0,"",'external balance'!D268)</f>
        <v/>
      </c>
      <c r="P269" s="160" t="str">
        <f>IF(controls!$B$44=0,"",'external balance'!F268)</f>
        <v/>
      </c>
      <c r="Q269" s="159" t="str">
        <f>IF(controls!$B$44=0,"",'external balance'!H268)</f>
        <v/>
      </c>
    </row>
    <row r="270" spans="1:17" ht="14" thickTop="1" thickBot="1">
      <c r="A270" s="15">
        <v>267</v>
      </c>
      <c r="B270" s="17">
        <f ca="1">('normal case'!D269-'normal case'!B269)/'normal case'!B269</f>
        <v>5.9014499777614481E-10</v>
      </c>
      <c r="C270" s="23">
        <f ca="1">'normal case'!D269</f>
        <v>101.00000005960464</v>
      </c>
      <c r="D270" s="24">
        <f ca="1">'normal case'!C269</f>
        <v>-1.5107707374006907E-7</v>
      </c>
      <c r="E270" s="22">
        <f ca="1">'normal case'!L269/100</f>
        <v>1.9999998807907104E-2</v>
      </c>
      <c r="F270" s="25">
        <f ca="1">'normal case'!U269/100</f>
        <v>5.499999850988388E-2</v>
      </c>
      <c r="G270" s="25">
        <f ca="1">'normal case'!T269/100</f>
        <v>3.4999999701976779E-2</v>
      </c>
      <c r="H270" s="25">
        <f ca="1">'public finance'!D268</f>
        <v>1.9802129779314939E-3</v>
      </c>
      <c r="I270" s="20">
        <f ca="1">'public finance'!E268</f>
        <v>16.786868603717256</v>
      </c>
      <c r="J270" s="118">
        <f ca="1">'public finance'!H268</f>
        <v>-479.56824381890851</v>
      </c>
      <c r="K270" s="17">
        <f ca="1">'public finance'!C268/'normal case'!D269</f>
        <v>0.19801980186333762</v>
      </c>
      <c r="L270" s="20">
        <f ca="1">'public finance'!A268/'normal case'!D269</f>
        <v>0.2</v>
      </c>
      <c r="M270" s="18" t="str">
        <f>IF(controls!$B$44=0,"",'normal case'!AJ269)</f>
        <v/>
      </c>
      <c r="N270" s="18" t="str">
        <f>IF(controls!$B$44=0,"",'normal case'!AM269)</f>
        <v/>
      </c>
      <c r="O270" s="160" t="str">
        <f>IF(controls!$B$44=0,"",'external balance'!D269)</f>
        <v/>
      </c>
      <c r="P270" s="160" t="str">
        <f>IF(controls!$B$44=0,"",'external balance'!F269)</f>
        <v/>
      </c>
      <c r="Q270" s="159" t="str">
        <f>IF(controls!$B$44=0,"",'external balance'!H269)</f>
        <v/>
      </c>
    </row>
    <row r="271" spans="1:17" ht="14" thickTop="1" thickBot="1">
      <c r="A271" s="15">
        <v>268</v>
      </c>
      <c r="B271" s="17">
        <f ca="1">('normal case'!D270-'normal case'!B270)/'normal case'!B270</f>
        <v>5.9014499777614481E-10</v>
      </c>
      <c r="C271" s="23">
        <f ca="1">'normal case'!D270</f>
        <v>101.00000005960464</v>
      </c>
      <c r="D271" s="24">
        <f ca="1">'normal case'!C270</f>
        <v>-1.5107707374006907E-7</v>
      </c>
      <c r="E271" s="22">
        <f ca="1">'normal case'!L270/100</f>
        <v>1.9999998807907104E-2</v>
      </c>
      <c r="F271" s="25">
        <f ca="1">'normal case'!U270/100</f>
        <v>5.499999850988388E-2</v>
      </c>
      <c r="G271" s="25">
        <f ca="1">'normal case'!T270/100</f>
        <v>3.4999999701976779E-2</v>
      </c>
      <c r="H271" s="25">
        <f ca="1">'public finance'!D269</f>
        <v>1.9802129779314939E-3</v>
      </c>
      <c r="I271" s="20">
        <f ca="1">'public finance'!E269</f>
        <v>17.374408999325041</v>
      </c>
      <c r="J271" s="118">
        <f ca="1">'public finance'!H269</f>
        <v>-496.35511240778453</v>
      </c>
      <c r="K271" s="17">
        <f ca="1">'public finance'!C269/'normal case'!D270</f>
        <v>0.19801980186333762</v>
      </c>
      <c r="L271" s="20">
        <f ca="1">'public finance'!A269/'normal case'!D270</f>
        <v>0.2</v>
      </c>
      <c r="M271" s="18" t="str">
        <f>IF(controls!$B$44=0,"",'normal case'!AJ270)</f>
        <v/>
      </c>
      <c r="N271" s="18" t="str">
        <f>IF(controls!$B$44=0,"",'normal case'!AM270)</f>
        <v/>
      </c>
      <c r="O271" s="160" t="str">
        <f>IF(controls!$B$44=0,"",'external balance'!D270)</f>
        <v/>
      </c>
      <c r="P271" s="160" t="str">
        <f>IF(controls!$B$44=0,"",'external balance'!F270)</f>
        <v/>
      </c>
      <c r="Q271" s="159" t="str">
        <f>IF(controls!$B$44=0,"",'external balance'!H270)</f>
        <v/>
      </c>
    </row>
    <row r="272" spans="1:17" ht="14" thickTop="1" thickBot="1">
      <c r="A272" s="15">
        <v>269</v>
      </c>
      <c r="B272" s="17">
        <f ca="1">('normal case'!D271-'normal case'!B271)/'normal case'!B271</f>
        <v>5.9014499777614481E-10</v>
      </c>
      <c r="C272" s="23">
        <f ca="1">'normal case'!D271</f>
        <v>101.00000005960464</v>
      </c>
      <c r="D272" s="24">
        <f ca="1">'normal case'!C271</f>
        <v>-1.5107707374006907E-7</v>
      </c>
      <c r="E272" s="22">
        <f ca="1">'normal case'!L271/100</f>
        <v>1.9999998807907104E-2</v>
      </c>
      <c r="F272" s="25">
        <f ca="1">'normal case'!U271/100</f>
        <v>5.499999850988388E-2</v>
      </c>
      <c r="G272" s="25">
        <f ca="1">'normal case'!T271/100</f>
        <v>3.4999999701976779E-2</v>
      </c>
      <c r="H272" s="25">
        <f ca="1">'public finance'!D270</f>
        <v>1.9802129779314939E-3</v>
      </c>
      <c r="I272" s="20">
        <f ca="1">'public finance'!E270</f>
        <v>17.982513308603998</v>
      </c>
      <c r="J272" s="118">
        <f ca="1">'public finance'!H270</f>
        <v>-513.72952139226834</v>
      </c>
      <c r="K272" s="17">
        <f ca="1">'public finance'!C270/'normal case'!D271</f>
        <v>0.19801980186333762</v>
      </c>
      <c r="L272" s="20">
        <f ca="1">'public finance'!A270/'normal case'!D271</f>
        <v>0.2</v>
      </c>
      <c r="M272" s="18" t="str">
        <f>IF(controls!$B$44=0,"",'normal case'!AJ271)</f>
        <v/>
      </c>
      <c r="N272" s="18" t="str">
        <f>IF(controls!$B$44=0,"",'normal case'!AM271)</f>
        <v/>
      </c>
      <c r="O272" s="160" t="str">
        <f>IF(controls!$B$44=0,"",'external balance'!D271)</f>
        <v/>
      </c>
      <c r="P272" s="160" t="str">
        <f>IF(controls!$B$44=0,"",'external balance'!F271)</f>
        <v/>
      </c>
      <c r="Q272" s="159" t="str">
        <f>IF(controls!$B$44=0,"",'external balance'!H271)</f>
        <v/>
      </c>
    </row>
    <row r="273" spans="1:17" ht="14" thickTop="1" thickBot="1">
      <c r="A273" s="15">
        <v>270</v>
      </c>
      <c r="B273" s="17">
        <f ca="1">('normal case'!D272-'normal case'!B272)/'normal case'!B272</f>
        <v>5.9014499777614481E-10</v>
      </c>
      <c r="C273" s="23">
        <f ca="1">'normal case'!D272</f>
        <v>101.00000005960464</v>
      </c>
      <c r="D273" s="24">
        <f ca="1">'normal case'!C272</f>
        <v>-1.5107707374006907E-7</v>
      </c>
      <c r="E273" s="22">
        <f ca="1">'normal case'!L272/100</f>
        <v>1.9999998807907104E-2</v>
      </c>
      <c r="F273" s="25">
        <f ca="1">'normal case'!U272/100</f>
        <v>5.499999850988388E-2</v>
      </c>
      <c r="G273" s="25">
        <f ca="1">'normal case'!T272/100</f>
        <v>3.4999999701976779E-2</v>
      </c>
      <c r="H273" s="25">
        <f ca="1">'public finance'!D271</f>
        <v>1.9802129779314939E-3</v>
      </c>
      <c r="I273" s="20">
        <f ca="1">'public finance'!E271</f>
        <v>18.611901268526488</v>
      </c>
      <c r="J273" s="118">
        <f ca="1">'public finance'!H271</f>
        <v>-531.71203468603107</v>
      </c>
      <c r="K273" s="17">
        <f ca="1">'public finance'!C271/'normal case'!D272</f>
        <v>0.19801980186333762</v>
      </c>
      <c r="L273" s="20">
        <f ca="1">'public finance'!A271/'normal case'!D272</f>
        <v>0.2</v>
      </c>
      <c r="M273" s="18" t="str">
        <f>IF(controls!$B$44=0,"",'normal case'!AJ272)</f>
        <v/>
      </c>
      <c r="N273" s="18" t="str">
        <f>IF(controls!$B$44=0,"",'normal case'!AM272)</f>
        <v/>
      </c>
      <c r="O273" s="160" t="str">
        <f>IF(controls!$B$44=0,"",'external balance'!D272)</f>
        <v/>
      </c>
      <c r="P273" s="160" t="str">
        <f>IF(controls!$B$44=0,"",'external balance'!F272)</f>
        <v/>
      </c>
      <c r="Q273" s="159" t="str">
        <f>IF(controls!$B$44=0,"",'external balance'!H272)</f>
        <v/>
      </c>
    </row>
    <row r="274" spans="1:17" ht="14" thickTop="1" thickBot="1">
      <c r="A274" s="15">
        <v>271</v>
      </c>
      <c r="B274" s="17">
        <f ca="1">('normal case'!D273-'normal case'!B273)/'normal case'!B273</f>
        <v>5.9014499777614481E-10</v>
      </c>
      <c r="C274" s="23">
        <f ca="1">'normal case'!D273</f>
        <v>101.00000005960464</v>
      </c>
      <c r="D274" s="24">
        <f ca="1">'normal case'!C273</f>
        <v>-1.5107707374006907E-7</v>
      </c>
      <c r="E274" s="22">
        <f ca="1">'normal case'!L273/100</f>
        <v>1.9999998807907104E-2</v>
      </c>
      <c r="F274" s="25">
        <f ca="1">'normal case'!U273/100</f>
        <v>5.499999850988388E-2</v>
      </c>
      <c r="G274" s="25">
        <f ca="1">'normal case'!T273/100</f>
        <v>3.4999999701976779E-2</v>
      </c>
      <c r="H274" s="25">
        <f ca="1">'public finance'!D272</f>
        <v>1.9802129779314939E-3</v>
      </c>
      <c r="I274" s="20">
        <f ca="1">'public finance'!E272</f>
        <v>19.263317806858691</v>
      </c>
      <c r="J274" s="118">
        <f ca="1">'public finance'!H272</f>
        <v>-550.32393593971642</v>
      </c>
      <c r="K274" s="17">
        <f ca="1">'public finance'!C272/'normal case'!D273</f>
        <v>0.19801980186333762</v>
      </c>
      <c r="L274" s="20">
        <f ca="1">'public finance'!A272/'normal case'!D273</f>
        <v>0.2</v>
      </c>
      <c r="M274" s="18" t="str">
        <f>IF(controls!$B$44=0,"",'normal case'!AJ273)</f>
        <v/>
      </c>
      <c r="N274" s="18" t="str">
        <f>IF(controls!$B$44=0,"",'normal case'!AM273)</f>
        <v/>
      </c>
      <c r="O274" s="160" t="str">
        <f>IF(controls!$B$44=0,"",'external balance'!D273)</f>
        <v/>
      </c>
      <c r="P274" s="160" t="str">
        <f>IF(controls!$B$44=0,"",'external balance'!F273)</f>
        <v/>
      </c>
      <c r="Q274" s="159" t="str">
        <f>IF(controls!$B$44=0,"",'external balance'!H273)</f>
        <v/>
      </c>
    </row>
    <row r="275" spans="1:17" ht="14" thickTop="1" thickBot="1">
      <c r="A275" s="15">
        <v>272</v>
      </c>
      <c r="B275" s="17">
        <f ca="1">('normal case'!D274-'normal case'!B274)/'normal case'!B274</f>
        <v>5.9014499777614481E-10</v>
      </c>
      <c r="C275" s="23">
        <f ca="1">'normal case'!D274</f>
        <v>101.00000005960464</v>
      </c>
      <c r="D275" s="24">
        <f ca="1">'normal case'!C274</f>
        <v>-1.5107707374006907E-7</v>
      </c>
      <c r="E275" s="22">
        <f ca="1">'normal case'!L274/100</f>
        <v>1.9999998807907104E-2</v>
      </c>
      <c r="F275" s="25">
        <f ca="1">'normal case'!U274/100</f>
        <v>5.499999850988388E-2</v>
      </c>
      <c r="G275" s="25">
        <f ca="1">'normal case'!T274/100</f>
        <v>3.4999999701976779E-2</v>
      </c>
      <c r="H275" s="25">
        <f ca="1">'public finance'!D273</f>
        <v>1.9802129779314939E-3</v>
      </c>
      <c r="I275" s="20">
        <f ca="1">'public finance'!E273</f>
        <v>19.937533923838387</v>
      </c>
      <c r="J275" s="118">
        <f ca="1">'public finance'!H273</f>
        <v>-569.58725373173377</v>
      </c>
      <c r="K275" s="17">
        <f ca="1">'public finance'!C273/'normal case'!D274</f>
        <v>0.19801980186333762</v>
      </c>
      <c r="L275" s="20">
        <f ca="1">'public finance'!A273/'normal case'!D274</f>
        <v>0.2</v>
      </c>
      <c r="M275" s="18" t="str">
        <f>IF(controls!$B$44=0,"",'normal case'!AJ274)</f>
        <v/>
      </c>
      <c r="N275" s="18" t="str">
        <f>IF(controls!$B$44=0,"",'normal case'!AM274)</f>
        <v/>
      </c>
      <c r="O275" s="160" t="str">
        <f>IF(controls!$B$44=0,"",'external balance'!D274)</f>
        <v/>
      </c>
      <c r="P275" s="160" t="str">
        <f>IF(controls!$B$44=0,"",'external balance'!F274)</f>
        <v/>
      </c>
      <c r="Q275" s="159" t="str">
        <f>IF(controls!$B$44=0,"",'external balance'!H274)</f>
        <v/>
      </c>
    </row>
    <row r="276" spans="1:17" ht="14" thickTop="1" thickBot="1">
      <c r="A276" s="15">
        <v>273</v>
      </c>
      <c r="B276" s="17">
        <f ca="1">('normal case'!D275-'normal case'!B275)/'normal case'!B275</f>
        <v>5.9014499777614481E-10</v>
      </c>
      <c r="C276" s="23">
        <f ca="1">'normal case'!D275</f>
        <v>101.00000005960464</v>
      </c>
      <c r="D276" s="24">
        <f ca="1">'normal case'!C275</f>
        <v>-1.5107707374006907E-7</v>
      </c>
      <c r="E276" s="22">
        <f ca="1">'normal case'!L275/100</f>
        <v>1.9999998807907104E-2</v>
      </c>
      <c r="F276" s="25">
        <f ca="1">'normal case'!U275/100</f>
        <v>5.499999850988388E-2</v>
      </c>
      <c r="G276" s="25">
        <f ca="1">'normal case'!T275/100</f>
        <v>3.4999999701976779E-2</v>
      </c>
      <c r="H276" s="25">
        <f ca="1">'public finance'!D274</f>
        <v>1.9802129779314939E-3</v>
      </c>
      <c r="I276" s="20">
        <f ca="1">'public finance'!E274</f>
        <v>20.635347604711434</v>
      </c>
      <c r="J276" s="118">
        <f ca="1">'public finance'!H274</f>
        <v>-589.52478764073089</v>
      </c>
      <c r="K276" s="17">
        <f ca="1">'public finance'!C274/'normal case'!D275</f>
        <v>0.19801980186333762</v>
      </c>
      <c r="L276" s="20">
        <f ca="1">'public finance'!A274/'normal case'!D275</f>
        <v>0.2</v>
      </c>
      <c r="M276" s="18" t="str">
        <f>IF(controls!$B$44=0,"",'normal case'!AJ275)</f>
        <v/>
      </c>
      <c r="N276" s="18" t="str">
        <f>IF(controls!$B$44=0,"",'normal case'!AM275)</f>
        <v/>
      </c>
      <c r="O276" s="160" t="str">
        <f>IF(controls!$B$44=0,"",'external balance'!D275)</f>
        <v/>
      </c>
      <c r="P276" s="160" t="str">
        <f>IF(controls!$B$44=0,"",'external balance'!F275)</f>
        <v/>
      </c>
      <c r="Q276" s="159" t="str">
        <f>IF(controls!$B$44=0,"",'external balance'!H275)</f>
        <v/>
      </c>
    </row>
    <row r="277" spans="1:17" ht="14" thickTop="1" thickBot="1">
      <c r="A277" s="15">
        <v>274</v>
      </c>
      <c r="B277" s="17">
        <f ca="1">('normal case'!D276-'normal case'!B276)/'normal case'!B276</f>
        <v>5.9014499777614481E-10</v>
      </c>
      <c r="C277" s="23">
        <f ca="1">'normal case'!D276</f>
        <v>101.00000005960464</v>
      </c>
      <c r="D277" s="24">
        <f ca="1">'normal case'!C276</f>
        <v>-1.5107707374006907E-7</v>
      </c>
      <c r="E277" s="22">
        <f ca="1">'normal case'!L276/100</f>
        <v>1.9999998807907104E-2</v>
      </c>
      <c r="F277" s="25">
        <f ca="1">'normal case'!U276/100</f>
        <v>5.499999850988388E-2</v>
      </c>
      <c r="G277" s="25">
        <f ca="1">'normal case'!T276/100</f>
        <v>3.4999999701976779E-2</v>
      </c>
      <c r="H277" s="25">
        <f ca="1">'public finance'!D275</f>
        <v>1.9802129779314939E-3</v>
      </c>
      <c r="I277" s="20">
        <f ca="1">'public finance'!E275</f>
        <v>21.357584764207079</v>
      </c>
      <c r="J277" s="118">
        <f ca="1">'public finance'!H275</f>
        <v>-610.1601352306011</v>
      </c>
      <c r="K277" s="17">
        <f ca="1">'public finance'!C275/'normal case'!D276</f>
        <v>0.19801980186333762</v>
      </c>
      <c r="L277" s="20">
        <f ca="1">'public finance'!A275/'normal case'!D276</f>
        <v>0.2</v>
      </c>
      <c r="M277" s="18" t="str">
        <f>IF(controls!$B$44=0,"",'normal case'!AJ276)</f>
        <v/>
      </c>
      <c r="N277" s="18" t="str">
        <f>IF(controls!$B$44=0,"",'normal case'!AM276)</f>
        <v/>
      </c>
      <c r="O277" s="160" t="str">
        <f>IF(controls!$B$44=0,"",'external balance'!D276)</f>
        <v/>
      </c>
      <c r="P277" s="160" t="str">
        <f>IF(controls!$B$44=0,"",'external balance'!F276)</f>
        <v/>
      </c>
      <c r="Q277" s="159" t="str">
        <f>IF(controls!$B$44=0,"",'external balance'!H276)</f>
        <v/>
      </c>
    </row>
    <row r="278" spans="1:17" ht="14" thickTop="1" thickBot="1">
      <c r="A278" s="15">
        <v>275</v>
      </c>
      <c r="B278" s="17">
        <f ca="1">('normal case'!D277-'normal case'!B277)/'normal case'!B277</f>
        <v>5.9014499777614481E-10</v>
      </c>
      <c r="C278" s="23">
        <f ca="1">'normal case'!D277</f>
        <v>101.00000005960464</v>
      </c>
      <c r="D278" s="24">
        <f ca="1">'normal case'!C277</f>
        <v>-1.5107707374006907E-7</v>
      </c>
      <c r="E278" s="22">
        <f ca="1">'normal case'!L277/100</f>
        <v>1.9999998807907104E-2</v>
      </c>
      <c r="F278" s="25">
        <f ca="1">'normal case'!U277/100</f>
        <v>5.499999850988388E-2</v>
      </c>
      <c r="G278" s="25">
        <f ca="1">'normal case'!T277/100</f>
        <v>3.4999999701976779E-2</v>
      </c>
      <c r="H278" s="25">
        <f ca="1">'public finance'!D276</f>
        <v>1.9802129779314939E-3</v>
      </c>
      <c r="I278" s="20">
        <f ca="1">'public finance'!E276</f>
        <v>22.105100224069826</v>
      </c>
      <c r="J278" s="118">
        <f ca="1">'public finance'!H276</f>
        <v>-631.51771997996696</v>
      </c>
      <c r="K278" s="17">
        <f ca="1">'public finance'!C276/'normal case'!D277</f>
        <v>0.19801980186333762</v>
      </c>
      <c r="L278" s="20">
        <f ca="1">'public finance'!A276/'normal case'!D277</f>
        <v>0.2</v>
      </c>
      <c r="M278" s="18" t="str">
        <f>IF(controls!$B$44=0,"",'normal case'!AJ277)</f>
        <v/>
      </c>
      <c r="N278" s="18" t="str">
        <f>IF(controls!$B$44=0,"",'normal case'!AM277)</f>
        <v/>
      </c>
      <c r="O278" s="160" t="str">
        <f>IF(controls!$B$44=0,"",'external balance'!D277)</f>
        <v/>
      </c>
      <c r="P278" s="160" t="str">
        <f>IF(controls!$B$44=0,"",'external balance'!F277)</f>
        <v/>
      </c>
      <c r="Q278" s="159" t="str">
        <f>IF(controls!$B$44=0,"",'external balance'!H277)</f>
        <v/>
      </c>
    </row>
    <row r="279" spans="1:17" ht="14" thickTop="1" thickBot="1">
      <c r="A279" s="15">
        <v>276</v>
      </c>
      <c r="B279" s="17">
        <f ca="1">('normal case'!D278-'normal case'!B278)/'normal case'!B278</f>
        <v>5.9014499777614481E-10</v>
      </c>
      <c r="C279" s="23">
        <f ca="1">'normal case'!D278</f>
        <v>101.00000005960464</v>
      </c>
      <c r="D279" s="24">
        <f ca="1">'normal case'!C278</f>
        <v>-1.5107707374006907E-7</v>
      </c>
      <c r="E279" s="22">
        <f ca="1">'normal case'!L278/100</f>
        <v>1.9999998807907104E-2</v>
      </c>
      <c r="F279" s="25">
        <f ca="1">'normal case'!U278/100</f>
        <v>5.499999850988388E-2</v>
      </c>
      <c r="G279" s="25">
        <f ca="1">'normal case'!T278/100</f>
        <v>3.4999999701976779E-2</v>
      </c>
      <c r="H279" s="25">
        <f ca="1">'public finance'!D277</f>
        <v>1.9802129779314939E-3</v>
      </c>
      <c r="I279" s="20">
        <f ca="1">'public finance'!E277</f>
        <v>22.878778724804992</v>
      </c>
      <c r="J279" s="118">
        <f ca="1">'public finance'!H277</f>
        <v>-653.62282018919541</v>
      </c>
      <c r="K279" s="17">
        <f ca="1">'public finance'!C277/'normal case'!D278</f>
        <v>0.19801980186333762</v>
      </c>
      <c r="L279" s="20">
        <f ca="1">'public finance'!A277/'normal case'!D278</f>
        <v>0.2</v>
      </c>
      <c r="M279" s="18" t="str">
        <f>IF(controls!$B$44=0,"",'normal case'!AJ278)</f>
        <v/>
      </c>
      <c r="N279" s="18" t="str">
        <f>IF(controls!$B$44=0,"",'normal case'!AM278)</f>
        <v/>
      </c>
      <c r="O279" s="160" t="str">
        <f>IF(controls!$B$44=0,"",'external balance'!D278)</f>
        <v/>
      </c>
      <c r="P279" s="160" t="str">
        <f>IF(controls!$B$44=0,"",'external balance'!F278)</f>
        <v/>
      </c>
      <c r="Q279" s="159" t="str">
        <f>IF(controls!$B$44=0,"",'external balance'!H278)</f>
        <v/>
      </c>
    </row>
    <row r="280" spans="1:17" ht="14" thickTop="1" thickBot="1">
      <c r="A280" s="15">
        <v>277</v>
      </c>
      <c r="B280" s="17">
        <f ca="1">('normal case'!D279-'normal case'!B279)/'normal case'!B279</f>
        <v>5.9014499777614481E-10</v>
      </c>
      <c r="C280" s="23">
        <f ca="1">'normal case'!D279</f>
        <v>101.00000005960464</v>
      </c>
      <c r="D280" s="24">
        <f ca="1">'normal case'!C279</f>
        <v>-1.5107707374006907E-7</v>
      </c>
      <c r="E280" s="22">
        <f ca="1">'normal case'!L279/100</f>
        <v>1.9999998807907104E-2</v>
      </c>
      <c r="F280" s="25">
        <f ca="1">'normal case'!U279/100</f>
        <v>5.499999850988388E-2</v>
      </c>
      <c r="G280" s="25">
        <f ca="1">'normal case'!T279/100</f>
        <v>3.4999999701976779E-2</v>
      </c>
      <c r="H280" s="25">
        <f ca="1">'public finance'!D278</f>
        <v>1.9802129779314939E-3</v>
      </c>
      <c r="I280" s="20">
        <f ca="1">'public finance'!E278</f>
        <v>23.679535972835318</v>
      </c>
      <c r="J280" s="118">
        <f ca="1">'public finance'!H278</f>
        <v>-676.50159889915915</v>
      </c>
      <c r="K280" s="17">
        <f ca="1">'public finance'!C278/'normal case'!D279</f>
        <v>0.19801980186333762</v>
      </c>
      <c r="L280" s="20">
        <f ca="1">'public finance'!A278/'normal case'!D279</f>
        <v>0.2</v>
      </c>
      <c r="M280" s="18" t="str">
        <f>IF(controls!$B$44=0,"",'normal case'!AJ279)</f>
        <v/>
      </c>
      <c r="N280" s="18" t="str">
        <f>IF(controls!$B$44=0,"",'normal case'!AM279)</f>
        <v/>
      </c>
      <c r="O280" s="160" t="str">
        <f>IF(controls!$B$44=0,"",'external balance'!D279)</f>
        <v/>
      </c>
      <c r="P280" s="160" t="str">
        <f>IF(controls!$B$44=0,"",'external balance'!F279)</f>
        <v/>
      </c>
      <c r="Q280" s="159" t="str">
        <f>IF(controls!$B$44=0,"",'external balance'!H279)</f>
        <v/>
      </c>
    </row>
    <row r="281" spans="1:17" ht="14" thickTop="1" thickBot="1">
      <c r="A281" s="15">
        <v>278</v>
      </c>
      <c r="B281" s="17">
        <f ca="1">('normal case'!D280-'normal case'!B280)/'normal case'!B280</f>
        <v>5.9014499777614481E-10</v>
      </c>
      <c r="C281" s="23">
        <f ca="1">'normal case'!D280</f>
        <v>101.00000005960464</v>
      </c>
      <c r="D281" s="24">
        <f ca="1">'normal case'!C280</f>
        <v>-1.5107707374006907E-7</v>
      </c>
      <c r="E281" s="22">
        <f ca="1">'normal case'!L280/100</f>
        <v>1.9999998807907104E-2</v>
      </c>
      <c r="F281" s="25">
        <f ca="1">'normal case'!U280/100</f>
        <v>5.499999850988388E-2</v>
      </c>
      <c r="G281" s="25">
        <f ca="1">'normal case'!T280/100</f>
        <v>3.4999999701976779E-2</v>
      </c>
      <c r="H281" s="25">
        <f ca="1">'public finance'!D279</f>
        <v>1.9802129779314939E-3</v>
      </c>
      <c r="I281" s="20">
        <f ca="1">'public finance'!E279</f>
        <v>24.508319724308052</v>
      </c>
      <c r="J281" s="118">
        <f ca="1">'public finance'!H279</f>
        <v>-700.1811348571531</v>
      </c>
      <c r="K281" s="17">
        <f ca="1">'public finance'!C279/'normal case'!D280</f>
        <v>0.19801980186333762</v>
      </c>
      <c r="L281" s="20">
        <f ca="1">'public finance'!A279/'normal case'!D280</f>
        <v>0.2</v>
      </c>
      <c r="M281" s="18" t="str">
        <f>IF(controls!$B$44=0,"",'normal case'!AJ280)</f>
        <v/>
      </c>
      <c r="N281" s="18" t="str">
        <f>IF(controls!$B$44=0,"",'normal case'!AM280)</f>
        <v/>
      </c>
      <c r="O281" s="160" t="str">
        <f>IF(controls!$B$44=0,"",'external balance'!D280)</f>
        <v/>
      </c>
      <c r="P281" s="160" t="str">
        <f>IF(controls!$B$44=0,"",'external balance'!F280)</f>
        <v/>
      </c>
      <c r="Q281" s="159" t="str">
        <f>IF(controls!$B$44=0,"",'external balance'!H280)</f>
        <v/>
      </c>
    </row>
    <row r="282" spans="1:17" ht="14" thickTop="1" thickBot="1">
      <c r="A282" s="15">
        <v>279</v>
      </c>
      <c r="B282" s="17">
        <f ca="1">('normal case'!D281-'normal case'!B281)/'normal case'!B281</f>
        <v>5.9014499777614481E-10</v>
      </c>
      <c r="C282" s="23">
        <f ca="1">'normal case'!D281</f>
        <v>101.00000005960464</v>
      </c>
      <c r="D282" s="24">
        <f ca="1">'normal case'!C281</f>
        <v>-1.5107707374006907E-7</v>
      </c>
      <c r="E282" s="22">
        <f ca="1">'normal case'!L281/100</f>
        <v>1.9999998807907104E-2</v>
      </c>
      <c r="F282" s="25">
        <f ca="1">'normal case'!U281/100</f>
        <v>5.499999850988388E-2</v>
      </c>
      <c r="G282" s="25">
        <f ca="1">'normal case'!T281/100</f>
        <v>3.4999999701976779E-2</v>
      </c>
      <c r="H282" s="25">
        <f ca="1">'public finance'!D280</f>
        <v>1.9802129779314939E-3</v>
      </c>
      <c r="I282" s="20">
        <f ca="1">'public finance'!E280</f>
        <v>25.366110906835335</v>
      </c>
      <c r="J282" s="118">
        <f ca="1">'public finance'!H280</f>
        <v>-724.68945456661982</v>
      </c>
      <c r="K282" s="17">
        <f ca="1">'public finance'!C280/'normal case'!D281</f>
        <v>0.19801980186333762</v>
      </c>
      <c r="L282" s="20">
        <f ca="1">'public finance'!A280/'normal case'!D281</f>
        <v>0.2</v>
      </c>
      <c r="M282" s="18" t="str">
        <f>IF(controls!$B$44=0,"",'normal case'!AJ281)</f>
        <v/>
      </c>
      <c r="N282" s="18" t="str">
        <f>IF(controls!$B$44=0,"",'normal case'!AM281)</f>
        <v/>
      </c>
      <c r="O282" s="160" t="str">
        <f>IF(controls!$B$44=0,"",'external balance'!D281)</f>
        <v/>
      </c>
      <c r="P282" s="160" t="str">
        <f>IF(controls!$B$44=0,"",'external balance'!F281)</f>
        <v/>
      </c>
      <c r="Q282" s="159" t="str">
        <f>IF(controls!$B$44=0,"",'external balance'!H281)</f>
        <v/>
      </c>
    </row>
    <row r="283" spans="1:17" ht="14" thickTop="1" thickBot="1">
      <c r="A283" s="15">
        <v>280</v>
      </c>
      <c r="B283" s="17">
        <f ca="1">('normal case'!D282-'normal case'!B282)/'normal case'!B282</f>
        <v>5.9014499777614481E-10</v>
      </c>
      <c r="C283" s="23">
        <f ca="1">'normal case'!D282</f>
        <v>101.00000005960464</v>
      </c>
      <c r="D283" s="24">
        <f ca="1">'normal case'!C282</f>
        <v>-1.5107707374006907E-7</v>
      </c>
      <c r="E283" s="22">
        <f ca="1">'normal case'!L282/100</f>
        <v>1.9999998807907104E-2</v>
      </c>
      <c r="F283" s="25">
        <f ca="1">'normal case'!U282/100</f>
        <v>5.499999850988388E-2</v>
      </c>
      <c r="G283" s="25">
        <f ca="1">'normal case'!T282/100</f>
        <v>3.4999999701976779E-2</v>
      </c>
      <c r="H283" s="25">
        <f ca="1">'public finance'!D281</f>
        <v>1.9802129779314939E-3</v>
      </c>
      <c r="I283" s="20">
        <f ca="1">'public finance'!E281</f>
        <v>26.253924780495439</v>
      </c>
      <c r="J283" s="118">
        <f ca="1">'public finance'!H281</f>
        <v>-750.05556545861384</v>
      </c>
      <c r="K283" s="17">
        <f ca="1">'public finance'!C281/'normal case'!D282</f>
        <v>0.19801980186333762</v>
      </c>
      <c r="L283" s="20">
        <f ca="1">'public finance'!A281/'normal case'!D282</f>
        <v>0.2</v>
      </c>
      <c r="M283" s="18" t="str">
        <f>IF(controls!$B$44=0,"",'normal case'!AJ282)</f>
        <v/>
      </c>
      <c r="N283" s="18" t="str">
        <f>IF(controls!$B$44=0,"",'normal case'!AM282)</f>
        <v/>
      </c>
      <c r="O283" s="160" t="str">
        <f>IF(controls!$B$44=0,"",'external balance'!D282)</f>
        <v/>
      </c>
      <c r="P283" s="160" t="str">
        <f>IF(controls!$B$44=0,"",'external balance'!F282)</f>
        <v/>
      </c>
      <c r="Q283" s="159" t="str">
        <f>IF(controls!$B$44=0,"",'external balance'!H282)</f>
        <v/>
      </c>
    </row>
    <row r="284" spans="1:17" ht="14" thickTop="1" thickBot="1">
      <c r="A284" s="15">
        <v>281</v>
      </c>
      <c r="B284" s="17">
        <f ca="1">('normal case'!D283-'normal case'!B283)/'normal case'!B283</f>
        <v>5.9014499777614481E-10</v>
      </c>
      <c r="C284" s="23">
        <f ca="1">'normal case'!D283</f>
        <v>101.00000005960464</v>
      </c>
      <c r="D284" s="24">
        <f ca="1">'normal case'!C283</f>
        <v>-1.5107707374006907E-7</v>
      </c>
      <c r="E284" s="22">
        <f ca="1">'normal case'!L283/100</f>
        <v>1.9999998807907104E-2</v>
      </c>
      <c r="F284" s="25">
        <f ca="1">'normal case'!U283/100</f>
        <v>5.499999850988388E-2</v>
      </c>
      <c r="G284" s="25">
        <f ca="1">'normal case'!T283/100</f>
        <v>3.4999999701976779E-2</v>
      </c>
      <c r="H284" s="25">
        <f ca="1">'public finance'!D282</f>
        <v>1.9802129779314939E-3</v>
      </c>
      <c r="I284" s="20">
        <f ca="1">'public finance'!E282</f>
        <v>27.172812139469052</v>
      </c>
      <c r="J284" s="118">
        <f ca="1">'public finance'!H282</f>
        <v>-776.30949022426785</v>
      </c>
      <c r="K284" s="17">
        <f ca="1">'public finance'!C282/'normal case'!D283</f>
        <v>0.19801980186333762</v>
      </c>
      <c r="L284" s="20">
        <f ca="1">'public finance'!A282/'normal case'!D283</f>
        <v>0.2</v>
      </c>
      <c r="M284" s="18" t="str">
        <f>IF(controls!$B$44=0,"",'normal case'!AJ283)</f>
        <v/>
      </c>
      <c r="N284" s="18" t="str">
        <f>IF(controls!$B$44=0,"",'normal case'!AM283)</f>
        <v/>
      </c>
      <c r="O284" s="160" t="str">
        <f>IF(controls!$B$44=0,"",'external balance'!D283)</f>
        <v/>
      </c>
      <c r="P284" s="160" t="str">
        <f>IF(controls!$B$44=0,"",'external balance'!F283)</f>
        <v/>
      </c>
      <c r="Q284" s="159" t="str">
        <f>IF(controls!$B$44=0,"",'external balance'!H283)</f>
        <v/>
      </c>
    </row>
    <row r="285" spans="1:17" ht="14" thickTop="1" thickBot="1">
      <c r="A285" s="15">
        <v>282</v>
      </c>
      <c r="B285" s="17">
        <f ca="1">('normal case'!D284-'normal case'!B284)/'normal case'!B284</f>
        <v>5.9014499777614481E-10</v>
      </c>
      <c r="C285" s="23">
        <f ca="1">'normal case'!D284</f>
        <v>101.00000005960464</v>
      </c>
      <c r="D285" s="24">
        <f ca="1">'normal case'!C284</f>
        <v>-1.5107707374006907E-7</v>
      </c>
      <c r="E285" s="22">
        <f ca="1">'normal case'!L284/100</f>
        <v>1.9999998807907104E-2</v>
      </c>
      <c r="F285" s="25">
        <f ca="1">'normal case'!U284/100</f>
        <v>5.499999850988388E-2</v>
      </c>
      <c r="G285" s="25">
        <f ca="1">'normal case'!T284/100</f>
        <v>3.4999999701976779E-2</v>
      </c>
      <c r="H285" s="25">
        <f ca="1">'public finance'!D283</f>
        <v>1.9802129779314939E-3</v>
      </c>
      <c r="I285" s="20">
        <f ca="1">'public finance'!E283</f>
        <v>28.123860555732893</v>
      </c>
      <c r="J285" s="118">
        <f ca="1">'public finance'!H283</f>
        <v>-803.48230234889559</v>
      </c>
      <c r="K285" s="17">
        <f ca="1">'public finance'!C283/'normal case'!D284</f>
        <v>0.19801980186333762</v>
      </c>
      <c r="L285" s="20">
        <f ca="1">'public finance'!A283/'normal case'!D284</f>
        <v>0.2</v>
      </c>
      <c r="M285" s="18" t="str">
        <f>IF(controls!$B$44=0,"",'normal case'!AJ284)</f>
        <v/>
      </c>
      <c r="N285" s="18" t="str">
        <f>IF(controls!$B$44=0,"",'normal case'!AM284)</f>
        <v/>
      </c>
      <c r="O285" s="160" t="str">
        <f>IF(controls!$B$44=0,"",'external balance'!D284)</f>
        <v/>
      </c>
      <c r="P285" s="160" t="str">
        <f>IF(controls!$B$44=0,"",'external balance'!F284)</f>
        <v/>
      </c>
      <c r="Q285" s="159" t="str">
        <f>IF(controls!$B$44=0,"",'external balance'!H284)</f>
        <v/>
      </c>
    </row>
    <row r="286" spans="1:17" ht="14" thickTop="1" thickBot="1">
      <c r="A286" s="15">
        <v>283</v>
      </c>
      <c r="B286" s="17">
        <f ca="1">('normal case'!D285-'normal case'!B285)/'normal case'!B285</f>
        <v>5.9014499777614481E-10</v>
      </c>
      <c r="C286" s="23">
        <f ca="1">'normal case'!D285</f>
        <v>101.00000005960464</v>
      </c>
      <c r="D286" s="24">
        <f ca="1">'normal case'!C285</f>
        <v>-1.5107707374006907E-7</v>
      </c>
      <c r="E286" s="22">
        <f ca="1">'normal case'!L285/100</f>
        <v>1.9999998807907104E-2</v>
      </c>
      <c r="F286" s="25">
        <f ca="1">'normal case'!U285/100</f>
        <v>5.499999850988388E-2</v>
      </c>
      <c r="G286" s="25">
        <f ca="1">'normal case'!T285/100</f>
        <v>3.4999999701976779E-2</v>
      </c>
      <c r="H286" s="25">
        <f ca="1">'public finance'!D284</f>
        <v>1.9802129779314939E-3</v>
      </c>
      <c r="I286" s="20">
        <f ca="1">'public finance'!E284</f>
        <v>29.10819566628253</v>
      </c>
      <c r="J286" s="118">
        <f ca="1">'public finance'!H284</f>
        <v>-831.60616288978713</v>
      </c>
      <c r="K286" s="17">
        <f ca="1">'public finance'!C284/'normal case'!D285</f>
        <v>0.19801980186333762</v>
      </c>
      <c r="L286" s="20">
        <f ca="1">'public finance'!A284/'normal case'!D285</f>
        <v>0.2</v>
      </c>
      <c r="M286" s="18" t="str">
        <f>IF(controls!$B$44=0,"",'normal case'!AJ285)</f>
        <v/>
      </c>
      <c r="N286" s="18" t="str">
        <f>IF(controls!$B$44=0,"",'normal case'!AM285)</f>
        <v/>
      </c>
      <c r="O286" s="160" t="str">
        <f>IF(controls!$B$44=0,"",'external balance'!D285)</f>
        <v/>
      </c>
      <c r="P286" s="160" t="str">
        <f>IF(controls!$B$44=0,"",'external balance'!F285)</f>
        <v/>
      </c>
      <c r="Q286" s="159" t="str">
        <f>IF(controls!$B$44=0,"",'external balance'!H285)</f>
        <v/>
      </c>
    </row>
    <row r="287" spans="1:17" ht="14" thickTop="1" thickBot="1">
      <c r="A287" s="15">
        <v>284</v>
      </c>
      <c r="B287" s="17">
        <f ca="1">('normal case'!D286-'normal case'!B286)/'normal case'!B286</f>
        <v>5.9014499777614481E-10</v>
      </c>
      <c r="C287" s="23">
        <f ca="1">'normal case'!D286</f>
        <v>101.00000005960464</v>
      </c>
      <c r="D287" s="24">
        <f ca="1">'normal case'!C286</f>
        <v>-1.5107707374006907E-7</v>
      </c>
      <c r="E287" s="22">
        <f ca="1">'normal case'!L286/100</f>
        <v>1.9999998807907104E-2</v>
      </c>
      <c r="F287" s="25">
        <f ca="1">'normal case'!U286/100</f>
        <v>5.499999850988388E-2</v>
      </c>
      <c r="G287" s="25">
        <f ca="1">'normal case'!T286/100</f>
        <v>3.4999999701976779E-2</v>
      </c>
      <c r="H287" s="25">
        <f ca="1">'public finance'!D285</f>
        <v>1.9802129779314939E-3</v>
      </c>
      <c r="I287" s="20">
        <f ca="1">'public finance'!E285</f>
        <v>30.126982505408055</v>
      </c>
      <c r="J287" s="118">
        <f ca="1">'public finance'!H285</f>
        <v>-860.71435854122831</v>
      </c>
      <c r="K287" s="17">
        <f ca="1">'public finance'!C285/'normal case'!D286</f>
        <v>0.19801980186333762</v>
      </c>
      <c r="L287" s="20">
        <f ca="1">'public finance'!A285/'normal case'!D286</f>
        <v>0.2</v>
      </c>
      <c r="M287" s="18" t="str">
        <f>IF(controls!$B$44=0,"",'normal case'!AJ286)</f>
        <v/>
      </c>
      <c r="N287" s="18" t="str">
        <f>IF(controls!$B$44=0,"",'normal case'!AM286)</f>
        <v/>
      </c>
      <c r="O287" s="160" t="str">
        <f>IF(controls!$B$44=0,"",'external balance'!D286)</f>
        <v/>
      </c>
      <c r="P287" s="160" t="str">
        <f>IF(controls!$B$44=0,"",'external balance'!F286)</f>
        <v/>
      </c>
      <c r="Q287" s="159" t="str">
        <f>IF(controls!$B$44=0,"",'external balance'!H286)</f>
        <v/>
      </c>
    </row>
    <row r="288" spans="1:17" ht="14" thickTop="1" thickBot="1">
      <c r="A288" s="15">
        <v>285</v>
      </c>
      <c r="B288" s="17">
        <f ca="1">('normal case'!D287-'normal case'!B287)/'normal case'!B287</f>
        <v>5.9014499777614481E-10</v>
      </c>
      <c r="C288" s="23">
        <f ca="1">'normal case'!D287</f>
        <v>101.00000005960464</v>
      </c>
      <c r="D288" s="24">
        <f ca="1">'normal case'!C287</f>
        <v>-1.5107707374006907E-7</v>
      </c>
      <c r="E288" s="22">
        <f ca="1">'normal case'!L287/100</f>
        <v>1.9999998807907104E-2</v>
      </c>
      <c r="F288" s="25">
        <f ca="1">'normal case'!U287/100</f>
        <v>5.499999850988388E-2</v>
      </c>
      <c r="G288" s="25">
        <f ca="1">'normal case'!T287/100</f>
        <v>3.4999999701976779E-2</v>
      </c>
      <c r="H288" s="25">
        <f ca="1">'public finance'!D286</f>
        <v>1.9802129779314939E-3</v>
      </c>
      <c r="I288" s="20">
        <f ca="1">'public finance'!E286</f>
        <v>31.181426883599347</v>
      </c>
      <c r="J288" s="118">
        <f ca="1">'public finance'!H286</f>
        <v>-890.84134103179497</v>
      </c>
      <c r="K288" s="17">
        <f ca="1">'public finance'!C286/'normal case'!D287</f>
        <v>0.19801980186333762</v>
      </c>
      <c r="L288" s="20">
        <f ca="1">'public finance'!A286/'normal case'!D287</f>
        <v>0.2</v>
      </c>
      <c r="M288" s="18" t="str">
        <f>IF(controls!$B$44=0,"",'normal case'!AJ287)</f>
        <v/>
      </c>
      <c r="N288" s="18" t="str">
        <f>IF(controls!$B$44=0,"",'normal case'!AM287)</f>
        <v/>
      </c>
      <c r="O288" s="160" t="str">
        <f>IF(controls!$B$44=0,"",'external balance'!D287)</f>
        <v/>
      </c>
      <c r="P288" s="160" t="str">
        <f>IF(controls!$B$44=0,"",'external balance'!F287)</f>
        <v/>
      </c>
      <c r="Q288" s="159" t="str">
        <f>IF(controls!$B$44=0,"",'external balance'!H287)</f>
        <v/>
      </c>
    </row>
    <row r="289" spans="1:17" ht="14" thickTop="1" thickBot="1">
      <c r="A289" s="15">
        <v>286</v>
      </c>
      <c r="B289" s="17">
        <f ca="1">('normal case'!D288-'normal case'!B288)/'normal case'!B288</f>
        <v>5.9014499777614481E-10</v>
      </c>
      <c r="C289" s="23">
        <f ca="1">'normal case'!D288</f>
        <v>101.00000005960464</v>
      </c>
      <c r="D289" s="24">
        <f ca="1">'normal case'!C288</f>
        <v>-1.5107707374006907E-7</v>
      </c>
      <c r="E289" s="22">
        <f ca="1">'normal case'!L288/100</f>
        <v>1.9999998807907104E-2</v>
      </c>
      <c r="F289" s="25">
        <f ca="1">'normal case'!U288/100</f>
        <v>5.499999850988388E-2</v>
      </c>
      <c r="G289" s="25">
        <f ca="1">'normal case'!T288/100</f>
        <v>3.4999999701976779E-2</v>
      </c>
      <c r="H289" s="25">
        <f ca="1">'public finance'!D287</f>
        <v>1.9802129779314939E-3</v>
      </c>
      <c r="I289" s="20">
        <f ca="1">'public finance'!E287</f>
        <v>32.27277681471309</v>
      </c>
      <c r="J289" s="118">
        <f ca="1">'public finance'!H287</f>
        <v>-922.02276790055294</v>
      </c>
      <c r="K289" s="17">
        <f ca="1">'public finance'!C287/'normal case'!D288</f>
        <v>0.19801980186333762</v>
      </c>
      <c r="L289" s="20">
        <f ca="1">'public finance'!A287/'normal case'!D288</f>
        <v>0.2</v>
      </c>
      <c r="M289" s="18" t="str">
        <f>IF(controls!$B$44=0,"",'normal case'!AJ288)</f>
        <v/>
      </c>
      <c r="N289" s="18" t="str">
        <f>IF(controls!$B$44=0,"",'normal case'!AM288)</f>
        <v/>
      </c>
      <c r="O289" s="160" t="str">
        <f>IF(controls!$B$44=0,"",'external balance'!D288)</f>
        <v/>
      </c>
      <c r="P289" s="160" t="str">
        <f>IF(controls!$B$44=0,"",'external balance'!F288)</f>
        <v/>
      </c>
      <c r="Q289" s="159" t="str">
        <f>IF(controls!$B$44=0,"",'external balance'!H288)</f>
        <v/>
      </c>
    </row>
    <row r="290" spans="1:17" ht="14" thickTop="1" thickBot="1">
      <c r="A290" s="15">
        <v>287</v>
      </c>
      <c r="B290" s="17">
        <f ca="1">('normal case'!D289-'normal case'!B289)/'normal case'!B289</f>
        <v>5.9014499777614481E-10</v>
      </c>
      <c r="C290" s="23">
        <f ca="1">'normal case'!D289</f>
        <v>101.00000005960464</v>
      </c>
      <c r="D290" s="24">
        <f ca="1">'normal case'!C289</f>
        <v>-1.5107707374006907E-7</v>
      </c>
      <c r="E290" s="22">
        <f ca="1">'normal case'!L289/100</f>
        <v>1.9999998807907104E-2</v>
      </c>
      <c r="F290" s="25">
        <f ca="1">'normal case'!U289/100</f>
        <v>5.499999850988388E-2</v>
      </c>
      <c r="G290" s="25">
        <f ca="1">'normal case'!T289/100</f>
        <v>3.4999999701976779E-2</v>
      </c>
      <c r="H290" s="25">
        <f ca="1">'public finance'!D288</f>
        <v>1.9802129779314939E-3</v>
      </c>
      <c r="I290" s="20">
        <f ca="1">'public finance'!E288</f>
        <v>33.402323993090569</v>
      </c>
      <c r="J290" s="118">
        <f ca="1">'public finance'!H288</f>
        <v>-954.29554470042467</v>
      </c>
      <c r="K290" s="17">
        <f ca="1">'public finance'!C288/'normal case'!D289</f>
        <v>0.19801980186333762</v>
      </c>
      <c r="L290" s="20">
        <f ca="1">'public finance'!A288/'normal case'!D289</f>
        <v>0.2</v>
      </c>
      <c r="M290" s="18" t="str">
        <f>IF(controls!$B$44=0,"",'normal case'!AJ289)</f>
        <v/>
      </c>
      <c r="N290" s="18" t="str">
        <f>IF(controls!$B$44=0,"",'normal case'!AM289)</f>
        <v/>
      </c>
      <c r="O290" s="160" t="str">
        <f>IF(controls!$B$44=0,"",'external balance'!D289)</f>
        <v/>
      </c>
      <c r="P290" s="160" t="str">
        <f>IF(controls!$B$44=0,"",'external balance'!F289)</f>
        <v/>
      </c>
      <c r="Q290" s="159" t="str">
        <f>IF(controls!$B$44=0,"",'external balance'!H289)</f>
        <v/>
      </c>
    </row>
    <row r="291" spans="1:17" ht="14" thickTop="1" thickBot="1">
      <c r="A291" s="15">
        <v>288</v>
      </c>
      <c r="B291" s="17">
        <f ca="1">('normal case'!D290-'normal case'!B290)/'normal case'!B290</f>
        <v>5.9014499777614481E-10</v>
      </c>
      <c r="C291" s="23">
        <f ca="1">'normal case'!D290</f>
        <v>101.00000005960464</v>
      </c>
      <c r="D291" s="24">
        <f ca="1">'normal case'!C290</f>
        <v>-1.5107707374006907E-7</v>
      </c>
      <c r="E291" s="22">
        <f ca="1">'normal case'!L290/100</f>
        <v>1.9999998807907104E-2</v>
      </c>
      <c r="F291" s="25">
        <f ca="1">'normal case'!U290/100</f>
        <v>5.499999850988388E-2</v>
      </c>
      <c r="G291" s="25">
        <f ca="1">'normal case'!T290/100</f>
        <v>3.4999999701976779E-2</v>
      </c>
      <c r="H291" s="25">
        <f ca="1">'public finance'!D289</f>
        <v>1.9802129779314939E-3</v>
      </c>
      <c r="I291" s="20">
        <f ca="1">'public finance'!E289</f>
        <v>34.571405322374623</v>
      </c>
      <c r="J291" s="118">
        <f ca="1">'public finance'!H289</f>
        <v>-987.6978686786739</v>
      </c>
      <c r="K291" s="17">
        <f ca="1">'public finance'!C289/'normal case'!D290</f>
        <v>0.19801980186333762</v>
      </c>
      <c r="L291" s="20">
        <f ca="1">'public finance'!A289/'normal case'!D290</f>
        <v>0.2</v>
      </c>
      <c r="M291" s="18" t="str">
        <f>IF(controls!$B$44=0,"",'normal case'!AJ290)</f>
        <v/>
      </c>
      <c r="N291" s="18" t="str">
        <f>IF(controls!$B$44=0,"",'normal case'!AM290)</f>
        <v/>
      </c>
      <c r="O291" s="160" t="str">
        <f>IF(controls!$B$44=0,"",'external balance'!D290)</f>
        <v/>
      </c>
      <c r="P291" s="160" t="str">
        <f>IF(controls!$B$44=0,"",'external balance'!F290)</f>
        <v/>
      </c>
      <c r="Q291" s="159" t="str">
        <f>IF(controls!$B$44=0,"",'external balance'!H290)</f>
        <v/>
      </c>
    </row>
    <row r="292" spans="1:17" ht="14" thickTop="1" thickBot="1">
      <c r="A292" s="15">
        <v>289</v>
      </c>
      <c r="B292" s="17">
        <f ca="1">('normal case'!D291-'normal case'!B291)/'normal case'!B291</f>
        <v>5.9014499777614481E-10</v>
      </c>
      <c r="C292" s="23">
        <f ca="1">'normal case'!D291</f>
        <v>101.00000005960464</v>
      </c>
      <c r="D292" s="24">
        <f ca="1">'normal case'!C291</f>
        <v>-1.5107707374006907E-7</v>
      </c>
      <c r="E292" s="22">
        <f ca="1">'normal case'!L291/100</f>
        <v>1.9999998807907104E-2</v>
      </c>
      <c r="F292" s="25">
        <f ca="1">'normal case'!U291/100</f>
        <v>5.499999850988388E-2</v>
      </c>
      <c r="G292" s="25">
        <f ca="1">'normal case'!T291/100</f>
        <v>3.4999999701976779E-2</v>
      </c>
      <c r="H292" s="25">
        <f ca="1">'public finance'!D290</f>
        <v>1.9802129779314939E-3</v>
      </c>
      <c r="I292" s="20">
        <f ca="1">'public finance'!E290</f>
        <v>35.781404497835204</v>
      </c>
      <c r="J292" s="118">
        <f ca="1">'public finance'!H290</f>
        <v>-1022.2692739862072</v>
      </c>
      <c r="K292" s="17">
        <f ca="1">'public finance'!C290/'normal case'!D291</f>
        <v>0.19801980186333762</v>
      </c>
      <c r="L292" s="20">
        <f ca="1">'public finance'!A290/'normal case'!D291</f>
        <v>0.2</v>
      </c>
      <c r="M292" s="18" t="str">
        <f>IF(controls!$B$44=0,"",'normal case'!AJ291)</f>
        <v/>
      </c>
      <c r="N292" s="18" t="str">
        <f>IF(controls!$B$44=0,"",'normal case'!AM291)</f>
        <v/>
      </c>
      <c r="O292" s="160" t="str">
        <f>IF(controls!$B$44=0,"",'external balance'!D291)</f>
        <v/>
      </c>
      <c r="P292" s="160" t="str">
        <f>IF(controls!$B$44=0,"",'external balance'!F291)</f>
        <v/>
      </c>
      <c r="Q292" s="159" t="str">
        <f>IF(controls!$B$44=0,"",'external balance'!H291)</f>
        <v/>
      </c>
    </row>
    <row r="293" spans="1:17" ht="14" thickTop="1" thickBot="1">
      <c r="A293" s="15">
        <v>290</v>
      </c>
      <c r="B293" s="17">
        <f ca="1">('normal case'!D292-'normal case'!B292)/'normal case'!B292</f>
        <v>5.9014499777614481E-10</v>
      </c>
      <c r="C293" s="23">
        <f ca="1">'normal case'!D292</f>
        <v>101.00000005960464</v>
      </c>
      <c r="D293" s="24">
        <f ca="1">'normal case'!C292</f>
        <v>-1.5107707374006907E-7</v>
      </c>
      <c r="E293" s="22">
        <f ca="1">'normal case'!L292/100</f>
        <v>1.9999998807907104E-2</v>
      </c>
      <c r="F293" s="25">
        <f ca="1">'normal case'!U292/100</f>
        <v>5.499999850988388E-2</v>
      </c>
      <c r="G293" s="25">
        <f ca="1">'normal case'!T292/100</f>
        <v>3.4999999701976779E-2</v>
      </c>
      <c r="H293" s="25">
        <f ca="1">'public finance'!D291</f>
        <v>1.9802129779314939E-3</v>
      </c>
      <c r="I293" s="20">
        <f ca="1">'public finance'!E291</f>
        <v>37.033753644076292</v>
      </c>
      <c r="J293" s="118">
        <f ca="1">'public finance'!H291</f>
        <v>-1058.0506784692009</v>
      </c>
      <c r="K293" s="17">
        <f ca="1">'public finance'!C291/'normal case'!D292</f>
        <v>0.19801980186333762</v>
      </c>
      <c r="L293" s="20">
        <f ca="1">'public finance'!A291/'normal case'!D292</f>
        <v>0.2</v>
      </c>
      <c r="M293" s="18" t="str">
        <f>IF(controls!$B$44=0,"",'normal case'!AJ292)</f>
        <v/>
      </c>
      <c r="N293" s="18" t="str">
        <f>IF(controls!$B$44=0,"",'normal case'!AM292)</f>
        <v/>
      </c>
      <c r="O293" s="160" t="str">
        <f>IF(controls!$B$44=0,"",'external balance'!D292)</f>
        <v/>
      </c>
      <c r="P293" s="160" t="str">
        <f>IF(controls!$B$44=0,"",'external balance'!F292)</f>
        <v/>
      </c>
      <c r="Q293" s="159" t="str">
        <f>IF(controls!$B$44=0,"",'external balance'!H292)</f>
        <v/>
      </c>
    </row>
    <row r="294" spans="1:17" ht="14" thickTop="1" thickBot="1">
      <c r="A294" s="15">
        <v>291</v>
      </c>
      <c r="B294" s="17">
        <f ca="1">('normal case'!D293-'normal case'!B293)/'normal case'!B293</f>
        <v>5.9014499777614481E-10</v>
      </c>
      <c r="C294" s="23">
        <f ca="1">'normal case'!D293</f>
        <v>101.00000005960464</v>
      </c>
      <c r="D294" s="24">
        <f ca="1">'normal case'!C293</f>
        <v>-1.5107707374006907E-7</v>
      </c>
      <c r="E294" s="22">
        <f ca="1">'normal case'!L293/100</f>
        <v>1.9999998807907104E-2</v>
      </c>
      <c r="F294" s="25">
        <f ca="1">'normal case'!U293/100</f>
        <v>5.499999850988388E-2</v>
      </c>
      <c r="G294" s="25">
        <f ca="1">'normal case'!T293/100</f>
        <v>3.4999999701976779E-2</v>
      </c>
      <c r="H294" s="25">
        <f ca="1">'public finance'!D292</f>
        <v>1.9802129779314939E-3</v>
      </c>
      <c r="I294" s="20">
        <f ca="1">'public finance'!E292</f>
        <v>38.329935010062599</v>
      </c>
      <c r="J294" s="118">
        <f ca="1">'public finance'!H292</f>
        <v>-1095.0844320984359</v>
      </c>
      <c r="K294" s="17">
        <f ca="1">'public finance'!C292/'normal case'!D293</f>
        <v>0.19801980186333762</v>
      </c>
      <c r="L294" s="20">
        <f ca="1">'public finance'!A292/'normal case'!D293</f>
        <v>0.2</v>
      </c>
      <c r="M294" s="18" t="str">
        <f>IF(controls!$B$44=0,"",'normal case'!AJ293)</f>
        <v/>
      </c>
      <c r="N294" s="18" t="str">
        <f>IF(controls!$B$44=0,"",'normal case'!AM293)</f>
        <v/>
      </c>
      <c r="O294" s="160" t="str">
        <f>IF(controls!$B$44=0,"",'external balance'!D293)</f>
        <v/>
      </c>
      <c r="P294" s="160" t="str">
        <f>IF(controls!$B$44=0,"",'external balance'!F293)</f>
        <v/>
      </c>
      <c r="Q294" s="159" t="str">
        <f>IF(controls!$B$44=0,"",'external balance'!H293)</f>
        <v/>
      </c>
    </row>
    <row r="295" spans="1:17" ht="14" thickTop="1" thickBot="1">
      <c r="A295" s="15">
        <v>292</v>
      </c>
      <c r="B295" s="17">
        <f ca="1">('normal case'!D294-'normal case'!B294)/'normal case'!B294</f>
        <v>5.9014499777614481E-10</v>
      </c>
      <c r="C295" s="23">
        <f ca="1">'normal case'!D294</f>
        <v>101.00000005960464</v>
      </c>
      <c r="D295" s="24">
        <f ca="1">'normal case'!C294</f>
        <v>-1.5107707374006907E-7</v>
      </c>
      <c r="E295" s="22">
        <f ca="1">'normal case'!L294/100</f>
        <v>1.9999998807907104E-2</v>
      </c>
      <c r="F295" s="25">
        <f ca="1">'normal case'!U294/100</f>
        <v>5.499999850988388E-2</v>
      </c>
      <c r="G295" s="25">
        <f ca="1">'normal case'!T294/100</f>
        <v>3.4999999701976779E-2</v>
      </c>
      <c r="H295" s="25">
        <f ca="1">'public finance'!D293</f>
        <v>1.9802129779314939E-3</v>
      </c>
      <c r="I295" s="20">
        <f ca="1">'public finance'!E293</f>
        <v>39.671482723472138</v>
      </c>
      <c r="J295" s="118">
        <f ca="1">'public finance'!H293</f>
        <v>-1133.4143670936571</v>
      </c>
      <c r="K295" s="17">
        <f ca="1">'public finance'!C293/'normal case'!D294</f>
        <v>0.19801980186333762</v>
      </c>
      <c r="L295" s="20">
        <f ca="1">'public finance'!A293/'normal case'!D294</f>
        <v>0.2</v>
      </c>
      <c r="M295" s="18" t="str">
        <f>IF(controls!$B$44=0,"",'normal case'!AJ294)</f>
        <v/>
      </c>
      <c r="N295" s="18" t="str">
        <f>IF(controls!$B$44=0,"",'normal case'!AM294)</f>
        <v/>
      </c>
      <c r="O295" s="160" t="str">
        <f>IF(controls!$B$44=0,"",'external balance'!D294)</f>
        <v/>
      </c>
      <c r="P295" s="160" t="str">
        <f>IF(controls!$B$44=0,"",'external balance'!F294)</f>
        <v/>
      </c>
      <c r="Q295" s="159" t="str">
        <f>IF(controls!$B$44=0,"",'external balance'!H294)</f>
        <v/>
      </c>
    </row>
    <row r="296" spans="1:17" ht="14" thickTop="1" thickBot="1">
      <c r="A296" s="15">
        <v>293</v>
      </c>
      <c r="B296" s="17">
        <f ca="1">('normal case'!D295-'normal case'!B295)/'normal case'!B295</f>
        <v>5.9014499777614481E-10</v>
      </c>
      <c r="C296" s="23">
        <f ca="1">'normal case'!D295</f>
        <v>101.00000005960464</v>
      </c>
      <c r="D296" s="24">
        <f ca="1">'normal case'!C295</f>
        <v>-1.5107707374006907E-7</v>
      </c>
      <c r="E296" s="22">
        <f ca="1">'normal case'!L295/100</f>
        <v>1.9999998807907104E-2</v>
      </c>
      <c r="F296" s="25">
        <f ca="1">'normal case'!U295/100</f>
        <v>5.499999850988388E-2</v>
      </c>
      <c r="G296" s="25">
        <f ca="1">'normal case'!T295/100</f>
        <v>3.4999999701976779E-2</v>
      </c>
      <c r="H296" s="25">
        <f ca="1">'public finance'!D294</f>
        <v>1.9802129779314939E-3</v>
      </c>
      <c r="I296" s="20">
        <f ca="1">'public finance'!E294</f>
        <v>41.059984606451188</v>
      </c>
      <c r="J296" s="118">
        <f ca="1">'public finance'!H294</f>
        <v>-1173.0858498022881</v>
      </c>
      <c r="K296" s="17">
        <f ca="1">'public finance'!C294/'normal case'!D295</f>
        <v>0.19801980186333762</v>
      </c>
      <c r="L296" s="20">
        <f ca="1">'public finance'!A294/'normal case'!D295</f>
        <v>0.2</v>
      </c>
      <c r="M296" s="18" t="str">
        <f>IF(controls!$B$44=0,"",'normal case'!AJ295)</f>
        <v/>
      </c>
      <c r="N296" s="18" t="str">
        <f>IF(controls!$B$44=0,"",'normal case'!AM295)</f>
        <v/>
      </c>
      <c r="O296" s="160" t="str">
        <f>IF(controls!$B$44=0,"",'external balance'!D295)</f>
        <v/>
      </c>
      <c r="P296" s="160" t="str">
        <f>IF(controls!$B$44=0,"",'external balance'!F295)</f>
        <v/>
      </c>
      <c r="Q296" s="159" t="str">
        <f>IF(controls!$B$44=0,"",'external balance'!H295)</f>
        <v/>
      </c>
    </row>
    <row r="297" spans="1:17" ht="14" thickTop="1" thickBot="1">
      <c r="A297" s="15">
        <v>294</v>
      </c>
      <c r="B297" s="17">
        <f ca="1">('normal case'!D296-'normal case'!B296)/'normal case'!B296</f>
        <v>5.9014499777614481E-10</v>
      </c>
      <c r="C297" s="23">
        <f ca="1">'normal case'!D296</f>
        <v>101.00000005960464</v>
      </c>
      <c r="D297" s="24">
        <f ca="1">'normal case'!C296</f>
        <v>-1.5107707374006907E-7</v>
      </c>
      <c r="E297" s="22">
        <f ca="1">'normal case'!L296/100</f>
        <v>1.9999998807907104E-2</v>
      </c>
      <c r="F297" s="25">
        <f ca="1">'normal case'!U296/100</f>
        <v>5.499999850988388E-2</v>
      </c>
      <c r="G297" s="25">
        <f ca="1">'normal case'!T296/100</f>
        <v>3.4999999701976779E-2</v>
      </c>
      <c r="H297" s="25">
        <f ca="1">'public finance'!D295</f>
        <v>1.9802129779314939E-3</v>
      </c>
      <c r="I297" s="20">
        <f ca="1">'public finance'!E295</f>
        <v>42.497084054920705</v>
      </c>
      <c r="J297" s="118">
        <f ca="1">'public finance'!H295</f>
        <v>-1214.1458343938978</v>
      </c>
      <c r="K297" s="17">
        <f ca="1">'public finance'!C295/'normal case'!D296</f>
        <v>0.19801980186333762</v>
      </c>
      <c r="L297" s="20">
        <f ca="1">'public finance'!A295/'normal case'!D296</f>
        <v>0.2</v>
      </c>
      <c r="M297" s="18" t="str">
        <f>IF(controls!$B$44=0,"",'normal case'!AJ296)</f>
        <v/>
      </c>
      <c r="N297" s="18" t="str">
        <f>IF(controls!$B$44=0,"",'normal case'!AM296)</f>
        <v/>
      </c>
      <c r="O297" s="160" t="str">
        <f>IF(controls!$B$44=0,"",'external balance'!D296)</f>
        <v/>
      </c>
      <c r="P297" s="160" t="str">
        <f>IF(controls!$B$44=0,"",'external balance'!F296)</f>
        <v/>
      </c>
      <c r="Q297" s="159" t="str">
        <f>IF(controls!$B$44=0,"",'external balance'!H296)</f>
        <v/>
      </c>
    </row>
    <row r="298" spans="1:17" ht="14" thickTop="1" thickBot="1">
      <c r="A298" s="15">
        <v>295</v>
      </c>
      <c r="B298" s="17">
        <f ca="1">('normal case'!D297-'normal case'!B297)/'normal case'!B297</f>
        <v>5.9014499777614481E-10</v>
      </c>
      <c r="C298" s="23">
        <f ca="1">'normal case'!D297</f>
        <v>101.00000005960464</v>
      </c>
      <c r="D298" s="24">
        <f ca="1">'normal case'!C297</f>
        <v>-1.5107707374006907E-7</v>
      </c>
      <c r="E298" s="22">
        <f ca="1">'normal case'!L297/100</f>
        <v>1.9999998807907104E-2</v>
      </c>
      <c r="F298" s="25">
        <f ca="1">'normal case'!U297/100</f>
        <v>5.499999850988388E-2</v>
      </c>
      <c r="G298" s="25">
        <f ca="1">'normal case'!T297/100</f>
        <v>3.4999999701976779E-2</v>
      </c>
      <c r="H298" s="25">
        <f ca="1">'public finance'!D296</f>
        <v>1.9802129779314939E-3</v>
      </c>
      <c r="I298" s="20">
        <f ca="1">'public finance'!E296</f>
        <v>43.984481983658362</v>
      </c>
      <c r="J298" s="118">
        <f ca="1">'public finance'!H296</f>
        <v>-1256.6429184339772</v>
      </c>
      <c r="K298" s="17">
        <f ca="1">'public finance'!C296/'normal case'!D297</f>
        <v>0.19801980186333762</v>
      </c>
      <c r="L298" s="20">
        <f ca="1">'public finance'!A296/'normal case'!D297</f>
        <v>0.2</v>
      </c>
      <c r="M298" s="18" t="str">
        <f>IF(controls!$B$44=0,"",'normal case'!AJ297)</f>
        <v/>
      </c>
      <c r="N298" s="18" t="str">
        <f>IF(controls!$B$44=0,"",'normal case'!AM297)</f>
        <v/>
      </c>
      <c r="O298" s="160" t="str">
        <f>IF(controls!$B$44=0,"",'external balance'!D297)</f>
        <v/>
      </c>
      <c r="P298" s="160" t="str">
        <f>IF(controls!$B$44=0,"",'external balance'!F297)</f>
        <v/>
      </c>
      <c r="Q298" s="159" t="str">
        <f>IF(controls!$B$44=0,"",'external balance'!H297)</f>
        <v/>
      </c>
    </row>
    <row r="299" spans="1:17" ht="14" thickTop="1" thickBot="1">
      <c r="A299" s="15">
        <v>296</v>
      </c>
      <c r="B299" s="17">
        <f ca="1">('normal case'!D298-'normal case'!B298)/'normal case'!B298</f>
        <v>5.9014499777614481E-10</v>
      </c>
      <c r="C299" s="23">
        <f ca="1">'normal case'!D298</f>
        <v>101.00000005960464</v>
      </c>
      <c r="D299" s="24">
        <f ca="1">'normal case'!C298</f>
        <v>-1.5107707374006907E-7</v>
      </c>
      <c r="E299" s="22">
        <f ca="1">'normal case'!L298/100</f>
        <v>1.9999998807907104E-2</v>
      </c>
      <c r="F299" s="25">
        <f ca="1">'normal case'!U298/100</f>
        <v>5.499999850988388E-2</v>
      </c>
      <c r="G299" s="25">
        <f ca="1">'normal case'!T298/100</f>
        <v>3.4999999701976779E-2</v>
      </c>
      <c r="H299" s="25">
        <f ca="1">'public finance'!D297</f>
        <v>1.9802129779314939E-3</v>
      </c>
      <c r="I299" s="20">
        <f ca="1">'public finance'!E297</f>
        <v>45.523938839458559</v>
      </c>
      <c r="J299" s="118">
        <f ca="1">'public finance'!H297</f>
        <v>-1300.6274004027941</v>
      </c>
      <c r="K299" s="17">
        <f ca="1">'public finance'!C297/'normal case'!D298</f>
        <v>0.19801980186333762</v>
      </c>
      <c r="L299" s="20">
        <f ca="1">'public finance'!A297/'normal case'!D298</f>
        <v>0.2</v>
      </c>
      <c r="M299" s="18" t="str">
        <f>IF(controls!$B$44=0,"",'normal case'!AJ298)</f>
        <v/>
      </c>
      <c r="N299" s="18" t="str">
        <f>IF(controls!$B$44=0,"",'normal case'!AM298)</f>
        <v/>
      </c>
      <c r="O299" s="160" t="str">
        <f>IF(controls!$B$44=0,"",'external balance'!D298)</f>
        <v/>
      </c>
      <c r="P299" s="160" t="str">
        <f>IF(controls!$B$44=0,"",'external balance'!F298)</f>
        <v/>
      </c>
      <c r="Q299" s="159" t="str">
        <f>IF(controls!$B$44=0,"",'external balance'!H298)</f>
        <v/>
      </c>
    </row>
    <row r="300" spans="1:17" ht="14" thickTop="1" thickBot="1">
      <c r="A300" s="15">
        <v>297</v>
      </c>
      <c r="B300" s="17">
        <f ca="1">('normal case'!D299-'normal case'!B299)/'normal case'!B299</f>
        <v>5.9014499777614481E-10</v>
      </c>
      <c r="C300" s="23">
        <f ca="1">'normal case'!D299</f>
        <v>101.00000005960464</v>
      </c>
      <c r="D300" s="24">
        <f ca="1">'normal case'!C299</f>
        <v>-1.5107707374006907E-7</v>
      </c>
      <c r="E300" s="22">
        <f ca="1">'normal case'!L299/100</f>
        <v>1.9999998807907104E-2</v>
      </c>
      <c r="F300" s="25">
        <f ca="1">'normal case'!U299/100</f>
        <v>5.499999850988388E-2</v>
      </c>
      <c r="G300" s="25">
        <f ca="1">'normal case'!T299/100</f>
        <v>3.4999999701976779E-2</v>
      </c>
      <c r="H300" s="25">
        <f ca="1">'public finance'!D298</f>
        <v>1.9802129779314939E-3</v>
      </c>
      <c r="I300" s="20">
        <f ca="1">'public finance'!E298</f>
        <v>47.117276684752966</v>
      </c>
      <c r="J300" s="118">
        <f ca="1">'public finance'!H298</f>
        <v>-1346.1513392274112</v>
      </c>
      <c r="K300" s="17">
        <f ca="1">'public finance'!C298/'normal case'!D299</f>
        <v>0.19801980186333762</v>
      </c>
      <c r="L300" s="20">
        <f ca="1">'public finance'!A298/'normal case'!D299</f>
        <v>0.2</v>
      </c>
      <c r="M300" s="18" t="str">
        <f>IF(controls!$B$44=0,"",'normal case'!AJ299)</f>
        <v/>
      </c>
      <c r="N300" s="18" t="str">
        <f>IF(controls!$B$44=0,"",'normal case'!AM299)</f>
        <v/>
      </c>
      <c r="O300" s="160" t="str">
        <f>IF(controls!$B$44=0,"",'external balance'!D299)</f>
        <v/>
      </c>
      <c r="P300" s="160" t="str">
        <f>IF(controls!$B$44=0,"",'external balance'!F299)</f>
        <v/>
      </c>
      <c r="Q300" s="159" t="str">
        <f>IF(controls!$B$44=0,"",'external balance'!H299)</f>
        <v/>
      </c>
    </row>
    <row r="301" spans="1:17" ht="14" thickTop="1" thickBot="1">
      <c r="A301" s="15">
        <v>298</v>
      </c>
      <c r="B301" s="17">
        <f ca="1">('normal case'!D300-'normal case'!B300)/'normal case'!B300</f>
        <v>5.9014499777614481E-10</v>
      </c>
      <c r="C301" s="23">
        <f ca="1">'normal case'!D300</f>
        <v>101.00000005960464</v>
      </c>
      <c r="D301" s="24">
        <f ca="1">'normal case'!C300</f>
        <v>-1.5107707374006907E-7</v>
      </c>
      <c r="E301" s="22">
        <f ca="1">'normal case'!L300/100</f>
        <v>1.9999998807907104E-2</v>
      </c>
      <c r="F301" s="25">
        <f ca="1">'normal case'!U300/100</f>
        <v>5.499999850988388E-2</v>
      </c>
      <c r="G301" s="25">
        <f ca="1">'normal case'!T300/100</f>
        <v>3.4999999701976779E-2</v>
      </c>
      <c r="H301" s="25">
        <f ca="1">'public finance'!D299</f>
        <v>1.9802129779314939E-3</v>
      </c>
      <c r="I301" s="20">
        <f ca="1">'public finance'!E299</f>
        <v>48.766381354157829</v>
      </c>
      <c r="J301" s="118">
        <f ca="1">'public finance'!H299</f>
        <v>-1393.2686158973227</v>
      </c>
      <c r="K301" s="17">
        <f ca="1">'public finance'!C299/'normal case'!D300</f>
        <v>0.19801980186333762</v>
      </c>
      <c r="L301" s="20">
        <f ca="1">'public finance'!A299/'normal case'!D300</f>
        <v>0.2</v>
      </c>
      <c r="M301" s="18" t="str">
        <f>IF(controls!$B$44=0,"",'normal case'!AJ300)</f>
        <v/>
      </c>
      <c r="N301" s="18" t="str">
        <f>IF(controls!$B$44=0,"",'normal case'!AM300)</f>
        <v/>
      </c>
      <c r="O301" s="160" t="str">
        <f>IF(controls!$B$44=0,"",'external balance'!D300)</f>
        <v/>
      </c>
      <c r="P301" s="160" t="str">
        <f>IF(controls!$B$44=0,"",'external balance'!F300)</f>
        <v/>
      </c>
      <c r="Q301" s="159" t="str">
        <f>IF(controls!$B$44=0,"",'external balance'!H300)</f>
        <v/>
      </c>
    </row>
    <row r="302" spans="1:17" ht="14" thickTop="1" thickBot="1">
      <c r="A302" s="15">
        <v>299</v>
      </c>
      <c r="B302" s="17">
        <f ca="1">('normal case'!D301-'normal case'!B301)/'normal case'!B301</f>
        <v>5.9014499777614481E-10</v>
      </c>
      <c r="C302" s="23">
        <f ca="1">'normal case'!D301</f>
        <v>101.00000005960464</v>
      </c>
      <c r="D302" s="24">
        <f ca="1">'normal case'!C301</f>
        <v>-1.5107707374006907E-7</v>
      </c>
      <c r="E302" s="22">
        <f ca="1">'normal case'!L301/100</f>
        <v>1.9999998807907104E-2</v>
      </c>
      <c r="F302" s="25">
        <f ca="1">'normal case'!U301/100</f>
        <v>5.499999850988388E-2</v>
      </c>
      <c r="G302" s="25">
        <f ca="1">'normal case'!T301/100</f>
        <v>3.4999999701976779E-2</v>
      </c>
      <c r="H302" s="25">
        <f ca="1">'public finance'!D300</f>
        <v>1.9802129779314939E-3</v>
      </c>
      <c r="I302" s="20">
        <f ca="1">'public finance'!E300</f>
        <v>50.473204686500395</v>
      </c>
      <c r="J302" s="118">
        <f ca="1">'public finance'!H300</f>
        <v>-1442.0349972366394</v>
      </c>
      <c r="K302" s="17">
        <f ca="1">'public finance'!C300/'normal case'!D301</f>
        <v>0.19801980186333762</v>
      </c>
      <c r="L302" s="20">
        <f ca="1">'public finance'!A300/'normal case'!D301</f>
        <v>0.2</v>
      </c>
      <c r="M302" s="18" t="str">
        <f>IF(controls!$B$44=0,"",'normal case'!AJ301)</f>
        <v/>
      </c>
      <c r="N302" s="18" t="str">
        <f>IF(controls!$B$44=0,"",'normal case'!AM301)</f>
        <v/>
      </c>
      <c r="O302" s="160" t="str">
        <f>IF(controls!$B$44=0,"",'external balance'!D301)</f>
        <v/>
      </c>
      <c r="P302" s="160" t="str">
        <f>IF(controls!$B$44=0,"",'external balance'!F301)</f>
        <v/>
      </c>
      <c r="Q302" s="159" t="str">
        <f>IF(controls!$B$44=0,"",'external balance'!H301)</f>
        <v/>
      </c>
    </row>
    <row r="303" spans="1:17" ht="14" thickTop="1" thickBot="1">
      <c r="A303" s="15">
        <v>300</v>
      </c>
      <c r="B303" s="17">
        <f ca="1">('normal case'!D302-'normal case'!B302)/'normal case'!B302</f>
        <v>5.9014499777614481E-10</v>
      </c>
      <c r="C303" s="23">
        <f ca="1">'normal case'!D302</f>
        <v>101.00000005960464</v>
      </c>
      <c r="D303" s="24">
        <f ca="1">'normal case'!C302</f>
        <v>-1.5107707374006907E-7</v>
      </c>
      <c r="E303" s="22">
        <f ca="1">'normal case'!L302/100</f>
        <v>1.9999998807907104E-2</v>
      </c>
      <c r="F303" s="25">
        <f ca="1">'normal case'!U302/100</f>
        <v>5.499999850988388E-2</v>
      </c>
      <c r="G303" s="25">
        <f ca="1">'normal case'!T302/100</f>
        <v>3.4999999701976779E-2</v>
      </c>
      <c r="H303" s="25">
        <f ca="1">'public finance'!D301</f>
        <v>1.9802129779314939E-3</v>
      </c>
      <c r="I303" s="20">
        <f ca="1">'public finance'!E301</f>
        <v>52.239766834966275</v>
      </c>
      <c r="J303" s="118">
        <f ca="1">'public finance'!H301</f>
        <v>-1492.5082019082984</v>
      </c>
      <c r="K303" s="17">
        <f ca="1">'public finance'!C301/'normal case'!D302</f>
        <v>0.19801980186333762</v>
      </c>
      <c r="L303" s="20">
        <f ca="1">'public finance'!A301/'normal case'!D302</f>
        <v>0.2</v>
      </c>
      <c r="M303" s="18" t="str">
        <f>IF(controls!$B$44=0,"",'normal case'!AJ302)</f>
        <v/>
      </c>
      <c r="N303" s="18" t="str">
        <f>IF(controls!$B$44=0,"",'normal case'!AM302)</f>
        <v/>
      </c>
      <c r="O303" s="160" t="str">
        <f>IF(controls!$B$44=0,"",'external balance'!D302)</f>
        <v/>
      </c>
      <c r="P303" s="160" t="str">
        <f>IF(controls!$B$44=0,"",'external balance'!F302)</f>
        <v/>
      </c>
      <c r="Q303" s="159" t="str">
        <f>IF(controls!$B$44=0,"",'external balance'!H302)</f>
        <v/>
      </c>
    </row>
    <row r="304" spans="1:17" ht="14" thickTop="1" thickBot="1">
      <c r="A304" s="15">
        <v>301</v>
      </c>
      <c r="B304" s="17">
        <f ca="1">('normal case'!D303-'normal case'!B303)/'normal case'!B303</f>
        <v>5.9014499777614481E-10</v>
      </c>
      <c r="C304" s="23">
        <f ca="1">'normal case'!D303</f>
        <v>101.00000005960464</v>
      </c>
      <c r="D304" s="24">
        <f ca="1">'normal case'!C303</f>
        <v>-1.5107707374006907E-7</v>
      </c>
      <c r="E304" s="22">
        <f ca="1">'normal case'!L303/100</f>
        <v>1.9999998807907104E-2</v>
      </c>
      <c r="F304" s="25">
        <f ca="1">'normal case'!U303/100</f>
        <v>5.499999850988388E-2</v>
      </c>
      <c r="G304" s="25">
        <f ca="1">'normal case'!T303/100</f>
        <v>3.4999999701976779E-2</v>
      </c>
      <c r="H304" s="25">
        <f ca="1">'public finance'!D302</f>
        <v>1.9802129779314939E-3</v>
      </c>
      <c r="I304" s="20">
        <f ca="1">'public finance'!E302</f>
        <v>54.068158658101986</v>
      </c>
      <c r="J304" s="118">
        <f ca="1">'public finance'!H302</f>
        <v>-1544.7479687284233</v>
      </c>
      <c r="K304" s="17">
        <f ca="1">'public finance'!C302/'normal case'!D303</f>
        <v>0.19801980186333762</v>
      </c>
      <c r="L304" s="20">
        <f ca="1">'public finance'!A302/'normal case'!D303</f>
        <v>0.2</v>
      </c>
      <c r="M304" s="18" t="str">
        <f>IF(controls!$B$44=0,"",'normal case'!AJ303)</f>
        <v/>
      </c>
      <c r="N304" s="18" t="str">
        <f>IF(controls!$B$44=0,"",'normal case'!AM303)</f>
        <v/>
      </c>
      <c r="O304" s="160" t="str">
        <f>IF(controls!$B$44=0,"",'external balance'!D303)</f>
        <v/>
      </c>
      <c r="P304" s="160" t="str">
        <f>IF(controls!$B$44=0,"",'external balance'!F303)</f>
        <v/>
      </c>
      <c r="Q304" s="159" t="str">
        <f>IF(controls!$B$44=0,"",'external balance'!H303)</f>
        <v/>
      </c>
    </row>
    <row r="305" spans="1:17" ht="14" thickTop="1" thickBot="1">
      <c r="A305" s="15">
        <v>302</v>
      </c>
      <c r="B305" s="17">
        <f ca="1">('normal case'!D304-'normal case'!B304)/'normal case'!B304</f>
        <v>5.9014499777614481E-10</v>
      </c>
      <c r="C305" s="23">
        <f ca="1">'normal case'!D304</f>
        <v>101.00000005960464</v>
      </c>
      <c r="D305" s="24">
        <f ca="1">'normal case'!C304</f>
        <v>-1.5107707374006907E-7</v>
      </c>
      <c r="E305" s="22">
        <f ca="1">'normal case'!L304/100</f>
        <v>1.9999998807907104E-2</v>
      </c>
      <c r="F305" s="25">
        <f ca="1">'normal case'!U304/100</f>
        <v>5.499999850988388E-2</v>
      </c>
      <c r="G305" s="25">
        <f ca="1">'normal case'!T304/100</f>
        <v>3.4999999701976779E-2</v>
      </c>
      <c r="H305" s="25">
        <f ca="1">'public finance'!D303</f>
        <v>1.9802129779314939E-3</v>
      </c>
      <c r="I305" s="20">
        <f ca="1">'public finance'!E303</f>
        <v>55.960544194502546</v>
      </c>
      <c r="J305" s="118">
        <f ca="1">'public finance'!H303</f>
        <v>-1598.8161273716839</v>
      </c>
      <c r="K305" s="17">
        <f ca="1">'public finance'!C303/'normal case'!D304</f>
        <v>0.19801980186333762</v>
      </c>
      <c r="L305" s="20">
        <f ca="1">'public finance'!A303/'normal case'!D304</f>
        <v>0.2</v>
      </c>
      <c r="M305" s="18" t="str">
        <f>IF(controls!$B$44=0,"",'normal case'!AJ304)</f>
        <v/>
      </c>
      <c r="N305" s="18" t="str">
        <f>IF(controls!$B$44=0,"",'normal case'!AM304)</f>
        <v/>
      </c>
      <c r="O305" s="160" t="str">
        <f>IF(controls!$B$44=0,"",'external balance'!D304)</f>
        <v/>
      </c>
      <c r="P305" s="160" t="str">
        <f>IF(controls!$B$44=0,"",'external balance'!F304)</f>
        <v/>
      </c>
      <c r="Q305" s="159" t="str">
        <f>IF(controls!$B$44=0,"",'external balance'!H304)</f>
        <v/>
      </c>
    </row>
    <row r="306" spans="1:17" ht="14" thickTop="1" thickBot="1">
      <c r="A306" s="15">
        <v>303</v>
      </c>
      <c r="B306" s="17">
        <f ca="1">('normal case'!D305-'normal case'!B305)/'normal case'!B305</f>
        <v>5.9014499777614481E-10</v>
      </c>
      <c r="C306" s="23">
        <f ca="1">'normal case'!D305</f>
        <v>101.00000005960464</v>
      </c>
      <c r="D306" s="24">
        <f ca="1">'normal case'!C305</f>
        <v>-1.5107707374006907E-7</v>
      </c>
      <c r="E306" s="22">
        <f ca="1">'normal case'!L305/100</f>
        <v>1.9999998807907104E-2</v>
      </c>
      <c r="F306" s="25">
        <f ca="1">'normal case'!U305/100</f>
        <v>5.499999850988388E-2</v>
      </c>
      <c r="G306" s="25">
        <f ca="1">'normal case'!T305/100</f>
        <v>3.4999999701976779E-2</v>
      </c>
      <c r="H306" s="25">
        <f ca="1">'public finance'!D304</f>
        <v>1.9802129779314939E-3</v>
      </c>
      <c r="I306" s="20">
        <f ca="1">'public finance'!E304</f>
        <v>57.919163224113142</v>
      </c>
      <c r="J306" s="118">
        <f ca="1">'public finance'!H304</f>
        <v>-1654.7766715513453</v>
      </c>
      <c r="K306" s="17">
        <f ca="1">'public finance'!C304/'normal case'!D305</f>
        <v>0.19801980186333762</v>
      </c>
      <c r="L306" s="20">
        <f ca="1">'public finance'!A304/'normal case'!D305</f>
        <v>0.2</v>
      </c>
      <c r="M306" s="18" t="str">
        <f>IF(controls!$B$44=0,"",'normal case'!AJ305)</f>
        <v/>
      </c>
      <c r="N306" s="18" t="str">
        <f>IF(controls!$B$44=0,"",'normal case'!AM305)</f>
        <v/>
      </c>
      <c r="O306" s="160" t="str">
        <f>IF(controls!$B$44=0,"",'external balance'!D305)</f>
        <v/>
      </c>
      <c r="P306" s="160" t="str">
        <f>IF(controls!$B$44=0,"",'external balance'!F305)</f>
        <v/>
      </c>
      <c r="Q306" s="159" t="str">
        <f>IF(controls!$B$44=0,"",'external balance'!H305)</f>
        <v/>
      </c>
    </row>
    <row r="307" spans="1:17" ht="14" thickTop="1" thickBot="1">
      <c r="A307" s="15">
        <v>304</v>
      </c>
      <c r="B307" s="17">
        <f ca="1">('normal case'!D306-'normal case'!B306)/'normal case'!B306</f>
        <v>5.9014499777614481E-10</v>
      </c>
      <c r="C307" s="23">
        <f ca="1">'normal case'!D306</f>
        <v>101.00000005960464</v>
      </c>
      <c r="D307" s="24">
        <f ca="1">'normal case'!C306</f>
        <v>-1.5107707374006907E-7</v>
      </c>
      <c r="E307" s="22">
        <f ca="1">'normal case'!L306/100</f>
        <v>1.9999998807907104E-2</v>
      </c>
      <c r="F307" s="25">
        <f ca="1">'normal case'!U306/100</f>
        <v>5.499999850988388E-2</v>
      </c>
      <c r="G307" s="25">
        <f ca="1">'normal case'!T306/100</f>
        <v>3.4999999701976779E-2</v>
      </c>
      <c r="H307" s="25">
        <f ca="1">'public finance'!D305</f>
        <v>1.9802129779314939E-3</v>
      </c>
      <c r="I307" s="20">
        <f ca="1">'public finance'!E305</f>
        <v>59.946333919176396</v>
      </c>
      <c r="J307" s="118">
        <f ca="1">'public finance'!H305</f>
        <v>-1712.6958347606169</v>
      </c>
      <c r="K307" s="17">
        <f ca="1">'public finance'!C305/'normal case'!D306</f>
        <v>0.19801980186333762</v>
      </c>
      <c r="L307" s="20">
        <f ca="1">'public finance'!A305/'normal case'!D306</f>
        <v>0.2</v>
      </c>
      <c r="M307" s="18" t="str">
        <f>IF(controls!$B$44=0,"",'normal case'!AJ306)</f>
        <v/>
      </c>
      <c r="N307" s="18" t="str">
        <f>IF(controls!$B$44=0,"",'normal case'!AM306)</f>
        <v/>
      </c>
      <c r="O307" s="160" t="str">
        <f>IF(controls!$B$44=0,"",'external balance'!D306)</f>
        <v/>
      </c>
      <c r="P307" s="160" t="str">
        <f>IF(controls!$B$44=0,"",'external balance'!F306)</f>
        <v/>
      </c>
      <c r="Q307" s="159" t="str">
        <f>IF(controls!$B$44=0,"",'external balance'!H306)</f>
        <v/>
      </c>
    </row>
    <row r="308" spans="1:17" ht="14" thickTop="1" thickBot="1">
      <c r="A308" s="15">
        <v>305</v>
      </c>
      <c r="B308" s="17">
        <f ca="1">('normal case'!D307-'normal case'!B307)/'normal case'!B307</f>
        <v>5.9014499777614481E-10</v>
      </c>
      <c r="C308" s="23">
        <f ca="1">'normal case'!D307</f>
        <v>101.00000005960464</v>
      </c>
      <c r="D308" s="24">
        <f ca="1">'normal case'!C307</f>
        <v>-1.5107707374006907E-7</v>
      </c>
      <c r="E308" s="22">
        <f ca="1">'normal case'!L307/100</f>
        <v>1.9999998807907104E-2</v>
      </c>
      <c r="F308" s="25">
        <f ca="1">'normal case'!U307/100</f>
        <v>5.499999850988388E-2</v>
      </c>
      <c r="G308" s="25">
        <f ca="1">'normal case'!T307/100</f>
        <v>3.4999999701976779E-2</v>
      </c>
      <c r="H308" s="25">
        <f ca="1">'public finance'!D306</f>
        <v>1.9802129779314939E-3</v>
      </c>
      <c r="I308" s="20">
        <f ca="1">'public finance'!E306</f>
        <v>62.044455587962723</v>
      </c>
      <c r="J308" s="118">
        <f ca="1">'public finance'!H306</f>
        <v>-1772.6421686649521</v>
      </c>
      <c r="K308" s="17">
        <f ca="1">'public finance'!C306/'normal case'!D307</f>
        <v>0.19801980186333762</v>
      </c>
      <c r="L308" s="20">
        <f ca="1">'public finance'!A306/'normal case'!D307</f>
        <v>0.2</v>
      </c>
      <c r="M308" s="18" t="str">
        <f>IF(controls!$B$44=0,"",'normal case'!AJ307)</f>
        <v/>
      </c>
      <c r="N308" s="18" t="str">
        <f>IF(controls!$B$44=0,"",'normal case'!AM307)</f>
        <v/>
      </c>
      <c r="O308" s="160" t="str">
        <f>IF(controls!$B$44=0,"",'external balance'!D307)</f>
        <v/>
      </c>
      <c r="P308" s="160" t="str">
        <f>IF(controls!$B$44=0,"",'external balance'!F307)</f>
        <v/>
      </c>
      <c r="Q308" s="159" t="str">
        <f>IF(controls!$B$44=0,"",'external balance'!H307)</f>
        <v/>
      </c>
    </row>
    <row r="309" spans="1:17" ht="14" thickTop="1" thickBot="1">
      <c r="A309" s="15">
        <v>306</v>
      </c>
      <c r="B309" s="17">
        <f ca="1">('normal case'!D308-'normal case'!B308)/'normal case'!B308</f>
        <v>5.9014499777614481E-10</v>
      </c>
      <c r="C309" s="23">
        <f ca="1">'normal case'!D308</f>
        <v>101.00000005960464</v>
      </c>
      <c r="D309" s="24">
        <f ca="1">'normal case'!C308</f>
        <v>-1.5107707374006907E-7</v>
      </c>
      <c r="E309" s="22">
        <f ca="1">'normal case'!L308/100</f>
        <v>1.9999998807907104E-2</v>
      </c>
      <c r="F309" s="25">
        <f ca="1">'normal case'!U308/100</f>
        <v>5.499999850988388E-2</v>
      </c>
      <c r="G309" s="25">
        <f ca="1">'normal case'!T308/100</f>
        <v>3.4999999701976779E-2</v>
      </c>
      <c r="H309" s="25">
        <f ca="1">'public finance'!D307</f>
        <v>1.9802129779314939E-3</v>
      </c>
      <c r="I309" s="20">
        <f ca="1">'public finance'!E307</f>
        <v>64.216011514531274</v>
      </c>
      <c r="J309" s="118">
        <f ca="1">'public finance'!H307</f>
        <v>-1834.6866242380734</v>
      </c>
      <c r="K309" s="17">
        <f ca="1">'public finance'!C307/'normal case'!D308</f>
        <v>0.19801980186333762</v>
      </c>
      <c r="L309" s="20">
        <f ca="1">'public finance'!A307/'normal case'!D308</f>
        <v>0.2</v>
      </c>
      <c r="M309" s="18" t="str">
        <f>IF(controls!$B$44=0,"",'normal case'!AJ308)</f>
        <v/>
      </c>
      <c r="N309" s="18" t="str">
        <f>IF(controls!$B$44=0,"",'normal case'!AM308)</f>
        <v/>
      </c>
      <c r="O309" s="160" t="str">
        <f>IF(controls!$B$44=0,"",'external balance'!D308)</f>
        <v/>
      </c>
      <c r="P309" s="160" t="str">
        <f>IF(controls!$B$44=0,"",'external balance'!F308)</f>
        <v/>
      </c>
      <c r="Q309" s="159" t="str">
        <f>IF(controls!$B$44=0,"",'external balance'!H308)</f>
        <v/>
      </c>
    </row>
    <row r="310" spans="1:17" ht="14" thickTop="1" thickBot="1">
      <c r="A310" s="15">
        <v>307</v>
      </c>
      <c r="B310" s="17">
        <f ca="1">('normal case'!D309-'normal case'!B309)/'normal case'!B309</f>
        <v>5.9014499777614481E-10</v>
      </c>
      <c r="C310" s="23">
        <f ca="1">'normal case'!D309</f>
        <v>101.00000005960464</v>
      </c>
      <c r="D310" s="24">
        <f ca="1">'normal case'!C309</f>
        <v>-1.5107707374006907E-7</v>
      </c>
      <c r="E310" s="22">
        <f ca="1">'normal case'!L309/100</f>
        <v>1.9999998807907104E-2</v>
      </c>
      <c r="F310" s="25">
        <f ca="1">'normal case'!U309/100</f>
        <v>5.499999850988388E-2</v>
      </c>
      <c r="G310" s="25">
        <f ca="1">'normal case'!T309/100</f>
        <v>3.4999999701976779E-2</v>
      </c>
      <c r="H310" s="25">
        <f ca="1">'public finance'!D308</f>
        <v>1.9802129779314939E-3</v>
      </c>
      <c r="I310" s="20">
        <f ca="1">'public finance'!E308</f>
        <v>66.463571897882559</v>
      </c>
      <c r="J310" s="118">
        <f ca="1">'public finance'!H308</f>
        <v>-1898.9026357377634</v>
      </c>
      <c r="K310" s="17">
        <f ca="1">'public finance'!C308/'normal case'!D309</f>
        <v>0.19801980186333762</v>
      </c>
      <c r="L310" s="20">
        <f ca="1">'public finance'!A308/'normal case'!D309</f>
        <v>0.2</v>
      </c>
      <c r="M310" s="18" t="str">
        <f>IF(controls!$B$44=0,"",'normal case'!AJ309)</f>
        <v/>
      </c>
      <c r="N310" s="18" t="str">
        <f>IF(controls!$B$44=0,"",'normal case'!AM309)</f>
        <v/>
      </c>
      <c r="O310" s="160" t="str">
        <f>IF(controls!$B$44=0,"",'external balance'!D309)</f>
        <v/>
      </c>
      <c r="P310" s="160" t="str">
        <f>IF(controls!$B$44=0,"",'external balance'!F309)</f>
        <v/>
      </c>
      <c r="Q310" s="159" t="str">
        <f>IF(controls!$B$44=0,"",'external balance'!H309)</f>
        <v/>
      </c>
    </row>
    <row r="311" spans="1:17" ht="14" thickTop="1" thickBot="1">
      <c r="A311" s="15">
        <v>308</v>
      </c>
      <c r="B311" s="17">
        <f ca="1">('normal case'!D310-'normal case'!B310)/'normal case'!B310</f>
        <v>5.9014499777614481E-10</v>
      </c>
      <c r="C311" s="23">
        <f ca="1">'normal case'!D310</f>
        <v>101.00000005960464</v>
      </c>
      <c r="D311" s="24">
        <f ca="1">'normal case'!C310</f>
        <v>-1.5107707374006907E-7</v>
      </c>
      <c r="E311" s="22">
        <f ca="1">'normal case'!L310/100</f>
        <v>1.9999998807907104E-2</v>
      </c>
      <c r="F311" s="25">
        <f ca="1">'normal case'!U310/100</f>
        <v>5.499999850988388E-2</v>
      </c>
      <c r="G311" s="25">
        <f ca="1">'normal case'!T310/100</f>
        <v>3.4999999701976779E-2</v>
      </c>
      <c r="H311" s="25">
        <f ca="1">'public finance'!D309</f>
        <v>1.9802129779314939E-3</v>
      </c>
      <c r="I311" s="20">
        <f ca="1">'public finance'!E309</f>
        <v>68.789796893981318</v>
      </c>
      <c r="J311" s="118">
        <f ca="1">'public finance'!H309</f>
        <v>-1965.3662076208045</v>
      </c>
      <c r="K311" s="17">
        <f ca="1">'public finance'!C309/'normal case'!D310</f>
        <v>0.19801980186333762</v>
      </c>
      <c r="L311" s="20">
        <f ca="1">'public finance'!A309/'normal case'!D310</f>
        <v>0.2</v>
      </c>
      <c r="M311" s="18" t="str">
        <f>IF(controls!$B$44=0,"",'normal case'!AJ310)</f>
        <v/>
      </c>
      <c r="N311" s="18" t="str">
        <f>IF(controls!$B$44=0,"",'normal case'!AM310)</f>
        <v/>
      </c>
      <c r="O311" s="160" t="str">
        <f>IF(controls!$B$44=0,"",'external balance'!D310)</f>
        <v/>
      </c>
      <c r="P311" s="160" t="str">
        <f>IF(controls!$B$44=0,"",'external balance'!F310)</f>
        <v/>
      </c>
      <c r="Q311" s="159" t="str">
        <f>IF(controls!$B$44=0,"",'external balance'!H310)</f>
        <v/>
      </c>
    </row>
    <row r="312" spans="1:17" ht="14" thickTop="1" thickBot="1">
      <c r="A312" s="15">
        <v>309</v>
      </c>
      <c r="B312" s="17">
        <f ca="1">('normal case'!D311-'normal case'!B311)/'normal case'!B311</f>
        <v>5.9014499777614481E-10</v>
      </c>
      <c r="C312" s="23">
        <f ca="1">'normal case'!D311</f>
        <v>101.00000005960464</v>
      </c>
      <c r="D312" s="24">
        <f ca="1">'normal case'!C311</f>
        <v>-1.5107707374006907E-7</v>
      </c>
      <c r="E312" s="22">
        <f ca="1">'normal case'!L311/100</f>
        <v>1.9999998807907104E-2</v>
      </c>
      <c r="F312" s="25">
        <f ca="1">'normal case'!U311/100</f>
        <v>5.499999850988388E-2</v>
      </c>
      <c r="G312" s="25">
        <f ca="1">'normal case'!T311/100</f>
        <v>3.4999999701976779E-2</v>
      </c>
      <c r="H312" s="25">
        <f ca="1">'public finance'!D310</f>
        <v>1.9802129779314939E-3</v>
      </c>
      <c r="I312" s="20">
        <f ca="1">'public finance'!E310</f>
        <v>71.197439764250262</v>
      </c>
      <c r="J312" s="118">
        <f ca="1">'public finance'!H310</f>
        <v>-2034.1560044999444</v>
      </c>
      <c r="K312" s="17">
        <f ca="1">'public finance'!C310/'normal case'!D311</f>
        <v>0.19801980186333762</v>
      </c>
      <c r="L312" s="20">
        <f ca="1">'public finance'!A310/'normal case'!D311</f>
        <v>0.2</v>
      </c>
      <c r="M312" s="18" t="str">
        <f>IF(controls!$B$44=0,"",'normal case'!AJ311)</f>
        <v/>
      </c>
      <c r="N312" s="18" t="str">
        <f>IF(controls!$B$44=0,"",'normal case'!AM311)</f>
        <v/>
      </c>
      <c r="O312" s="160" t="str">
        <f>IF(controls!$B$44=0,"",'external balance'!D311)</f>
        <v/>
      </c>
      <c r="P312" s="160" t="str">
        <f>IF(controls!$B$44=0,"",'external balance'!F311)</f>
        <v/>
      </c>
      <c r="Q312" s="159" t="str">
        <f>IF(controls!$B$44=0,"",'external balance'!H311)</f>
        <v/>
      </c>
    </row>
    <row r="313" spans="1:17" ht="14" thickTop="1" thickBot="1">
      <c r="A313" s="15">
        <v>310</v>
      </c>
      <c r="B313" s="17">
        <f ca="1">('normal case'!D312-'normal case'!B312)/'normal case'!B312</f>
        <v>5.9014499777614481E-10</v>
      </c>
      <c r="C313" s="23">
        <f ca="1">'normal case'!D312</f>
        <v>101.00000005960464</v>
      </c>
      <c r="D313" s="24">
        <f ca="1">'normal case'!C312</f>
        <v>-1.5107707374006907E-7</v>
      </c>
      <c r="E313" s="22">
        <f ca="1">'normal case'!L312/100</f>
        <v>1.9999998807907104E-2</v>
      </c>
      <c r="F313" s="25">
        <f ca="1">'normal case'!U312/100</f>
        <v>5.499999850988388E-2</v>
      </c>
      <c r="G313" s="25">
        <f ca="1">'normal case'!T312/100</f>
        <v>3.4999999701976779E-2</v>
      </c>
      <c r="H313" s="25">
        <f ca="1">'public finance'!D311</f>
        <v>1.9802129779314939E-3</v>
      </c>
      <c r="I313" s="20">
        <f ca="1">'public finance'!E311</f>
        <v>73.689350134261076</v>
      </c>
      <c r="J313" s="118">
        <f ca="1">'public finance'!H311</f>
        <v>-2105.3534442493533</v>
      </c>
      <c r="K313" s="17">
        <f ca="1">'public finance'!C311/'normal case'!D312</f>
        <v>0.19801980186333762</v>
      </c>
      <c r="L313" s="20">
        <f ca="1">'public finance'!A311/'normal case'!D312</f>
        <v>0.2</v>
      </c>
      <c r="M313" s="18" t="str">
        <f>IF(controls!$B$44=0,"",'normal case'!AJ312)</f>
        <v/>
      </c>
      <c r="N313" s="18" t="str">
        <f>IF(controls!$B$44=0,"",'normal case'!AM312)</f>
        <v/>
      </c>
      <c r="O313" s="160" t="str">
        <f>IF(controls!$B$44=0,"",'external balance'!D312)</f>
        <v/>
      </c>
      <c r="P313" s="160" t="str">
        <f>IF(controls!$B$44=0,"",'external balance'!F312)</f>
        <v/>
      </c>
      <c r="Q313" s="159" t="str">
        <f>IF(controls!$B$44=0,"",'external balance'!H312)</f>
        <v/>
      </c>
    </row>
    <row r="314" spans="1:17" ht="14" thickTop="1" thickBot="1">
      <c r="A314" s="15">
        <v>311</v>
      </c>
      <c r="B314" s="17">
        <f ca="1">('normal case'!D313-'normal case'!B313)/'normal case'!B313</f>
        <v>5.9014499777614481E-10</v>
      </c>
      <c r="C314" s="23">
        <f ca="1">'normal case'!D313</f>
        <v>101.00000005960464</v>
      </c>
      <c r="D314" s="24">
        <f ca="1">'normal case'!C313</f>
        <v>-1.5107707374006907E-7</v>
      </c>
      <c r="E314" s="22">
        <f ca="1">'normal case'!L313/100</f>
        <v>1.9999998807907104E-2</v>
      </c>
      <c r="F314" s="25">
        <f ca="1">'normal case'!U313/100</f>
        <v>5.499999850988388E-2</v>
      </c>
      <c r="G314" s="25">
        <f ca="1">'normal case'!T313/100</f>
        <v>3.4999999701976779E-2</v>
      </c>
      <c r="H314" s="25">
        <f ca="1">'public finance'!D312</f>
        <v>1.9802129779314939E-3</v>
      </c>
      <c r="I314" s="20">
        <f ca="1">'public finance'!E312</f>
        <v>76.26847736647963</v>
      </c>
      <c r="J314" s="118">
        <f ca="1">'public finance'!H312</f>
        <v>-2179.0427943687732</v>
      </c>
      <c r="K314" s="17">
        <f ca="1">'public finance'!C312/'normal case'!D313</f>
        <v>0.19801980186333762</v>
      </c>
      <c r="L314" s="20">
        <f ca="1">'public finance'!A312/'normal case'!D313</f>
        <v>0.2</v>
      </c>
      <c r="M314" s="18" t="str">
        <f>IF(controls!$B$44=0,"",'normal case'!AJ313)</f>
        <v/>
      </c>
      <c r="N314" s="18" t="str">
        <f>IF(controls!$B$44=0,"",'normal case'!AM313)</f>
        <v/>
      </c>
      <c r="O314" s="160" t="str">
        <f>IF(controls!$B$44=0,"",'external balance'!D313)</f>
        <v/>
      </c>
      <c r="P314" s="160" t="str">
        <f>IF(controls!$B$44=0,"",'external balance'!F313)</f>
        <v/>
      </c>
      <c r="Q314" s="159" t="str">
        <f>IF(controls!$B$44=0,"",'external balance'!H313)</f>
        <v/>
      </c>
    </row>
    <row r="315" spans="1:17" ht="14" thickTop="1" thickBot="1">
      <c r="A315" s="15">
        <v>312</v>
      </c>
      <c r="B315" s="17">
        <f ca="1">('normal case'!D314-'normal case'!B314)/'normal case'!B314</f>
        <v>5.9014499777614481E-10</v>
      </c>
      <c r="C315" s="23">
        <f ca="1">'normal case'!D314</f>
        <v>101.00000005960464</v>
      </c>
      <c r="D315" s="24">
        <f ca="1">'normal case'!C314</f>
        <v>-1.5107707374006907E-7</v>
      </c>
      <c r="E315" s="22">
        <f ca="1">'normal case'!L314/100</f>
        <v>1.9999998807907104E-2</v>
      </c>
      <c r="F315" s="25">
        <f ca="1">'normal case'!U314/100</f>
        <v>5.499999850988388E-2</v>
      </c>
      <c r="G315" s="25">
        <f ca="1">'normal case'!T314/100</f>
        <v>3.4999999701976779E-2</v>
      </c>
      <c r="H315" s="25">
        <f ca="1">'public finance'!D313</f>
        <v>1.9802129779314939E-3</v>
      </c>
      <c r="I315" s="20">
        <f ca="1">'public finance'!E313</f>
        <v>78.937874051057193</v>
      </c>
      <c r="J315" s="118">
        <f ca="1">'public finance'!H313</f>
        <v>-2255.3112717204112</v>
      </c>
      <c r="K315" s="17">
        <f ca="1">'public finance'!C313/'normal case'!D314</f>
        <v>0.19801980186333762</v>
      </c>
      <c r="L315" s="20">
        <f ca="1">'public finance'!A313/'normal case'!D314</f>
        <v>0.2</v>
      </c>
      <c r="M315" s="18" t="str">
        <f>IF(controls!$B$44=0,"",'normal case'!AJ314)</f>
        <v/>
      </c>
      <c r="N315" s="18" t="str">
        <f>IF(controls!$B$44=0,"",'normal case'!AM314)</f>
        <v/>
      </c>
      <c r="O315" s="160" t="str">
        <f>IF(controls!$B$44=0,"",'external balance'!D314)</f>
        <v/>
      </c>
      <c r="P315" s="160" t="str">
        <f>IF(controls!$B$44=0,"",'external balance'!F314)</f>
        <v/>
      </c>
      <c r="Q315" s="159" t="str">
        <f>IF(controls!$B$44=0,"",'external balance'!H314)</f>
        <v/>
      </c>
    </row>
    <row r="316" spans="1:17" ht="14" thickTop="1" thickBot="1">
      <c r="A316" s="15">
        <v>313</v>
      </c>
      <c r="B316" s="17">
        <f ca="1">('normal case'!D315-'normal case'!B315)/'normal case'!B315</f>
        <v>5.9014499777614481E-10</v>
      </c>
      <c r="C316" s="23">
        <f ca="1">'normal case'!D315</f>
        <v>101.00000005960464</v>
      </c>
      <c r="D316" s="24">
        <f ca="1">'normal case'!C315</f>
        <v>-1.5107707374006907E-7</v>
      </c>
      <c r="E316" s="22">
        <f ca="1">'normal case'!L315/100</f>
        <v>1.9999998807907104E-2</v>
      </c>
      <c r="F316" s="25">
        <f ca="1">'normal case'!U315/100</f>
        <v>5.499999850988388E-2</v>
      </c>
      <c r="G316" s="25">
        <f ca="1">'normal case'!T315/100</f>
        <v>3.4999999701976779E-2</v>
      </c>
      <c r="H316" s="25">
        <f ca="1">'public finance'!D314</f>
        <v>1.9802129779314939E-3</v>
      </c>
      <c r="I316" s="20">
        <f ca="1">'public finance'!E314</f>
        <v>81.700699618799419</v>
      </c>
      <c r="J316" s="118">
        <f ca="1">'public finance'!H314</f>
        <v>-2334.2491457566271</v>
      </c>
      <c r="K316" s="17">
        <f ca="1">'public finance'!C314/'normal case'!D315</f>
        <v>0.19801980186333762</v>
      </c>
      <c r="L316" s="20">
        <f ca="1">'public finance'!A314/'normal case'!D315</f>
        <v>0.2</v>
      </c>
      <c r="M316" s="18" t="str">
        <f>IF(controls!$B$44=0,"",'normal case'!AJ315)</f>
        <v/>
      </c>
      <c r="N316" s="18" t="str">
        <f>IF(controls!$B$44=0,"",'normal case'!AM315)</f>
        <v/>
      </c>
      <c r="O316" s="160" t="str">
        <f>IF(controls!$B$44=0,"",'external balance'!D315)</f>
        <v/>
      </c>
      <c r="P316" s="160" t="str">
        <f>IF(controls!$B$44=0,"",'external balance'!F315)</f>
        <v/>
      </c>
      <c r="Q316" s="159" t="str">
        <f>IF(controls!$B$44=0,"",'external balance'!H315)</f>
        <v/>
      </c>
    </row>
    <row r="317" spans="1:17" ht="14" thickTop="1" thickBot="1">
      <c r="A317" s="15">
        <v>314</v>
      </c>
      <c r="B317" s="17">
        <f ca="1">('normal case'!D316-'normal case'!B316)/'normal case'!B316</f>
        <v>5.9014499777614481E-10</v>
      </c>
      <c r="C317" s="23">
        <f ca="1">'normal case'!D316</f>
        <v>101.00000005960464</v>
      </c>
      <c r="D317" s="24">
        <f ca="1">'normal case'!C316</f>
        <v>-1.5107707374006907E-7</v>
      </c>
      <c r="E317" s="22">
        <f ca="1">'normal case'!L316/100</f>
        <v>1.9999998807907104E-2</v>
      </c>
      <c r="F317" s="25">
        <f ca="1">'normal case'!U316/100</f>
        <v>5.499999850988388E-2</v>
      </c>
      <c r="G317" s="25">
        <f ca="1">'normal case'!T316/100</f>
        <v>3.4999999701976779E-2</v>
      </c>
      <c r="H317" s="25">
        <f ca="1">'public finance'!D315</f>
        <v>1.9802129779314939E-3</v>
      </c>
      <c r="I317" s="20">
        <f ca="1">'public finance'!E315</f>
        <v>84.560224080589251</v>
      </c>
      <c r="J317" s="118">
        <f ca="1">'public finance'!H315</f>
        <v>-2415.9498453605852</v>
      </c>
      <c r="K317" s="17">
        <f ca="1">'public finance'!C315/'normal case'!D316</f>
        <v>0.19801980186333762</v>
      </c>
      <c r="L317" s="20">
        <f ca="1">'public finance'!A315/'normal case'!D316</f>
        <v>0.2</v>
      </c>
      <c r="M317" s="18" t="str">
        <f>IF(controls!$B$44=0,"",'normal case'!AJ316)</f>
        <v/>
      </c>
      <c r="N317" s="18" t="str">
        <f>IF(controls!$B$44=0,"",'normal case'!AM316)</f>
        <v/>
      </c>
      <c r="O317" s="160" t="str">
        <f>IF(controls!$B$44=0,"",'external balance'!D316)</f>
        <v/>
      </c>
      <c r="P317" s="160" t="str">
        <f>IF(controls!$B$44=0,"",'external balance'!F316)</f>
        <v/>
      </c>
      <c r="Q317" s="159" t="str">
        <f>IF(controls!$B$44=0,"",'external balance'!H316)</f>
        <v/>
      </c>
    </row>
    <row r="318" spans="1:17" ht="14" thickTop="1" thickBot="1">
      <c r="A318" s="15">
        <v>315</v>
      </c>
      <c r="B318" s="17">
        <f ca="1">('normal case'!D317-'normal case'!B317)/'normal case'!B317</f>
        <v>5.9014499777614481E-10</v>
      </c>
      <c r="C318" s="23">
        <f ca="1">'normal case'!D317</f>
        <v>101.00000005960464</v>
      </c>
      <c r="D318" s="24">
        <f ca="1">'normal case'!C317</f>
        <v>-1.5107707374006907E-7</v>
      </c>
      <c r="E318" s="22">
        <f ca="1">'normal case'!L317/100</f>
        <v>1.9999998807907104E-2</v>
      </c>
      <c r="F318" s="25">
        <f ca="1">'normal case'!U317/100</f>
        <v>5.499999850988388E-2</v>
      </c>
      <c r="G318" s="25">
        <f ca="1">'normal case'!T317/100</f>
        <v>3.4999999701976779E-2</v>
      </c>
      <c r="H318" s="25">
        <f ca="1">'public finance'!D316</f>
        <v>1.9802129779314939E-3</v>
      </c>
      <c r="I318" s="20">
        <f ca="1">'public finance'!E316</f>
        <v>87.519831897689514</v>
      </c>
      <c r="J318" s="118">
        <f ca="1">'public finance'!H316</f>
        <v>-2500.5100694263333</v>
      </c>
      <c r="K318" s="17">
        <f ca="1">'public finance'!C316/'normal case'!D317</f>
        <v>0.19801980186333762</v>
      </c>
      <c r="L318" s="20">
        <f ca="1">'public finance'!A316/'normal case'!D317</f>
        <v>0.2</v>
      </c>
      <c r="M318" s="18" t="str">
        <f>IF(controls!$B$44=0,"",'normal case'!AJ317)</f>
        <v/>
      </c>
      <c r="N318" s="18" t="str">
        <f>IF(controls!$B$44=0,"",'normal case'!AM317)</f>
        <v/>
      </c>
      <c r="O318" s="160" t="str">
        <f>IF(controls!$B$44=0,"",'external balance'!D317)</f>
        <v/>
      </c>
      <c r="P318" s="160" t="str">
        <f>IF(controls!$B$44=0,"",'external balance'!F317)</f>
        <v/>
      </c>
      <c r="Q318" s="159" t="str">
        <f>IF(controls!$B$44=0,"",'external balance'!H317)</f>
        <v/>
      </c>
    </row>
    <row r="319" spans="1:17" ht="14" thickTop="1" thickBot="1">
      <c r="A319" s="15">
        <v>316</v>
      </c>
      <c r="B319" s="17">
        <f ca="1">('normal case'!D318-'normal case'!B318)/'normal case'!B318</f>
        <v>5.9014499777614481E-10</v>
      </c>
      <c r="C319" s="23">
        <f ca="1">'normal case'!D318</f>
        <v>101.00000005960464</v>
      </c>
      <c r="D319" s="24">
        <f ca="1">'normal case'!C318</f>
        <v>-1.5107707374006907E-7</v>
      </c>
      <c r="E319" s="22">
        <f ca="1">'normal case'!L318/100</f>
        <v>1.9999998807907104E-2</v>
      </c>
      <c r="F319" s="25">
        <f ca="1">'normal case'!U318/100</f>
        <v>5.499999850988388E-2</v>
      </c>
      <c r="G319" s="25">
        <f ca="1">'normal case'!T318/100</f>
        <v>3.4999999701976779E-2</v>
      </c>
      <c r="H319" s="25">
        <f ca="1">'public finance'!D317</f>
        <v>1.9802129779314939E-3</v>
      </c>
      <c r="I319" s="20">
        <f ca="1">'public finance'!E317</f>
        <v>90.583025987506247</v>
      </c>
      <c r="J319" s="118">
        <f ca="1">'public finance'!H317</f>
        <v>-2588.0299013091812</v>
      </c>
      <c r="K319" s="17">
        <f ca="1">'public finance'!C317/'normal case'!D318</f>
        <v>0.19801980186333762</v>
      </c>
      <c r="L319" s="20">
        <f ca="1">'public finance'!A317/'normal case'!D318</f>
        <v>0.2</v>
      </c>
      <c r="M319" s="18" t="str">
        <f>IF(controls!$B$44=0,"",'normal case'!AJ318)</f>
        <v/>
      </c>
      <c r="N319" s="18" t="str">
        <f>IF(controls!$B$44=0,"",'normal case'!AM318)</f>
        <v/>
      </c>
      <c r="O319" s="160" t="str">
        <f>IF(controls!$B$44=0,"",'external balance'!D318)</f>
        <v/>
      </c>
      <c r="P319" s="160" t="str">
        <f>IF(controls!$B$44=0,"",'external balance'!F318)</f>
        <v/>
      </c>
      <c r="Q319" s="159" t="str">
        <f>IF(controls!$B$44=0,"",'external balance'!H318)</f>
        <v/>
      </c>
    </row>
    <row r="320" spans="1:17" ht="14" thickTop="1" thickBot="1">
      <c r="A320" s="15">
        <v>317</v>
      </c>
      <c r="B320" s="17">
        <f ca="1">('normal case'!D319-'normal case'!B319)/'normal case'!B319</f>
        <v>5.9014499777614481E-10</v>
      </c>
      <c r="C320" s="23">
        <f ca="1">'normal case'!D319</f>
        <v>101.00000005960464</v>
      </c>
      <c r="D320" s="24">
        <f ca="1">'normal case'!C319</f>
        <v>-1.5107707374006907E-7</v>
      </c>
      <c r="E320" s="22">
        <f ca="1">'normal case'!L319/100</f>
        <v>1.9999998807907104E-2</v>
      </c>
      <c r="F320" s="25">
        <f ca="1">'normal case'!U319/100</f>
        <v>5.499999850988388E-2</v>
      </c>
      <c r="G320" s="25">
        <f ca="1">'normal case'!T319/100</f>
        <v>3.4999999701976779E-2</v>
      </c>
      <c r="H320" s="25">
        <f ca="1">'public finance'!D318</f>
        <v>1.9802129779314939E-3</v>
      </c>
      <c r="I320" s="20">
        <f ca="1">'public finance'!E318</f>
        <v>93.75343186955368</v>
      </c>
      <c r="J320" s="118">
        <f ca="1">'public finance'!H318</f>
        <v>-2678.6129272818462</v>
      </c>
      <c r="K320" s="17">
        <f ca="1">'public finance'!C318/'normal case'!D319</f>
        <v>0.19801980186333762</v>
      </c>
      <c r="L320" s="20">
        <f ca="1">'public finance'!A318/'normal case'!D319</f>
        <v>0.2</v>
      </c>
      <c r="M320" s="18" t="str">
        <f>IF(controls!$B$44=0,"",'normal case'!AJ319)</f>
        <v/>
      </c>
      <c r="N320" s="18" t="str">
        <f>IF(controls!$B$44=0,"",'normal case'!AM319)</f>
        <v/>
      </c>
      <c r="O320" s="160" t="str">
        <f>IF(controls!$B$44=0,"",'external balance'!D319)</f>
        <v/>
      </c>
      <c r="P320" s="160" t="str">
        <f>IF(controls!$B$44=0,"",'external balance'!F319)</f>
        <v/>
      </c>
      <c r="Q320" s="159" t="str">
        <f>IF(controls!$B$44=0,"",'external balance'!H319)</f>
        <v/>
      </c>
    </row>
    <row r="321" spans="1:17" ht="14" thickTop="1" thickBot="1">
      <c r="A321" s="15">
        <v>318</v>
      </c>
      <c r="B321" s="17">
        <f ca="1">('normal case'!D320-'normal case'!B320)/'normal case'!B320</f>
        <v>5.9014499777614481E-10</v>
      </c>
      <c r="C321" s="23">
        <f ca="1">'normal case'!D320</f>
        <v>101.00000005960464</v>
      </c>
      <c r="D321" s="24">
        <f ca="1">'normal case'!C320</f>
        <v>-1.5107707374006907E-7</v>
      </c>
      <c r="E321" s="22">
        <f ca="1">'normal case'!L320/100</f>
        <v>1.9999998807907104E-2</v>
      </c>
      <c r="F321" s="25">
        <f ca="1">'normal case'!U320/100</f>
        <v>5.499999850988388E-2</v>
      </c>
      <c r="G321" s="25">
        <f ca="1">'normal case'!T320/100</f>
        <v>3.4999999701976779E-2</v>
      </c>
      <c r="H321" s="25">
        <f ca="1">'public finance'!D319</f>
        <v>1.9802129779314939E-3</v>
      </c>
      <c r="I321" s="20">
        <f ca="1">'public finance'!E319</f>
        <v>97.034801956527943</v>
      </c>
      <c r="J321" s="118">
        <f ca="1">'public finance'!H319</f>
        <v>-2772.3663591365589</v>
      </c>
      <c r="K321" s="17">
        <f ca="1">'public finance'!C319/'normal case'!D320</f>
        <v>0.19801980186333762</v>
      </c>
      <c r="L321" s="20">
        <f ca="1">'public finance'!A319/'normal case'!D320</f>
        <v>0.2</v>
      </c>
      <c r="M321" s="18" t="str">
        <f>IF(controls!$B$44=0,"",'normal case'!AJ320)</f>
        <v/>
      </c>
      <c r="N321" s="18" t="str">
        <f>IF(controls!$B$44=0,"",'normal case'!AM320)</f>
        <v/>
      </c>
      <c r="O321" s="160" t="str">
        <f>IF(controls!$B$44=0,"",'external balance'!D320)</f>
        <v/>
      </c>
      <c r="P321" s="160" t="str">
        <f>IF(controls!$B$44=0,"",'external balance'!F320)</f>
        <v/>
      </c>
      <c r="Q321" s="159" t="str">
        <f>IF(controls!$B$44=0,"",'external balance'!H320)</f>
        <v/>
      </c>
    </row>
    <row r="322" spans="1:17" ht="14" thickTop="1" thickBot="1">
      <c r="A322" s="15">
        <v>319</v>
      </c>
      <c r="B322" s="17">
        <f ca="1">('normal case'!D321-'normal case'!B321)/'normal case'!B321</f>
        <v>5.9014499777614481E-10</v>
      </c>
      <c r="C322" s="23">
        <f ca="1">'normal case'!D321</f>
        <v>101.00000005960464</v>
      </c>
      <c r="D322" s="24">
        <f ca="1">'normal case'!C321</f>
        <v>-1.5107707374006907E-7</v>
      </c>
      <c r="E322" s="22">
        <f ca="1">'normal case'!L321/100</f>
        <v>1.9999998807907104E-2</v>
      </c>
      <c r="F322" s="25">
        <f ca="1">'normal case'!U321/100</f>
        <v>5.499999850988388E-2</v>
      </c>
      <c r="G322" s="25">
        <f ca="1">'normal case'!T321/100</f>
        <v>3.4999999701976779E-2</v>
      </c>
      <c r="H322" s="25">
        <f ca="1">'public finance'!D320</f>
        <v>1.9802129779314939E-3</v>
      </c>
      <c r="I322" s="20">
        <f ca="1">'public finance'!E320</f>
        <v>100.43101999556835</v>
      </c>
      <c r="J322" s="118">
        <f ca="1">'public finance'!H320</f>
        <v>-2869.4011610782454</v>
      </c>
      <c r="K322" s="17">
        <f ca="1">'public finance'!C320/'normal case'!D321</f>
        <v>0.19801980186333762</v>
      </c>
      <c r="L322" s="20">
        <f ca="1">'public finance'!A320/'normal case'!D321</f>
        <v>0.2</v>
      </c>
      <c r="M322" s="18" t="str">
        <f>IF(controls!$B$44=0,"",'normal case'!AJ321)</f>
        <v/>
      </c>
      <c r="N322" s="18" t="str">
        <f>IF(controls!$B$44=0,"",'normal case'!AM321)</f>
        <v/>
      </c>
      <c r="O322" s="160" t="str">
        <f>IF(controls!$B$44=0,"",'external balance'!D321)</f>
        <v/>
      </c>
      <c r="P322" s="160" t="str">
        <f>IF(controls!$B$44=0,"",'external balance'!F321)</f>
        <v/>
      </c>
      <c r="Q322" s="159" t="str">
        <f>IF(controls!$B$44=0,"",'external balance'!H321)</f>
        <v/>
      </c>
    </row>
    <row r="323" spans="1:17" ht="14" thickTop="1" thickBot="1">
      <c r="A323" s="15">
        <v>320</v>
      </c>
      <c r="B323" s="17">
        <f ca="1">('normal case'!D322-'normal case'!B322)/'normal case'!B322</f>
        <v>5.9014499777614481E-10</v>
      </c>
      <c r="C323" s="23">
        <f ca="1">'normal case'!D322</f>
        <v>101.00000005960464</v>
      </c>
      <c r="D323" s="24">
        <f ca="1">'normal case'!C322</f>
        <v>-1.5107707374006907E-7</v>
      </c>
      <c r="E323" s="22">
        <f ca="1">'normal case'!L322/100</f>
        <v>1.9999998807907104E-2</v>
      </c>
      <c r="F323" s="25">
        <f ca="1">'normal case'!U322/100</f>
        <v>5.499999850988388E-2</v>
      </c>
      <c r="G323" s="25">
        <f ca="1">'normal case'!T322/100</f>
        <v>3.4999999701976779E-2</v>
      </c>
      <c r="H323" s="25">
        <f ca="1">'public finance'!D321</f>
        <v>1.9802129779314939E-3</v>
      </c>
      <c r="I323" s="20">
        <f ca="1">'public finance'!E321</f>
        <v>103.94610566496303</v>
      </c>
      <c r="J323" s="118">
        <f ca="1">'public finance'!H321</f>
        <v>-2969.8321810589728</v>
      </c>
      <c r="K323" s="17">
        <f ca="1">'public finance'!C321/'normal case'!D322</f>
        <v>0.19801980186333762</v>
      </c>
      <c r="L323" s="20">
        <f ca="1">'public finance'!A321/'normal case'!D322</f>
        <v>0.2</v>
      </c>
      <c r="M323" s="18" t="str">
        <f>IF(controls!$B$44=0,"",'normal case'!AJ322)</f>
        <v/>
      </c>
      <c r="N323" s="18" t="str">
        <f>IF(controls!$B$44=0,"",'normal case'!AM322)</f>
        <v/>
      </c>
      <c r="O323" s="160" t="str">
        <f>IF(controls!$B$44=0,"",'external balance'!D322)</f>
        <v/>
      </c>
      <c r="P323" s="160" t="str">
        <f>IF(controls!$B$44=0,"",'external balance'!F322)</f>
        <v/>
      </c>
      <c r="Q323" s="159" t="str">
        <f>IF(controls!$B$44=0,"",'external balance'!H322)</f>
        <v/>
      </c>
    </row>
    <row r="324" spans="1:17" ht="14" thickTop="1" thickBot="1">
      <c r="A324" s="15">
        <v>321</v>
      </c>
      <c r="B324" s="17">
        <f ca="1">('normal case'!D323-'normal case'!B323)/'normal case'!B323</f>
        <v>5.9014499777614481E-10</v>
      </c>
      <c r="C324" s="23">
        <f ca="1">'normal case'!D323</f>
        <v>101.00000005960464</v>
      </c>
      <c r="D324" s="24">
        <f ca="1">'normal case'!C323</f>
        <v>-1.5107707374006907E-7</v>
      </c>
      <c r="E324" s="22">
        <f ca="1">'normal case'!L323/100</f>
        <v>1.9999998807907104E-2</v>
      </c>
      <c r="F324" s="25">
        <f ca="1">'normal case'!U323/100</f>
        <v>5.499999850988388E-2</v>
      </c>
      <c r="G324" s="25">
        <f ca="1">'normal case'!T323/100</f>
        <v>3.4999999701976779E-2</v>
      </c>
      <c r="H324" s="25">
        <f ca="1">'public finance'!D322</f>
        <v>1.9802129779314939E-3</v>
      </c>
      <c r="I324" s="20">
        <f ca="1">'public finance'!E322</f>
        <v>107.58421933173894</v>
      </c>
      <c r="J324" s="118">
        <f ca="1">'public finance'!H322</f>
        <v>-3073.7782867090946</v>
      </c>
      <c r="K324" s="17">
        <f ca="1">'public finance'!C322/'normal case'!D323</f>
        <v>0.19801980186333762</v>
      </c>
      <c r="L324" s="20">
        <f ca="1">'public finance'!A322/'normal case'!D323</f>
        <v>0.2</v>
      </c>
      <c r="M324" s="18" t="str">
        <f>IF(controls!$B$44=0,"",'normal case'!AJ323)</f>
        <v/>
      </c>
      <c r="N324" s="18" t="str">
        <f>IF(controls!$B$44=0,"",'normal case'!AM323)</f>
        <v/>
      </c>
      <c r="O324" s="160" t="str">
        <f>IF(controls!$B$44=0,"",'external balance'!D323)</f>
        <v/>
      </c>
      <c r="P324" s="160" t="str">
        <f>IF(controls!$B$44=0,"",'external balance'!F323)</f>
        <v/>
      </c>
      <c r="Q324" s="159" t="str">
        <f>IF(controls!$B$44=0,"",'external balance'!H323)</f>
        <v/>
      </c>
    </row>
    <row r="325" spans="1:17" ht="14" thickTop="1" thickBot="1">
      <c r="A325" s="15">
        <v>322</v>
      </c>
      <c r="B325" s="17">
        <f ca="1">('normal case'!D324-'normal case'!B324)/'normal case'!B324</f>
        <v>5.9014499777614481E-10</v>
      </c>
      <c r="C325" s="23">
        <f ca="1">'normal case'!D324</f>
        <v>101.00000005960464</v>
      </c>
      <c r="D325" s="24">
        <f ca="1">'normal case'!C324</f>
        <v>-1.5107707374006907E-7</v>
      </c>
      <c r="E325" s="22">
        <f ca="1">'normal case'!L324/100</f>
        <v>1.9999998807907104E-2</v>
      </c>
      <c r="F325" s="25">
        <f ca="1">'normal case'!U324/100</f>
        <v>5.499999850988388E-2</v>
      </c>
      <c r="G325" s="25">
        <f ca="1">'normal case'!T324/100</f>
        <v>3.4999999701976779E-2</v>
      </c>
      <c r="H325" s="25">
        <f ca="1">'public finance'!D323</f>
        <v>1.9802129779314939E-3</v>
      </c>
      <c r="I325" s="20">
        <f ca="1">'public finance'!E323</f>
        <v>111.34966697576775</v>
      </c>
      <c r="J325" s="118">
        <f ca="1">'public finance'!H323</f>
        <v>-3181.3625060259924</v>
      </c>
      <c r="K325" s="17">
        <f ca="1">'public finance'!C323/'normal case'!D324</f>
        <v>0.19801980186333762</v>
      </c>
      <c r="L325" s="20">
        <f ca="1">'public finance'!A323/'normal case'!D324</f>
        <v>0.2</v>
      </c>
      <c r="M325" s="18" t="str">
        <f>IF(controls!$B$44=0,"",'normal case'!AJ324)</f>
        <v/>
      </c>
      <c r="N325" s="18" t="str">
        <f>IF(controls!$B$44=0,"",'normal case'!AM324)</f>
        <v/>
      </c>
      <c r="O325" s="160" t="str">
        <f>IF(controls!$B$44=0,"",'external balance'!D324)</f>
        <v/>
      </c>
      <c r="P325" s="160" t="str">
        <f>IF(controls!$B$44=0,"",'external balance'!F324)</f>
        <v/>
      </c>
      <c r="Q325" s="159" t="str">
        <f>IF(controls!$B$44=0,"",'external balance'!H324)</f>
        <v/>
      </c>
    </row>
    <row r="326" spans="1:17" ht="14" thickTop="1" thickBot="1">
      <c r="A326" s="15">
        <v>323</v>
      </c>
      <c r="B326" s="17">
        <f ca="1">('normal case'!D325-'normal case'!B325)/'normal case'!B325</f>
        <v>5.9014499777614481E-10</v>
      </c>
      <c r="C326" s="23">
        <f ca="1">'normal case'!D325</f>
        <v>101.00000005960464</v>
      </c>
      <c r="D326" s="24">
        <f ca="1">'normal case'!C325</f>
        <v>-1.5107707374006907E-7</v>
      </c>
      <c r="E326" s="22">
        <f ca="1">'normal case'!L325/100</f>
        <v>1.9999998807907104E-2</v>
      </c>
      <c r="F326" s="25">
        <f ca="1">'normal case'!U325/100</f>
        <v>5.499999850988388E-2</v>
      </c>
      <c r="G326" s="25">
        <f ca="1">'normal case'!T325/100</f>
        <v>3.4999999701976779E-2</v>
      </c>
      <c r="H326" s="25">
        <f ca="1">'public finance'!D324</f>
        <v>1.9802129779314939E-3</v>
      </c>
      <c r="I326" s="20">
        <f ca="1">'public finance'!E324</f>
        <v>115.24690528621539</v>
      </c>
      <c r="J326" s="118">
        <f ca="1">'public finance'!H324</f>
        <v>-3292.7121729869186</v>
      </c>
      <c r="K326" s="17">
        <f ca="1">'public finance'!C324/'normal case'!D325</f>
        <v>0.19801980186333762</v>
      </c>
      <c r="L326" s="20">
        <f ca="1">'public finance'!A324/'normal case'!D325</f>
        <v>0.2</v>
      </c>
      <c r="M326" s="18" t="str">
        <f>IF(controls!$B$44=0,"",'normal case'!AJ325)</f>
        <v/>
      </c>
      <c r="N326" s="18" t="str">
        <f>IF(controls!$B$44=0,"",'normal case'!AM325)</f>
        <v/>
      </c>
      <c r="O326" s="160" t="str">
        <f>IF(controls!$B$44=0,"",'external balance'!D325)</f>
        <v/>
      </c>
      <c r="P326" s="160" t="str">
        <f>IF(controls!$B$44=0,"",'external balance'!F325)</f>
        <v/>
      </c>
      <c r="Q326" s="159" t="str">
        <f>IF(controls!$B$44=0,"",'external balance'!H325)</f>
        <v/>
      </c>
    </row>
    <row r="327" spans="1:17" ht="14" thickTop="1" thickBot="1">
      <c r="A327" s="15">
        <v>324</v>
      </c>
      <c r="B327" s="17">
        <f ca="1">('normal case'!D326-'normal case'!B326)/'normal case'!B326</f>
        <v>5.9014499777614481E-10</v>
      </c>
      <c r="C327" s="23">
        <f ca="1">'normal case'!D326</f>
        <v>101.00000005960464</v>
      </c>
      <c r="D327" s="24">
        <f ca="1">'normal case'!C326</f>
        <v>-1.5107707374006907E-7</v>
      </c>
      <c r="E327" s="22">
        <f ca="1">'normal case'!L326/100</f>
        <v>1.9999998807907104E-2</v>
      </c>
      <c r="F327" s="25">
        <f ca="1">'normal case'!U326/100</f>
        <v>5.499999850988388E-2</v>
      </c>
      <c r="G327" s="25">
        <f ca="1">'normal case'!T326/100</f>
        <v>3.4999999701976779E-2</v>
      </c>
      <c r="H327" s="25">
        <f ca="1">'public finance'!D325</f>
        <v>1.9802129779314939E-3</v>
      </c>
      <c r="I327" s="20">
        <f ca="1">'public finance'!E325</f>
        <v>119.28054693636724</v>
      </c>
      <c r="J327" s="118">
        <f ca="1">'public finance'!H325</f>
        <v>-3407.9590782582932</v>
      </c>
      <c r="K327" s="17">
        <f ca="1">'public finance'!C325/'normal case'!D326</f>
        <v>0.19801980186333762</v>
      </c>
      <c r="L327" s="20">
        <f ca="1">'public finance'!A325/'normal case'!D326</f>
        <v>0.2</v>
      </c>
      <c r="M327" s="18" t="str">
        <f>IF(controls!$B$44=0,"",'normal case'!AJ326)</f>
        <v/>
      </c>
      <c r="N327" s="18" t="str">
        <f>IF(controls!$B$44=0,"",'normal case'!AM326)</f>
        <v/>
      </c>
      <c r="O327" s="160" t="str">
        <f>IF(controls!$B$44=0,"",'external balance'!D326)</f>
        <v/>
      </c>
      <c r="P327" s="160" t="str">
        <f>IF(controls!$B$44=0,"",'external balance'!F326)</f>
        <v/>
      </c>
      <c r="Q327" s="159" t="str">
        <f>IF(controls!$B$44=0,"",'external balance'!H326)</f>
        <v/>
      </c>
    </row>
    <row r="328" spans="1:17" ht="14" thickTop="1" thickBot="1">
      <c r="A328" s="15">
        <v>325</v>
      </c>
      <c r="B328" s="17">
        <f ca="1">('normal case'!D327-'normal case'!B327)/'normal case'!B327</f>
        <v>5.9014499777614481E-10</v>
      </c>
      <c r="C328" s="23">
        <f ca="1">'normal case'!D327</f>
        <v>101.00000005960464</v>
      </c>
      <c r="D328" s="24">
        <f ca="1">'normal case'!C327</f>
        <v>-1.5107707374006907E-7</v>
      </c>
      <c r="E328" s="22">
        <f ca="1">'normal case'!L327/100</f>
        <v>1.9999998807907104E-2</v>
      </c>
      <c r="F328" s="25">
        <f ca="1">'normal case'!U327/100</f>
        <v>5.499999850988388E-2</v>
      </c>
      <c r="G328" s="25">
        <f ca="1">'normal case'!T327/100</f>
        <v>3.4999999701976779E-2</v>
      </c>
      <c r="H328" s="25">
        <f ca="1">'public finance'!D326</f>
        <v>1.9802129779314939E-3</v>
      </c>
      <c r="I328" s="20">
        <f ca="1">'public finance'!E326</f>
        <v>123.45536604307227</v>
      </c>
      <c r="J328" s="118">
        <f ca="1">'public finance'!H326</f>
        <v>-3527.2396251798191</v>
      </c>
      <c r="K328" s="17">
        <f ca="1">'public finance'!C326/'normal case'!D327</f>
        <v>0.19801980186333762</v>
      </c>
      <c r="L328" s="20">
        <f ca="1">'public finance'!A326/'normal case'!D327</f>
        <v>0.2</v>
      </c>
      <c r="M328" s="18" t="str">
        <f>IF(controls!$B$44=0,"",'normal case'!AJ327)</f>
        <v/>
      </c>
      <c r="N328" s="18" t="str">
        <f>IF(controls!$B$44=0,"",'normal case'!AM327)</f>
        <v/>
      </c>
      <c r="O328" s="160" t="str">
        <f>IF(controls!$B$44=0,"",'external balance'!D327)</f>
        <v/>
      </c>
      <c r="P328" s="160" t="str">
        <f>IF(controls!$B$44=0,"",'external balance'!F327)</f>
        <v/>
      </c>
      <c r="Q328" s="159" t="str">
        <f>IF(controls!$B$44=0,"",'external balance'!H327)</f>
        <v/>
      </c>
    </row>
    <row r="329" spans="1:17" ht="14" thickTop="1" thickBot="1">
      <c r="A329" s="15">
        <v>326</v>
      </c>
      <c r="B329" s="17">
        <f ca="1">('normal case'!D328-'normal case'!B328)/'normal case'!B328</f>
        <v>5.9014499777614481E-10</v>
      </c>
      <c r="C329" s="23">
        <f ca="1">'normal case'!D328</f>
        <v>101.00000005960464</v>
      </c>
      <c r="D329" s="24">
        <f ca="1">'normal case'!C328</f>
        <v>-1.5107707374006907E-7</v>
      </c>
      <c r="E329" s="22">
        <f ca="1">'normal case'!L328/100</f>
        <v>1.9999998807907104E-2</v>
      </c>
      <c r="F329" s="25">
        <f ca="1">'normal case'!U328/100</f>
        <v>5.499999850988388E-2</v>
      </c>
      <c r="G329" s="25">
        <f ca="1">'normal case'!T328/100</f>
        <v>3.4999999701976779E-2</v>
      </c>
      <c r="H329" s="25">
        <f ca="1">'public finance'!D327</f>
        <v>1.9802129779314939E-3</v>
      </c>
      <c r="I329" s="20">
        <f ca="1">'public finance'!E327</f>
        <v>127.7763038172678</v>
      </c>
      <c r="J329" s="118">
        <f ca="1">'public finance'!H327</f>
        <v>-3650.6949912080499</v>
      </c>
      <c r="K329" s="17">
        <f ca="1">'public finance'!C327/'normal case'!D328</f>
        <v>0.19801980186333762</v>
      </c>
      <c r="L329" s="20">
        <f ca="1">'public finance'!A327/'normal case'!D328</f>
        <v>0.2</v>
      </c>
      <c r="M329" s="18" t="str">
        <f>IF(controls!$B$44=0,"",'normal case'!AJ328)</f>
        <v/>
      </c>
      <c r="N329" s="18" t="str">
        <f>IF(controls!$B$44=0,"",'normal case'!AM328)</f>
        <v/>
      </c>
      <c r="O329" s="160" t="str">
        <f>IF(controls!$B$44=0,"",'external balance'!D328)</f>
        <v/>
      </c>
      <c r="P329" s="160" t="str">
        <f>IF(controls!$B$44=0,"",'external balance'!F328)</f>
        <v/>
      </c>
      <c r="Q329" s="159" t="str">
        <f>IF(controls!$B$44=0,"",'external balance'!H328)</f>
        <v/>
      </c>
    </row>
    <row r="330" spans="1:17" ht="14" thickTop="1" thickBot="1">
      <c r="A330" s="15">
        <v>327</v>
      </c>
      <c r="B330" s="17">
        <f ca="1">('normal case'!D329-'normal case'!B329)/'normal case'!B329</f>
        <v>5.9014499777614481E-10</v>
      </c>
      <c r="C330" s="23">
        <f ca="1">'normal case'!D329</f>
        <v>101.00000005960464</v>
      </c>
      <c r="D330" s="24">
        <f ca="1">'normal case'!C329</f>
        <v>-1.5107707374006907E-7</v>
      </c>
      <c r="E330" s="22">
        <f ca="1">'normal case'!L329/100</f>
        <v>1.9999998807907104E-2</v>
      </c>
      <c r="F330" s="25">
        <f ca="1">'normal case'!U329/100</f>
        <v>5.499999850988388E-2</v>
      </c>
      <c r="G330" s="25">
        <f ca="1">'normal case'!T329/100</f>
        <v>3.4999999701976779E-2</v>
      </c>
      <c r="H330" s="25">
        <f ca="1">'public finance'!D328</f>
        <v>1.9802129779314939E-3</v>
      </c>
      <c r="I330" s="20">
        <f ca="1">'public finance'!E328</f>
        <v>132.24847441227246</v>
      </c>
      <c r="J330" s="118">
        <f ca="1">'public finance'!H328</f>
        <v>-3778.4712950104768</v>
      </c>
      <c r="K330" s="17">
        <f ca="1">'public finance'!C328/'normal case'!D329</f>
        <v>0.19801980186333762</v>
      </c>
      <c r="L330" s="20">
        <f ca="1">'public finance'!A328/'normal case'!D329</f>
        <v>0.2</v>
      </c>
      <c r="M330" s="18" t="str">
        <f>IF(controls!$B$44=0,"",'normal case'!AJ329)</f>
        <v/>
      </c>
      <c r="N330" s="18" t="str">
        <f>IF(controls!$B$44=0,"",'normal case'!AM329)</f>
        <v/>
      </c>
      <c r="O330" s="160" t="str">
        <f>IF(controls!$B$44=0,"",'external balance'!D329)</f>
        <v/>
      </c>
      <c r="P330" s="160" t="str">
        <f>IF(controls!$B$44=0,"",'external balance'!F329)</f>
        <v/>
      </c>
      <c r="Q330" s="159" t="str">
        <f>IF(controls!$B$44=0,"",'external balance'!H329)</f>
        <v/>
      </c>
    </row>
    <row r="331" spans="1:17" ht="14" thickTop="1" thickBot="1">
      <c r="A331" s="15">
        <v>328</v>
      </c>
      <c r="B331" s="17">
        <f ca="1">('normal case'!D330-'normal case'!B330)/'normal case'!B330</f>
        <v>5.9014499777614481E-10</v>
      </c>
      <c r="C331" s="23">
        <f ca="1">'normal case'!D330</f>
        <v>101.00000005960464</v>
      </c>
      <c r="D331" s="24">
        <f ca="1">'normal case'!C330</f>
        <v>-1.5107707374006907E-7</v>
      </c>
      <c r="E331" s="22">
        <f ca="1">'normal case'!L330/100</f>
        <v>1.9999998807907104E-2</v>
      </c>
      <c r="F331" s="25">
        <f ca="1">'normal case'!U330/100</f>
        <v>5.499999850988388E-2</v>
      </c>
      <c r="G331" s="25">
        <f ca="1">'normal case'!T330/100</f>
        <v>3.4999999701976779E-2</v>
      </c>
      <c r="H331" s="25">
        <f ca="1">'public finance'!D329</f>
        <v>1.9802129779314939E-3</v>
      </c>
      <c r="I331" s="20">
        <f ca="1">'public finance'!E329</f>
        <v>136.87717097676941</v>
      </c>
      <c r="J331" s="118">
        <f ca="1">'public finance'!H329</f>
        <v>-3910.7197694079082</v>
      </c>
      <c r="K331" s="17">
        <f ca="1">'public finance'!C329/'normal case'!D330</f>
        <v>0.19801980186333762</v>
      </c>
      <c r="L331" s="20">
        <f ca="1">'public finance'!A329/'normal case'!D330</f>
        <v>0.2</v>
      </c>
      <c r="M331" s="18" t="str">
        <f>IF(controls!$B$44=0,"",'normal case'!AJ330)</f>
        <v/>
      </c>
      <c r="N331" s="18" t="str">
        <f>IF(controls!$B$44=0,"",'normal case'!AM330)</f>
        <v/>
      </c>
      <c r="O331" s="160" t="str">
        <f>IF(controls!$B$44=0,"",'external balance'!D330)</f>
        <v/>
      </c>
      <c r="P331" s="160" t="str">
        <f>IF(controls!$B$44=0,"",'external balance'!F330)</f>
        <v/>
      </c>
      <c r="Q331" s="159" t="str">
        <f>IF(controls!$B$44=0,"",'external balance'!H330)</f>
        <v/>
      </c>
    </row>
    <row r="332" spans="1:17" ht="14" thickTop="1" thickBot="1">
      <c r="A332" s="15">
        <v>329</v>
      </c>
      <c r="B332" s="17">
        <f ca="1">('normal case'!D331-'normal case'!B331)/'normal case'!B331</f>
        <v>5.9014499777614481E-10</v>
      </c>
      <c r="C332" s="23">
        <f ca="1">'normal case'!D331</f>
        <v>101.00000005960464</v>
      </c>
      <c r="D332" s="24">
        <f ca="1">'normal case'!C331</f>
        <v>-1.5107707374006907E-7</v>
      </c>
      <c r="E332" s="22">
        <f ca="1">'normal case'!L331/100</f>
        <v>1.9999998807907104E-2</v>
      </c>
      <c r="F332" s="25">
        <f ca="1">'normal case'!U331/100</f>
        <v>5.499999850988388E-2</v>
      </c>
      <c r="G332" s="25">
        <f ca="1">'normal case'!T331/100</f>
        <v>3.4999999701976779E-2</v>
      </c>
      <c r="H332" s="25">
        <f ca="1">'public finance'!D330</f>
        <v>1.9802129779314939E-3</v>
      </c>
      <c r="I332" s="20">
        <f ca="1">'public finance'!E330</f>
        <v>141.66787191964431</v>
      </c>
      <c r="J332" s="118">
        <f ca="1">'public finance'!H330</f>
        <v>-4047.5969403698359</v>
      </c>
      <c r="K332" s="17">
        <f ca="1">'public finance'!C330/'normal case'!D331</f>
        <v>0.19801980186333762</v>
      </c>
      <c r="L332" s="20">
        <f ca="1">'public finance'!A330/'normal case'!D331</f>
        <v>0.2</v>
      </c>
      <c r="M332" s="18" t="str">
        <f>IF(controls!$B$44=0,"",'normal case'!AJ331)</f>
        <v/>
      </c>
      <c r="N332" s="18" t="str">
        <f>IF(controls!$B$44=0,"",'normal case'!AM331)</f>
        <v/>
      </c>
      <c r="O332" s="160" t="str">
        <f>IF(controls!$B$44=0,"",'external balance'!D331)</f>
        <v/>
      </c>
      <c r="P332" s="160" t="str">
        <f>IF(controls!$B$44=0,"",'external balance'!F331)</f>
        <v/>
      </c>
      <c r="Q332" s="159" t="str">
        <f>IF(controls!$B$44=0,"",'external balance'!H331)</f>
        <v/>
      </c>
    </row>
    <row r="333" spans="1:17" ht="14" thickTop="1" thickBot="1">
      <c r="A333" s="15">
        <v>330</v>
      </c>
      <c r="B333" s="17">
        <f ca="1">('normal case'!D332-'normal case'!B332)/'normal case'!B332</f>
        <v>5.9014499777614481E-10</v>
      </c>
      <c r="C333" s="23">
        <f ca="1">'normal case'!D332</f>
        <v>101.00000005960464</v>
      </c>
      <c r="D333" s="24">
        <f ca="1">'normal case'!C332</f>
        <v>-1.5107707374006907E-7</v>
      </c>
      <c r="E333" s="22">
        <f ca="1">'normal case'!L332/100</f>
        <v>1.9999998807907104E-2</v>
      </c>
      <c r="F333" s="25">
        <f ca="1">'normal case'!U332/100</f>
        <v>5.499999850988388E-2</v>
      </c>
      <c r="G333" s="25">
        <f ca="1">'normal case'!T332/100</f>
        <v>3.4999999701976779E-2</v>
      </c>
      <c r="H333" s="25">
        <f ca="1">'public finance'!D331</f>
        <v>1.9802129779314939E-3</v>
      </c>
      <c r="I333" s="20">
        <f ca="1">'public finance'!E331</f>
        <v>146.62624739409213</v>
      </c>
      <c r="J333" s="118">
        <f ca="1">'public finance'!H331</f>
        <v>-4189.2648122746396</v>
      </c>
      <c r="K333" s="17">
        <f ca="1">'public finance'!C331/'normal case'!D332</f>
        <v>0.19801980186333762</v>
      </c>
      <c r="L333" s="20">
        <f ca="1">'public finance'!A331/'normal case'!D332</f>
        <v>0.2</v>
      </c>
      <c r="M333" s="18" t="str">
        <f>IF(controls!$B$44=0,"",'normal case'!AJ332)</f>
        <v/>
      </c>
      <c r="N333" s="18" t="str">
        <f>IF(controls!$B$44=0,"",'normal case'!AM332)</f>
        <v/>
      </c>
      <c r="O333" s="160" t="str">
        <f>IF(controls!$B$44=0,"",'external balance'!D332)</f>
        <v/>
      </c>
      <c r="P333" s="160" t="str">
        <f>IF(controls!$B$44=0,"",'external balance'!F332)</f>
        <v/>
      </c>
      <c r="Q333" s="159" t="str">
        <f>IF(controls!$B$44=0,"",'external balance'!H332)</f>
        <v/>
      </c>
    </row>
    <row r="334" spans="1:17" ht="14" thickTop="1" thickBot="1">
      <c r="A334" s="15">
        <v>331</v>
      </c>
      <c r="B334" s="17">
        <f ca="1">('normal case'!D333-'normal case'!B333)/'normal case'!B333</f>
        <v>5.9014499777614481E-10</v>
      </c>
      <c r="C334" s="23">
        <f ca="1">'normal case'!D333</f>
        <v>101.00000005960464</v>
      </c>
      <c r="D334" s="24">
        <f ca="1">'normal case'!C333</f>
        <v>-1.5107707374006907E-7</v>
      </c>
      <c r="E334" s="22">
        <f ca="1">'normal case'!L333/100</f>
        <v>1.9999998807907104E-2</v>
      </c>
      <c r="F334" s="25">
        <f ca="1">'normal case'!U333/100</f>
        <v>5.499999850988388E-2</v>
      </c>
      <c r="G334" s="25">
        <f ca="1">'normal case'!T333/100</f>
        <v>3.4999999701976779E-2</v>
      </c>
      <c r="H334" s="25">
        <f ca="1">'public finance'!D332</f>
        <v>1.9802129779314939E-3</v>
      </c>
      <c r="I334" s="20">
        <f ca="1">'public finance'!E332</f>
        <v>151.7581660086679</v>
      </c>
      <c r="J334" s="118">
        <f ca="1">'public finance'!H332</f>
        <v>-4335.8910596538899</v>
      </c>
      <c r="K334" s="17">
        <f ca="1">'public finance'!C332/'normal case'!D333</f>
        <v>0.19801980186333762</v>
      </c>
      <c r="L334" s="20">
        <f ca="1">'public finance'!A332/'normal case'!D333</f>
        <v>0.2</v>
      </c>
      <c r="M334" s="18" t="str">
        <f>IF(controls!$B$44=0,"",'normal case'!AJ333)</f>
        <v/>
      </c>
      <c r="N334" s="18" t="str">
        <f>IF(controls!$B$44=0,"",'normal case'!AM333)</f>
        <v/>
      </c>
      <c r="O334" s="160" t="str">
        <f>IF(controls!$B$44=0,"",'external balance'!D333)</f>
        <v/>
      </c>
      <c r="P334" s="160" t="str">
        <f>IF(controls!$B$44=0,"",'external balance'!F333)</f>
        <v/>
      </c>
      <c r="Q334" s="159" t="str">
        <f>IF(controls!$B$44=0,"",'external balance'!H333)</f>
        <v/>
      </c>
    </row>
    <row r="335" spans="1:17" ht="14" thickTop="1" thickBot="1">
      <c r="A335" s="15">
        <v>332</v>
      </c>
      <c r="B335" s="17">
        <f ca="1">('normal case'!D334-'normal case'!B334)/'normal case'!B334</f>
        <v>5.9014499777614481E-10</v>
      </c>
      <c r="C335" s="23">
        <f ca="1">'normal case'!D334</f>
        <v>101.00000005960464</v>
      </c>
      <c r="D335" s="24">
        <f ca="1">'normal case'!C334</f>
        <v>-1.5107707374006907E-7</v>
      </c>
      <c r="E335" s="22">
        <f ca="1">'normal case'!L334/100</f>
        <v>1.9999998807907104E-2</v>
      </c>
      <c r="F335" s="25">
        <f ca="1">'normal case'!U334/100</f>
        <v>5.499999850988388E-2</v>
      </c>
      <c r="G335" s="25">
        <f ca="1">'normal case'!T334/100</f>
        <v>3.4999999701976779E-2</v>
      </c>
      <c r="H335" s="25">
        <f ca="1">'public finance'!D333</f>
        <v>1.9802129779314939E-3</v>
      </c>
      <c r="I335" s="20">
        <f ca="1">'public finance'!E333</f>
        <v>157.06970177322435</v>
      </c>
      <c r="J335" s="118">
        <f ca="1">'public finance'!H333</f>
        <v>-4487.6492256477168</v>
      </c>
      <c r="K335" s="17">
        <f ca="1">'public finance'!C333/'normal case'!D334</f>
        <v>0.19801980186333762</v>
      </c>
      <c r="L335" s="20">
        <f ca="1">'public finance'!A333/'normal case'!D334</f>
        <v>0.2</v>
      </c>
      <c r="M335" s="18" t="str">
        <f>IF(controls!$B$44=0,"",'normal case'!AJ334)</f>
        <v/>
      </c>
      <c r="N335" s="18" t="str">
        <f>IF(controls!$B$44=0,"",'normal case'!AM334)</f>
        <v/>
      </c>
      <c r="O335" s="160" t="str">
        <f>IF(controls!$B$44=0,"",'external balance'!D334)</f>
        <v/>
      </c>
      <c r="P335" s="160" t="str">
        <f>IF(controls!$B$44=0,"",'external balance'!F334)</f>
        <v/>
      </c>
      <c r="Q335" s="159" t="str">
        <f>IF(controls!$B$44=0,"",'external balance'!H334)</f>
        <v/>
      </c>
    </row>
    <row r="336" spans="1:17" ht="14" thickTop="1" thickBot="1">
      <c r="A336" s="15">
        <v>333</v>
      </c>
      <c r="B336" s="17">
        <f ca="1">('normal case'!D335-'normal case'!B335)/'normal case'!B335</f>
        <v>5.9014499777614481E-10</v>
      </c>
      <c r="C336" s="23">
        <f ca="1">'normal case'!D335</f>
        <v>101.00000005960464</v>
      </c>
      <c r="D336" s="24">
        <f ca="1">'normal case'!C335</f>
        <v>-1.5107707374006907E-7</v>
      </c>
      <c r="E336" s="22">
        <f ca="1">'normal case'!L335/100</f>
        <v>1.9999998807907104E-2</v>
      </c>
      <c r="F336" s="25">
        <f ca="1">'normal case'!U335/100</f>
        <v>5.499999850988388E-2</v>
      </c>
      <c r="G336" s="25">
        <f ca="1">'normal case'!T335/100</f>
        <v>3.4999999701976779E-2</v>
      </c>
      <c r="H336" s="25">
        <f ca="1">'public finance'!D334</f>
        <v>1.9802129779314939E-3</v>
      </c>
      <c r="I336" s="20">
        <f ca="1">'public finance'!E334</f>
        <v>162.56714128795733</v>
      </c>
      <c r="J336" s="118">
        <f ca="1">'public finance'!H334</f>
        <v>-4644.7189274061002</v>
      </c>
      <c r="K336" s="17">
        <f ca="1">'public finance'!C334/'normal case'!D335</f>
        <v>0.19801980186333762</v>
      </c>
      <c r="L336" s="20">
        <f ca="1">'public finance'!A334/'normal case'!D335</f>
        <v>0.2</v>
      </c>
      <c r="M336" s="18" t="str">
        <f>IF(controls!$B$44=0,"",'normal case'!AJ335)</f>
        <v/>
      </c>
      <c r="N336" s="18" t="str">
        <f>IF(controls!$B$44=0,"",'normal case'!AM335)</f>
        <v/>
      </c>
      <c r="O336" s="160" t="str">
        <f>IF(controls!$B$44=0,"",'external balance'!D335)</f>
        <v/>
      </c>
      <c r="P336" s="160" t="str">
        <f>IF(controls!$B$44=0,"",'external balance'!F335)</f>
        <v/>
      </c>
      <c r="Q336" s="159" t="str">
        <f>IF(controls!$B$44=0,"",'external balance'!H335)</f>
        <v/>
      </c>
    </row>
    <row r="337" spans="1:17" ht="14" thickTop="1" thickBot="1">
      <c r="A337" s="15">
        <v>334</v>
      </c>
      <c r="B337" s="17">
        <f ca="1">('normal case'!D336-'normal case'!B336)/'normal case'!B336</f>
        <v>5.9014499777614481E-10</v>
      </c>
      <c r="C337" s="23">
        <f ca="1">'normal case'!D336</f>
        <v>101.00000005960464</v>
      </c>
      <c r="D337" s="24">
        <f ca="1">'normal case'!C336</f>
        <v>-1.5107707374006907E-7</v>
      </c>
      <c r="E337" s="22">
        <f ca="1">'normal case'!L336/100</f>
        <v>1.9999998807907104E-2</v>
      </c>
      <c r="F337" s="25">
        <f ca="1">'normal case'!U336/100</f>
        <v>5.499999850988388E-2</v>
      </c>
      <c r="G337" s="25">
        <f ca="1">'normal case'!T336/100</f>
        <v>3.4999999701976779E-2</v>
      </c>
      <c r="H337" s="25">
        <f ca="1">'public finance'!D335</f>
        <v>1.9802129779314939E-3</v>
      </c>
      <c r="I337" s="20">
        <f ca="1">'public finance'!E335</f>
        <v>168.25699118406763</v>
      </c>
      <c r="J337" s="118">
        <f ca="1">'public finance'!H335</f>
        <v>-4807.2860686792164</v>
      </c>
      <c r="K337" s="17">
        <f ca="1">'public finance'!C335/'normal case'!D336</f>
        <v>0.19801980186333762</v>
      </c>
      <c r="L337" s="20">
        <f ca="1">'public finance'!A335/'normal case'!D336</f>
        <v>0.2</v>
      </c>
      <c r="M337" s="18" t="str">
        <f>IF(controls!$B$44=0,"",'normal case'!AJ336)</f>
        <v/>
      </c>
      <c r="N337" s="18" t="str">
        <f>IF(controls!$B$44=0,"",'normal case'!AM336)</f>
        <v/>
      </c>
      <c r="O337" s="160" t="str">
        <f>IF(controls!$B$44=0,"",'external balance'!D336)</f>
        <v/>
      </c>
      <c r="P337" s="160" t="str">
        <f>IF(controls!$B$44=0,"",'external balance'!F336)</f>
        <v/>
      </c>
      <c r="Q337" s="159" t="str">
        <f>IF(controls!$B$44=0,"",'external balance'!H336)</f>
        <v/>
      </c>
    </row>
    <row r="338" spans="1:17" ht="14" thickTop="1" thickBot="1">
      <c r="A338" s="15">
        <v>335</v>
      </c>
      <c r="B338" s="17">
        <f ca="1">('normal case'!D337-'normal case'!B337)/'normal case'!B337</f>
        <v>5.9014499777614481E-10</v>
      </c>
      <c r="C338" s="23">
        <f ca="1">'normal case'!D337</f>
        <v>101.00000005960464</v>
      </c>
      <c r="D338" s="24">
        <f ca="1">'normal case'!C337</f>
        <v>-1.5107707374006907E-7</v>
      </c>
      <c r="E338" s="22">
        <f ca="1">'normal case'!L337/100</f>
        <v>1.9999998807907104E-2</v>
      </c>
      <c r="F338" s="25">
        <f ca="1">'normal case'!U337/100</f>
        <v>5.499999850988388E-2</v>
      </c>
      <c r="G338" s="25">
        <f ca="1">'normal case'!T337/100</f>
        <v>3.4999999701976779E-2</v>
      </c>
      <c r="H338" s="25">
        <f ca="1">'public finance'!D336</f>
        <v>1.9802129779314939E-3</v>
      </c>
      <c r="I338" s="20">
        <f ca="1">'public finance'!E336</f>
        <v>174.14598582484606</v>
      </c>
      <c r="J338" s="118">
        <f ca="1">'public finance'!H336</f>
        <v>-4975.5430598484427</v>
      </c>
      <c r="K338" s="17">
        <f ca="1">'public finance'!C336/'normal case'!D337</f>
        <v>0.19801980186333762</v>
      </c>
      <c r="L338" s="20">
        <f ca="1">'public finance'!A336/'normal case'!D337</f>
        <v>0.2</v>
      </c>
      <c r="M338" s="18" t="str">
        <f>IF(controls!$B$44=0,"",'normal case'!AJ337)</f>
        <v/>
      </c>
      <c r="N338" s="18" t="str">
        <f>IF(controls!$B$44=0,"",'normal case'!AM337)</f>
        <v/>
      </c>
      <c r="O338" s="160" t="str">
        <f>IF(controls!$B$44=0,"",'external balance'!D337)</f>
        <v/>
      </c>
      <c r="P338" s="160" t="str">
        <f>IF(controls!$B$44=0,"",'external balance'!F337)</f>
        <v/>
      </c>
      <c r="Q338" s="159" t="str">
        <f>IF(controls!$B$44=0,"",'external balance'!H337)</f>
        <v/>
      </c>
    </row>
    <row r="339" spans="1:17" ht="14" thickTop="1" thickBot="1">
      <c r="A339" s="15">
        <v>336</v>
      </c>
      <c r="B339" s="17">
        <f ca="1">('normal case'!D338-'normal case'!B338)/'normal case'!B338</f>
        <v>5.9014499777614481E-10</v>
      </c>
      <c r="C339" s="23">
        <f ca="1">'normal case'!D338</f>
        <v>101.00000005960464</v>
      </c>
      <c r="D339" s="24">
        <f ca="1">'normal case'!C338</f>
        <v>-1.5107707374006907E-7</v>
      </c>
      <c r="E339" s="22">
        <f ca="1">'normal case'!L338/100</f>
        <v>1.9999998807907104E-2</v>
      </c>
      <c r="F339" s="25">
        <f ca="1">'normal case'!U338/100</f>
        <v>5.499999850988388E-2</v>
      </c>
      <c r="G339" s="25">
        <f ca="1">'normal case'!T338/100</f>
        <v>3.4999999701976779E-2</v>
      </c>
      <c r="H339" s="25">
        <f ca="1">'public finance'!D337</f>
        <v>1.9802129779314939E-3</v>
      </c>
      <c r="I339" s="20">
        <f ca="1">'public finance'!E337</f>
        <v>180.2410952762967</v>
      </c>
      <c r="J339" s="118">
        <f ca="1">'public finance'!H337</f>
        <v>-5149.6890456584479</v>
      </c>
      <c r="K339" s="17">
        <f ca="1">'public finance'!C337/'normal case'!D338</f>
        <v>0.19801980186333762</v>
      </c>
      <c r="L339" s="20">
        <f ca="1">'public finance'!A337/'normal case'!D338</f>
        <v>0.2</v>
      </c>
      <c r="M339" s="18" t="str">
        <f>IF(controls!$B$44=0,"",'normal case'!AJ338)</f>
        <v/>
      </c>
      <c r="N339" s="18" t="str">
        <f>IF(controls!$B$44=0,"",'normal case'!AM338)</f>
        <v/>
      </c>
      <c r="O339" s="160" t="str">
        <f>IF(controls!$B$44=0,"",'external balance'!D338)</f>
        <v/>
      </c>
      <c r="P339" s="160" t="str">
        <f>IF(controls!$B$44=0,"",'external balance'!F338)</f>
        <v/>
      </c>
      <c r="Q339" s="159" t="str">
        <f>IF(controls!$B$44=0,"",'external balance'!H338)</f>
        <v/>
      </c>
    </row>
    <row r="340" spans="1:17" ht="14" thickTop="1" thickBot="1">
      <c r="A340" s="15">
        <v>337</v>
      </c>
      <c r="B340" s="17">
        <f ca="1">('normal case'!D339-'normal case'!B339)/'normal case'!B339</f>
        <v>5.9014499777614481E-10</v>
      </c>
      <c r="C340" s="23">
        <f ca="1">'normal case'!D339</f>
        <v>101.00000005960464</v>
      </c>
      <c r="D340" s="24">
        <f ca="1">'normal case'!C339</f>
        <v>-1.5107707374006907E-7</v>
      </c>
      <c r="E340" s="22">
        <f ca="1">'normal case'!L339/100</f>
        <v>1.9999998807907104E-2</v>
      </c>
      <c r="F340" s="25">
        <f ca="1">'normal case'!U339/100</f>
        <v>5.499999850988388E-2</v>
      </c>
      <c r="G340" s="25">
        <f ca="1">'normal case'!T339/100</f>
        <v>3.4999999701976779E-2</v>
      </c>
      <c r="H340" s="25">
        <f ca="1">'public finance'!D338</f>
        <v>1.9802129779314939E-3</v>
      </c>
      <c r="I340" s="20">
        <f ca="1">'public finance'!E338</f>
        <v>186.5495335567316</v>
      </c>
      <c r="J340" s="118">
        <f ca="1">'public finance'!H338</f>
        <v>-5329.9301409199034</v>
      </c>
      <c r="K340" s="17">
        <f ca="1">'public finance'!C338/'normal case'!D339</f>
        <v>0.19801980186333762</v>
      </c>
      <c r="L340" s="20">
        <f ca="1">'public finance'!A338/'normal case'!D339</f>
        <v>0.2</v>
      </c>
      <c r="M340" s="18" t="str">
        <f>IF(controls!$B$44=0,"",'normal case'!AJ339)</f>
        <v/>
      </c>
      <c r="N340" s="18" t="str">
        <f>IF(controls!$B$44=0,"",'normal case'!AM339)</f>
        <v/>
      </c>
      <c r="O340" s="160" t="str">
        <f>IF(controls!$B$44=0,"",'external balance'!D339)</f>
        <v/>
      </c>
      <c r="P340" s="160" t="str">
        <f>IF(controls!$B$44=0,"",'external balance'!F339)</f>
        <v/>
      </c>
      <c r="Q340" s="159" t="str">
        <f>IF(controls!$B$44=0,"",'external balance'!H339)</f>
        <v/>
      </c>
    </row>
    <row r="341" spans="1:17" ht="14" thickTop="1" thickBot="1">
      <c r="A341" s="15">
        <v>338</v>
      </c>
      <c r="B341" s="17">
        <f ca="1">('normal case'!D340-'normal case'!B340)/'normal case'!B340</f>
        <v>5.9014499777614481E-10</v>
      </c>
      <c r="C341" s="23">
        <f ca="1">'normal case'!D340</f>
        <v>101.00000005960464</v>
      </c>
      <c r="D341" s="24">
        <f ca="1">'normal case'!C340</f>
        <v>-1.5107707374006907E-7</v>
      </c>
      <c r="E341" s="22">
        <f ca="1">'normal case'!L340/100</f>
        <v>1.9999998807907104E-2</v>
      </c>
      <c r="F341" s="25">
        <f ca="1">'normal case'!U340/100</f>
        <v>5.499999850988388E-2</v>
      </c>
      <c r="G341" s="25">
        <f ca="1">'normal case'!T340/100</f>
        <v>3.4999999701976779E-2</v>
      </c>
      <c r="H341" s="25">
        <f ca="1">'public finance'!D339</f>
        <v>1.9802129779314939E-3</v>
      </c>
      <c r="I341" s="20">
        <f ca="1">'public finance'!E339</f>
        <v>193.07876717510166</v>
      </c>
      <c r="J341" s="118">
        <f ca="1">'public finance'!H339</f>
        <v>-5516.4796744617934</v>
      </c>
      <c r="K341" s="17">
        <f ca="1">'public finance'!C339/'normal case'!D340</f>
        <v>0.19801980186333762</v>
      </c>
      <c r="L341" s="20">
        <f ca="1">'public finance'!A339/'normal case'!D340</f>
        <v>0.2</v>
      </c>
      <c r="M341" s="18" t="str">
        <f>IF(controls!$B$44=0,"",'normal case'!AJ340)</f>
        <v/>
      </c>
      <c r="N341" s="18" t="str">
        <f>IF(controls!$B$44=0,"",'normal case'!AM340)</f>
        <v/>
      </c>
      <c r="O341" s="160" t="str">
        <f>IF(controls!$B$44=0,"",'external balance'!D340)</f>
        <v/>
      </c>
      <c r="P341" s="160" t="str">
        <f>IF(controls!$B$44=0,"",'external balance'!F340)</f>
        <v/>
      </c>
      <c r="Q341" s="159" t="str">
        <f>IF(controls!$B$44=0,"",'external balance'!H340)</f>
        <v/>
      </c>
    </row>
    <row r="342" spans="1:17" ht="14" thickTop="1" thickBot="1">
      <c r="A342" s="15">
        <v>339</v>
      </c>
      <c r="B342" s="17">
        <f ca="1">('normal case'!D341-'normal case'!B341)/'normal case'!B341</f>
        <v>5.9014499777614481E-10</v>
      </c>
      <c r="C342" s="23">
        <f ca="1">'normal case'!D341</f>
        <v>101.00000005960464</v>
      </c>
      <c r="D342" s="24">
        <f ca="1">'normal case'!C341</f>
        <v>-1.5107707374006907E-7</v>
      </c>
      <c r="E342" s="22">
        <f ca="1">'normal case'!L341/100</f>
        <v>1.9999998807907104E-2</v>
      </c>
      <c r="F342" s="25">
        <f ca="1">'normal case'!U341/100</f>
        <v>5.499999850988388E-2</v>
      </c>
      <c r="G342" s="25">
        <f ca="1">'normal case'!T341/100</f>
        <v>3.4999999701976779E-2</v>
      </c>
      <c r="H342" s="25">
        <f ca="1">'public finance'!D340</f>
        <v>1.9802129779314939E-3</v>
      </c>
      <c r="I342" s="20">
        <f ca="1">'public finance'!E340</f>
        <v>199.83652396816888</v>
      </c>
      <c r="J342" s="118">
        <f ca="1">'public finance'!H340</f>
        <v>-5709.5584416220545</v>
      </c>
      <c r="K342" s="17">
        <f ca="1">'public finance'!C340/'normal case'!D341</f>
        <v>0.19801980186333762</v>
      </c>
      <c r="L342" s="20">
        <f ca="1">'public finance'!A340/'normal case'!D341</f>
        <v>0.2</v>
      </c>
      <c r="M342" s="18" t="str">
        <f>IF(controls!$B$44=0,"",'normal case'!AJ341)</f>
        <v/>
      </c>
      <c r="N342" s="18" t="str">
        <f>IF(controls!$B$44=0,"",'normal case'!AM341)</f>
        <v/>
      </c>
      <c r="O342" s="160" t="str">
        <f>IF(controls!$B$44=0,"",'external balance'!D341)</f>
        <v/>
      </c>
      <c r="P342" s="160" t="str">
        <f>IF(controls!$B$44=0,"",'external balance'!F341)</f>
        <v/>
      </c>
      <c r="Q342" s="159" t="str">
        <f>IF(controls!$B$44=0,"",'external balance'!H341)</f>
        <v/>
      </c>
    </row>
    <row r="343" spans="1:17" ht="14" thickTop="1" thickBot="1">
      <c r="A343" s="15">
        <v>340</v>
      </c>
      <c r="B343" s="17">
        <f ca="1">('normal case'!D342-'normal case'!B342)/'normal case'!B342</f>
        <v>5.9014499777614481E-10</v>
      </c>
      <c r="C343" s="23">
        <f ca="1">'normal case'!D342</f>
        <v>101.00000005960464</v>
      </c>
      <c r="D343" s="24">
        <f ca="1">'normal case'!C342</f>
        <v>-1.5107707374006907E-7</v>
      </c>
      <c r="E343" s="22">
        <f ca="1">'normal case'!L342/100</f>
        <v>1.9999998807907104E-2</v>
      </c>
      <c r="F343" s="25">
        <f ca="1">'normal case'!U342/100</f>
        <v>5.499999850988388E-2</v>
      </c>
      <c r="G343" s="25">
        <f ca="1">'normal case'!T342/100</f>
        <v>3.4999999701976779E-2</v>
      </c>
      <c r="H343" s="25">
        <f ca="1">'public finance'!D341</f>
        <v>1.9802129779314939E-3</v>
      </c>
      <c r="I343" s="20">
        <f ca="1">'public finance'!E341</f>
        <v>206.8308022469794</v>
      </c>
      <c r="J343" s="118">
        <f ca="1">'public finance'!H341</f>
        <v>-5909.3949655753831</v>
      </c>
      <c r="K343" s="17">
        <f ca="1">'public finance'!C341/'normal case'!D342</f>
        <v>0.19801980186333762</v>
      </c>
      <c r="L343" s="20">
        <f ca="1">'public finance'!A341/'normal case'!D342</f>
        <v>0.2</v>
      </c>
      <c r="M343" s="18" t="str">
        <f>IF(controls!$B$44=0,"",'normal case'!AJ342)</f>
        <v/>
      </c>
      <c r="N343" s="18" t="str">
        <f>IF(controls!$B$44=0,"",'normal case'!AM342)</f>
        <v/>
      </c>
      <c r="O343" s="160" t="str">
        <f>IF(controls!$B$44=0,"",'external balance'!D342)</f>
        <v/>
      </c>
      <c r="P343" s="160" t="str">
        <f>IF(controls!$B$44=0,"",'external balance'!F342)</f>
        <v/>
      </c>
      <c r="Q343" s="159" t="str">
        <f>IF(controls!$B$44=0,"",'external balance'!H342)</f>
        <v/>
      </c>
    </row>
    <row r="344" spans="1:17" ht="14" thickTop="1" thickBot="1">
      <c r="A344" s="15">
        <v>341</v>
      </c>
      <c r="B344" s="17">
        <f ca="1">('normal case'!D343-'normal case'!B343)/'normal case'!B343</f>
        <v>5.9014499777614481E-10</v>
      </c>
      <c r="C344" s="23">
        <f ca="1">'normal case'!D343</f>
        <v>101.00000005960464</v>
      </c>
      <c r="D344" s="24">
        <f ca="1">'normal case'!C343</f>
        <v>-1.5107707374006907E-7</v>
      </c>
      <c r="E344" s="22">
        <f ca="1">'normal case'!L343/100</f>
        <v>1.9999998807907104E-2</v>
      </c>
      <c r="F344" s="25">
        <f ca="1">'normal case'!U343/100</f>
        <v>5.499999850988388E-2</v>
      </c>
      <c r="G344" s="25">
        <f ca="1">'normal case'!T343/100</f>
        <v>3.4999999701976779E-2</v>
      </c>
      <c r="H344" s="25">
        <f ca="1">'public finance'!D342</f>
        <v>1.9802129779314939E-3</v>
      </c>
      <c r="I344" s="20">
        <f ca="1">'public finance'!E342</f>
        <v>214.06988026346389</v>
      </c>
      <c r="J344" s="118">
        <f ca="1">'public finance'!H342</f>
        <v>-6116.2257678075212</v>
      </c>
      <c r="K344" s="17">
        <f ca="1">'public finance'!C342/'normal case'!D343</f>
        <v>0.19801980186333762</v>
      </c>
      <c r="L344" s="20">
        <f ca="1">'public finance'!A342/'normal case'!D343</f>
        <v>0.2</v>
      </c>
      <c r="M344" s="18" t="str">
        <f>IF(controls!$B$44=0,"",'normal case'!AJ343)</f>
        <v/>
      </c>
      <c r="N344" s="18" t="str">
        <f>IF(controls!$B$44=0,"",'normal case'!AM343)</f>
        <v/>
      </c>
      <c r="O344" s="160" t="str">
        <f>IF(controls!$B$44=0,"",'external balance'!D343)</f>
        <v/>
      </c>
      <c r="P344" s="160" t="str">
        <f>IF(controls!$B$44=0,"",'external balance'!F343)</f>
        <v/>
      </c>
      <c r="Q344" s="159" t="str">
        <f>IF(controls!$B$44=0,"",'external balance'!H343)</f>
        <v/>
      </c>
    </row>
    <row r="345" spans="1:17" ht="14" thickTop="1" thickBot="1">
      <c r="A345" s="15">
        <v>342</v>
      </c>
      <c r="B345" s="17">
        <f ca="1">('normal case'!D344-'normal case'!B344)/'normal case'!B344</f>
        <v>5.9014499777614481E-10</v>
      </c>
      <c r="C345" s="23">
        <f ca="1">'normal case'!D344</f>
        <v>101.00000005960464</v>
      </c>
      <c r="D345" s="24">
        <f ca="1">'normal case'!C344</f>
        <v>-1.5107707374006907E-7</v>
      </c>
      <c r="E345" s="22">
        <f ca="1">'normal case'!L344/100</f>
        <v>1.9999998807907104E-2</v>
      </c>
      <c r="F345" s="25">
        <f ca="1">'normal case'!U344/100</f>
        <v>5.499999850988388E-2</v>
      </c>
      <c r="G345" s="25">
        <f ca="1">'normal case'!T344/100</f>
        <v>3.4999999701976779E-2</v>
      </c>
      <c r="H345" s="25">
        <f ca="1">'public finance'!D343</f>
        <v>1.9802129779314939E-3</v>
      </c>
      <c r="I345" s="20">
        <f ca="1">'public finance'!E343</f>
        <v>221.56232600836788</v>
      </c>
      <c r="J345" s="118">
        <f ca="1">'public finance'!H343</f>
        <v>-6330.2956480561443</v>
      </c>
      <c r="K345" s="17">
        <f ca="1">'public finance'!C343/'normal case'!D344</f>
        <v>0.19801980186333762</v>
      </c>
      <c r="L345" s="20">
        <f ca="1">'public finance'!A343/'normal case'!D344</f>
        <v>0.2</v>
      </c>
      <c r="M345" s="18" t="str">
        <f>IF(controls!$B$44=0,"",'normal case'!AJ344)</f>
        <v/>
      </c>
      <c r="N345" s="18" t="str">
        <f>IF(controls!$B$44=0,"",'normal case'!AM344)</f>
        <v/>
      </c>
      <c r="O345" s="160" t="str">
        <f>IF(controls!$B$44=0,"",'external balance'!D344)</f>
        <v/>
      </c>
      <c r="P345" s="160" t="str">
        <f>IF(controls!$B$44=0,"",'external balance'!F344)</f>
        <v/>
      </c>
      <c r="Q345" s="159" t="str">
        <f>IF(controls!$B$44=0,"",'external balance'!H344)</f>
        <v/>
      </c>
    </row>
    <row r="346" spans="1:17" ht="14" thickTop="1" thickBot="1">
      <c r="A346" s="15">
        <v>343</v>
      </c>
      <c r="B346" s="17">
        <f ca="1">('normal case'!D345-'normal case'!B345)/'normal case'!B345</f>
        <v>5.9014499777614481E-10</v>
      </c>
      <c r="C346" s="23">
        <f ca="1">'normal case'!D345</f>
        <v>101.00000005960464</v>
      </c>
      <c r="D346" s="24">
        <f ca="1">'normal case'!C345</f>
        <v>-1.5107707374006907E-7</v>
      </c>
      <c r="E346" s="22">
        <f ca="1">'normal case'!L345/100</f>
        <v>1.9999998807907104E-2</v>
      </c>
      <c r="F346" s="25">
        <f ca="1">'normal case'!U345/100</f>
        <v>5.499999850988388E-2</v>
      </c>
      <c r="G346" s="25">
        <f ca="1">'normal case'!T345/100</f>
        <v>3.4999999701976779E-2</v>
      </c>
      <c r="H346" s="25">
        <f ca="1">'public finance'!D344</f>
        <v>1.9802129779314939E-3</v>
      </c>
      <c r="I346" s="20">
        <f ca="1">'public finance'!E344</f>
        <v>229.31700735211061</v>
      </c>
      <c r="J346" s="118">
        <f ca="1">'public finance'!H344</f>
        <v>-6551.8579740496707</v>
      </c>
      <c r="K346" s="17">
        <f ca="1">'public finance'!C344/'normal case'!D345</f>
        <v>0.19801980186333762</v>
      </c>
      <c r="L346" s="20">
        <f ca="1">'public finance'!A344/'normal case'!D345</f>
        <v>0.2</v>
      </c>
      <c r="M346" s="18" t="str">
        <f>IF(controls!$B$44=0,"",'normal case'!AJ345)</f>
        <v/>
      </c>
      <c r="N346" s="18" t="str">
        <f>IF(controls!$B$44=0,"",'normal case'!AM345)</f>
        <v/>
      </c>
      <c r="O346" s="160" t="str">
        <f>IF(controls!$B$44=0,"",'external balance'!D345)</f>
        <v/>
      </c>
      <c r="P346" s="160" t="str">
        <f>IF(controls!$B$44=0,"",'external balance'!F345)</f>
        <v/>
      </c>
      <c r="Q346" s="159" t="str">
        <f>IF(controls!$B$44=0,"",'external balance'!H345)</f>
        <v/>
      </c>
    </row>
    <row r="347" spans="1:17" ht="14" thickTop="1" thickBot="1">
      <c r="A347" s="15">
        <v>344</v>
      </c>
      <c r="B347" s="17">
        <f ca="1">('normal case'!D346-'normal case'!B346)/'normal case'!B346</f>
        <v>5.9014499777614481E-10</v>
      </c>
      <c r="C347" s="23">
        <f ca="1">'normal case'!D346</f>
        <v>101.00000005960464</v>
      </c>
      <c r="D347" s="24">
        <f ca="1">'normal case'!C346</f>
        <v>-1.5107707374006907E-7</v>
      </c>
      <c r="E347" s="22">
        <f ca="1">'normal case'!L346/100</f>
        <v>1.9999998807907104E-2</v>
      </c>
      <c r="F347" s="25">
        <f ca="1">'normal case'!U346/100</f>
        <v>5.499999850988388E-2</v>
      </c>
      <c r="G347" s="25">
        <f ca="1">'normal case'!T346/100</f>
        <v>3.4999999701976779E-2</v>
      </c>
      <c r="H347" s="25">
        <f ca="1">'public finance'!D345</f>
        <v>1.9802129779314939E-3</v>
      </c>
      <c r="I347" s="20">
        <f ca="1">'public finance'!E345</f>
        <v>237.34310254057323</v>
      </c>
      <c r="J347" s="118">
        <f ca="1">'public finance'!H345</f>
        <v>-6781.1749813869392</v>
      </c>
      <c r="K347" s="17">
        <f ca="1">'public finance'!C345/'normal case'!D346</f>
        <v>0.19801980186333762</v>
      </c>
      <c r="L347" s="20">
        <f ca="1">'public finance'!A345/'normal case'!D346</f>
        <v>0.2</v>
      </c>
      <c r="M347" s="18" t="str">
        <f>IF(controls!$B$44=0,"",'normal case'!AJ346)</f>
        <v/>
      </c>
      <c r="N347" s="18" t="str">
        <f>IF(controls!$B$44=0,"",'normal case'!AM346)</f>
        <v/>
      </c>
      <c r="O347" s="160" t="str">
        <f>IF(controls!$B$44=0,"",'external balance'!D346)</f>
        <v/>
      </c>
      <c r="P347" s="160" t="str">
        <f>IF(controls!$B$44=0,"",'external balance'!F346)</f>
        <v/>
      </c>
      <c r="Q347" s="159" t="str">
        <f>IF(controls!$B$44=0,"",'external balance'!H346)</f>
        <v/>
      </c>
    </row>
    <row r="348" spans="1:17" ht="14" thickTop="1" thickBot="1">
      <c r="A348" s="15">
        <v>345</v>
      </c>
      <c r="B348" s="17">
        <f ca="1">('normal case'!D347-'normal case'!B347)/'normal case'!B347</f>
        <v>5.9014499777614481E-10</v>
      </c>
      <c r="C348" s="23">
        <f ca="1">'normal case'!D347</f>
        <v>101.00000005960464</v>
      </c>
      <c r="D348" s="24">
        <f ca="1">'normal case'!C347</f>
        <v>-1.5107707374006907E-7</v>
      </c>
      <c r="E348" s="22">
        <f ca="1">'normal case'!L347/100</f>
        <v>1.9999998807907104E-2</v>
      </c>
      <c r="F348" s="25">
        <f ca="1">'normal case'!U347/100</f>
        <v>5.499999850988388E-2</v>
      </c>
      <c r="G348" s="25">
        <f ca="1">'normal case'!T347/100</f>
        <v>3.4999999701976779E-2</v>
      </c>
      <c r="H348" s="25">
        <f ca="1">'public finance'!D346</f>
        <v>1.9802129779314939E-3</v>
      </c>
      <c r="I348" s="20">
        <f ca="1">'public finance'!E346</f>
        <v>245.6501110582401</v>
      </c>
      <c r="J348" s="118">
        <f ca="1">'public finance'!H346</f>
        <v>-7018.5180839126715</v>
      </c>
      <c r="K348" s="17">
        <f ca="1">'public finance'!C346/'normal case'!D347</f>
        <v>0.19801980186333762</v>
      </c>
      <c r="L348" s="20">
        <f ca="1">'public finance'!A346/'normal case'!D347</f>
        <v>0.2</v>
      </c>
      <c r="M348" s="18" t="str">
        <f>IF(controls!$B$44=0,"",'normal case'!AJ347)</f>
        <v/>
      </c>
      <c r="N348" s="18" t="str">
        <f>IF(controls!$B$44=0,"",'normal case'!AM347)</f>
        <v/>
      </c>
      <c r="O348" s="160" t="str">
        <f>IF(controls!$B$44=0,"",'external balance'!D347)</f>
        <v/>
      </c>
      <c r="P348" s="160" t="str">
        <f>IF(controls!$B$44=0,"",'external balance'!F347)</f>
        <v/>
      </c>
      <c r="Q348" s="159" t="str">
        <f>IF(controls!$B$44=0,"",'external balance'!H347)</f>
        <v/>
      </c>
    </row>
    <row r="349" spans="1:17" ht="14" thickTop="1" thickBot="1">
      <c r="A349" s="15">
        <v>346</v>
      </c>
      <c r="B349" s="17">
        <f ca="1">('normal case'!D348-'normal case'!B348)/'normal case'!B348</f>
        <v>5.9014499777614481E-10</v>
      </c>
      <c r="C349" s="23">
        <f ca="1">'normal case'!D348</f>
        <v>101.00000005960464</v>
      </c>
      <c r="D349" s="24">
        <f ca="1">'normal case'!C348</f>
        <v>-1.5107707374006907E-7</v>
      </c>
      <c r="E349" s="22">
        <f ca="1">'normal case'!L348/100</f>
        <v>1.9999998807907104E-2</v>
      </c>
      <c r="F349" s="25">
        <f ca="1">'normal case'!U348/100</f>
        <v>5.499999850988388E-2</v>
      </c>
      <c r="G349" s="25">
        <f ca="1">'normal case'!T348/100</f>
        <v>3.4999999701976779E-2</v>
      </c>
      <c r="H349" s="25">
        <f ca="1">'public finance'!D347</f>
        <v>1.9802129779314939E-3</v>
      </c>
      <c r="I349" s="20">
        <f ca="1">'public finance'!E347</f>
        <v>254.24786487154964</v>
      </c>
      <c r="J349" s="118">
        <f ca="1">'public finance'!H347</f>
        <v>-7264.1681949560707</v>
      </c>
      <c r="K349" s="17">
        <f ca="1">'public finance'!C347/'normal case'!D348</f>
        <v>0.19801980186333762</v>
      </c>
      <c r="L349" s="20">
        <f ca="1">'public finance'!A347/'normal case'!D348</f>
        <v>0.2</v>
      </c>
      <c r="M349" s="18" t="str">
        <f>IF(controls!$B$44=0,"",'normal case'!AJ348)</f>
        <v/>
      </c>
      <c r="N349" s="18" t="str">
        <f>IF(controls!$B$44=0,"",'normal case'!AM348)</f>
        <v/>
      </c>
      <c r="O349" s="160" t="str">
        <f>IF(controls!$B$44=0,"",'external balance'!D348)</f>
        <v/>
      </c>
      <c r="P349" s="160" t="str">
        <f>IF(controls!$B$44=0,"",'external balance'!F348)</f>
        <v/>
      </c>
      <c r="Q349" s="159" t="str">
        <f>IF(controls!$B$44=0,"",'external balance'!H348)</f>
        <v/>
      </c>
    </row>
    <row r="350" spans="1:17" ht="14" thickTop="1" thickBot="1">
      <c r="A350" s="15">
        <v>347</v>
      </c>
      <c r="B350" s="17">
        <f ca="1">('normal case'!D349-'normal case'!B349)/'normal case'!B349</f>
        <v>5.9014499777614481E-10</v>
      </c>
      <c r="C350" s="23">
        <f ca="1">'normal case'!D349</f>
        <v>101.00000005960464</v>
      </c>
      <c r="D350" s="24">
        <f ca="1">'normal case'!C349</f>
        <v>-1.5107707374006907E-7</v>
      </c>
      <c r="E350" s="22">
        <f ca="1">'normal case'!L349/100</f>
        <v>1.9999998807907104E-2</v>
      </c>
      <c r="F350" s="25">
        <f ca="1">'normal case'!U349/100</f>
        <v>5.499999850988388E-2</v>
      </c>
      <c r="G350" s="25">
        <f ca="1">'normal case'!T349/100</f>
        <v>3.4999999701976779E-2</v>
      </c>
      <c r="H350" s="25">
        <f ca="1">'public finance'!D348</f>
        <v>1.9802129779314939E-3</v>
      </c>
      <c r="I350" s="20">
        <f ca="1">'public finance'!E348</f>
        <v>263.14654006576262</v>
      </c>
      <c r="J350" s="118">
        <f ca="1">'public finance'!H348</f>
        <v>-7518.4160598127801</v>
      </c>
      <c r="K350" s="17">
        <f ca="1">'public finance'!C348/'normal case'!D349</f>
        <v>0.19801980186333762</v>
      </c>
      <c r="L350" s="20">
        <f ca="1">'public finance'!A348/'normal case'!D349</f>
        <v>0.2</v>
      </c>
      <c r="M350" s="18" t="str">
        <f>IF(controls!$B$44=0,"",'normal case'!AJ349)</f>
        <v/>
      </c>
      <c r="N350" s="18" t="str">
        <f>IF(controls!$B$44=0,"",'normal case'!AM349)</f>
        <v/>
      </c>
      <c r="O350" s="160" t="str">
        <f>IF(controls!$B$44=0,"",'external balance'!D349)</f>
        <v/>
      </c>
      <c r="P350" s="160" t="str">
        <f>IF(controls!$B$44=0,"",'external balance'!F349)</f>
        <v/>
      </c>
      <c r="Q350" s="159" t="str">
        <f>IF(controls!$B$44=0,"",'external balance'!H349)</f>
        <v/>
      </c>
    </row>
    <row r="351" spans="1:17" ht="14" thickTop="1" thickBot="1">
      <c r="A351" s="15">
        <v>348</v>
      </c>
      <c r="B351" s="17">
        <f ca="1">('normal case'!D350-'normal case'!B350)/'normal case'!B350</f>
        <v>5.9014499777614481E-10</v>
      </c>
      <c r="C351" s="23">
        <f ca="1">'normal case'!D350</f>
        <v>101.00000005960464</v>
      </c>
      <c r="D351" s="24">
        <f ca="1">'normal case'!C350</f>
        <v>-1.5107707374006907E-7</v>
      </c>
      <c r="E351" s="22">
        <f ca="1">'normal case'!L350/100</f>
        <v>1.9999998807907104E-2</v>
      </c>
      <c r="F351" s="25">
        <f ca="1">'normal case'!U350/100</f>
        <v>5.499999850988388E-2</v>
      </c>
      <c r="G351" s="25">
        <f ca="1">'normal case'!T350/100</f>
        <v>3.4999999701976779E-2</v>
      </c>
      <c r="H351" s="25">
        <f ca="1">'public finance'!D349</f>
        <v>1.9802129779314939E-3</v>
      </c>
      <c r="I351" s="20">
        <f ca="1">'public finance'!E349</f>
        <v>272.35666888912112</v>
      </c>
      <c r="J351" s="118">
        <f ca="1">'public finance'!H349</f>
        <v>-7781.5625998637015</v>
      </c>
      <c r="K351" s="17">
        <f ca="1">'public finance'!C349/'normal case'!D350</f>
        <v>0.19801980186333762</v>
      </c>
      <c r="L351" s="20">
        <f ca="1">'public finance'!A349/'normal case'!D350</f>
        <v>0.2</v>
      </c>
      <c r="M351" s="18" t="str">
        <f>IF(controls!$B$44=0,"",'normal case'!AJ350)</f>
        <v/>
      </c>
      <c r="N351" s="18" t="str">
        <f>IF(controls!$B$44=0,"",'normal case'!AM350)</f>
        <v/>
      </c>
      <c r="O351" s="160" t="str">
        <f>IF(controls!$B$44=0,"",'external balance'!D350)</f>
        <v/>
      </c>
      <c r="P351" s="160" t="str">
        <f>IF(controls!$B$44=0,"",'external balance'!F350)</f>
        <v/>
      </c>
      <c r="Q351" s="159" t="str">
        <f>IF(controls!$B$44=0,"",'external balance'!H350)</f>
        <v/>
      </c>
    </row>
    <row r="352" spans="1:17" ht="14" thickTop="1" thickBot="1">
      <c r="A352" s="15">
        <v>349</v>
      </c>
      <c r="B352" s="17">
        <f ca="1">('normal case'!D351-'normal case'!B351)/'normal case'!B351</f>
        <v>5.9014499777614481E-10</v>
      </c>
      <c r="C352" s="23">
        <f ca="1">'normal case'!D351</f>
        <v>101.00000005960464</v>
      </c>
      <c r="D352" s="24">
        <f ca="1">'normal case'!C351</f>
        <v>-1.5107707374006907E-7</v>
      </c>
      <c r="E352" s="22">
        <f ca="1">'normal case'!L351/100</f>
        <v>1.9999998807907104E-2</v>
      </c>
      <c r="F352" s="25">
        <f ca="1">'normal case'!U351/100</f>
        <v>5.499999850988388E-2</v>
      </c>
      <c r="G352" s="25">
        <f ca="1">'normal case'!T351/100</f>
        <v>3.4999999701976779E-2</v>
      </c>
      <c r="H352" s="25">
        <f ca="1">'public finance'!D350</f>
        <v>1.9802129779314939E-3</v>
      </c>
      <c r="I352" s="20">
        <f ca="1">'public finance'!E350</f>
        <v>281.88915221855228</v>
      </c>
      <c r="J352" s="118">
        <f ca="1">'public finance'!H350</f>
        <v>-8053.9192687379809</v>
      </c>
      <c r="K352" s="17">
        <f ca="1">'public finance'!C350/'normal case'!D351</f>
        <v>0.19801980186333762</v>
      </c>
      <c r="L352" s="20">
        <f ca="1">'public finance'!A350/'normal case'!D351</f>
        <v>0.2</v>
      </c>
      <c r="M352" s="18" t="str">
        <f>IF(controls!$B$44=0,"",'normal case'!AJ351)</f>
        <v/>
      </c>
      <c r="N352" s="18" t="str">
        <f>IF(controls!$B$44=0,"",'normal case'!AM351)</f>
        <v/>
      </c>
      <c r="O352" s="160" t="str">
        <f>IF(controls!$B$44=0,"",'external balance'!D351)</f>
        <v/>
      </c>
      <c r="P352" s="160" t="str">
        <f>IF(controls!$B$44=0,"",'external balance'!F351)</f>
        <v/>
      </c>
      <c r="Q352" s="159" t="str">
        <f>IF(controls!$B$44=0,"",'external balance'!H351)</f>
        <v/>
      </c>
    </row>
    <row r="353" spans="1:17" ht="14" thickTop="1" thickBot="1">
      <c r="A353" s="15">
        <v>350</v>
      </c>
      <c r="B353" s="17">
        <f ca="1">('normal case'!D352-'normal case'!B352)/'normal case'!B352</f>
        <v>5.9014499777614481E-10</v>
      </c>
      <c r="C353" s="23">
        <f ca="1">'normal case'!D352</f>
        <v>101.00000005960464</v>
      </c>
      <c r="D353" s="24">
        <f ca="1">'normal case'!C352</f>
        <v>-1.5107707374006907E-7</v>
      </c>
      <c r="E353" s="22">
        <f ca="1">'normal case'!L352/100</f>
        <v>1.9999998807907104E-2</v>
      </c>
      <c r="F353" s="25">
        <f ca="1">'normal case'!U352/100</f>
        <v>5.499999850988388E-2</v>
      </c>
      <c r="G353" s="25">
        <f ca="1">'normal case'!T352/100</f>
        <v>3.4999999701976779E-2</v>
      </c>
      <c r="H353" s="25">
        <f ca="1">'public finance'!D351</f>
        <v>1.9802129779314939E-3</v>
      </c>
      <c r="I353" s="20">
        <f ca="1">'public finance'!E351</f>
        <v>291.75527246167269</v>
      </c>
      <c r="J353" s="118">
        <f ca="1">'public finance'!H351</f>
        <v>-8335.808420941692</v>
      </c>
      <c r="K353" s="17">
        <f ca="1">'public finance'!C351/'normal case'!D352</f>
        <v>0.19801980186333762</v>
      </c>
      <c r="L353" s="20">
        <f ca="1">'public finance'!A351/'normal case'!D352</f>
        <v>0.2</v>
      </c>
      <c r="M353" s="18" t="str">
        <f>IF(controls!$B$44=0,"",'normal case'!AJ352)</f>
        <v/>
      </c>
      <c r="N353" s="18" t="str">
        <f>IF(controls!$B$44=0,"",'normal case'!AM352)</f>
        <v/>
      </c>
      <c r="O353" s="160" t="str">
        <f>IF(controls!$B$44=0,"",'external balance'!D352)</f>
        <v/>
      </c>
      <c r="P353" s="160" t="str">
        <f>IF(controls!$B$44=0,"",'external balance'!F352)</f>
        <v/>
      </c>
      <c r="Q353" s="159" t="str">
        <f>IF(controls!$B$44=0,"",'external balance'!H352)</f>
        <v/>
      </c>
    </row>
    <row r="354" spans="1:17" ht="14" thickTop="1" thickBot="1">
      <c r="A354" s="15">
        <v>351</v>
      </c>
      <c r="B354" s="17">
        <f ca="1">('normal case'!D353-'normal case'!B353)/'normal case'!B353</f>
        <v>5.9014499777614481E-10</v>
      </c>
      <c r="C354" s="23">
        <f ca="1">'normal case'!D353</f>
        <v>101.00000005960464</v>
      </c>
      <c r="D354" s="24">
        <f ca="1">'normal case'!C353</f>
        <v>-1.5107707374006907E-7</v>
      </c>
      <c r="E354" s="22">
        <f ca="1">'normal case'!L353/100</f>
        <v>1.9999998807907104E-2</v>
      </c>
      <c r="F354" s="25">
        <f ca="1">'normal case'!U353/100</f>
        <v>5.499999850988388E-2</v>
      </c>
      <c r="G354" s="25">
        <f ca="1">'normal case'!T353/100</f>
        <v>3.4999999701976779E-2</v>
      </c>
      <c r="H354" s="25">
        <f ca="1">'public finance'!D352</f>
        <v>1.9802129779314939E-3</v>
      </c>
      <c r="I354" s="20">
        <f ca="1">'public finance'!E352</f>
        <v>301.96670691036189</v>
      </c>
      <c r="J354" s="118">
        <f ca="1">'public finance'!H352</f>
        <v>-8627.5636933885235</v>
      </c>
      <c r="K354" s="17">
        <f ca="1">'public finance'!C352/'normal case'!D353</f>
        <v>0.19801980186333762</v>
      </c>
      <c r="L354" s="20">
        <f ca="1">'public finance'!A352/'normal case'!D353</f>
        <v>0.2</v>
      </c>
      <c r="M354" s="18" t="str">
        <f>IF(controls!$B$44=0,"",'normal case'!AJ353)</f>
        <v/>
      </c>
      <c r="N354" s="18" t="str">
        <f>IF(controls!$B$44=0,"",'normal case'!AM353)</f>
        <v/>
      </c>
      <c r="O354" s="160" t="str">
        <f>IF(controls!$B$44=0,"",'external balance'!D353)</f>
        <v/>
      </c>
      <c r="P354" s="160" t="str">
        <f>IF(controls!$B$44=0,"",'external balance'!F353)</f>
        <v/>
      </c>
      <c r="Q354" s="159" t="str">
        <f>IF(controls!$B$44=0,"",'external balance'!H353)</f>
        <v/>
      </c>
    </row>
    <row r="355" spans="1:17" ht="14" thickTop="1" thickBot="1">
      <c r="A355" s="15">
        <v>352</v>
      </c>
      <c r="B355" s="17">
        <f ca="1">('normal case'!D354-'normal case'!B354)/'normal case'!B354</f>
        <v>5.9014499777614481E-10</v>
      </c>
      <c r="C355" s="23">
        <f ca="1">'normal case'!D354</f>
        <v>101.00000005960464</v>
      </c>
      <c r="D355" s="24">
        <f ca="1">'normal case'!C354</f>
        <v>-1.5107707374006907E-7</v>
      </c>
      <c r="E355" s="22">
        <f ca="1">'normal case'!L354/100</f>
        <v>1.9999998807907104E-2</v>
      </c>
      <c r="F355" s="25">
        <f ca="1">'normal case'!U354/100</f>
        <v>5.499999850988388E-2</v>
      </c>
      <c r="G355" s="25">
        <f ca="1">'normal case'!T354/100</f>
        <v>3.4999999701976779E-2</v>
      </c>
      <c r="H355" s="25">
        <f ca="1">'public finance'!D353</f>
        <v>1.9802129779314939E-3</v>
      </c>
      <c r="I355" s="20">
        <f ca="1">'public finance'!E353</f>
        <v>312.53554156171208</v>
      </c>
      <c r="J355" s="118">
        <f ca="1">'public finance'!H353</f>
        <v>-8929.5304002840439</v>
      </c>
      <c r="K355" s="17">
        <f ca="1">'public finance'!C353/'normal case'!D354</f>
        <v>0.19801980186333762</v>
      </c>
      <c r="L355" s="20">
        <f ca="1">'public finance'!A353/'normal case'!D354</f>
        <v>0.2</v>
      </c>
      <c r="M355" s="18" t="str">
        <f>IF(controls!$B$44=0,"",'normal case'!AJ354)</f>
        <v/>
      </c>
      <c r="N355" s="18" t="str">
        <f>IF(controls!$B$44=0,"",'normal case'!AM354)</f>
        <v/>
      </c>
      <c r="O355" s="160" t="str">
        <f>IF(controls!$B$44=0,"",'external balance'!D354)</f>
        <v/>
      </c>
      <c r="P355" s="160" t="str">
        <f>IF(controls!$B$44=0,"",'external balance'!F354)</f>
        <v/>
      </c>
      <c r="Q355" s="159" t="str">
        <f>IF(controls!$B$44=0,"",'external balance'!H354)</f>
        <v/>
      </c>
    </row>
    <row r="356" spans="1:17" ht="14" thickTop="1" thickBot="1">
      <c r="A356" s="15">
        <v>353</v>
      </c>
      <c r="B356" s="17">
        <f ca="1">('normal case'!D355-'normal case'!B355)/'normal case'!B355</f>
        <v>5.9014499777614481E-10</v>
      </c>
      <c r="C356" s="23">
        <f ca="1">'normal case'!D355</f>
        <v>101.00000005960464</v>
      </c>
      <c r="D356" s="24">
        <f ca="1">'normal case'!C355</f>
        <v>-1.5107707374006907E-7</v>
      </c>
      <c r="E356" s="22">
        <f ca="1">'normal case'!L355/100</f>
        <v>1.9999998807907104E-2</v>
      </c>
      <c r="F356" s="25">
        <f ca="1">'normal case'!U355/100</f>
        <v>5.499999850988388E-2</v>
      </c>
      <c r="G356" s="25">
        <f ca="1">'normal case'!T355/100</f>
        <v>3.4999999701976779E-2</v>
      </c>
      <c r="H356" s="25">
        <f ca="1">'public finance'!D354</f>
        <v>1.9802129779314939E-3</v>
      </c>
      <c r="I356" s="20">
        <f ca="1">'public finance'!E354</f>
        <v>323.47428542270967</v>
      </c>
      <c r="J356" s="118">
        <f ca="1">'public finance'!H354</f>
        <v>-9242.0659418309151</v>
      </c>
      <c r="K356" s="17">
        <f ca="1">'public finance'!C354/'normal case'!D355</f>
        <v>0.19801980186333762</v>
      </c>
      <c r="L356" s="20">
        <f ca="1">'public finance'!A354/'normal case'!D355</f>
        <v>0.2</v>
      </c>
      <c r="M356" s="18" t="str">
        <f>IF(controls!$B$44=0,"",'normal case'!AJ355)</f>
        <v/>
      </c>
      <c r="N356" s="18" t="str">
        <f>IF(controls!$B$44=0,"",'normal case'!AM355)</f>
        <v/>
      </c>
      <c r="O356" s="160" t="str">
        <f>IF(controls!$B$44=0,"",'external balance'!D355)</f>
        <v/>
      </c>
      <c r="P356" s="160" t="str">
        <f>IF(controls!$B$44=0,"",'external balance'!F355)</f>
        <v/>
      </c>
      <c r="Q356" s="159" t="str">
        <f>IF(controls!$B$44=0,"",'external balance'!H355)</f>
        <v/>
      </c>
    </row>
    <row r="357" spans="1:17" ht="14" thickTop="1" thickBot="1">
      <c r="A357" s="15">
        <v>354</v>
      </c>
      <c r="B357" s="17">
        <f ca="1">('normal case'!D356-'normal case'!B356)/'normal case'!B356</f>
        <v>5.9014499777614481E-10</v>
      </c>
      <c r="C357" s="23">
        <f ca="1">'normal case'!D356</f>
        <v>101.00000005960464</v>
      </c>
      <c r="D357" s="24">
        <f ca="1">'normal case'!C356</f>
        <v>-1.5107707374006907E-7</v>
      </c>
      <c r="E357" s="22">
        <f ca="1">'normal case'!L356/100</f>
        <v>1.9999998807907104E-2</v>
      </c>
      <c r="F357" s="25">
        <f ca="1">'normal case'!U356/100</f>
        <v>5.499999850988388E-2</v>
      </c>
      <c r="G357" s="25">
        <f ca="1">'normal case'!T356/100</f>
        <v>3.4999999701976779E-2</v>
      </c>
      <c r="H357" s="25">
        <f ca="1">'public finance'!D355</f>
        <v>1.9802129779314939E-3</v>
      </c>
      <c r="I357" s="20">
        <f ca="1">'public finance'!E355</f>
        <v>334.79588531558221</v>
      </c>
      <c r="J357" s="118">
        <f ca="1">'public finance'!H355</f>
        <v>-9565.5402272387837</v>
      </c>
      <c r="K357" s="17">
        <f ca="1">'public finance'!C355/'normal case'!D356</f>
        <v>0.19801980186333762</v>
      </c>
      <c r="L357" s="20">
        <f ca="1">'public finance'!A355/'normal case'!D356</f>
        <v>0.2</v>
      </c>
      <c r="M357" s="18" t="str">
        <f>IF(controls!$B$44=0,"",'normal case'!AJ356)</f>
        <v/>
      </c>
      <c r="N357" s="18" t="str">
        <f>IF(controls!$B$44=0,"",'normal case'!AM356)</f>
        <v/>
      </c>
      <c r="O357" s="160" t="str">
        <f>IF(controls!$B$44=0,"",'external balance'!D356)</f>
        <v/>
      </c>
      <c r="P357" s="160" t="str">
        <f>IF(controls!$B$44=0,"",'external balance'!F356)</f>
        <v/>
      </c>
      <c r="Q357" s="159" t="str">
        <f>IF(controls!$B$44=0,"",'external balance'!H356)</f>
        <v/>
      </c>
    </row>
    <row r="358" spans="1:17" ht="14" thickTop="1" thickBot="1">
      <c r="A358" s="15">
        <v>355</v>
      </c>
      <c r="B358" s="17">
        <f ca="1">('normal case'!D357-'normal case'!B357)/'normal case'!B357</f>
        <v>5.9014499777614481E-10</v>
      </c>
      <c r="C358" s="23">
        <f ca="1">'normal case'!D357</f>
        <v>101.00000005960464</v>
      </c>
      <c r="D358" s="24">
        <f ca="1">'normal case'!C357</f>
        <v>-1.5107707374006907E-7</v>
      </c>
      <c r="E358" s="22">
        <f ca="1">'normal case'!L357/100</f>
        <v>1.9999998807907104E-2</v>
      </c>
      <c r="F358" s="25">
        <f ca="1">'normal case'!U357/100</f>
        <v>5.499999850988388E-2</v>
      </c>
      <c r="G358" s="25">
        <f ca="1">'normal case'!T357/100</f>
        <v>3.4999999701976779E-2</v>
      </c>
      <c r="H358" s="25">
        <f ca="1">'public finance'!D356</f>
        <v>1.9802129779314939E-3</v>
      </c>
      <c r="I358" s="20">
        <f ca="1">'public finance'!E356</f>
        <v>346.51374120133124</v>
      </c>
      <c r="J358" s="118">
        <f ca="1">'public finance'!H356</f>
        <v>-9900.336112539524</v>
      </c>
      <c r="K358" s="17">
        <f ca="1">'public finance'!C356/'normal case'!D357</f>
        <v>0.19801980186333762</v>
      </c>
      <c r="L358" s="20">
        <f ca="1">'public finance'!A356/'normal case'!D357</f>
        <v>0.2</v>
      </c>
      <c r="M358" s="18" t="str">
        <f>IF(controls!$B$44=0,"",'normal case'!AJ357)</f>
        <v/>
      </c>
      <c r="N358" s="18" t="str">
        <f>IF(controls!$B$44=0,"",'normal case'!AM357)</f>
        <v/>
      </c>
      <c r="O358" s="160" t="str">
        <f>IF(controls!$B$44=0,"",'external balance'!D357)</f>
        <v/>
      </c>
      <c r="P358" s="160" t="str">
        <f>IF(controls!$B$44=0,"",'external balance'!F357)</f>
        <v/>
      </c>
      <c r="Q358" s="159" t="str">
        <f>IF(controls!$B$44=0,"",'external balance'!H357)</f>
        <v/>
      </c>
    </row>
    <row r="359" spans="1:17" ht="14" thickTop="1" thickBot="1">
      <c r="A359" s="15">
        <v>356</v>
      </c>
      <c r="B359" s="17">
        <f ca="1">('normal case'!D358-'normal case'!B358)/'normal case'!B358</f>
        <v>5.9014499777614481E-10</v>
      </c>
      <c r="C359" s="23">
        <f ca="1">'normal case'!D358</f>
        <v>101.00000005960464</v>
      </c>
      <c r="D359" s="24">
        <f ca="1">'normal case'!C358</f>
        <v>-1.5107707374006907E-7</v>
      </c>
      <c r="E359" s="22">
        <f ca="1">'normal case'!L358/100</f>
        <v>1.9999998807907104E-2</v>
      </c>
      <c r="F359" s="25">
        <f ca="1">'normal case'!U358/100</f>
        <v>5.499999850988388E-2</v>
      </c>
      <c r="G359" s="25">
        <f ca="1">'normal case'!T358/100</f>
        <v>3.4999999701976779E-2</v>
      </c>
      <c r="H359" s="25">
        <f ca="1">'public finance'!D357</f>
        <v>1.9802129779314939E-3</v>
      </c>
      <c r="I359" s="20">
        <f ca="1">'public finance'!E357</f>
        <v>358.64172203958924</v>
      </c>
      <c r="J359" s="118">
        <f ca="1">'public finance'!H357</f>
        <v>-10246.849853726015</v>
      </c>
      <c r="K359" s="17">
        <f ca="1">'public finance'!C357/'normal case'!D358</f>
        <v>0.19801980186333762</v>
      </c>
      <c r="L359" s="20">
        <f ca="1">'public finance'!A357/'normal case'!D358</f>
        <v>0.2</v>
      </c>
      <c r="M359" s="18" t="str">
        <f>IF(controls!$B$44=0,"",'normal case'!AJ358)</f>
        <v/>
      </c>
      <c r="N359" s="18" t="str">
        <f>IF(controls!$B$44=0,"",'normal case'!AM358)</f>
        <v/>
      </c>
      <c r="O359" s="160" t="str">
        <f>IF(controls!$B$44=0,"",'external balance'!D358)</f>
        <v/>
      </c>
      <c r="P359" s="160" t="str">
        <f>IF(controls!$B$44=0,"",'external balance'!F358)</f>
        <v/>
      </c>
      <c r="Q359" s="159" t="str">
        <f>IF(controls!$B$44=0,"",'external balance'!H358)</f>
        <v/>
      </c>
    </row>
    <row r="360" spans="1:17" ht="14" thickTop="1" thickBot="1">
      <c r="A360" s="15">
        <v>357</v>
      </c>
      <c r="B360" s="17">
        <f ca="1">('normal case'!D359-'normal case'!B359)/'normal case'!B359</f>
        <v>5.9014499777614481E-10</v>
      </c>
      <c r="C360" s="23">
        <f ca="1">'normal case'!D359</f>
        <v>101.00000005960464</v>
      </c>
      <c r="D360" s="24">
        <f ca="1">'normal case'!C359</f>
        <v>-1.5107707374006907E-7</v>
      </c>
      <c r="E360" s="22">
        <f ca="1">'normal case'!L359/100</f>
        <v>1.9999998807907104E-2</v>
      </c>
      <c r="F360" s="25">
        <f ca="1">'normal case'!U359/100</f>
        <v>5.499999850988388E-2</v>
      </c>
      <c r="G360" s="25">
        <f ca="1">'normal case'!T359/100</f>
        <v>3.4999999701976779E-2</v>
      </c>
      <c r="H360" s="25">
        <f ca="1">'public finance'!D358</f>
        <v>1.9802129779314939E-3</v>
      </c>
      <c r="I360" s="20">
        <f ca="1">'public finance'!E358</f>
        <v>371.19418220357181</v>
      </c>
      <c r="J360" s="118">
        <f ca="1">'public finance'!H358</f>
        <v>-10605.491575750762</v>
      </c>
      <c r="K360" s="17">
        <f ca="1">'public finance'!C358/'normal case'!D359</f>
        <v>0.19801980186333762</v>
      </c>
      <c r="L360" s="20">
        <f ca="1">'public finance'!A358/'normal case'!D359</f>
        <v>0.2</v>
      </c>
      <c r="M360" s="18" t="str">
        <f>IF(controls!$B$44=0,"",'normal case'!AJ359)</f>
        <v/>
      </c>
      <c r="N360" s="18" t="str">
        <f>IF(controls!$B$44=0,"",'normal case'!AM359)</f>
        <v/>
      </c>
      <c r="O360" s="160" t="str">
        <f>IF(controls!$B$44=0,"",'external balance'!D359)</f>
        <v/>
      </c>
      <c r="P360" s="160" t="str">
        <f>IF(controls!$B$44=0,"",'external balance'!F359)</f>
        <v/>
      </c>
      <c r="Q360" s="159" t="str">
        <f>IF(controls!$B$44=0,"",'external balance'!H359)</f>
        <v/>
      </c>
    </row>
    <row r="361" spans="1:17" ht="14" thickTop="1" thickBot="1">
      <c r="A361" s="15">
        <v>358</v>
      </c>
      <c r="B361" s="17">
        <f ca="1">('normal case'!D360-'normal case'!B360)/'normal case'!B360</f>
        <v>5.9014499777614481E-10</v>
      </c>
      <c r="C361" s="23">
        <f ca="1">'normal case'!D360</f>
        <v>101.00000005960464</v>
      </c>
      <c r="D361" s="24">
        <f ca="1">'normal case'!C360</f>
        <v>-1.5107707374006907E-7</v>
      </c>
      <c r="E361" s="22">
        <f ca="1">'normal case'!L360/100</f>
        <v>1.9999998807907104E-2</v>
      </c>
      <c r="F361" s="25">
        <f ca="1">'normal case'!U360/100</f>
        <v>5.499999850988388E-2</v>
      </c>
      <c r="G361" s="25">
        <f ca="1">'normal case'!T360/100</f>
        <v>3.4999999701976779E-2</v>
      </c>
      <c r="H361" s="25">
        <f ca="1">'public finance'!D359</f>
        <v>1.9802129779314939E-3</v>
      </c>
      <c r="I361" s="20">
        <f ca="1">'public finance'!E359</f>
        <v>384.18597846955294</v>
      </c>
      <c r="J361" s="118">
        <f ca="1">'public finance'!H359</f>
        <v>-10976.685757939493</v>
      </c>
      <c r="K361" s="17">
        <f ca="1">'public finance'!C359/'normal case'!D360</f>
        <v>0.19801980186333762</v>
      </c>
      <c r="L361" s="20">
        <f ca="1">'public finance'!A359/'normal case'!D360</f>
        <v>0.2</v>
      </c>
      <c r="M361" s="18" t="str">
        <f>IF(controls!$B$44=0,"",'normal case'!AJ360)</f>
        <v/>
      </c>
      <c r="N361" s="18" t="str">
        <f>IF(controls!$B$44=0,"",'normal case'!AM360)</f>
        <v/>
      </c>
      <c r="O361" s="160" t="str">
        <f>IF(controls!$B$44=0,"",'external balance'!D360)</f>
        <v/>
      </c>
      <c r="P361" s="160" t="str">
        <f>IF(controls!$B$44=0,"",'external balance'!F360)</f>
        <v/>
      </c>
      <c r="Q361" s="159" t="str">
        <f>IF(controls!$B$44=0,"",'external balance'!H360)</f>
        <v/>
      </c>
    </row>
    <row r="362" spans="1:17" ht="14" thickTop="1" thickBot="1">
      <c r="A362" s="15">
        <v>359</v>
      </c>
      <c r="B362" s="17">
        <f ca="1">('normal case'!D361-'normal case'!B361)/'normal case'!B361</f>
        <v>5.9014499777614481E-10</v>
      </c>
      <c r="C362" s="23">
        <f ca="1">'normal case'!D361</f>
        <v>101.00000005960464</v>
      </c>
      <c r="D362" s="24">
        <f ca="1">'normal case'!C361</f>
        <v>-1.5107707374006907E-7</v>
      </c>
      <c r="E362" s="22">
        <f ca="1">'normal case'!L361/100</f>
        <v>1.9999998807907104E-2</v>
      </c>
      <c r="F362" s="25">
        <f ca="1">'normal case'!U361/100</f>
        <v>5.499999850988388E-2</v>
      </c>
      <c r="G362" s="25">
        <f ca="1">'normal case'!T361/100</f>
        <v>3.4999999701976779E-2</v>
      </c>
      <c r="H362" s="25">
        <f ca="1">'public finance'!D360</f>
        <v>1.9802129779314939E-3</v>
      </c>
      <c r="I362" s="20">
        <f ca="1">'public finance'!E360</f>
        <v>397.63248760097144</v>
      </c>
      <c r="J362" s="118">
        <f ca="1">'public finance'!H360</f>
        <v>-11360.871736394205</v>
      </c>
      <c r="K362" s="17">
        <f ca="1">'public finance'!C360/'normal case'!D361</f>
        <v>0.19801980186333762</v>
      </c>
      <c r="L362" s="20">
        <f ca="1">'public finance'!A360/'normal case'!D361</f>
        <v>0.2</v>
      </c>
      <c r="M362" s="18" t="str">
        <f>IF(controls!$B$44=0,"",'normal case'!AJ361)</f>
        <v/>
      </c>
      <c r="N362" s="18" t="str">
        <f>IF(controls!$B$44=0,"",'normal case'!AM361)</f>
        <v/>
      </c>
      <c r="O362" s="160" t="str">
        <f>IF(controls!$B$44=0,"",'external balance'!D361)</f>
        <v/>
      </c>
      <c r="P362" s="160" t="str">
        <f>IF(controls!$B$44=0,"",'external balance'!F361)</f>
        <v/>
      </c>
      <c r="Q362" s="159" t="str">
        <f>IF(controls!$B$44=0,"",'external balance'!H361)</f>
        <v/>
      </c>
    </row>
    <row r="363" spans="1:17" ht="14" thickTop="1" thickBot="1">
      <c r="A363" s="15">
        <v>360</v>
      </c>
      <c r="B363" s="17">
        <f ca="1">('normal case'!D362-'normal case'!B362)/'normal case'!B362</f>
        <v>5.9014499777614481E-10</v>
      </c>
      <c r="C363" s="23">
        <f ca="1">'normal case'!D362</f>
        <v>101.00000005960464</v>
      </c>
      <c r="D363" s="24">
        <f ca="1">'normal case'!C362</f>
        <v>-1.5107707374006907E-7</v>
      </c>
      <c r="E363" s="22">
        <f ca="1">'normal case'!L362/100</f>
        <v>1.9999998807907104E-2</v>
      </c>
      <c r="F363" s="25">
        <f ca="1">'normal case'!U362/100</f>
        <v>5.499999850988388E-2</v>
      </c>
      <c r="G363" s="25">
        <f ca="1">'normal case'!T362/100</f>
        <v>3.4999999701976779E-2</v>
      </c>
      <c r="H363" s="25">
        <f ca="1">'public finance'!D361</f>
        <v>1.9802129779314939E-3</v>
      </c>
      <c r="I363" s="20">
        <f ca="1">'public finance'!E361</f>
        <v>411.54962454798226</v>
      </c>
      <c r="J363" s="118">
        <f ca="1">'public finance'!H361</f>
        <v>-11758.504223980332</v>
      </c>
      <c r="K363" s="17">
        <f ca="1">'public finance'!C361/'normal case'!D362</f>
        <v>0.19801980186333762</v>
      </c>
      <c r="L363" s="20">
        <f ca="1">'public finance'!A361/'normal case'!D362</f>
        <v>0.2</v>
      </c>
      <c r="M363" s="18" t="str">
        <f>IF(controls!$B$44=0,"",'normal case'!AJ362)</f>
        <v/>
      </c>
      <c r="N363" s="18" t="str">
        <f>IF(controls!$B$44=0,"",'normal case'!AM362)</f>
        <v/>
      </c>
      <c r="O363" s="160" t="str">
        <f>IF(controls!$B$44=0,"",'external balance'!D362)</f>
        <v/>
      </c>
      <c r="P363" s="160" t="str">
        <f>IF(controls!$B$44=0,"",'external balance'!F362)</f>
        <v/>
      </c>
      <c r="Q363" s="159" t="str">
        <f>IF(controls!$B$44=0,"",'external balance'!H362)</f>
        <v/>
      </c>
    </row>
    <row r="364" spans="1:17" ht="14" thickTop="1" thickBot="1">
      <c r="A364" s="15">
        <v>361</v>
      </c>
      <c r="B364" s="17">
        <f ca="1">('normal case'!D363-'normal case'!B363)/'normal case'!B363</f>
        <v>5.9014499777614481E-10</v>
      </c>
      <c r="C364" s="23">
        <f ca="1">'normal case'!D363</f>
        <v>101.00000005960464</v>
      </c>
      <c r="D364" s="24">
        <f ca="1">'normal case'!C363</f>
        <v>-1.5107707374006907E-7</v>
      </c>
      <c r="E364" s="22">
        <f ca="1">'normal case'!L363/100</f>
        <v>1.9999998807907104E-2</v>
      </c>
      <c r="F364" s="25">
        <f ca="1">'normal case'!U363/100</f>
        <v>5.499999850988388E-2</v>
      </c>
      <c r="G364" s="25">
        <f ca="1">'normal case'!T363/100</f>
        <v>3.4999999701976779E-2</v>
      </c>
      <c r="H364" s="25">
        <f ca="1">'public finance'!D362</f>
        <v>1.9802129779314939E-3</v>
      </c>
      <c r="I364" s="20">
        <f ca="1">'public finance'!E362</f>
        <v>425.95386128399076</v>
      </c>
      <c r="J364" s="118">
        <f ca="1">'public finance'!H362</f>
        <v>-12170.053848513471</v>
      </c>
      <c r="K364" s="17">
        <f ca="1">'public finance'!C362/'normal case'!D363</f>
        <v>0.19801980186333762</v>
      </c>
      <c r="L364" s="20">
        <f ca="1">'public finance'!A362/'normal case'!D363</f>
        <v>0.2</v>
      </c>
      <c r="M364" s="18" t="str">
        <f>IF(controls!$B$44=0,"",'normal case'!AJ363)</f>
        <v/>
      </c>
      <c r="N364" s="18" t="str">
        <f>IF(controls!$B$44=0,"",'normal case'!AM363)</f>
        <v/>
      </c>
      <c r="O364" s="160" t="str">
        <f>IF(controls!$B$44=0,"",'external balance'!D363)</f>
        <v/>
      </c>
      <c r="P364" s="160" t="str">
        <f>IF(controls!$B$44=0,"",'external balance'!F363)</f>
        <v/>
      </c>
      <c r="Q364" s="159" t="str">
        <f>IF(controls!$B$44=0,"",'external balance'!H363)</f>
        <v/>
      </c>
    </row>
    <row r="365" spans="1:17" ht="14" thickTop="1" thickBot="1">
      <c r="A365" s="15">
        <v>362</v>
      </c>
      <c r="B365" s="17">
        <f ca="1">('normal case'!D364-'normal case'!B364)/'normal case'!B364</f>
        <v>5.9014499777614481E-10</v>
      </c>
      <c r="C365" s="23">
        <f ca="1">'normal case'!D364</f>
        <v>101.00000005960464</v>
      </c>
      <c r="D365" s="24">
        <f ca="1">'normal case'!C364</f>
        <v>-1.5107707374006907E-7</v>
      </c>
      <c r="E365" s="22">
        <f ca="1">'normal case'!L364/100</f>
        <v>1.9999998807907104E-2</v>
      </c>
      <c r="F365" s="25">
        <f ca="1">'normal case'!U364/100</f>
        <v>5.499999850988388E-2</v>
      </c>
      <c r="G365" s="25">
        <f ca="1">'normal case'!T364/100</f>
        <v>3.4999999701976779E-2</v>
      </c>
      <c r="H365" s="25">
        <f ca="1">'public finance'!D363</f>
        <v>1.9802129779314939E-3</v>
      </c>
      <c r="I365" s="20">
        <f ca="1">'public finance'!E363</f>
        <v>440.86224630146683</v>
      </c>
      <c r="J365" s="118">
        <f ca="1">'public finance'!H363</f>
        <v>-12596.00770978262</v>
      </c>
      <c r="K365" s="17">
        <f ca="1">'public finance'!C363/'normal case'!D364</f>
        <v>0.19801980186333762</v>
      </c>
      <c r="L365" s="20">
        <f ca="1">'public finance'!A363/'normal case'!D364</f>
        <v>0.2</v>
      </c>
      <c r="M365" s="18" t="str">
        <f>IF(controls!$B$44=0,"",'normal case'!AJ364)</f>
        <v/>
      </c>
      <c r="N365" s="18" t="str">
        <f>IF(controls!$B$44=0,"",'normal case'!AM364)</f>
        <v/>
      </c>
      <c r="O365" s="160" t="str">
        <f>IF(controls!$B$44=0,"",'external balance'!D364)</f>
        <v/>
      </c>
      <c r="P365" s="160" t="str">
        <f>IF(controls!$B$44=0,"",'external balance'!F364)</f>
        <v/>
      </c>
      <c r="Q365" s="159" t="str">
        <f>IF(controls!$B$44=0,"",'external balance'!H364)</f>
        <v/>
      </c>
    </row>
    <row r="366" spans="1:17" ht="14" thickTop="1" thickBot="1">
      <c r="A366" s="15">
        <v>363</v>
      </c>
      <c r="B366" s="17">
        <f ca="1">('normal case'!D365-'normal case'!B365)/'normal case'!B365</f>
        <v>5.9014499777614481E-10</v>
      </c>
      <c r="C366" s="23">
        <f ca="1">'normal case'!D365</f>
        <v>101.00000005960464</v>
      </c>
      <c r="D366" s="24">
        <f ca="1">'normal case'!C365</f>
        <v>-1.5107707374006907E-7</v>
      </c>
      <c r="E366" s="22">
        <f ca="1">'normal case'!L365/100</f>
        <v>1.9999998807907104E-2</v>
      </c>
      <c r="F366" s="25">
        <f ca="1">'normal case'!U365/100</f>
        <v>5.499999850988388E-2</v>
      </c>
      <c r="G366" s="25">
        <f ca="1">'normal case'!T365/100</f>
        <v>3.4999999701976779E-2</v>
      </c>
      <c r="H366" s="25">
        <f ca="1">'public finance'!D364</f>
        <v>1.9802129779314939E-3</v>
      </c>
      <c r="I366" s="20">
        <f ca="1">'public finance'!E364</f>
        <v>456.29242479011151</v>
      </c>
      <c r="J366" s="118">
        <f ca="1">'public finance'!H364</f>
        <v>-13036.869956069244</v>
      </c>
      <c r="K366" s="17">
        <f ca="1">'public finance'!C364/'normal case'!D365</f>
        <v>0.19801980186333762</v>
      </c>
      <c r="L366" s="20">
        <f ca="1">'public finance'!A364/'normal case'!D365</f>
        <v>0.2</v>
      </c>
      <c r="M366" s="18" t="str">
        <f>IF(controls!$B$44=0,"",'normal case'!AJ365)</f>
        <v/>
      </c>
      <c r="N366" s="18" t="str">
        <f>IF(controls!$B$44=0,"",'normal case'!AM365)</f>
        <v/>
      </c>
      <c r="O366" s="160" t="str">
        <f>IF(controls!$B$44=0,"",'external balance'!D365)</f>
        <v/>
      </c>
      <c r="P366" s="160" t="str">
        <f>IF(controls!$B$44=0,"",'external balance'!F365)</f>
        <v/>
      </c>
      <c r="Q366" s="159" t="str">
        <f>IF(controls!$B$44=0,"",'external balance'!H365)</f>
        <v/>
      </c>
    </row>
    <row r="367" spans="1:17" ht="14" thickTop="1" thickBot="1">
      <c r="A367" s="15">
        <v>364</v>
      </c>
      <c r="B367" s="17">
        <f ca="1">('normal case'!D366-'normal case'!B366)/'normal case'!B366</f>
        <v>5.9014499777614481E-10</v>
      </c>
      <c r="C367" s="23">
        <f ca="1">'normal case'!D366</f>
        <v>101.00000005960464</v>
      </c>
      <c r="D367" s="24">
        <f ca="1">'normal case'!C366</f>
        <v>-1.5107707374006907E-7</v>
      </c>
      <c r="E367" s="22">
        <f ca="1">'normal case'!L366/100</f>
        <v>1.9999998807907104E-2</v>
      </c>
      <c r="F367" s="25">
        <f ca="1">'normal case'!U366/100</f>
        <v>5.499999850988388E-2</v>
      </c>
      <c r="G367" s="25">
        <f ca="1">'normal case'!T366/100</f>
        <v>3.4999999701976779E-2</v>
      </c>
      <c r="H367" s="25">
        <f ca="1">'public finance'!D365</f>
        <v>1.9802129779314939E-3</v>
      </c>
      <c r="I367" s="20">
        <f ca="1">'public finance'!E365</f>
        <v>472.26265952126016</v>
      </c>
      <c r="J367" s="118">
        <f ca="1">'public finance'!H365</f>
        <v>-13493.162380844513</v>
      </c>
      <c r="K367" s="17">
        <f ca="1">'public finance'!C365/'normal case'!D366</f>
        <v>0.19801980186333762</v>
      </c>
      <c r="L367" s="20">
        <f ca="1">'public finance'!A365/'normal case'!D366</f>
        <v>0.2</v>
      </c>
      <c r="M367" s="18" t="str">
        <f>IF(controls!$B$44=0,"",'normal case'!AJ366)</f>
        <v/>
      </c>
      <c r="N367" s="18" t="str">
        <f>IF(controls!$B$44=0,"",'normal case'!AM366)</f>
        <v/>
      </c>
      <c r="O367" s="160" t="str">
        <f>IF(controls!$B$44=0,"",'external balance'!D366)</f>
        <v/>
      </c>
      <c r="P367" s="160" t="str">
        <f>IF(controls!$B$44=0,"",'external balance'!F366)</f>
        <v/>
      </c>
      <c r="Q367" s="159" t="str">
        <f>IF(controls!$B$44=0,"",'external balance'!H366)</f>
        <v/>
      </c>
    </row>
    <row r="368" spans="1:17" ht="14" thickTop="1" thickBot="1">
      <c r="A368" s="15">
        <v>365</v>
      </c>
      <c r="B368" s="17">
        <f ca="1">('normal case'!D367-'normal case'!B367)/'normal case'!B367</f>
        <v>5.9014499777614481E-10</v>
      </c>
      <c r="C368" s="23">
        <f ca="1">'normal case'!D367</f>
        <v>101.00000005960464</v>
      </c>
      <c r="D368" s="24">
        <f ca="1">'normal case'!C367</f>
        <v>-1.5107707374006907E-7</v>
      </c>
      <c r="E368" s="22">
        <f ca="1">'normal case'!L367/100</f>
        <v>1.9999998807907104E-2</v>
      </c>
      <c r="F368" s="25">
        <f ca="1">'normal case'!U367/100</f>
        <v>5.499999850988388E-2</v>
      </c>
      <c r="G368" s="25">
        <f ca="1">'normal case'!T367/100</f>
        <v>3.4999999701976779E-2</v>
      </c>
      <c r="H368" s="25">
        <f ca="1">'public finance'!D366</f>
        <v>1.9802129779314939E-3</v>
      </c>
      <c r="I368" s="20">
        <f ca="1">'public finance'!E366</f>
        <v>488.79185246323954</v>
      </c>
      <c r="J368" s="118">
        <f ca="1">'public finance'!H366</f>
        <v>-13965.42504035093</v>
      </c>
      <c r="K368" s="17">
        <f ca="1">'public finance'!C366/'normal case'!D367</f>
        <v>0.19801980186333762</v>
      </c>
      <c r="L368" s="20">
        <f ca="1">'public finance'!A366/'normal case'!D367</f>
        <v>0.2</v>
      </c>
      <c r="M368" s="18" t="str">
        <f>IF(controls!$B$44=0,"",'normal case'!AJ367)</f>
        <v/>
      </c>
      <c r="N368" s="18" t="str">
        <f>IF(controls!$B$44=0,"",'normal case'!AM367)</f>
        <v/>
      </c>
      <c r="O368" s="160" t="str">
        <f>IF(controls!$B$44=0,"",'external balance'!D367)</f>
        <v/>
      </c>
      <c r="P368" s="160" t="str">
        <f>IF(controls!$B$44=0,"",'external balance'!F367)</f>
        <v/>
      </c>
      <c r="Q368" s="159" t="str">
        <f>IF(controls!$B$44=0,"",'external balance'!H367)</f>
        <v/>
      </c>
    </row>
    <row r="369" spans="1:17" ht="14" thickTop="1" thickBot="1">
      <c r="A369" s="15">
        <v>366</v>
      </c>
      <c r="B369" s="17">
        <f ca="1">('normal case'!D368-'normal case'!B368)/'normal case'!B368</f>
        <v>5.9014499777614481E-10</v>
      </c>
      <c r="C369" s="23">
        <f ca="1">'normal case'!D368</f>
        <v>101.00000005960464</v>
      </c>
      <c r="D369" s="24">
        <f ca="1">'normal case'!C368</f>
        <v>-1.5107707374006907E-7</v>
      </c>
      <c r="E369" s="22">
        <f ca="1">'normal case'!L368/100</f>
        <v>1.9999998807907104E-2</v>
      </c>
      <c r="F369" s="25">
        <f ca="1">'normal case'!U368/100</f>
        <v>5.499999850988388E-2</v>
      </c>
      <c r="G369" s="25">
        <f ca="1">'normal case'!T368/100</f>
        <v>3.4999999701976779E-2</v>
      </c>
      <c r="H369" s="25">
        <f ca="1">'public finance'!D367</f>
        <v>1.9802129779314939E-3</v>
      </c>
      <c r="I369" s="20">
        <f ca="1">'public finance'!E367</f>
        <v>505.89956715326207</v>
      </c>
      <c r="J369" s="118">
        <f ca="1">'public finance'!H367</f>
        <v>-14454.216892799326</v>
      </c>
      <c r="K369" s="17">
        <f ca="1">'public finance'!C367/'normal case'!D368</f>
        <v>0.19801980186333762</v>
      </c>
      <c r="L369" s="20">
        <f ca="1">'public finance'!A367/'normal case'!D368</f>
        <v>0.2</v>
      </c>
      <c r="M369" s="18" t="str">
        <f>IF(controls!$B$44=0,"",'normal case'!AJ368)</f>
        <v/>
      </c>
      <c r="N369" s="18" t="str">
        <f>IF(controls!$B$44=0,"",'normal case'!AM368)</f>
        <v/>
      </c>
      <c r="O369" s="160" t="str">
        <f>IF(controls!$B$44=0,"",'external balance'!D368)</f>
        <v/>
      </c>
      <c r="P369" s="160" t="str">
        <f>IF(controls!$B$44=0,"",'external balance'!F368)</f>
        <v/>
      </c>
      <c r="Q369" s="159" t="str">
        <f>IF(controls!$B$44=0,"",'external balance'!H368)</f>
        <v/>
      </c>
    </row>
    <row r="370" spans="1:17" ht="14" thickTop="1" thickBot="1">
      <c r="A370" s="15">
        <v>367</v>
      </c>
      <c r="B370" s="17">
        <f ca="1">('normal case'!D369-'normal case'!B369)/'normal case'!B369</f>
        <v>5.9014499777614481E-10</v>
      </c>
      <c r="C370" s="23">
        <f ca="1">'normal case'!D369</f>
        <v>101.00000005960464</v>
      </c>
      <c r="D370" s="24">
        <f ca="1">'normal case'!C369</f>
        <v>-1.5107707374006907E-7</v>
      </c>
      <c r="E370" s="22">
        <f ca="1">'normal case'!L369/100</f>
        <v>1.9999998807907104E-2</v>
      </c>
      <c r="F370" s="25">
        <f ca="1">'normal case'!U369/100</f>
        <v>5.499999850988388E-2</v>
      </c>
      <c r="G370" s="25">
        <f ca="1">'normal case'!T369/100</f>
        <v>3.4999999701976779E-2</v>
      </c>
      <c r="H370" s="25">
        <f ca="1">'public finance'!D368</f>
        <v>1.9802129779314939E-3</v>
      </c>
      <c r="I370" s="20">
        <f ca="1">'public finance'!E368</f>
        <v>523.60605185233703</v>
      </c>
      <c r="J370" s="118">
        <f ca="1">'public finance'!H368</f>
        <v>-14960.116459937746</v>
      </c>
      <c r="K370" s="17">
        <f ca="1">'public finance'!C368/'normal case'!D369</f>
        <v>0.19801980186333762</v>
      </c>
      <c r="L370" s="20">
        <f ca="1">'public finance'!A368/'normal case'!D369</f>
        <v>0.2</v>
      </c>
      <c r="M370" s="18" t="str">
        <f>IF(controls!$B$44=0,"",'normal case'!AJ369)</f>
        <v/>
      </c>
      <c r="N370" s="18" t="str">
        <f>IF(controls!$B$44=0,"",'normal case'!AM369)</f>
        <v/>
      </c>
      <c r="O370" s="160" t="str">
        <f>IF(controls!$B$44=0,"",'external balance'!D369)</f>
        <v/>
      </c>
      <c r="P370" s="160" t="str">
        <f>IF(controls!$B$44=0,"",'external balance'!F369)</f>
        <v/>
      </c>
      <c r="Q370" s="159" t="str">
        <f>IF(controls!$B$44=0,"",'external balance'!H369)</f>
        <v/>
      </c>
    </row>
    <row r="371" spans="1:17" ht="14" thickTop="1" thickBot="1">
      <c r="A371" s="15">
        <v>368</v>
      </c>
      <c r="B371" s="17">
        <f ca="1">('normal case'!D370-'normal case'!B370)/'normal case'!B370</f>
        <v>5.9014499777614481E-10</v>
      </c>
      <c r="C371" s="23">
        <f ca="1">'normal case'!D370</f>
        <v>101.00000005960464</v>
      </c>
      <c r="D371" s="24">
        <f ca="1">'normal case'!C370</f>
        <v>-1.5107707374006907E-7</v>
      </c>
      <c r="E371" s="22">
        <f ca="1">'normal case'!L370/100</f>
        <v>1.9999998807907104E-2</v>
      </c>
      <c r="F371" s="25">
        <f ca="1">'normal case'!U370/100</f>
        <v>5.499999850988388E-2</v>
      </c>
      <c r="G371" s="25">
        <f ca="1">'normal case'!T370/100</f>
        <v>3.4999999701976779E-2</v>
      </c>
      <c r="H371" s="25">
        <f ca="1">'public finance'!D369</f>
        <v>1.9802129779314939E-3</v>
      </c>
      <c r="I371" s="20">
        <f ca="1">'public finance'!E369</f>
        <v>541.93226351060252</v>
      </c>
      <c r="J371" s="118">
        <f ca="1">'public finance'!H369</f>
        <v>-15483.72251177524</v>
      </c>
      <c r="K371" s="17">
        <f ca="1">'public finance'!C369/'normal case'!D370</f>
        <v>0.19801980186333762</v>
      </c>
      <c r="L371" s="20">
        <f ca="1">'public finance'!A369/'normal case'!D370</f>
        <v>0.2</v>
      </c>
      <c r="M371" s="18" t="str">
        <f>IF(controls!$B$44=0,"",'normal case'!AJ370)</f>
        <v/>
      </c>
      <c r="N371" s="18" t="str">
        <f>IF(controls!$B$44=0,"",'normal case'!AM370)</f>
        <v/>
      </c>
      <c r="O371" s="160" t="str">
        <f>IF(controls!$B$44=0,"",'external balance'!D370)</f>
        <v/>
      </c>
      <c r="P371" s="160" t="str">
        <f>IF(controls!$B$44=0,"",'external balance'!F370)</f>
        <v/>
      </c>
      <c r="Q371" s="159" t="str">
        <f>IF(controls!$B$44=0,"",'external balance'!H370)</f>
        <v/>
      </c>
    </row>
    <row r="372" spans="1:17" ht="14" thickTop="1" thickBot="1">
      <c r="A372" s="15">
        <v>369</v>
      </c>
      <c r="B372" s="17">
        <f ca="1">('normal case'!D371-'normal case'!B371)/'normal case'!B371</f>
        <v>5.9014499777614481E-10</v>
      </c>
      <c r="C372" s="23">
        <f ca="1">'normal case'!D371</f>
        <v>101.00000005960464</v>
      </c>
      <c r="D372" s="24">
        <f ca="1">'normal case'!C371</f>
        <v>-1.5107707374006907E-7</v>
      </c>
      <c r="E372" s="22">
        <f ca="1">'normal case'!L371/100</f>
        <v>1.9999998807907104E-2</v>
      </c>
      <c r="F372" s="25">
        <f ca="1">'normal case'!U371/100</f>
        <v>5.499999850988388E-2</v>
      </c>
      <c r="G372" s="25">
        <f ca="1">'normal case'!T371/100</f>
        <v>3.4999999701976779E-2</v>
      </c>
      <c r="H372" s="25">
        <f ca="1">'public finance'!D370</f>
        <v>1.9802129779314939E-3</v>
      </c>
      <c r="I372" s="20">
        <f ca="1">'public finance'!E370</f>
        <v>560.89989257144578</v>
      </c>
      <c r="J372" s="118">
        <f ca="1">'public finance'!H370</f>
        <v>-16025.654775271001</v>
      </c>
      <c r="K372" s="17">
        <f ca="1">'public finance'!C370/'normal case'!D371</f>
        <v>0.19801980186333762</v>
      </c>
      <c r="L372" s="20">
        <f ca="1">'public finance'!A370/'normal case'!D371</f>
        <v>0.2</v>
      </c>
      <c r="M372" s="18" t="str">
        <f>IF(controls!$B$44=0,"",'normal case'!AJ371)</f>
        <v/>
      </c>
      <c r="N372" s="18" t="str">
        <f>IF(controls!$B$44=0,"",'normal case'!AM371)</f>
        <v/>
      </c>
      <c r="O372" s="160" t="str">
        <f>IF(controls!$B$44=0,"",'external balance'!D371)</f>
        <v/>
      </c>
      <c r="P372" s="160" t="str">
        <f>IF(controls!$B$44=0,"",'external balance'!F371)</f>
        <v/>
      </c>
      <c r="Q372" s="159" t="str">
        <f>IF(controls!$B$44=0,"",'external balance'!H371)</f>
        <v/>
      </c>
    </row>
    <row r="373" spans="1:17" ht="14" thickTop="1" thickBot="1">
      <c r="A373" s="15">
        <v>370</v>
      </c>
      <c r="B373" s="17">
        <f ca="1">('normal case'!D372-'normal case'!B372)/'normal case'!B372</f>
        <v>5.9014499777614481E-10</v>
      </c>
      <c r="C373" s="23">
        <f ca="1">'normal case'!D372</f>
        <v>101.00000005960464</v>
      </c>
      <c r="D373" s="24">
        <f ca="1">'normal case'!C372</f>
        <v>-1.5107707374006907E-7</v>
      </c>
      <c r="E373" s="22">
        <f ca="1">'normal case'!L372/100</f>
        <v>1.9999998807907104E-2</v>
      </c>
      <c r="F373" s="25">
        <f ca="1">'normal case'!U372/100</f>
        <v>5.499999850988388E-2</v>
      </c>
      <c r="G373" s="25">
        <f ca="1">'normal case'!T372/100</f>
        <v>3.4999999701976779E-2</v>
      </c>
      <c r="H373" s="25">
        <f ca="1">'public finance'!D371</f>
        <v>1.9802129779314939E-3</v>
      </c>
      <c r="I373" s="20">
        <f ca="1">'public finance'!E371</f>
        <v>580.53138864376569</v>
      </c>
      <c r="J373" s="118">
        <f ca="1">'public finance'!H371</f>
        <v>-16586.554667827604</v>
      </c>
      <c r="K373" s="17">
        <f ca="1">'public finance'!C371/'normal case'!D372</f>
        <v>0.19801980186333762</v>
      </c>
      <c r="L373" s="20">
        <f ca="1">'public finance'!A371/'normal case'!D372</f>
        <v>0.2</v>
      </c>
      <c r="M373" s="18" t="str">
        <f>IF(controls!$B$44=0,"",'normal case'!AJ372)</f>
        <v/>
      </c>
      <c r="N373" s="18" t="str">
        <f>IF(controls!$B$44=0,"",'normal case'!AM372)</f>
        <v/>
      </c>
      <c r="O373" s="160" t="str">
        <f>IF(controls!$B$44=0,"",'external balance'!D372)</f>
        <v/>
      </c>
      <c r="P373" s="160" t="str">
        <f>IF(controls!$B$44=0,"",'external balance'!F372)</f>
        <v/>
      </c>
      <c r="Q373" s="159" t="str">
        <f>IF(controls!$B$44=0,"",'external balance'!H372)</f>
        <v/>
      </c>
    </row>
    <row r="374" spans="1:17" ht="14" thickTop="1" thickBot="1">
      <c r="A374" s="15">
        <v>371</v>
      </c>
      <c r="B374" s="17">
        <f ca="1">('normal case'!D373-'normal case'!B373)/'normal case'!B373</f>
        <v>5.9014499777614481E-10</v>
      </c>
      <c r="C374" s="23">
        <f ca="1">'normal case'!D373</f>
        <v>101.00000005960464</v>
      </c>
      <c r="D374" s="24">
        <f ca="1">'normal case'!C373</f>
        <v>-1.5107707374006907E-7</v>
      </c>
      <c r="E374" s="22">
        <f ca="1">'normal case'!L373/100</f>
        <v>1.9999998807907104E-2</v>
      </c>
      <c r="F374" s="25">
        <f ca="1">'normal case'!U373/100</f>
        <v>5.499999850988388E-2</v>
      </c>
      <c r="G374" s="25">
        <f ca="1">'normal case'!T373/100</f>
        <v>3.4999999701976779E-2</v>
      </c>
      <c r="H374" s="25">
        <f ca="1">'public finance'!D372</f>
        <v>1.9802129779314939E-3</v>
      </c>
      <c r="I374" s="20">
        <f ca="1">'public finance'!E372</f>
        <v>600.84998707276623</v>
      </c>
      <c r="J374" s="118">
        <f ca="1">'public finance'!H372</f>
        <v>-17167.086056456526</v>
      </c>
      <c r="K374" s="17">
        <f ca="1">'public finance'!C372/'normal case'!D373</f>
        <v>0.19801980186333762</v>
      </c>
      <c r="L374" s="20">
        <f ca="1">'public finance'!A372/'normal case'!D373</f>
        <v>0.2</v>
      </c>
      <c r="M374" s="18" t="str">
        <f>IF(controls!$B$44=0,"",'normal case'!AJ373)</f>
        <v/>
      </c>
      <c r="N374" s="18" t="str">
        <f>IF(controls!$B$44=0,"",'normal case'!AM373)</f>
        <v/>
      </c>
      <c r="O374" s="160" t="str">
        <f>IF(controls!$B$44=0,"",'external balance'!D373)</f>
        <v/>
      </c>
      <c r="P374" s="160" t="str">
        <f>IF(controls!$B$44=0,"",'external balance'!F373)</f>
        <v/>
      </c>
      <c r="Q374" s="159" t="str">
        <f>IF(controls!$B$44=0,"",'external balance'!H373)</f>
        <v/>
      </c>
    </row>
    <row r="375" spans="1:17" ht="14" thickTop="1" thickBot="1">
      <c r="A375" s="15">
        <v>372</v>
      </c>
      <c r="B375" s="17">
        <f ca="1">('normal case'!D374-'normal case'!B374)/'normal case'!B374</f>
        <v>5.9014499777614481E-10</v>
      </c>
      <c r="C375" s="23">
        <f ca="1">'normal case'!D374</f>
        <v>101.00000005960464</v>
      </c>
      <c r="D375" s="24">
        <f ca="1">'normal case'!C374</f>
        <v>-1.5107707374006907E-7</v>
      </c>
      <c r="E375" s="22">
        <f ca="1">'normal case'!L374/100</f>
        <v>1.9999998807907104E-2</v>
      </c>
      <c r="F375" s="25">
        <f ca="1">'normal case'!U374/100</f>
        <v>5.499999850988388E-2</v>
      </c>
      <c r="G375" s="25">
        <f ca="1">'normal case'!T374/100</f>
        <v>3.4999999701976779E-2</v>
      </c>
      <c r="H375" s="25">
        <f ca="1">'public finance'!D373</f>
        <v>1.9802129779314939E-3</v>
      </c>
      <c r="I375" s="20">
        <f ca="1">'public finance'!E373</f>
        <v>621.87973644072622</v>
      </c>
      <c r="J375" s="118">
        <f ca="1">'public finance'!H373</f>
        <v>-17767.936043514452</v>
      </c>
      <c r="K375" s="17">
        <f ca="1">'public finance'!C373/'normal case'!D374</f>
        <v>0.19801980186333762</v>
      </c>
      <c r="L375" s="20">
        <f ca="1">'public finance'!A373/'normal case'!D374</f>
        <v>0.2</v>
      </c>
      <c r="M375" s="18" t="str">
        <f>IF(controls!$B$44=0,"",'normal case'!AJ374)</f>
        <v/>
      </c>
      <c r="N375" s="18" t="str">
        <f>IF(controls!$B$44=0,"",'normal case'!AM374)</f>
        <v/>
      </c>
      <c r="O375" s="160" t="str">
        <f>IF(controls!$B$44=0,"",'external balance'!D374)</f>
        <v/>
      </c>
      <c r="P375" s="160" t="str">
        <f>IF(controls!$B$44=0,"",'external balance'!F374)</f>
        <v/>
      </c>
      <c r="Q375" s="159" t="str">
        <f>IF(controls!$B$44=0,"",'external balance'!H374)</f>
        <v/>
      </c>
    </row>
    <row r="376" spans="1:17" ht="14" thickTop="1" thickBot="1">
      <c r="A376" s="15">
        <v>373</v>
      </c>
      <c r="B376" s="17">
        <f ca="1">('normal case'!D375-'normal case'!B375)/'normal case'!B375</f>
        <v>5.9014499777614481E-10</v>
      </c>
      <c r="C376" s="23">
        <f ca="1">'normal case'!D375</f>
        <v>101.00000005960464</v>
      </c>
      <c r="D376" s="24">
        <f ca="1">'normal case'!C375</f>
        <v>-1.5107707374006907E-7</v>
      </c>
      <c r="E376" s="22">
        <f ca="1">'normal case'!L375/100</f>
        <v>1.9999998807907104E-2</v>
      </c>
      <c r="F376" s="25">
        <f ca="1">'normal case'!U375/100</f>
        <v>5.499999850988388E-2</v>
      </c>
      <c r="G376" s="25">
        <f ca="1">'normal case'!T375/100</f>
        <v>3.4999999701976779E-2</v>
      </c>
      <c r="H376" s="25">
        <f ca="1">'public finance'!D374</f>
        <v>1.9802129779314939E-3</v>
      </c>
      <c r="I376" s="20">
        <f ca="1">'public finance'!E374</f>
        <v>643.64552703029756</v>
      </c>
      <c r="J376" s="118">
        <f ca="1">'public finance'!H374</f>
        <v>-18389.815779940334</v>
      </c>
      <c r="K376" s="17">
        <f ca="1">'public finance'!C374/'normal case'!D375</f>
        <v>0.19801980186333762</v>
      </c>
      <c r="L376" s="20">
        <f ca="1">'public finance'!A374/'normal case'!D375</f>
        <v>0.2</v>
      </c>
      <c r="M376" s="18" t="str">
        <f>IF(controls!$B$44=0,"",'normal case'!AJ375)</f>
        <v/>
      </c>
      <c r="N376" s="18" t="str">
        <f>IF(controls!$B$44=0,"",'normal case'!AM375)</f>
        <v/>
      </c>
      <c r="O376" s="160" t="str">
        <f>IF(controls!$B$44=0,"",'external balance'!D375)</f>
        <v/>
      </c>
      <c r="P376" s="160" t="str">
        <f>IF(controls!$B$44=0,"",'external balance'!F375)</f>
        <v/>
      </c>
      <c r="Q376" s="159" t="str">
        <f>IF(controls!$B$44=0,"",'external balance'!H375)</f>
        <v/>
      </c>
    </row>
    <row r="377" spans="1:17" ht="14" thickTop="1" thickBot="1">
      <c r="A377" s="15">
        <v>374</v>
      </c>
      <c r="B377" s="17">
        <f ca="1">('normal case'!D376-'normal case'!B376)/'normal case'!B376</f>
        <v>5.9014499777614481E-10</v>
      </c>
      <c r="C377" s="23">
        <f ca="1">'normal case'!D376</f>
        <v>101.00000005960464</v>
      </c>
      <c r="D377" s="24">
        <f ca="1">'normal case'!C376</f>
        <v>-1.5107707374006907E-7</v>
      </c>
      <c r="E377" s="22">
        <f ca="1">'normal case'!L376/100</f>
        <v>1.9999998807907104E-2</v>
      </c>
      <c r="F377" s="25">
        <f ca="1">'normal case'!U376/100</f>
        <v>5.499999850988388E-2</v>
      </c>
      <c r="G377" s="25">
        <f ca="1">'normal case'!T376/100</f>
        <v>3.4999999701976779E-2</v>
      </c>
      <c r="H377" s="25">
        <f ca="1">'public finance'!D375</f>
        <v>1.9802129779314939E-3</v>
      </c>
      <c r="I377" s="20">
        <f ca="1">'public finance'!E375</f>
        <v>666.17312028401716</v>
      </c>
      <c r="J377" s="118">
        <f ca="1">'public finance'!H375</f>
        <v>-19033.461306955789</v>
      </c>
      <c r="K377" s="17">
        <f ca="1">'public finance'!C375/'normal case'!D376</f>
        <v>0.19801980186333762</v>
      </c>
      <c r="L377" s="20">
        <f ca="1">'public finance'!A375/'normal case'!D376</f>
        <v>0.2</v>
      </c>
      <c r="M377" s="18" t="str">
        <f>IF(controls!$B$44=0,"",'normal case'!AJ376)</f>
        <v/>
      </c>
      <c r="N377" s="18" t="str">
        <f>IF(controls!$B$44=0,"",'normal case'!AM376)</f>
        <v/>
      </c>
      <c r="O377" s="160" t="str">
        <f>IF(controls!$B$44=0,"",'external balance'!D376)</f>
        <v/>
      </c>
      <c r="P377" s="160" t="str">
        <f>IF(controls!$B$44=0,"",'external balance'!F376)</f>
        <v/>
      </c>
      <c r="Q377" s="159" t="str">
        <f>IF(controls!$B$44=0,"",'external balance'!H376)</f>
        <v/>
      </c>
    </row>
    <row r="378" spans="1:17" ht="14" thickTop="1" thickBot="1">
      <c r="A378" s="15">
        <v>375</v>
      </c>
      <c r="B378" s="17">
        <f ca="1">('normal case'!D377-'normal case'!B377)/'normal case'!B377</f>
        <v>5.9014499777614481E-10</v>
      </c>
      <c r="C378" s="23">
        <f ca="1">'normal case'!D377</f>
        <v>101.00000005960464</v>
      </c>
      <c r="D378" s="24">
        <f ca="1">'normal case'!C377</f>
        <v>-1.5107707374006907E-7</v>
      </c>
      <c r="E378" s="22">
        <f ca="1">'normal case'!L377/100</f>
        <v>1.9999998807907104E-2</v>
      </c>
      <c r="F378" s="25">
        <f ca="1">'normal case'!U377/100</f>
        <v>5.499999850988388E-2</v>
      </c>
      <c r="G378" s="25">
        <f ca="1">'normal case'!T377/100</f>
        <v>3.4999999701976779E-2</v>
      </c>
      <c r="H378" s="25">
        <f ca="1">'public finance'!D376</f>
        <v>1.9802129779314939E-3</v>
      </c>
      <c r="I378" s="20">
        <f ca="1">'public finance'!E376</f>
        <v>689.48917929490324</v>
      </c>
      <c r="J378" s="118">
        <f ca="1">'public finance'!H376</f>
        <v>-19699.634427224966</v>
      </c>
      <c r="K378" s="17">
        <f ca="1">'public finance'!C376/'normal case'!D377</f>
        <v>0.19801980186333762</v>
      </c>
      <c r="L378" s="20">
        <f ca="1">'public finance'!A376/'normal case'!D377</f>
        <v>0.2</v>
      </c>
      <c r="M378" s="18" t="str">
        <f>IF(controls!$B$44=0,"",'normal case'!AJ377)</f>
        <v/>
      </c>
      <c r="N378" s="18" t="str">
        <f>IF(controls!$B$44=0,"",'normal case'!AM377)</f>
        <v/>
      </c>
      <c r="O378" s="160" t="str">
        <f>IF(controls!$B$44=0,"",'external balance'!D377)</f>
        <v/>
      </c>
      <c r="P378" s="160" t="str">
        <f>IF(controls!$B$44=0,"",'external balance'!F377)</f>
        <v/>
      </c>
      <c r="Q378" s="159" t="str">
        <f>IF(controls!$B$44=0,"",'external balance'!H377)</f>
        <v/>
      </c>
    </row>
    <row r="379" spans="1:17" ht="14" thickTop="1" thickBot="1">
      <c r="A379" s="15">
        <v>376</v>
      </c>
      <c r="B379" s="17">
        <f ca="1">('normal case'!D378-'normal case'!B378)/'normal case'!B378</f>
        <v>5.9014499777614481E-10</v>
      </c>
      <c r="C379" s="23">
        <f ca="1">'normal case'!D378</f>
        <v>101.00000005960464</v>
      </c>
      <c r="D379" s="24">
        <f ca="1">'normal case'!C378</f>
        <v>-1.5107707374006907E-7</v>
      </c>
      <c r="E379" s="22">
        <f ca="1">'normal case'!L378/100</f>
        <v>1.9999998807907104E-2</v>
      </c>
      <c r="F379" s="25">
        <f ca="1">'normal case'!U378/100</f>
        <v>5.499999850988388E-2</v>
      </c>
      <c r="G379" s="25">
        <f ca="1">'normal case'!T378/100</f>
        <v>3.4999999701976779E-2</v>
      </c>
      <c r="H379" s="25">
        <f ca="1">'public finance'!D377</f>
        <v>1.9802129779314939E-3</v>
      </c>
      <c r="I379" s="20">
        <f ca="1">'public finance'!E377</f>
        <v>713.6213003642215</v>
      </c>
      <c r="J379" s="118">
        <f ca="1">'public finance'!H377</f>
        <v>-20389.123606505025</v>
      </c>
      <c r="K379" s="17">
        <f ca="1">'public finance'!C377/'normal case'!D378</f>
        <v>0.19801980186333762</v>
      </c>
      <c r="L379" s="20">
        <f ca="1">'public finance'!A377/'normal case'!D378</f>
        <v>0.2</v>
      </c>
      <c r="M379" s="18" t="str">
        <f>IF(controls!$B$44=0,"",'normal case'!AJ378)</f>
        <v/>
      </c>
      <c r="N379" s="18" t="str">
        <f>IF(controls!$B$44=0,"",'normal case'!AM378)</f>
        <v/>
      </c>
      <c r="O379" s="160" t="str">
        <f>IF(controls!$B$44=0,"",'external balance'!D378)</f>
        <v/>
      </c>
      <c r="P379" s="160" t="str">
        <f>IF(controls!$B$44=0,"",'external balance'!F378)</f>
        <v/>
      </c>
      <c r="Q379" s="159" t="str">
        <f>IF(controls!$B$44=0,"",'external balance'!H378)</f>
        <v/>
      </c>
    </row>
    <row r="380" spans="1:17" ht="14" thickTop="1" thickBot="1">
      <c r="A380" s="15">
        <v>377</v>
      </c>
      <c r="B380" s="17">
        <f ca="1">('normal case'!D379-'normal case'!B379)/'normal case'!B379</f>
        <v>5.9014499777614481E-10</v>
      </c>
      <c r="C380" s="23">
        <f ca="1">'normal case'!D379</f>
        <v>101.00000005960464</v>
      </c>
      <c r="D380" s="24">
        <f ca="1">'normal case'!C379</f>
        <v>-1.5107707374006907E-7</v>
      </c>
      <c r="E380" s="22">
        <f ca="1">'normal case'!L379/100</f>
        <v>1.9999998807907104E-2</v>
      </c>
      <c r="F380" s="25">
        <f ca="1">'normal case'!U379/100</f>
        <v>5.499999850988388E-2</v>
      </c>
      <c r="G380" s="25">
        <f ca="1">'normal case'!T379/100</f>
        <v>3.4999999701976779E-2</v>
      </c>
      <c r="H380" s="25">
        <f ca="1">'public finance'!D378</f>
        <v>1.9802129779314939E-3</v>
      </c>
      <c r="I380" s="20">
        <f ca="1">'public finance'!E378</f>
        <v>738.59804566377409</v>
      </c>
      <c r="J380" s="118">
        <f ca="1">'public finance'!H378</f>
        <v>-21102.744906854405</v>
      </c>
      <c r="K380" s="17">
        <f ca="1">'public finance'!C378/'normal case'!D379</f>
        <v>0.19801980186333762</v>
      </c>
      <c r="L380" s="20">
        <f ca="1">'public finance'!A378/'normal case'!D379</f>
        <v>0.2</v>
      </c>
      <c r="M380" s="18" t="str">
        <f>IF(controls!$B$44=0,"",'normal case'!AJ379)</f>
        <v/>
      </c>
      <c r="N380" s="18" t="str">
        <f>IF(controls!$B$44=0,"",'normal case'!AM379)</f>
        <v/>
      </c>
      <c r="O380" s="160" t="str">
        <f>IF(controls!$B$44=0,"",'external balance'!D379)</f>
        <v/>
      </c>
      <c r="P380" s="160" t="str">
        <f>IF(controls!$B$44=0,"",'external balance'!F379)</f>
        <v/>
      </c>
      <c r="Q380" s="159" t="str">
        <f>IF(controls!$B$44=0,"",'external balance'!H379)</f>
        <v/>
      </c>
    </row>
    <row r="381" spans="1:17" ht="14" thickTop="1" thickBot="1">
      <c r="A381" s="15">
        <v>378</v>
      </c>
      <c r="B381" s="17">
        <f ca="1">('normal case'!D380-'normal case'!B380)/'normal case'!B380</f>
        <v>5.9014499777614481E-10</v>
      </c>
      <c r="C381" s="23">
        <f ca="1">'normal case'!D380</f>
        <v>101.00000005960464</v>
      </c>
      <c r="D381" s="24">
        <f ca="1">'normal case'!C380</f>
        <v>-1.5107707374006907E-7</v>
      </c>
      <c r="E381" s="22">
        <f ca="1">'normal case'!L380/100</f>
        <v>1.9999998807907104E-2</v>
      </c>
      <c r="F381" s="25">
        <f ca="1">'normal case'!U380/100</f>
        <v>5.499999850988388E-2</v>
      </c>
      <c r="G381" s="25">
        <f ca="1">'normal case'!T380/100</f>
        <v>3.4999999701976779E-2</v>
      </c>
      <c r="H381" s="25">
        <f ca="1">'public finance'!D379</f>
        <v>1.9802129779314939E-3</v>
      </c>
      <c r="I381" s="20">
        <f ca="1">'public finance'!E379</f>
        <v>764.44897704136724</v>
      </c>
      <c r="J381" s="118">
        <f ca="1">'public finance'!H379</f>
        <v>-21841.342952503335</v>
      </c>
      <c r="K381" s="17">
        <f ca="1">'public finance'!C379/'normal case'!D380</f>
        <v>0.19801980186333762</v>
      </c>
      <c r="L381" s="20">
        <f ca="1">'public finance'!A379/'normal case'!D380</f>
        <v>0.2</v>
      </c>
      <c r="M381" s="18" t="str">
        <f>IF(controls!$B$44=0,"",'normal case'!AJ380)</f>
        <v/>
      </c>
      <c r="N381" s="18" t="str">
        <f>IF(controls!$B$44=0,"",'normal case'!AM380)</f>
        <v/>
      </c>
      <c r="O381" s="160" t="str">
        <f>IF(controls!$B$44=0,"",'external balance'!D380)</f>
        <v/>
      </c>
      <c r="P381" s="160" t="str">
        <f>IF(controls!$B$44=0,"",'external balance'!F380)</f>
        <v/>
      </c>
      <c r="Q381" s="159" t="str">
        <f>IF(controls!$B$44=0,"",'external balance'!H380)</f>
        <v/>
      </c>
    </row>
    <row r="382" spans="1:17" ht="14" thickTop="1" thickBot="1">
      <c r="A382" s="15">
        <v>379</v>
      </c>
      <c r="B382" s="17">
        <f ca="1">('normal case'!D381-'normal case'!B381)/'normal case'!B381</f>
        <v>5.9014499777614481E-10</v>
      </c>
      <c r="C382" s="23">
        <f ca="1">'normal case'!D381</f>
        <v>101.00000005960464</v>
      </c>
      <c r="D382" s="24">
        <f ca="1">'normal case'!C381</f>
        <v>-1.5107707374006907E-7</v>
      </c>
      <c r="E382" s="22">
        <f ca="1">'normal case'!L381/100</f>
        <v>1.9999998807907104E-2</v>
      </c>
      <c r="F382" s="25">
        <f ca="1">'normal case'!U381/100</f>
        <v>5.499999850988388E-2</v>
      </c>
      <c r="G382" s="25">
        <f ca="1">'normal case'!T381/100</f>
        <v>3.4999999701976779E-2</v>
      </c>
      <c r="H382" s="25">
        <f ca="1">'public finance'!D380</f>
        <v>1.9802129779314939E-3</v>
      </c>
      <c r="I382" s="20">
        <f ca="1">'public finance'!E380</f>
        <v>791.20469100947207</v>
      </c>
      <c r="J382" s="118">
        <f ca="1">'public finance'!H380</f>
        <v>-22605.79192952986</v>
      </c>
      <c r="K382" s="17">
        <f ca="1">'public finance'!C380/'normal case'!D381</f>
        <v>0.19801980186333762</v>
      </c>
      <c r="L382" s="20">
        <f ca="1">'public finance'!A380/'normal case'!D381</f>
        <v>0.2</v>
      </c>
      <c r="M382" s="18" t="str">
        <f>IF(controls!$B$44=0,"",'normal case'!AJ381)</f>
        <v/>
      </c>
      <c r="N382" s="18" t="str">
        <f>IF(controls!$B$44=0,"",'normal case'!AM381)</f>
        <v/>
      </c>
      <c r="O382" s="160" t="str">
        <f>IF(controls!$B$44=0,"",'external balance'!D381)</f>
        <v/>
      </c>
      <c r="P382" s="160" t="str">
        <f>IF(controls!$B$44=0,"",'external balance'!F381)</f>
        <v/>
      </c>
      <c r="Q382" s="159" t="str">
        <f>IF(controls!$B$44=0,"",'external balance'!H381)</f>
        <v/>
      </c>
    </row>
    <row r="383" spans="1:17" ht="14" thickTop="1" thickBot="1">
      <c r="A383" s="15">
        <v>380</v>
      </c>
      <c r="B383" s="17">
        <f ca="1">('normal case'!D382-'normal case'!B382)/'normal case'!B382</f>
        <v>5.9014499777614481E-10</v>
      </c>
      <c r="C383" s="23">
        <f ca="1">'normal case'!D382</f>
        <v>101.00000005960464</v>
      </c>
      <c r="D383" s="24">
        <f ca="1">'normal case'!C382</f>
        <v>-1.5107707374006907E-7</v>
      </c>
      <c r="E383" s="22">
        <f ca="1">'normal case'!L382/100</f>
        <v>1.9999998807907104E-2</v>
      </c>
      <c r="F383" s="25">
        <f ca="1">'normal case'!U382/100</f>
        <v>5.499999850988388E-2</v>
      </c>
      <c r="G383" s="25">
        <f ca="1">'normal case'!T382/100</f>
        <v>3.4999999701976779E-2</v>
      </c>
      <c r="H383" s="25">
        <f ca="1">'public finance'!D381</f>
        <v>1.9802129779314939E-3</v>
      </c>
      <c r="I383" s="20">
        <f ca="1">'public finance'!E381</f>
        <v>818.89685495848664</v>
      </c>
      <c r="J383" s="118">
        <f ca="1">'public finance'!H381</f>
        <v>-23396.996620524489</v>
      </c>
      <c r="K383" s="17">
        <f ca="1">'public finance'!C381/'normal case'!D382</f>
        <v>0.19801980186333762</v>
      </c>
      <c r="L383" s="20">
        <f ca="1">'public finance'!A381/'normal case'!D382</f>
        <v>0.2</v>
      </c>
      <c r="M383" s="18" t="str">
        <f>IF(controls!$B$44=0,"",'normal case'!AJ382)</f>
        <v/>
      </c>
      <c r="N383" s="18" t="str">
        <f>IF(controls!$B$44=0,"",'normal case'!AM382)</f>
        <v/>
      </c>
      <c r="O383" s="160" t="str">
        <f>IF(controls!$B$44=0,"",'external balance'!D382)</f>
        <v/>
      </c>
      <c r="P383" s="160" t="str">
        <f>IF(controls!$B$44=0,"",'external balance'!F382)</f>
        <v/>
      </c>
      <c r="Q383" s="159" t="str">
        <f>IF(controls!$B$44=0,"",'external balance'!H382)</f>
        <v/>
      </c>
    </row>
    <row r="384" spans="1:17" ht="14" thickTop="1" thickBot="1">
      <c r="A384" s="15">
        <v>381</v>
      </c>
      <c r="B384" s="17">
        <f ca="1">('normal case'!D383-'normal case'!B383)/'normal case'!B383</f>
        <v>5.9014499777614481E-10</v>
      </c>
      <c r="C384" s="23">
        <f ca="1">'normal case'!D383</f>
        <v>101.00000005960464</v>
      </c>
      <c r="D384" s="24">
        <f ca="1">'normal case'!C383</f>
        <v>-1.5107707374006907E-7</v>
      </c>
      <c r="E384" s="22">
        <f ca="1">'normal case'!L383/100</f>
        <v>1.9999998807907104E-2</v>
      </c>
      <c r="F384" s="25">
        <f ca="1">'normal case'!U383/100</f>
        <v>5.499999850988388E-2</v>
      </c>
      <c r="G384" s="25">
        <f ca="1">'normal case'!T383/100</f>
        <v>3.4999999701976779E-2</v>
      </c>
      <c r="H384" s="25">
        <f ca="1">'public finance'!D382</f>
        <v>1.9802129779314939E-3</v>
      </c>
      <c r="I384" s="20">
        <f ca="1">'public finance'!E382</f>
        <v>847.55824463746399</v>
      </c>
      <c r="J384" s="118">
        <f ca="1">'public finance'!H382</f>
        <v>-24215.893475468132</v>
      </c>
      <c r="K384" s="17">
        <f ca="1">'public finance'!C382/'normal case'!D383</f>
        <v>0.19801980186333762</v>
      </c>
      <c r="L384" s="20">
        <f ca="1">'public finance'!A382/'normal case'!D383</f>
        <v>0.2</v>
      </c>
      <c r="M384" s="18" t="str">
        <f>IF(controls!$B$44=0,"",'normal case'!AJ383)</f>
        <v/>
      </c>
      <c r="N384" s="18" t="str">
        <f>IF(controls!$B$44=0,"",'normal case'!AM383)</f>
        <v/>
      </c>
      <c r="O384" s="160" t="str">
        <f>IF(controls!$B$44=0,"",'external balance'!D383)</f>
        <v/>
      </c>
      <c r="P384" s="160" t="str">
        <f>IF(controls!$B$44=0,"",'external balance'!F383)</f>
        <v/>
      </c>
      <c r="Q384" s="159" t="str">
        <f>IF(controls!$B$44=0,"",'external balance'!H383)</f>
        <v/>
      </c>
    </row>
    <row r="385" spans="1:17" ht="14" thickTop="1" thickBot="1">
      <c r="A385" s="15">
        <v>382</v>
      </c>
      <c r="B385" s="17">
        <f ca="1">('normal case'!D384-'normal case'!B384)/'normal case'!B384</f>
        <v>5.9014499777614481E-10</v>
      </c>
      <c r="C385" s="23">
        <f ca="1">'normal case'!D384</f>
        <v>101.00000005960464</v>
      </c>
      <c r="D385" s="24">
        <f ca="1">'normal case'!C384</f>
        <v>-1.5107707374006907E-7</v>
      </c>
      <c r="E385" s="22">
        <f ca="1">'normal case'!L384/100</f>
        <v>1.9999998807907104E-2</v>
      </c>
      <c r="F385" s="25">
        <f ca="1">'normal case'!U384/100</f>
        <v>5.499999850988388E-2</v>
      </c>
      <c r="G385" s="25">
        <f ca="1">'normal case'!T384/100</f>
        <v>3.4999999701976779E-2</v>
      </c>
      <c r="H385" s="25">
        <f ca="1">'public finance'!D383</f>
        <v>1.9802129779314939E-3</v>
      </c>
      <c r="I385" s="20">
        <f ca="1">'public finance'!E383</f>
        <v>877.22278294666364</v>
      </c>
      <c r="J385" s="118">
        <f ca="1">'public finance'!H383</f>
        <v>-25063.45172009075</v>
      </c>
      <c r="K385" s="17">
        <f ca="1">'public finance'!C383/'normal case'!D384</f>
        <v>0.19801980186333762</v>
      </c>
      <c r="L385" s="20">
        <f ca="1">'public finance'!A383/'normal case'!D384</f>
        <v>0.2</v>
      </c>
      <c r="M385" s="18" t="str">
        <f>IF(controls!$B$44=0,"",'normal case'!AJ384)</f>
        <v/>
      </c>
      <c r="N385" s="18" t="str">
        <f>IF(controls!$B$44=0,"",'normal case'!AM384)</f>
        <v/>
      </c>
      <c r="O385" s="160" t="str">
        <f>IF(controls!$B$44=0,"",'external balance'!D384)</f>
        <v/>
      </c>
      <c r="P385" s="160" t="str">
        <f>IF(controls!$B$44=0,"",'external balance'!F384)</f>
        <v/>
      </c>
      <c r="Q385" s="159" t="str">
        <f>IF(controls!$B$44=0,"",'external balance'!H384)</f>
        <v/>
      </c>
    </row>
    <row r="386" spans="1:17" ht="14" thickTop="1" thickBot="1">
      <c r="A386" s="15">
        <v>383</v>
      </c>
      <c r="B386" s="17">
        <f ca="1">('normal case'!D385-'normal case'!B385)/'normal case'!B385</f>
        <v>5.9014499777614481E-10</v>
      </c>
      <c r="C386" s="23">
        <f ca="1">'normal case'!D385</f>
        <v>101.00000005960464</v>
      </c>
      <c r="D386" s="24">
        <f ca="1">'normal case'!C385</f>
        <v>-1.5107707374006907E-7</v>
      </c>
      <c r="E386" s="22">
        <f ca="1">'normal case'!L385/100</f>
        <v>1.9999998807907104E-2</v>
      </c>
      <c r="F386" s="25">
        <f ca="1">'normal case'!U385/100</f>
        <v>5.499999850988388E-2</v>
      </c>
      <c r="G386" s="25">
        <f ca="1">'normal case'!T385/100</f>
        <v>3.4999999701976779E-2</v>
      </c>
      <c r="H386" s="25">
        <f ca="1">'public finance'!D384</f>
        <v>1.9802129779314939E-3</v>
      </c>
      <c r="I386" s="20">
        <f ca="1">'public finance'!E384</f>
        <v>907.92558008784465</v>
      </c>
      <c r="J386" s="118">
        <f ca="1">'public finance'!H384</f>
        <v>-25940.674503022572</v>
      </c>
      <c r="K386" s="17">
        <f ca="1">'public finance'!C384/'normal case'!D385</f>
        <v>0.19801980186333762</v>
      </c>
      <c r="L386" s="20">
        <f ca="1">'public finance'!A384/'normal case'!D385</f>
        <v>0.2</v>
      </c>
      <c r="M386" s="18" t="str">
        <f>IF(controls!$B$44=0,"",'normal case'!AJ385)</f>
        <v/>
      </c>
      <c r="N386" s="18" t="str">
        <f>IF(controls!$B$44=0,"",'normal case'!AM385)</f>
        <v/>
      </c>
      <c r="O386" s="160" t="str">
        <f>IF(controls!$B$44=0,"",'external balance'!D385)</f>
        <v/>
      </c>
      <c r="P386" s="160" t="str">
        <f>IF(controls!$B$44=0,"",'external balance'!F385)</f>
        <v/>
      </c>
      <c r="Q386" s="159" t="str">
        <f>IF(controls!$B$44=0,"",'external balance'!H385)</f>
        <v/>
      </c>
    </row>
    <row r="387" spans="1:17" ht="14" thickTop="1" thickBot="1">
      <c r="A387" s="15">
        <v>384</v>
      </c>
      <c r="B387" s="17">
        <f ca="1">('normal case'!D386-'normal case'!B386)/'normal case'!B386</f>
        <v>5.9014499777614481E-10</v>
      </c>
      <c r="C387" s="23">
        <f ca="1">'normal case'!D386</f>
        <v>101.00000005960464</v>
      </c>
      <c r="D387" s="24">
        <f ca="1">'normal case'!C386</f>
        <v>-1.5107707374006907E-7</v>
      </c>
      <c r="E387" s="22">
        <f ca="1">'normal case'!L386/100</f>
        <v>1.9999998807907104E-2</v>
      </c>
      <c r="F387" s="25">
        <f ca="1">'normal case'!U386/100</f>
        <v>5.499999850988388E-2</v>
      </c>
      <c r="G387" s="25">
        <f ca="1">'normal case'!T386/100</f>
        <v>3.4999999701976779E-2</v>
      </c>
      <c r="H387" s="25">
        <f ca="1">'public finance'!D385</f>
        <v>1.9802129779314939E-3</v>
      </c>
      <c r="I387" s="20">
        <f ca="1">'public finance'!E385</f>
        <v>939.70297511981687</v>
      </c>
      <c r="J387" s="118">
        <f ca="1">'public finance'!H385</f>
        <v>-26848.600083095575</v>
      </c>
      <c r="K387" s="17">
        <f ca="1">'public finance'!C385/'normal case'!D386</f>
        <v>0.19801980186333762</v>
      </c>
      <c r="L387" s="20">
        <f ca="1">'public finance'!A385/'normal case'!D386</f>
        <v>0.2</v>
      </c>
      <c r="M387" s="18" t="str">
        <f>IF(controls!$B$44=0,"",'normal case'!AJ386)</f>
        <v/>
      </c>
      <c r="N387" s="18" t="str">
        <f>IF(controls!$B$44=0,"",'normal case'!AM386)</f>
        <v/>
      </c>
      <c r="O387" s="160" t="str">
        <f>IF(controls!$B$44=0,"",'external balance'!D386)</f>
        <v/>
      </c>
      <c r="P387" s="160" t="str">
        <f>IF(controls!$B$44=0,"",'external balance'!F386)</f>
        <v/>
      </c>
      <c r="Q387" s="159" t="str">
        <f>IF(controls!$B$44=0,"",'external balance'!H386)</f>
        <v/>
      </c>
    </row>
    <row r="388" spans="1:17" ht="14" thickTop="1" thickBot="1">
      <c r="A388" s="15">
        <v>385</v>
      </c>
      <c r="B388" s="17">
        <f ca="1">('normal case'!D387-'normal case'!B387)/'normal case'!B387</f>
        <v>5.9014499777614481E-10</v>
      </c>
      <c r="C388" s="23">
        <f ca="1">'normal case'!D387</f>
        <v>101.00000005960464</v>
      </c>
      <c r="D388" s="24">
        <f ca="1">'normal case'!C387</f>
        <v>-1.5107707374006907E-7</v>
      </c>
      <c r="E388" s="22">
        <f ca="1">'normal case'!L387/100</f>
        <v>1.9999998807907104E-2</v>
      </c>
      <c r="F388" s="25">
        <f ca="1">'normal case'!U387/100</f>
        <v>5.499999850988388E-2</v>
      </c>
      <c r="G388" s="25">
        <f ca="1">'normal case'!T387/100</f>
        <v>3.4999999701976779E-2</v>
      </c>
      <c r="H388" s="25">
        <f ca="1">'public finance'!D386</f>
        <v>1.9802129779314939E-3</v>
      </c>
      <c r="I388" s="20">
        <f ca="1">'public finance'!E386</f>
        <v>972.59257896843758</v>
      </c>
      <c r="J388" s="118">
        <f ca="1">'public finance'!H386</f>
        <v>-27788.303058200549</v>
      </c>
      <c r="K388" s="17">
        <f ca="1">'public finance'!C386/'normal case'!D387</f>
        <v>0.19801980186333762</v>
      </c>
      <c r="L388" s="20">
        <f ca="1">'public finance'!A386/'normal case'!D387</f>
        <v>0.2</v>
      </c>
      <c r="M388" s="18" t="str">
        <f>IF(controls!$B$44=0,"",'normal case'!AJ387)</f>
        <v/>
      </c>
      <c r="N388" s="18" t="str">
        <f>IF(controls!$B$44=0,"",'normal case'!AM387)</f>
        <v/>
      </c>
      <c r="O388" s="160" t="str">
        <f>IF(controls!$B$44=0,"",'external balance'!D387)</f>
        <v/>
      </c>
      <c r="P388" s="160" t="str">
        <f>IF(controls!$B$44=0,"",'external balance'!F387)</f>
        <v/>
      </c>
      <c r="Q388" s="159" t="str">
        <f>IF(controls!$B$44=0,"",'external balance'!H387)</f>
        <v/>
      </c>
    </row>
    <row r="389" spans="1:17" ht="14" thickTop="1" thickBot="1">
      <c r="A389" s="15">
        <v>386</v>
      </c>
      <c r="B389" s="17">
        <f ca="1">('normal case'!D388-'normal case'!B388)/'normal case'!B388</f>
        <v>5.9014499777614481E-10</v>
      </c>
      <c r="C389" s="23">
        <f ca="1">'normal case'!D388</f>
        <v>101.00000005960464</v>
      </c>
      <c r="D389" s="24">
        <f ca="1">'normal case'!C388</f>
        <v>-1.5107707374006907E-7</v>
      </c>
      <c r="E389" s="22">
        <f ca="1">'normal case'!L388/100</f>
        <v>1.9999998807907104E-2</v>
      </c>
      <c r="F389" s="25">
        <f ca="1">'normal case'!U388/100</f>
        <v>5.499999850988388E-2</v>
      </c>
      <c r="G389" s="25">
        <f ca="1">'normal case'!T388/100</f>
        <v>3.4999999701976779E-2</v>
      </c>
      <c r="H389" s="25">
        <f ca="1">'public finance'!D387</f>
        <v>1.9802129779314939E-3</v>
      </c>
      <c r="I389" s="20">
        <f ca="1">'public finance'!E387</f>
        <v>1006.6333189419582</v>
      </c>
      <c r="J389" s="118">
        <f ca="1">'public finance'!H387</f>
        <v>-28760.895637154143</v>
      </c>
      <c r="K389" s="17">
        <f ca="1">'public finance'!C387/'normal case'!D388</f>
        <v>0.19801980186333762</v>
      </c>
      <c r="L389" s="20">
        <f ca="1">'public finance'!A387/'normal case'!D388</f>
        <v>0.2</v>
      </c>
      <c r="M389" s="18" t="str">
        <f>IF(controls!$B$44=0,"",'normal case'!AJ388)</f>
        <v/>
      </c>
      <c r="N389" s="18" t="str">
        <f>IF(controls!$B$44=0,"",'normal case'!AM388)</f>
        <v/>
      </c>
      <c r="O389" s="160" t="str">
        <f>IF(controls!$B$44=0,"",'external balance'!D388)</f>
        <v/>
      </c>
      <c r="P389" s="160" t="str">
        <f>IF(controls!$B$44=0,"",'external balance'!F388)</f>
        <v/>
      </c>
      <c r="Q389" s="159" t="str">
        <f>IF(controls!$B$44=0,"",'external balance'!H388)</f>
        <v/>
      </c>
    </row>
    <row r="390" spans="1:17" ht="14" thickTop="1" thickBot="1">
      <c r="A390" s="15">
        <v>387</v>
      </c>
      <c r="B390" s="17">
        <f ca="1">('normal case'!D389-'normal case'!B389)/'normal case'!B389</f>
        <v>5.9014499777614481E-10</v>
      </c>
      <c r="C390" s="23">
        <f ca="1">'normal case'!D389</f>
        <v>101.00000005960464</v>
      </c>
      <c r="D390" s="24">
        <f ca="1">'normal case'!C389</f>
        <v>-1.5107707374006907E-7</v>
      </c>
      <c r="E390" s="22">
        <f ca="1">'normal case'!L389/100</f>
        <v>1.9999998807907104E-2</v>
      </c>
      <c r="F390" s="25">
        <f ca="1">'normal case'!U389/100</f>
        <v>5.499999850988388E-2</v>
      </c>
      <c r="G390" s="25">
        <f ca="1">'normal case'!T389/100</f>
        <v>3.4999999701976779E-2</v>
      </c>
      <c r="H390" s="25">
        <f ca="1">'public finance'!D388</f>
        <v>1.9802129779314939E-3</v>
      </c>
      <c r="I390" s="20">
        <f ca="1">'public finance'!E388</f>
        <v>1041.8654848044073</v>
      </c>
      <c r="J390" s="118">
        <f ca="1">'public finance'!H388</f>
        <v>-29767.52895608126</v>
      </c>
      <c r="K390" s="17">
        <f ca="1">'public finance'!C388/'normal case'!D389</f>
        <v>0.19801980186333762</v>
      </c>
      <c r="L390" s="20">
        <f ca="1">'public finance'!A388/'normal case'!D389</f>
        <v>0.2</v>
      </c>
      <c r="M390" s="18" t="str">
        <f>IF(controls!$B$44=0,"",'normal case'!AJ389)</f>
        <v/>
      </c>
      <c r="N390" s="18" t="str">
        <f>IF(controls!$B$44=0,"",'normal case'!AM389)</f>
        <v/>
      </c>
      <c r="O390" s="160" t="str">
        <f>IF(controls!$B$44=0,"",'external balance'!D389)</f>
        <v/>
      </c>
      <c r="P390" s="160" t="str">
        <f>IF(controls!$B$44=0,"",'external balance'!F389)</f>
        <v/>
      </c>
      <c r="Q390" s="159" t="str">
        <f>IF(controls!$B$44=0,"",'external balance'!H389)</f>
        <v/>
      </c>
    </row>
    <row r="391" spans="1:17" ht="14" thickTop="1" thickBot="1">
      <c r="A391" s="15">
        <v>388</v>
      </c>
      <c r="B391" s="17">
        <f ca="1">('normal case'!D390-'normal case'!B390)/'normal case'!B390</f>
        <v>5.9014499777614481E-10</v>
      </c>
      <c r="C391" s="23">
        <f ca="1">'normal case'!D390</f>
        <v>101.00000005960464</v>
      </c>
      <c r="D391" s="24">
        <f ca="1">'normal case'!C390</f>
        <v>-1.5107707374006907E-7</v>
      </c>
      <c r="E391" s="22">
        <f ca="1">'normal case'!L390/100</f>
        <v>1.9999998807907104E-2</v>
      </c>
      <c r="F391" s="25">
        <f ca="1">'normal case'!U390/100</f>
        <v>5.499999850988388E-2</v>
      </c>
      <c r="G391" s="25">
        <f ca="1">'normal case'!T390/100</f>
        <v>3.4999999701976779E-2</v>
      </c>
      <c r="H391" s="25">
        <f ca="1">'public finance'!D389</f>
        <v>1.9802129779314939E-3</v>
      </c>
      <c r="I391" s="20">
        <f ca="1">'public finance'!E389</f>
        <v>1078.3307764615417</v>
      </c>
      <c r="J391" s="118">
        <f ca="1">'public finance'!H389</f>
        <v>-30809.394440870823</v>
      </c>
      <c r="K391" s="17">
        <f ca="1">'public finance'!C389/'normal case'!D390</f>
        <v>0.19801980186333762</v>
      </c>
      <c r="L391" s="20">
        <f ca="1">'public finance'!A389/'normal case'!D390</f>
        <v>0.2</v>
      </c>
      <c r="M391" s="18" t="str">
        <f>IF(controls!$B$44=0,"",'normal case'!AJ390)</f>
        <v/>
      </c>
      <c r="N391" s="18" t="str">
        <f>IF(controls!$B$44=0,"",'normal case'!AM390)</f>
        <v/>
      </c>
      <c r="O391" s="160" t="str">
        <f>IF(controls!$B$44=0,"",'external balance'!D390)</f>
        <v/>
      </c>
      <c r="P391" s="160" t="str">
        <f>IF(controls!$B$44=0,"",'external balance'!F390)</f>
        <v/>
      </c>
      <c r="Q391" s="159" t="str">
        <f>IF(controls!$B$44=0,"",'external balance'!H390)</f>
        <v/>
      </c>
    </row>
    <row r="392" spans="1:17" ht="14" thickTop="1" thickBot="1">
      <c r="A392" s="15">
        <v>389</v>
      </c>
      <c r="B392" s="17">
        <f ca="1">('normal case'!D391-'normal case'!B391)/'normal case'!B391</f>
        <v>5.9014499777614481E-10</v>
      </c>
      <c r="C392" s="23">
        <f ca="1">'normal case'!D391</f>
        <v>101.00000005960464</v>
      </c>
      <c r="D392" s="24">
        <f ca="1">'normal case'!C391</f>
        <v>-1.5107707374006907E-7</v>
      </c>
      <c r="E392" s="22">
        <f ca="1">'normal case'!L391/100</f>
        <v>1.9999998807907104E-2</v>
      </c>
      <c r="F392" s="25">
        <f ca="1">'normal case'!U391/100</f>
        <v>5.499999850988388E-2</v>
      </c>
      <c r="G392" s="25">
        <f ca="1">'normal case'!T391/100</f>
        <v>3.4999999701976779E-2</v>
      </c>
      <c r="H392" s="25">
        <f ca="1">'public finance'!D390</f>
        <v>1.9802129779314939E-3</v>
      </c>
      <c r="I392" s="20">
        <f ca="1">'public finance'!E390</f>
        <v>1116.0723533158086</v>
      </c>
      <c r="J392" s="118">
        <f ca="1">'public finance'!H390</f>
        <v>-31887.725217317522</v>
      </c>
      <c r="K392" s="17">
        <f ca="1">'public finance'!C390/'normal case'!D391</f>
        <v>0.19801980186333762</v>
      </c>
      <c r="L392" s="20">
        <f ca="1">'public finance'!A390/'normal case'!D391</f>
        <v>0.2</v>
      </c>
      <c r="M392" s="18" t="str">
        <f>IF(controls!$B$44=0,"",'normal case'!AJ391)</f>
        <v/>
      </c>
      <c r="N392" s="18" t="str">
        <f>IF(controls!$B$44=0,"",'normal case'!AM391)</f>
        <v/>
      </c>
      <c r="O392" s="160" t="str">
        <f>IF(controls!$B$44=0,"",'external balance'!D391)</f>
        <v/>
      </c>
      <c r="P392" s="160" t="str">
        <f>IF(controls!$B$44=0,"",'external balance'!F391)</f>
        <v/>
      </c>
      <c r="Q392" s="159" t="str">
        <f>IF(controls!$B$44=0,"",'external balance'!H391)</f>
        <v/>
      </c>
    </row>
    <row r="393" spans="1:17" ht="14" thickTop="1" thickBot="1">
      <c r="A393" s="15">
        <v>390</v>
      </c>
      <c r="B393" s="17">
        <f ca="1">('normal case'!D392-'normal case'!B392)/'normal case'!B392</f>
        <v>5.9014499777614481E-10</v>
      </c>
      <c r="C393" s="23">
        <f ca="1">'normal case'!D392</f>
        <v>101.00000005960464</v>
      </c>
      <c r="D393" s="24">
        <f ca="1">'normal case'!C392</f>
        <v>-1.5107707374006907E-7</v>
      </c>
      <c r="E393" s="22">
        <f ca="1">'normal case'!L392/100</f>
        <v>1.9999998807907104E-2</v>
      </c>
      <c r="F393" s="25">
        <f ca="1">'normal case'!U392/100</f>
        <v>5.499999850988388E-2</v>
      </c>
      <c r="G393" s="25">
        <f ca="1">'normal case'!T392/100</f>
        <v>3.4999999701976779E-2</v>
      </c>
      <c r="H393" s="25">
        <f ca="1">'public finance'!D391</f>
        <v>1.9802129779314939E-3</v>
      </c>
      <c r="I393" s="20">
        <f ca="1">'public finance'!E391</f>
        <v>1155.1348853487268</v>
      </c>
      <c r="J393" s="118">
        <f ca="1">'public finance'!H391</f>
        <v>-33003.797570618488</v>
      </c>
      <c r="K393" s="17">
        <f ca="1">'public finance'!C391/'normal case'!D392</f>
        <v>0.19801980186333762</v>
      </c>
      <c r="L393" s="20">
        <f ca="1">'public finance'!A391/'normal case'!D392</f>
        <v>0.2</v>
      </c>
      <c r="M393" s="18" t="str">
        <f>IF(controls!$B$44=0,"",'normal case'!AJ392)</f>
        <v/>
      </c>
      <c r="N393" s="18" t="str">
        <f>IF(controls!$B$44=0,"",'normal case'!AM392)</f>
        <v/>
      </c>
      <c r="O393" s="160" t="str">
        <f>IF(controls!$B$44=0,"",'external balance'!D392)</f>
        <v/>
      </c>
      <c r="P393" s="160" t="str">
        <f>IF(controls!$B$44=0,"",'external balance'!F392)</f>
        <v/>
      </c>
      <c r="Q393" s="159" t="str">
        <f>IF(controls!$B$44=0,"",'external balance'!H392)</f>
        <v/>
      </c>
    </row>
    <row r="394" spans="1:17" ht="14" thickTop="1" thickBot="1">
      <c r="A394" s="15">
        <v>391</v>
      </c>
      <c r="B394" s="17">
        <f ca="1">('normal case'!D393-'normal case'!B393)/'normal case'!B393</f>
        <v>5.9014499777614481E-10</v>
      </c>
      <c r="C394" s="23">
        <f ca="1">'normal case'!D393</f>
        <v>101.00000005960464</v>
      </c>
      <c r="D394" s="24">
        <f ca="1">'normal case'!C393</f>
        <v>-1.5107707374006907E-7</v>
      </c>
      <c r="E394" s="22">
        <f ca="1">'normal case'!L393/100</f>
        <v>1.9999998807907104E-2</v>
      </c>
      <c r="F394" s="25">
        <f ca="1">'normal case'!U393/100</f>
        <v>5.499999850988388E-2</v>
      </c>
      <c r="G394" s="25">
        <f ca="1">'normal case'!T393/100</f>
        <v>3.4999999701976779E-2</v>
      </c>
      <c r="H394" s="25">
        <f ca="1">'public finance'!D392</f>
        <v>1.9802129779314939E-3</v>
      </c>
      <c r="I394" s="20">
        <f ca="1">'public finance'!E392</f>
        <v>1195.5646059911558</v>
      </c>
      <c r="J394" s="118">
        <f ca="1">'public finance'!H392</f>
        <v>-34158.932455952367</v>
      </c>
      <c r="K394" s="17">
        <f ca="1">'public finance'!C392/'normal case'!D393</f>
        <v>0.19801980186333762</v>
      </c>
      <c r="L394" s="20">
        <f ca="1">'public finance'!A392/'normal case'!D393</f>
        <v>0.2</v>
      </c>
      <c r="M394" s="18" t="str">
        <f>IF(controls!$B$44=0,"",'normal case'!AJ393)</f>
        <v/>
      </c>
      <c r="N394" s="18" t="str">
        <f>IF(controls!$B$44=0,"",'normal case'!AM393)</f>
        <v/>
      </c>
      <c r="O394" s="160" t="str">
        <f>IF(controls!$B$44=0,"",'external balance'!D393)</f>
        <v/>
      </c>
      <c r="P394" s="160" t="str">
        <f>IF(controls!$B$44=0,"",'external balance'!F393)</f>
        <v/>
      </c>
      <c r="Q394" s="159" t="str">
        <f>IF(controls!$B$44=0,"",'external balance'!H393)</f>
        <v/>
      </c>
    </row>
    <row r="395" spans="1:17" ht="14" thickTop="1" thickBot="1">
      <c r="A395" s="15">
        <v>392</v>
      </c>
      <c r="B395" s="17">
        <f ca="1">('normal case'!D394-'normal case'!B394)/'normal case'!B394</f>
        <v>5.9014499777614481E-10</v>
      </c>
      <c r="C395" s="23">
        <f ca="1">'normal case'!D394</f>
        <v>101.00000005960464</v>
      </c>
      <c r="D395" s="24">
        <f ca="1">'normal case'!C394</f>
        <v>-1.5107707374006907E-7</v>
      </c>
      <c r="E395" s="22">
        <f ca="1">'normal case'!L394/100</f>
        <v>1.9999998807907104E-2</v>
      </c>
      <c r="F395" s="25">
        <f ca="1">'normal case'!U394/100</f>
        <v>5.499999850988388E-2</v>
      </c>
      <c r="G395" s="25">
        <f ca="1">'normal case'!T394/100</f>
        <v>3.4999999701976779E-2</v>
      </c>
      <c r="H395" s="25">
        <f ca="1">'public finance'!D393</f>
        <v>1.9802129779314939E-3</v>
      </c>
      <c r="I395" s="20">
        <f ca="1">'public finance'!E393</f>
        <v>1237.4093668440207</v>
      </c>
      <c r="J395" s="118">
        <f ca="1">'public finance'!H393</f>
        <v>-35354.497061928683</v>
      </c>
      <c r="K395" s="17">
        <f ca="1">'public finance'!C393/'normal case'!D394</f>
        <v>0.19801980186333762</v>
      </c>
      <c r="L395" s="20">
        <f ca="1">'public finance'!A393/'normal case'!D394</f>
        <v>0.2</v>
      </c>
      <c r="M395" s="18" t="str">
        <f>IF(controls!$B$44=0,"",'normal case'!AJ394)</f>
        <v/>
      </c>
      <c r="N395" s="18" t="str">
        <f>IF(controls!$B$44=0,"",'normal case'!AM394)</f>
        <v/>
      </c>
      <c r="O395" s="160" t="str">
        <f>IF(controls!$B$44=0,"",'external balance'!D394)</f>
        <v/>
      </c>
      <c r="P395" s="160" t="str">
        <f>IF(controls!$B$44=0,"",'external balance'!F394)</f>
        <v/>
      </c>
      <c r="Q395" s="159" t="str">
        <f>IF(controls!$B$44=0,"",'external balance'!H394)</f>
        <v/>
      </c>
    </row>
    <row r="396" spans="1:17" ht="14" thickTop="1" thickBot="1">
      <c r="A396" s="15">
        <v>393</v>
      </c>
      <c r="B396" s="17">
        <f ca="1">('normal case'!D395-'normal case'!B395)/'normal case'!B395</f>
        <v>5.9014499777614481E-10</v>
      </c>
      <c r="C396" s="23">
        <f ca="1">'normal case'!D395</f>
        <v>101.00000005960464</v>
      </c>
      <c r="D396" s="24">
        <f ca="1">'normal case'!C395</f>
        <v>-1.5107707374006907E-7</v>
      </c>
      <c r="E396" s="22">
        <f ca="1">'normal case'!L395/100</f>
        <v>1.9999998807907104E-2</v>
      </c>
      <c r="F396" s="25">
        <f ca="1">'normal case'!U395/100</f>
        <v>5.499999850988388E-2</v>
      </c>
      <c r="G396" s="25">
        <f ca="1">'normal case'!T395/100</f>
        <v>3.4999999701976779E-2</v>
      </c>
      <c r="H396" s="25">
        <f ca="1">'public finance'!D394</f>
        <v>1.9802129779314939E-3</v>
      </c>
      <c r="I396" s="20">
        <f ca="1">'public finance'!E394</f>
        <v>1280.7186943142651</v>
      </c>
      <c r="J396" s="118">
        <f ca="1">'public finance'!H394</f>
        <v>-36591.906428757859</v>
      </c>
      <c r="K396" s="17">
        <f ca="1">'public finance'!C394/'normal case'!D395</f>
        <v>0.19801980186333762</v>
      </c>
      <c r="L396" s="20">
        <f ca="1">'public finance'!A394/'normal case'!D395</f>
        <v>0.2</v>
      </c>
      <c r="M396" s="18" t="str">
        <f>IF(controls!$B$44=0,"",'normal case'!AJ395)</f>
        <v/>
      </c>
      <c r="N396" s="18" t="str">
        <f>IF(controls!$B$44=0,"",'normal case'!AM395)</f>
        <v/>
      </c>
      <c r="O396" s="160" t="str">
        <f>IF(controls!$B$44=0,"",'external balance'!D395)</f>
        <v/>
      </c>
      <c r="P396" s="160" t="str">
        <f>IF(controls!$B$44=0,"",'external balance'!F395)</f>
        <v/>
      </c>
      <c r="Q396" s="159" t="str">
        <f>IF(controls!$B$44=0,"",'external balance'!H395)</f>
        <v/>
      </c>
    </row>
    <row r="397" spans="1:17" ht="14" thickTop="1" thickBot="1">
      <c r="A397" s="15">
        <v>394</v>
      </c>
      <c r="B397" s="17">
        <f ca="1">('normal case'!D396-'normal case'!B396)/'normal case'!B396</f>
        <v>5.9014499777614481E-10</v>
      </c>
      <c r="C397" s="23">
        <f ca="1">'normal case'!D396</f>
        <v>101.00000005960464</v>
      </c>
      <c r="D397" s="24">
        <f ca="1">'normal case'!C396</f>
        <v>-1.5107707374006907E-7</v>
      </c>
      <c r="E397" s="22">
        <f ca="1">'normal case'!L396/100</f>
        <v>1.9999998807907104E-2</v>
      </c>
      <c r="F397" s="25">
        <f ca="1">'normal case'!U396/100</f>
        <v>5.499999850988388E-2</v>
      </c>
      <c r="G397" s="25">
        <f ca="1">'normal case'!T396/100</f>
        <v>3.4999999701976779E-2</v>
      </c>
      <c r="H397" s="25">
        <f ca="1">'public finance'!D395</f>
        <v>1.9802129779314939E-3</v>
      </c>
      <c r="I397" s="20">
        <f ca="1">'public finance'!E395</f>
        <v>1325.543848233061</v>
      </c>
      <c r="J397" s="118">
        <f ca="1">'public finance'!H395</f>
        <v>-37872.625123057282</v>
      </c>
      <c r="K397" s="17">
        <f ca="1">'public finance'!C395/'normal case'!D396</f>
        <v>0.19801980186333762</v>
      </c>
      <c r="L397" s="20">
        <f ca="1">'public finance'!A395/'normal case'!D396</f>
        <v>0.2</v>
      </c>
      <c r="M397" s="18" t="str">
        <f>IF(controls!$B$44=0,"",'normal case'!AJ396)</f>
        <v/>
      </c>
      <c r="N397" s="18" t="str">
        <f>IF(controls!$B$44=0,"",'normal case'!AM396)</f>
        <v/>
      </c>
      <c r="O397" s="160" t="str">
        <f>IF(controls!$B$44=0,"",'external balance'!D396)</f>
        <v/>
      </c>
      <c r="P397" s="160" t="str">
        <f>IF(controls!$B$44=0,"",'external balance'!F396)</f>
        <v/>
      </c>
      <c r="Q397" s="159" t="str">
        <f>IF(controls!$B$44=0,"",'external balance'!H396)</f>
        <v/>
      </c>
    </row>
    <row r="398" spans="1:17" ht="14" thickTop="1" thickBot="1">
      <c r="A398" s="15">
        <v>395</v>
      </c>
      <c r="B398" s="17">
        <f ca="1">('normal case'!D397-'normal case'!B397)/'normal case'!B397</f>
        <v>5.9014499777614481E-10</v>
      </c>
      <c r="C398" s="23">
        <f ca="1">'normal case'!D397</f>
        <v>101.00000005960464</v>
      </c>
      <c r="D398" s="24">
        <f ca="1">'normal case'!C397</f>
        <v>-1.5107707374006907E-7</v>
      </c>
      <c r="E398" s="22">
        <f ca="1">'normal case'!L397/100</f>
        <v>1.9999998807907104E-2</v>
      </c>
      <c r="F398" s="25">
        <f ca="1">'normal case'!U397/100</f>
        <v>5.499999850988388E-2</v>
      </c>
      <c r="G398" s="25">
        <f ca="1">'normal case'!T397/100</f>
        <v>3.4999999701976779E-2</v>
      </c>
      <c r="H398" s="25">
        <f ca="1">'public finance'!D396</f>
        <v>1.9802129779314939E-3</v>
      </c>
      <c r="I398" s="20">
        <f ca="1">'public finance'!E396</f>
        <v>1371.9378825256558</v>
      </c>
      <c r="J398" s="118">
        <f ca="1">'public finance'!H396</f>
        <v>-39198.168971275496</v>
      </c>
      <c r="K398" s="17">
        <f ca="1">'public finance'!C396/'normal case'!D397</f>
        <v>0.19801980186333762</v>
      </c>
      <c r="L398" s="20">
        <f ca="1">'public finance'!A396/'normal case'!D397</f>
        <v>0.2</v>
      </c>
      <c r="M398" s="18" t="str">
        <f>IF(controls!$B$44=0,"",'normal case'!AJ397)</f>
        <v/>
      </c>
      <c r="N398" s="18" t="str">
        <f>IF(controls!$B$44=0,"",'normal case'!AM397)</f>
        <v/>
      </c>
      <c r="O398" s="160" t="str">
        <f>IF(controls!$B$44=0,"",'external balance'!D397)</f>
        <v/>
      </c>
      <c r="P398" s="160" t="str">
        <f>IF(controls!$B$44=0,"",'external balance'!F397)</f>
        <v/>
      </c>
      <c r="Q398" s="159" t="str">
        <f>IF(controls!$B$44=0,"",'external balance'!H397)</f>
        <v/>
      </c>
    </row>
    <row r="399" spans="1:17" ht="14" thickTop="1" thickBot="1">
      <c r="A399" s="15">
        <v>396</v>
      </c>
      <c r="B399" s="17">
        <f ca="1">('normal case'!D398-'normal case'!B398)/'normal case'!B398</f>
        <v>5.9014499777614481E-10</v>
      </c>
      <c r="C399" s="23">
        <f ca="1">'normal case'!D398</f>
        <v>101.00000005960464</v>
      </c>
      <c r="D399" s="24">
        <f ca="1">'normal case'!C398</f>
        <v>-1.5107707374006907E-7</v>
      </c>
      <c r="E399" s="22">
        <f ca="1">'normal case'!L398/100</f>
        <v>1.9999998807907104E-2</v>
      </c>
      <c r="F399" s="25">
        <f ca="1">'normal case'!U398/100</f>
        <v>5.499999850988388E-2</v>
      </c>
      <c r="G399" s="25">
        <f ca="1">'normal case'!T398/100</f>
        <v>3.4999999701976779E-2</v>
      </c>
      <c r="H399" s="25">
        <f ca="1">'public finance'!D397</f>
        <v>1.9802129779314939E-3</v>
      </c>
      <c r="I399" s="20">
        <f ca="1">'public finance'!E397</f>
        <v>1419.9557080046648</v>
      </c>
      <c r="J399" s="118">
        <f ca="1">'public finance'!H397</f>
        <v>-40570.10685378631</v>
      </c>
      <c r="K399" s="17">
        <f ca="1">'public finance'!C397/'normal case'!D398</f>
        <v>0.19801980186333762</v>
      </c>
      <c r="L399" s="20">
        <f ca="1">'public finance'!A397/'normal case'!D398</f>
        <v>0.2</v>
      </c>
      <c r="M399" s="18" t="str">
        <f>IF(controls!$B$44=0,"",'normal case'!AJ398)</f>
        <v/>
      </c>
      <c r="N399" s="18" t="str">
        <f>IF(controls!$B$44=0,"",'normal case'!AM398)</f>
        <v/>
      </c>
      <c r="O399" s="160" t="str">
        <f>IF(controls!$B$44=0,"",'external balance'!D398)</f>
        <v/>
      </c>
      <c r="P399" s="160" t="str">
        <f>IF(controls!$B$44=0,"",'external balance'!F398)</f>
        <v/>
      </c>
      <c r="Q399" s="159" t="str">
        <f>IF(controls!$B$44=0,"",'external balance'!H398)</f>
        <v/>
      </c>
    </row>
    <row r="400" spans="1:17" ht="14" thickTop="1" thickBot="1">
      <c r="A400" s="15">
        <v>397</v>
      </c>
      <c r="B400" s="17">
        <f ca="1">('normal case'!D399-'normal case'!B399)/'normal case'!B399</f>
        <v>5.9014499777614481E-10</v>
      </c>
      <c r="C400" s="23">
        <f ca="1">'normal case'!D399</f>
        <v>101.00000005960464</v>
      </c>
      <c r="D400" s="24">
        <f ca="1">'normal case'!C399</f>
        <v>-1.5107707374006907E-7</v>
      </c>
      <c r="E400" s="22">
        <f ca="1">'normal case'!L399/100</f>
        <v>1.9999998807907104E-2</v>
      </c>
      <c r="F400" s="25">
        <f ca="1">'normal case'!U399/100</f>
        <v>5.499999850988388E-2</v>
      </c>
      <c r="G400" s="25">
        <f ca="1">'normal case'!T399/100</f>
        <v>3.4999999701976779E-2</v>
      </c>
      <c r="H400" s="25">
        <f ca="1">'public finance'!D398</f>
        <v>1.9802129779314939E-3</v>
      </c>
      <c r="I400" s="20">
        <f ca="1">'public finance'!E398</f>
        <v>1469.6541573611291</v>
      </c>
      <c r="J400" s="118">
        <f ca="1">'public finance'!H398</f>
        <v>-41990.06256177614</v>
      </c>
      <c r="K400" s="17">
        <f ca="1">'public finance'!C398/'normal case'!D399</f>
        <v>0.19801980186333762</v>
      </c>
      <c r="L400" s="20">
        <f ca="1">'public finance'!A398/'normal case'!D399</f>
        <v>0.2</v>
      </c>
      <c r="M400" s="18" t="str">
        <f>IF(controls!$B$44=0,"",'normal case'!AJ399)</f>
        <v/>
      </c>
      <c r="N400" s="18" t="str">
        <f>IF(controls!$B$44=0,"",'normal case'!AM399)</f>
        <v/>
      </c>
      <c r="O400" s="160" t="str">
        <f>IF(controls!$B$44=0,"",'external balance'!D399)</f>
        <v/>
      </c>
      <c r="P400" s="160" t="str">
        <f>IF(controls!$B$44=0,"",'external balance'!F399)</f>
        <v/>
      </c>
      <c r="Q400" s="159" t="str">
        <f>IF(controls!$B$44=0,"",'external balance'!H399)</f>
        <v/>
      </c>
    </row>
    <row r="401" spans="1:17" ht="14" thickTop="1" thickBot="1">
      <c r="A401" s="15">
        <v>398</v>
      </c>
      <c r="B401" s="17">
        <f ca="1">('normal case'!D400-'normal case'!B400)/'normal case'!B400</f>
        <v>5.9014499777614481E-10</v>
      </c>
      <c r="C401" s="23">
        <f ca="1">'normal case'!D400</f>
        <v>101.00000005960464</v>
      </c>
      <c r="D401" s="24">
        <f ca="1">'normal case'!C400</f>
        <v>-1.5107707374006907E-7</v>
      </c>
      <c r="E401" s="22">
        <f ca="1">'normal case'!L400/100</f>
        <v>1.9999998807907104E-2</v>
      </c>
      <c r="F401" s="25">
        <f ca="1">'normal case'!U400/100</f>
        <v>5.499999850988388E-2</v>
      </c>
      <c r="G401" s="25">
        <f ca="1">'normal case'!T400/100</f>
        <v>3.4999999701976779E-2</v>
      </c>
      <c r="H401" s="25">
        <f ca="1">'public finance'!D399</f>
        <v>1.9802129779314939E-3</v>
      </c>
      <c r="I401" s="20">
        <f ca="1">'public finance'!E399</f>
        <v>1521.0920524302583</v>
      </c>
      <c r="J401" s="118">
        <f ca="1">'public finance'!H399</f>
        <v>-43459.716719122429</v>
      </c>
      <c r="K401" s="17">
        <f ca="1">'public finance'!C399/'normal case'!D400</f>
        <v>0.19801980186333762</v>
      </c>
      <c r="L401" s="20">
        <f ca="1">'public finance'!A399/'normal case'!D400</f>
        <v>0.2</v>
      </c>
      <c r="M401" s="18" t="str">
        <f>IF(controls!$B$44=0,"",'normal case'!AJ400)</f>
        <v/>
      </c>
      <c r="N401" s="18" t="str">
        <f>IF(controls!$B$44=0,"",'normal case'!AM400)</f>
        <v/>
      </c>
      <c r="O401" s="160" t="str">
        <f>IF(controls!$B$44=0,"",'external balance'!D400)</f>
        <v/>
      </c>
      <c r="P401" s="160" t="str">
        <f>IF(controls!$B$44=0,"",'external balance'!F400)</f>
        <v/>
      </c>
      <c r="Q401" s="159" t="str">
        <f>IF(controls!$B$44=0,"",'external balance'!H400)</f>
        <v/>
      </c>
    </row>
    <row r="402" spans="1:17" ht="14" thickTop="1" thickBot="1">
      <c r="A402" s="15">
        <v>399</v>
      </c>
      <c r="B402" s="17">
        <f ca="1">('normal case'!D401-'normal case'!B401)/'normal case'!B401</f>
        <v>5.9014499777614481E-10</v>
      </c>
      <c r="C402" s="23">
        <f ca="1">'normal case'!D401</f>
        <v>101.00000005960464</v>
      </c>
      <c r="D402" s="24">
        <f ca="1">'normal case'!C401</f>
        <v>-1.5107707374006907E-7</v>
      </c>
      <c r="E402" s="22">
        <f ca="1">'normal case'!L401/100</f>
        <v>1.9999998807907104E-2</v>
      </c>
      <c r="F402" s="25">
        <f ca="1">'normal case'!U401/100</f>
        <v>5.499999850988388E-2</v>
      </c>
      <c r="G402" s="25">
        <f ca="1">'normal case'!T401/100</f>
        <v>3.4999999701976779E-2</v>
      </c>
      <c r="H402" s="25">
        <f ca="1">'public finance'!D400</f>
        <v>1.9802129779314939E-3</v>
      </c>
      <c r="I402" s="20">
        <f ca="1">'public finance'!E400</f>
        <v>1574.3302738114771</v>
      </c>
      <c r="J402" s="118">
        <f ca="1">'public finance'!H400</f>
        <v>-44980.80877153785</v>
      </c>
      <c r="K402" s="17">
        <f ca="1">'public finance'!C400/'normal case'!D401</f>
        <v>0.19801980186333762</v>
      </c>
      <c r="L402" s="20">
        <f ca="1">'public finance'!A400/'normal case'!D401</f>
        <v>0.2</v>
      </c>
      <c r="M402" s="18" t="str">
        <f>IF(controls!$B$44=0,"",'normal case'!AJ401)</f>
        <v/>
      </c>
      <c r="N402" s="18" t="str">
        <f>IF(controls!$B$44=0,"",'normal case'!AM401)</f>
        <v/>
      </c>
      <c r="O402" s="160" t="str">
        <f>IF(controls!$B$44=0,"",'external balance'!D401)</f>
        <v/>
      </c>
      <c r="P402" s="160" t="str">
        <f>IF(controls!$B$44=0,"",'external balance'!F401)</f>
        <v/>
      </c>
      <c r="Q402" s="159" t="str">
        <f>IF(controls!$B$44=0,"",'external balance'!H401)</f>
        <v/>
      </c>
    </row>
    <row r="403" spans="1:17" ht="14" thickTop="1" thickBot="1">
      <c r="A403" s="15">
        <v>400</v>
      </c>
      <c r="B403" s="17">
        <f ca="1">('normal case'!D402-'normal case'!B402)/'normal case'!B402</f>
        <v>5.9014499777614481E-10</v>
      </c>
      <c r="C403" s="23">
        <f ca="1">'normal case'!D402</f>
        <v>101.00000005960464</v>
      </c>
      <c r="D403" s="24">
        <f ca="1">'normal case'!C402</f>
        <v>-1.5107707374006907E-7</v>
      </c>
      <c r="E403" s="22">
        <f ca="1">'normal case'!L402/100</f>
        <v>1.9999998807907104E-2</v>
      </c>
      <c r="F403" s="25">
        <f ca="1">'normal case'!U402/100</f>
        <v>5.499999850988388E-2</v>
      </c>
      <c r="G403" s="25">
        <f ca="1">'normal case'!T402/100</f>
        <v>3.4999999701976779E-2</v>
      </c>
      <c r="H403" s="25">
        <f ca="1">'public finance'!D401</f>
        <v>1.9802129779314939E-3</v>
      </c>
      <c r="I403" s="20">
        <f ca="1">'public finance'!E401</f>
        <v>1629.4318329251726</v>
      </c>
      <c r="J403" s="118">
        <f ca="1">'public finance'!H401</f>
        <v>-46555.139045334487</v>
      </c>
      <c r="K403" s="17">
        <f ca="1">'public finance'!C401/'normal case'!D402</f>
        <v>0.19801980186333762</v>
      </c>
      <c r="L403" s="20">
        <f ca="1">'public finance'!A401/'normal case'!D402</f>
        <v>0.2</v>
      </c>
      <c r="M403" s="18" t="str">
        <f>IF(controls!$B$44=0,"",'normal case'!AJ402)</f>
        <v/>
      </c>
      <c r="N403" s="18" t="str">
        <f>IF(controls!$B$44=0,"",'normal case'!AM402)</f>
        <v/>
      </c>
      <c r="O403" s="160" t="str">
        <f>IF(controls!$B$44=0,"",'external balance'!D402)</f>
        <v/>
      </c>
      <c r="P403" s="160" t="str">
        <f>IF(controls!$B$44=0,"",'external balance'!F402)</f>
        <v/>
      </c>
      <c r="Q403" s="159" t="str">
        <f>IF(controls!$B$44=0,"",'external balance'!H402)</f>
        <v/>
      </c>
    </row>
    <row r="404" spans="1:17" ht="14" thickTop="1" thickBot="1">
      <c r="A404" s="15">
        <v>401</v>
      </c>
      <c r="B404" s="17">
        <f ca="1">('normal case'!D403-'normal case'!B403)/'normal case'!B403</f>
        <v>5.9014499777614481E-10</v>
      </c>
      <c r="C404" s="23">
        <f ca="1">'normal case'!D403</f>
        <v>101.00000005960464</v>
      </c>
      <c r="D404" s="24">
        <f ca="1">'normal case'!C403</f>
        <v>-1.5107707374006907E-7</v>
      </c>
      <c r="E404" s="22">
        <f ca="1">'normal case'!L403/100</f>
        <v>1.9999998807907104E-2</v>
      </c>
      <c r="F404" s="25">
        <f ca="1">'normal case'!U403/100</f>
        <v>5.499999850988388E-2</v>
      </c>
      <c r="G404" s="25">
        <f ca="1">'normal case'!T403/100</f>
        <v>3.4999999701976779E-2</v>
      </c>
      <c r="H404" s="25">
        <f ca="1">'public finance'!D402</f>
        <v>1.9802129779314939E-3</v>
      </c>
      <c r="I404" s="20">
        <f ca="1">'public finance'!E402</f>
        <v>1686.4619465914259</v>
      </c>
      <c r="J404" s="118">
        <f ca="1">'public finance'!H402</f>
        <v>-48184.57087824482</v>
      </c>
      <c r="K404" s="17">
        <f ca="1">'public finance'!C402/'normal case'!D403</f>
        <v>0.19801980186333762</v>
      </c>
      <c r="L404" s="20">
        <f ca="1">'public finance'!A402/'normal case'!D403</f>
        <v>0.2</v>
      </c>
      <c r="M404" s="18" t="str">
        <f>IF(controls!$B$44=0,"",'normal case'!AJ403)</f>
        <v/>
      </c>
      <c r="N404" s="18" t="str">
        <f>IF(controls!$B$44=0,"",'normal case'!AM403)</f>
        <v/>
      </c>
      <c r="O404" s="160" t="str">
        <f>IF(controls!$B$44=0,"",'external balance'!D403)</f>
        <v/>
      </c>
      <c r="P404" s="160" t="str">
        <f>IF(controls!$B$44=0,"",'external balance'!F403)</f>
        <v/>
      </c>
      <c r="Q404" s="159" t="str">
        <f>IF(controls!$B$44=0,"",'external balance'!H403)</f>
        <v/>
      </c>
    </row>
    <row r="405" spans="1:17" ht="14" thickTop="1" thickBot="1">
      <c r="A405" s="15">
        <v>402</v>
      </c>
      <c r="B405" s="17">
        <f ca="1">('normal case'!D404-'normal case'!B404)/'normal case'!B404</f>
        <v>5.9014499777614481E-10</v>
      </c>
      <c r="C405" s="23">
        <f ca="1">'normal case'!D404</f>
        <v>101.00000005960464</v>
      </c>
      <c r="D405" s="24">
        <f ca="1">'normal case'!C404</f>
        <v>-1.5107707374006907E-7</v>
      </c>
      <c r="E405" s="22">
        <f ca="1">'normal case'!L404/100</f>
        <v>1.9999998807907104E-2</v>
      </c>
      <c r="F405" s="25">
        <f ca="1">'normal case'!U404/100</f>
        <v>5.499999850988388E-2</v>
      </c>
      <c r="G405" s="25">
        <f ca="1">'normal case'!T404/100</f>
        <v>3.4999999701976779E-2</v>
      </c>
      <c r="H405" s="25">
        <f ca="1">'public finance'!D403</f>
        <v>1.9802129779314939E-3</v>
      </c>
      <c r="I405" s="20">
        <f ca="1">'public finance'!E403</f>
        <v>1745.4881142190015</v>
      </c>
      <c r="J405" s="118">
        <f ca="1">'public finance'!H403</f>
        <v>-49871.032824821406</v>
      </c>
      <c r="K405" s="17">
        <f ca="1">'public finance'!C403/'normal case'!D404</f>
        <v>0.19801980186333762</v>
      </c>
      <c r="L405" s="20">
        <f ca="1">'public finance'!A403/'normal case'!D404</f>
        <v>0.2</v>
      </c>
      <c r="M405" s="18" t="str">
        <f>IF(controls!$B$44=0,"",'normal case'!AJ404)</f>
        <v/>
      </c>
      <c r="N405" s="18" t="str">
        <f>IF(controls!$B$44=0,"",'normal case'!AM404)</f>
        <v/>
      </c>
      <c r="O405" s="160" t="str">
        <f>IF(controls!$B$44=0,"",'external balance'!D404)</f>
        <v/>
      </c>
      <c r="P405" s="160" t="str">
        <f>IF(controls!$B$44=0,"",'external balance'!F404)</f>
        <v/>
      </c>
      <c r="Q405" s="159" t="str">
        <f>IF(controls!$B$44=0,"",'external balance'!H404)</f>
        <v/>
      </c>
    </row>
    <row r="406" spans="1:17" ht="14" thickTop="1" thickBot="1">
      <c r="A406" s="15">
        <v>403</v>
      </c>
      <c r="B406" s="17">
        <f ca="1">('normal case'!D405-'normal case'!B405)/'normal case'!B405</f>
        <v>5.9014499777614481E-10</v>
      </c>
      <c r="C406" s="23">
        <f ca="1">'normal case'!D405</f>
        <v>101.00000005960464</v>
      </c>
      <c r="D406" s="24">
        <f ca="1">'normal case'!C405</f>
        <v>-1.5107707374006907E-7</v>
      </c>
      <c r="E406" s="22">
        <f ca="1">'normal case'!L405/100</f>
        <v>1.9999998807907104E-2</v>
      </c>
      <c r="F406" s="25">
        <f ca="1">'normal case'!U405/100</f>
        <v>5.499999850988388E-2</v>
      </c>
      <c r="G406" s="25">
        <f ca="1">'normal case'!T405/100</f>
        <v>3.4999999701976779E-2</v>
      </c>
      <c r="H406" s="25">
        <f ca="1">'public finance'!D404</f>
        <v>1.9802129779314939E-3</v>
      </c>
      <c r="I406" s="20">
        <f ca="1">'public finance'!E404</f>
        <v>1806.580197695951</v>
      </c>
      <c r="J406" s="118">
        <f ca="1">'public finance'!H404</f>
        <v>-51616.52093902557</v>
      </c>
      <c r="K406" s="17">
        <f ca="1">'public finance'!C404/'normal case'!D405</f>
        <v>0.19801980186333762</v>
      </c>
      <c r="L406" s="20">
        <f ca="1">'public finance'!A404/'normal case'!D405</f>
        <v>0.2</v>
      </c>
      <c r="M406" s="18" t="str">
        <f>IF(controls!$B$44=0,"",'normal case'!AJ405)</f>
        <v/>
      </c>
      <c r="N406" s="18" t="str">
        <f>IF(controls!$B$44=0,"",'normal case'!AM405)</f>
        <v/>
      </c>
      <c r="O406" s="160" t="str">
        <f>IF(controls!$B$44=0,"",'external balance'!D405)</f>
        <v/>
      </c>
      <c r="P406" s="160" t="str">
        <f>IF(controls!$B$44=0,"",'external balance'!F405)</f>
        <v/>
      </c>
      <c r="Q406" s="159" t="str">
        <f>IF(controls!$B$44=0,"",'external balance'!H405)</f>
        <v/>
      </c>
    </row>
    <row r="407" spans="1:17" ht="14" thickTop="1" thickBot="1">
      <c r="A407" s="15">
        <v>404</v>
      </c>
      <c r="B407" s="17">
        <f ca="1">('normal case'!D406-'normal case'!B406)/'normal case'!B406</f>
        <v>5.9014499777614481E-10</v>
      </c>
      <c r="C407" s="23">
        <f ca="1">'normal case'!D406</f>
        <v>101.00000005960464</v>
      </c>
      <c r="D407" s="24">
        <f ca="1">'normal case'!C406</f>
        <v>-1.5107707374006907E-7</v>
      </c>
      <c r="E407" s="22">
        <f ca="1">'normal case'!L406/100</f>
        <v>1.9999998807907104E-2</v>
      </c>
      <c r="F407" s="25">
        <f ca="1">'normal case'!U406/100</f>
        <v>5.499999850988388E-2</v>
      </c>
      <c r="G407" s="25">
        <f ca="1">'normal case'!T406/100</f>
        <v>3.4999999701976779E-2</v>
      </c>
      <c r="H407" s="25">
        <f ca="1">'public finance'!D405</f>
        <v>1.9802129779314939E-3</v>
      </c>
      <c r="I407" s="20">
        <f ca="1">'public finance'!E405</f>
        <v>1869.8105040763871</v>
      </c>
      <c r="J407" s="118">
        <f ca="1">'public finance'!H405</f>
        <v>-53423.101136706682</v>
      </c>
      <c r="K407" s="17">
        <f ca="1">'public finance'!C405/'normal case'!D406</f>
        <v>0.19801980186333762</v>
      </c>
      <c r="L407" s="20">
        <f ca="1">'public finance'!A405/'normal case'!D406</f>
        <v>0.2</v>
      </c>
      <c r="M407" s="18" t="str">
        <f>IF(controls!$B$44=0,"",'normal case'!AJ406)</f>
        <v/>
      </c>
      <c r="N407" s="18" t="str">
        <f>IF(controls!$B$44=0,"",'normal case'!AM406)</f>
        <v/>
      </c>
      <c r="O407" s="160" t="str">
        <f>IF(controls!$B$44=0,"",'external balance'!D406)</f>
        <v/>
      </c>
      <c r="P407" s="160" t="str">
        <f>IF(controls!$B$44=0,"",'external balance'!F406)</f>
        <v/>
      </c>
      <c r="Q407" s="159" t="str">
        <f>IF(controls!$B$44=0,"",'external balance'!H406)</f>
        <v/>
      </c>
    </row>
    <row r="408" spans="1:17" ht="14" thickTop="1" thickBot="1">
      <c r="A408" s="15">
        <v>405</v>
      </c>
      <c r="B408" s="17">
        <f ca="1">('normal case'!D407-'normal case'!B407)/'normal case'!B407</f>
        <v>5.9014499777614481E-10</v>
      </c>
      <c r="C408" s="23">
        <f ca="1">'normal case'!D407</f>
        <v>101.00000005960464</v>
      </c>
      <c r="D408" s="24">
        <f ca="1">'normal case'!C407</f>
        <v>-1.5107707374006907E-7</v>
      </c>
      <c r="E408" s="22">
        <f ca="1">'normal case'!L407/100</f>
        <v>1.9999998807907104E-2</v>
      </c>
      <c r="F408" s="25">
        <f ca="1">'normal case'!U407/100</f>
        <v>5.499999850988388E-2</v>
      </c>
      <c r="G408" s="25">
        <f ca="1">'normal case'!T407/100</f>
        <v>3.4999999701976779E-2</v>
      </c>
      <c r="H408" s="25">
        <f ca="1">'public finance'!D406</f>
        <v>1.9802129779314939E-3</v>
      </c>
      <c r="I408" s="20">
        <f ca="1">'public finance'!E406</f>
        <v>1935.2538711612942</v>
      </c>
      <c r="J408" s="118">
        <f ca="1">'public finance'!H406</f>
        <v>-55292.91164076823</v>
      </c>
      <c r="K408" s="17">
        <f ca="1">'public finance'!C406/'normal case'!D407</f>
        <v>0.19801980186333762</v>
      </c>
      <c r="L408" s="20">
        <f ca="1">'public finance'!A406/'normal case'!D407</f>
        <v>0.2</v>
      </c>
      <c r="M408" s="18" t="str">
        <f>IF(controls!$B$44=0,"",'normal case'!AJ407)</f>
        <v/>
      </c>
      <c r="N408" s="18" t="str">
        <f>IF(controls!$B$44=0,"",'normal case'!AM407)</f>
        <v/>
      </c>
      <c r="O408" s="160" t="str">
        <f>IF(controls!$B$44=0,"",'external balance'!D407)</f>
        <v/>
      </c>
      <c r="P408" s="160" t="str">
        <f>IF(controls!$B$44=0,"",'external balance'!F407)</f>
        <v/>
      </c>
      <c r="Q408" s="159" t="str">
        <f>IF(controls!$B$44=0,"",'external balance'!H407)</f>
        <v/>
      </c>
    </row>
    <row r="409" spans="1:17" ht="14" thickTop="1" thickBot="1">
      <c r="A409" s="15">
        <v>406</v>
      </c>
      <c r="B409" s="17">
        <f ca="1">('normal case'!D408-'normal case'!B408)/'normal case'!B408</f>
        <v>5.9014499777614481E-10</v>
      </c>
      <c r="C409" s="23">
        <f ca="1">'normal case'!D408</f>
        <v>101.00000005960464</v>
      </c>
      <c r="D409" s="24">
        <f ca="1">'normal case'!C408</f>
        <v>-1.5107707374006907E-7</v>
      </c>
      <c r="E409" s="22">
        <f ca="1">'normal case'!L408/100</f>
        <v>1.9999998807907104E-2</v>
      </c>
      <c r="F409" s="25">
        <f ca="1">'normal case'!U408/100</f>
        <v>5.499999850988388E-2</v>
      </c>
      <c r="G409" s="25">
        <f ca="1">'normal case'!T408/100</f>
        <v>3.4999999701976779E-2</v>
      </c>
      <c r="H409" s="25">
        <f ca="1">'public finance'!D407</f>
        <v>1.9802129779314939E-3</v>
      </c>
      <c r="I409" s="20">
        <f ca="1">'public finance'!E407</f>
        <v>2002.98775607467</v>
      </c>
      <c r="J409" s="118">
        <f ca="1">'public finance'!H407</f>
        <v>-57228.165511914689</v>
      </c>
      <c r="K409" s="17">
        <f ca="1">'public finance'!C407/'normal case'!D408</f>
        <v>0.19801980186333762</v>
      </c>
      <c r="L409" s="20">
        <f ca="1">'public finance'!A407/'normal case'!D408</f>
        <v>0.2</v>
      </c>
      <c r="M409" s="18" t="str">
        <f>IF(controls!$B$44=0,"",'normal case'!AJ408)</f>
        <v/>
      </c>
      <c r="N409" s="18" t="str">
        <f>IF(controls!$B$44=0,"",'normal case'!AM408)</f>
        <v/>
      </c>
      <c r="O409" s="160" t="str">
        <f>IF(controls!$B$44=0,"",'external balance'!D408)</f>
        <v/>
      </c>
      <c r="P409" s="160" t="str">
        <f>IF(controls!$B$44=0,"",'external balance'!F408)</f>
        <v/>
      </c>
      <c r="Q409" s="159" t="str">
        <f>IF(controls!$B$44=0,"",'external balance'!H408)</f>
        <v/>
      </c>
    </row>
    <row r="410" spans="1:17" ht="14" thickTop="1" thickBot="1">
      <c r="A410" s="15">
        <v>407</v>
      </c>
      <c r="B410" s="17">
        <f ca="1">('normal case'!D409-'normal case'!B409)/'normal case'!B409</f>
        <v>5.9014499777614481E-10</v>
      </c>
      <c r="C410" s="23">
        <f ca="1">'normal case'!D409</f>
        <v>101.00000005960464</v>
      </c>
      <c r="D410" s="24">
        <f ca="1">'normal case'!C409</f>
        <v>-1.5107707374006907E-7</v>
      </c>
      <c r="E410" s="22">
        <f ca="1">'normal case'!L409/100</f>
        <v>1.9999998807907104E-2</v>
      </c>
      <c r="F410" s="25">
        <f ca="1">'normal case'!U409/100</f>
        <v>5.499999850988388E-2</v>
      </c>
      <c r="G410" s="25">
        <f ca="1">'normal case'!T409/100</f>
        <v>3.4999999701976779E-2</v>
      </c>
      <c r="H410" s="25">
        <f ca="1">'public finance'!D408</f>
        <v>1.9802129779314939E-3</v>
      </c>
      <c r="I410" s="20">
        <f ca="1">'public finance'!E408</f>
        <v>2073.0923269398272</v>
      </c>
      <c r="J410" s="118">
        <f ca="1">'public finance'!H408</f>
        <v>-59231.153267974521</v>
      </c>
      <c r="K410" s="17">
        <f ca="1">'public finance'!C408/'normal case'!D409</f>
        <v>0.19801980186333762</v>
      </c>
      <c r="L410" s="20">
        <f ca="1">'public finance'!A408/'normal case'!D409</f>
        <v>0.2</v>
      </c>
      <c r="M410" s="18" t="str">
        <f>IF(controls!$B$44=0,"",'normal case'!AJ409)</f>
        <v/>
      </c>
      <c r="N410" s="18" t="str">
        <f>IF(controls!$B$44=0,"",'normal case'!AM409)</f>
        <v/>
      </c>
      <c r="O410" s="160" t="str">
        <f>IF(controls!$B$44=0,"",'external balance'!D409)</f>
        <v/>
      </c>
      <c r="P410" s="160" t="str">
        <f>IF(controls!$B$44=0,"",'external balance'!F409)</f>
        <v/>
      </c>
      <c r="Q410" s="159" t="str">
        <f>IF(controls!$B$44=0,"",'external balance'!H409)</f>
        <v/>
      </c>
    </row>
    <row r="411" spans="1:17" ht="14" thickTop="1" thickBot="1">
      <c r="A411" s="15">
        <v>408</v>
      </c>
      <c r="B411" s="17">
        <f ca="1">('normal case'!D410-'normal case'!B410)/'normal case'!B410</f>
        <v>5.9014499777614481E-10</v>
      </c>
      <c r="C411" s="23">
        <f ca="1">'normal case'!D410</f>
        <v>101.00000005960464</v>
      </c>
      <c r="D411" s="24">
        <f ca="1">'normal case'!C410</f>
        <v>-1.5107707374006907E-7</v>
      </c>
      <c r="E411" s="22">
        <f ca="1">'normal case'!L410/100</f>
        <v>1.9999998807907104E-2</v>
      </c>
      <c r="F411" s="25">
        <f ca="1">'normal case'!U410/100</f>
        <v>5.499999850988388E-2</v>
      </c>
      <c r="G411" s="25">
        <f ca="1">'normal case'!T410/100</f>
        <v>3.4999999701976779E-2</v>
      </c>
      <c r="H411" s="25">
        <f ca="1">'public finance'!D409</f>
        <v>1.9802129779314939E-3</v>
      </c>
      <c r="I411" s="20">
        <f ca="1">'public finance'!E409</f>
        <v>2145.650557764372</v>
      </c>
      <c r="J411" s="118">
        <f ca="1">'public finance'!H409</f>
        <v>-61304.245594899512</v>
      </c>
      <c r="K411" s="17">
        <f ca="1">'public finance'!C409/'normal case'!D410</f>
        <v>0.19801980186333762</v>
      </c>
      <c r="L411" s="20">
        <f ca="1">'public finance'!A409/'normal case'!D410</f>
        <v>0.2</v>
      </c>
      <c r="M411" s="18" t="str">
        <f>IF(controls!$B$44=0,"",'normal case'!AJ410)</f>
        <v/>
      </c>
      <c r="N411" s="18" t="str">
        <f>IF(controls!$B$44=0,"",'normal case'!AM410)</f>
        <v/>
      </c>
      <c r="O411" s="160" t="str">
        <f>IF(controls!$B$44=0,"",'external balance'!D410)</f>
        <v/>
      </c>
      <c r="P411" s="160" t="str">
        <f>IF(controls!$B$44=0,"",'external balance'!F410)</f>
        <v/>
      </c>
      <c r="Q411" s="159" t="str">
        <f>IF(controls!$B$44=0,"",'external balance'!H410)</f>
        <v/>
      </c>
    </row>
    <row r="412" spans="1:17" ht="14" thickTop="1" thickBot="1">
      <c r="A412" s="15">
        <v>409</v>
      </c>
      <c r="B412" s="17">
        <f ca="1">('normal case'!D411-'normal case'!B411)/'normal case'!B411</f>
        <v>5.9014499777614481E-10</v>
      </c>
      <c r="C412" s="23">
        <f ca="1">'normal case'!D411</f>
        <v>101.00000005960464</v>
      </c>
      <c r="D412" s="24">
        <f ca="1">'normal case'!C411</f>
        <v>-1.5107707374006907E-7</v>
      </c>
      <c r="E412" s="22">
        <f ca="1">'normal case'!L411/100</f>
        <v>1.9999998807907104E-2</v>
      </c>
      <c r="F412" s="25">
        <f ca="1">'normal case'!U411/100</f>
        <v>5.499999850988388E-2</v>
      </c>
      <c r="G412" s="25">
        <f ca="1">'normal case'!T411/100</f>
        <v>3.4999999701976779E-2</v>
      </c>
      <c r="H412" s="25">
        <f ca="1">'public finance'!D410</f>
        <v>1.9802129779314939E-3</v>
      </c>
      <c r="I412" s="20">
        <f ca="1">'public finance'!E410</f>
        <v>2220.7483266461518</v>
      </c>
      <c r="J412" s="118">
        <f ca="1">'public finance'!H410</f>
        <v>-63449.896152649046</v>
      </c>
      <c r="K412" s="17">
        <f ca="1">'public finance'!C410/'normal case'!D411</f>
        <v>0.19801980186333762</v>
      </c>
      <c r="L412" s="20">
        <f ca="1">'public finance'!A410/'normal case'!D411</f>
        <v>0.2</v>
      </c>
      <c r="M412" s="18" t="str">
        <f>IF(controls!$B$44=0,"",'normal case'!AJ411)</f>
        <v/>
      </c>
      <c r="N412" s="18" t="str">
        <f>IF(controls!$B$44=0,"",'normal case'!AM411)</f>
        <v/>
      </c>
      <c r="O412" s="160" t="str">
        <f>IF(controls!$B$44=0,"",'external balance'!D411)</f>
        <v/>
      </c>
      <c r="P412" s="160" t="str">
        <f>IF(controls!$B$44=0,"",'external balance'!F411)</f>
        <v/>
      </c>
      <c r="Q412" s="159" t="str">
        <f>IF(controls!$B$44=0,"",'external balance'!H411)</f>
        <v/>
      </c>
    </row>
    <row r="413" spans="1:17" ht="14" thickTop="1" thickBot="1">
      <c r="A413" s="15">
        <v>410</v>
      </c>
      <c r="B413" s="17">
        <f ca="1">('normal case'!D412-'normal case'!B412)/'normal case'!B412</f>
        <v>5.9014499777614481E-10</v>
      </c>
      <c r="C413" s="23">
        <f ca="1">'normal case'!D412</f>
        <v>101.00000005960464</v>
      </c>
      <c r="D413" s="24">
        <f ca="1">'normal case'!C412</f>
        <v>-1.5107707374006907E-7</v>
      </c>
      <c r="E413" s="22">
        <f ca="1">'normal case'!L412/100</f>
        <v>1.9999998807907104E-2</v>
      </c>
      <c r="F413" s="25">
        <f ca="1">'normal case'!U412/100</f>
        <v>5.499999850988388E-2</v>
      </c>
      <c r="G413" s="25">
        <f ca="1">'normal case'!T412/100</f>
        <v>3.4999999701976779E-2</v>
      </c>
      <c r="H413" s="25">
        <f ca="1">'public finance'!D411</f>
        <v>1.9802129779314939E-3</v>
      </c>
      <c r="I413" s="20">
        <f ca="1">'public finance'!E411</f>
        <v>2298.4745174164132</v>
      </c>
      <c r="J413" s="118">
        <f ca="1">'public finance'!H411</f>
        <v>-65670.644479280352</v>
      </c>
      <c r="K413" s="17">
        <f ca="1">'public finance'!C411/'normal case'!D412</f>
        <v>0.19801980186333762</v>
      </c>
      <c r="L413" s="20">
        <f ca="1">'public finance'!A411/'normal case'!D412</f>
        <v>0.2</v>
      </c>
      <c r="M413" s="18" t="str">
        <f>IF(controls!$B$44=0,"",'normal case'!AJ412)</f>
        <v/>
      </c>
      <c r="N413" s="18" t="str">
        <f>IF(controls!$B$44=0,"",'normal case'!AM412)</f>
        <v/>
      </c>
      <c r="O413" s="160" t="str">
        <f>IF(controls!$B$44=0,"",'external balance'!D412)</f>
        <v/>
      </c>
      <c r="P413" s="160" t="str">
        <f>IF(controls!$B$44=0,"",'external balance'!F412)</f>
        <v/>
      </c>
      <c r="Q413" s="159" t="str">
        <f>IF(controls!$B$44=0,"",'external balance'!H412)</f>
        <v/>
      </c>
    </row>
    <row r="414" spans="1:17" ht="14" thickTop="1" thickBot="1">
      <c r="A414" s="15">
        <v>411</v>
      </c>
      <c r="B414" s="17">
        <f ca="1">('normal case'!D413-'normal case'!B413)/'normal case'!B413</f>
        <v>5.9014499777614481E-10</v>
      </c>
      <c r="C414" s="23">
        <f ca="1">'normal case'!D413</f>
        <v>101.00000005960464</v>
      </c>
      <c r="D414" s="24">
        <f ca="1">'normal case'!C413</f>
        <v>-1.5107707374006907E-7</v>
      </c>
      <c r="E414" s="22">
        <f ca="1">'normal case'!L413/100</f>
        <v>1.9999998807907104E-2</v>
      </c>
      <c r="F414" s="25">
        <f ca="1">'normal case'!U413/100</f>
        <v>5.499999850988388E-2</v>
      </c>
      <c r="G414" s="25">
        <f ca="1">'normal case'!T413/100</f>
        <v>3.4999999701976779E-2</v>
      </c>
      <c r="H414" s="25">
        <f ca="1">'public finance'!D412</f>
        <v>1.9802129779314939E-3</v>
      </c>
      <c r="I414" s="20">
        <f ca="1">'public finance'!E412</f>
        <v>2378.9211248404695</v>
      </c>
      <c r="J414" s="118">
        <f ca="1">'public finance'!H412</f>
        <v>-67969.118996681922</v>
      </c>
      <c r="K414" s="17">
        <f ca="1">'public finance'!C412/'normal case'!D413</f>
        <v>0.19801980186333762</v>
      </c>
      <c r="L414" s="20">
        <f ca="1">'public finance'!A412/'normal case'!D413</f>
        <v>0.2</v>
      </c>
      <c r="M414" s="18" t="str">
        <f>IF(controls!$B$44=0,"",'normal case'!AJ413)</f>
        <v/>
      </c>
      <c r="N414" s="18" t="str">
        <f>IF(controls!$B$44=0,"",'normal case'!AM413)</f>
        <v/>
      </c>
      <c r="O414" s="160" t="str">
        <f>IF(controls!$B$44=0,"",'external balance'!D413)</f>
        <v/>
      </c>
      <c r="P414" s="160" t="str">
        <f>IF(controls!$B$44=0,"",'external balance'!F413)</f>
        <v/>
      </c>
      <c r="Q414" s="159" t="str">
        <f>IF(controls!$B$44=0,"",'external balance'!H413)</f>
        <v/>
      </c>
    </row>
    <row r="415" spans="1:17" ht="14" thickTop="1" thickBot="1">
      <c r="A415" s="15">
        <v>412</v>
      </c>
      <c r="B415" s="17">
        <f ca="1">('normal case'!D414-'normal case'!B414)/'normal case'!B414</f>
        <v>5.9014499777614481E-10</v>
      </c>
      <c r="C415" s="23">
        <f ca="1">'normal case'!D414</f>
        <v>101.00000005960464</v>
      </c>
      <c r="D415" s="24">
        <f ca="1">'normal case'!C414</f>
        <v>-1.5107707374006907E-7</v>
      </c>
      <c r="E415" s="22">
        <f ca="1">'normal case'!L414/100</f>
        <v>1.9999998807907104E-2</v>
      </c>
      <c r="F415" s="25">
        <f ca="1">'normal case'!U414/100</f>
        <v>5.499999850988388E-2</v>
      </c>
      <c r="G415" s="25">
        <f ca="1">'normal case'!T414/100</f>
        <v>3.4999999701976779E-2</v>
      </c>
      <c r="H415" s="25">
        <f ca="1">'public finance'!D413</f>
        <v>1.9802129779314939E-3</v>
      </c>
      <c r="I415" s="20">
        <f ca="1">'public finance'!E413</f>
        <v>2462.1833635003927</v>
      </c>
      <c r="J415" s="118">
        <f ca="1">'public finance'!H413</f>
        <v>-70348.040121507554</v>
      </c>
      <c r="K415" s="17">
        <f ca="1">'public finance'!C413/'normal case'!D414</f>
        <v>0.19801980186333762</v>
      </c>
      <c r="L415" s="20">
        <f ca="1">'public finance'!A413/'normal case'!D414</f>
        <v>0.2</v>
      </c>
      <c r="M415" s="18" t="str">
        <f>IF(controls!$B$44=0,"",'normal case'!AJ414)</f>
        <v/>
      </c>
      <c r="N415" s="18" t="str">
        <f>IF(controls!$B$44=0,"",'normal case'!AM414)</f>
        <v/>
      </c>
      <c r="O415" s="160" t="str">
        <f>IF(controls!$B$44=0,"",'external balance'!D414)</f>
        <v/>
      </c>
      <c r="P415" s="160" t="str">
        <f>IF(controls!$B$44=0,"",'external balance'!F414)</f>
        <v/>
      </c>
      <c r="Q415" s="159" t="str">
        <f>IF(controls!$B$44=0,"",'external balance'!H414)</f>
        <v/>
      </c>
    </row>
    <row r="416" spans="1:17" ht="14" thickTop="1" thickBot="1">
      <c r="A416" s="15">
        <v>413</v>
      </c>
      <c r="B416" s="17">
        <f ca="1">('normal case'!D415-'normal case'!B415)/'normal case'!B415</f>
        <v>5.9014499777614481E-10</v>
      </c>
      <c r="C416" s="23">
        <f ca="1">'normal case'!D415</f>
        <v>101.00000005960464</v>
      </c>
      <c r="D416" s="24">
        <f ca="1">'normal case'!C415</f>
        <v>-1.5107707374006907E-7</v>
      </c>
      <c r="E416" s="22">
        <f ca="1">'normal case'!L415/100</f>
        <v>1.9999998807907104E-2</v>
      </c>
      <c r="F416" s="25">
        <f ca="1">'normal case'!U415/100</f>
        <v>5.499999850988388E-2</v>
      </c>
      <c r="G416" s="25">
        <f ca="1">'normal case'!T415/100</f>
        <v>3.4999999701976779E-2</v>
      </c>
      <c r="H416" s="25">
        <f ca="1">'public finance'!D414</f>
        <v>1.9802129779314939E-3</v>
      </c>
      <c r="I416" s="20">
        <f ca="1">'public finance'!E414</f>
        <v>2548.3597804885994</v>
      </c>
      <c r="J416" s="118">
        <f ca="1">'public finance'!H414</f>
        <v>-72810.223484993112</v>
      </c>
      <c r="K416" s="17">
        <f ca="1">'public finance'!C414/'normal case'!D415</f>
        <v>0.19801980186333762</v>
      </c>
      <c r="L416" s="20">
        <f ca="1">'public finance'!A414/'normal case'!D415</f>
        <v>0.2</v>
      </c>
      <c r="M416" s="18" t="str">
        <f>IF(controls!$B$44=0,"",'normal case'!AJ415)</f>
        <v/>
      </c>
      <c r="N416" s="18" t="str">
        <f>IF(controls!$B$44=0,"",'normal case'!AM415)</f>
        <v/>
      </c>
      <c r="O416" s="160" t="str">
        <f>IF(controls!$B$44=0,"",'external balance'!D415)</f>
        <v/>
      </c>
      <c r="P416" s="160" t="str">
        <f>IF(controls!$B$44=0,"",'external balance'!F415)</f>
        <v/>
      </c>
      <c r="Q416" s="159" t="str">
        <f>IF(controls!$B$44=0,"",'external balance'!H415)</f>
        <v/>
      </c>
    </row>
    <row r="417" spans="1:17" ht="14" thickTop="1" thickBot="1">
      <c r="A417" s="15">
        <v>414</v>
      </c>
      <c r="B417" s="17">
        <f ca="1">('normal case'!D416-'normal case'!B416)/'normal case'!B416</f>
        <v>5.9014499777614481E-10</v>
      </c>
      <c r="C417" s="23">
        <f ca="1">'normal case'!D416</f>
        <v>101.00000005960464</v>
      </c>
      <c r="D417" s="24">
        <f ca="1">'normal case'!C416</f>
        <v>-1.5107707374006907E-7</v>
      </c>
      <c r="E417" s="22">
        <f ca="1">'normal case'!L416/100</f>
        <v>1.9999998807907104E-2</v>
      </c>
      <c r="F417" s="25">
        <f ca="1">'normal case'!U416/100</f>
        <v>5.499999850988388E-2</v>
      </c>
      <c r="G417" s="25">
        <f ca="1">'normal case'!T416/100</f>
        <v>3.4999999701976779E-2</v>
      </c>
      <c r="H417" s="25">
        <f ca="1">'public finance'!D415</f>
        <v>1.9802129779314939E-3</v>
      </c>
      <c r="I417" s="20">
        <f ca="1">'public finance'!E415</f>
        <v>2637.5523720457113</v>
      </c>
      <c r="J417" s="118">
        <f ca="1">'public finance'!H415</f>
        <v>-75358.583265466877</v>
      </c>
      <c r="K417" s="17">
        <f ca="1">'public finance'!C415/'normal case'!D416</f>
        <v>0.19801980186333762</v>
      </c>
      <c r="L417" s="20">
        <f ca="1">'public finance'!A415/'normal case'!D416</f>
        <v>0.2</v>
      </c>
      <c r="M417" s="18" t="str">
        <f>IF(controls!$B$44=0,"",'normal case'!AJ416)</f>
        <v/>
      </c>
      <c r="N417" s="18" t="str">
        <f>IF(controls!$B$44=0,"",'normal case'!AM416)</f>
        <v/>
      </c>
      <c r="O417" s="160" t="str">
        <f>IF(controls!$B$44=0,"",'external balance'!D416)</f>
        <v/>
      </c>
      <c r="P417" s="160" t="str">
        <f>IF(controls!$B$44=0,"",'external balance'!F416)</f>
        <v/>
      </c>
      <c r="Q417" s="159" t="str">
        <f>IF(controls!$B$44=0,"",'external balance'!H416)</f>
        <v/>
      </c>
    </row>
    <row r="418" spans="1:17" ht="14" thickTop="1" thickBot="1">
      <c r="A418" s="15">
        <v>415</v>
      </c>
      <c r="B418" s="17">
        <f ca="1">('normal case'!D417-'normal case'!B417)/'normal case'!B417</f>
        <v>5.9014499777614481E-10</v>
      </c>
      <c r="C418" s="23">
        <f ca="1">'normal case'!D417</f>
        <v>101.00000005960464</v>
      </c>
      <c r="D418" s="24">
        <f ca="1">'normal case'!C417</f>
        <v>-1.5107707374006907E-7</v>
      </c>
      <c r="E418" s="22">
        <f ca="1">'normal case'!L417/100</f>
        <v>1.9999998807907104E-2</v>
      </c>
      <c r="F418" s="25">
        <f ca="1">'normal case'!U417/100</f>
        <v>5.499999850988388E-2</v>
      </c>
      <c r="G418" s="25">
        <f ca="1">'normal case'!T417/100</f>
        <v>3.4999999701976779E-2</v>
      </c>
      <c r="H418" s="25">
        <f ca="1">'public finance'!D416</f>
        <v>1.9802129779314939E-3</v>
      </c>
      <c r="I418" s="20">
        <f ca="1">'public finance'!E416</f>
        <v>2729.8667042807392</v>
      </c>
      <c r="J418" s="118">
        <f ca="1">'public finance'!H416</f>
        <v>-77996.135637497748</v>
      </c>
      <c r="K418" s="17">
        <f ca="1">'public finance'!C416/'normal case'!D417</f>
        <v>0.19801980186333762</v>
      </c>
      <c r="L418" s="20">
        <f ca="1">'public finance'!A416/'normal case'!D417</f>
        <v>0.2</v>
      </c>
      <c r="M418" s="18" t="str">
        <f>IF(controls!$B$44=0,"",'normal case'!AJ417)</f>
        <v/>
      </c>
      <c r="N418" s="18" t="str">
        <f>IF(controls!$B$44=0,"",'normal case'!AM417)</f>
        <v/>
      </c>
      <c r="O418" s="160" t="str">
        <f>IF(controls!$B$44=0,"",'external balance'!D417)</f>
        <v/>
      </c>
      <c r="P418" s="160" t="str">
        <f>IF(controls!$B$44=0,"",'external balance'!F417)</f>
        <v/>
      </c>
      <c r="Q418" s="159" t="str">
        <f>IF(controls!$B$44=0,"",'external balance'!H417)</f>
        <v/>
      </c>
    </row>
    <row r="419" spans="1:17" ht="14" thickTop="1" thickBot="1">
      <c r="A419" s="15">
        <v>416</v>
      </c>
      <c r="B419" s="17">
        <f ca="1">('normal case'!D418-'normal case'!B418)/'normal case'!B418</f>
        <v>5.9014499777614481E-10</v>
      </c>
      <c r="C419" s="23">
        <f ca="1">'normal case'!D418</f>
        <v>101.00000005960464</v>
      </c>
      <c r="D419" s="24">
        <f ca="1">'normal case'!C418</f>
        <v>-1.5107707374006907E-7</v>
      </c>
      <c r="E419" s="22">
        <f ca="1">'normal case'!L418/100</f>
        <v>1.9999998807907104E-2</v>
      </c>
      <c r="F419" s="25">
        <f ca="1">'normal case'!U418/100</f>
        <v>5.499999850988388E-2</v>
      </c>
      <c r="G419" s="25">
        <f ca="1">'normal case'!T418/100</f>
        <v>3.4999999701976779E-2</v>
      </c>
      <c r="H419" s="25">
        <f ca="1">'public finance'!D417</f>
        <v>1.9802129779314939E-3</v>
      </c>
      <c r="I419" s="20">
        <f ca="1">'public finance'!E417</f>
        <v>2825.4120381164821</v>
      </c>
      <c r="J419" s="118">
        <f ca="1">'public finance'!H417</f>
        <v>-80726.002341763655</v>
      </c>
      <c r="K419" s="17">
        <f ca="1">'public finance'!C417/'normal case'!D418</f>
        <v>0.19801980186333762</v>
      </c>
      <c r="L419" s="20">
        <f ca="1">'public finance'!A417/'normal case'!D418</f>
        <v>0.2</v>
      </c>
      <c r="M419" s="18" t="str">
        <f>IF(controls!$B$44=0,"",'normal case'!AJ418)</f>
        <v/>
      </c>
      <c r="N419" s="18" t="str">
        <f>IF(controls!$B$44=0,"",'normal case'!AM418)</f>
        <v/>
      </c>
      <c r="O419" s="160" t="str">
        <f>IF(controls!$B$44=0,"",'external balance'!D418)</f>
        <v/>
      </c>
      <c r="P419" s="160" t="str">
        <f>IF(controls!$B$44=0,"",'external balance'!F418)</f>
        <v/>
      </c>
      <c r="Q419" s="159" t="str">
        <f>IF(controls!$B$44=0,"",'external balance'!H418)</f>
        <v/>
      </c>
    </row>
    <row r="420" spans="1:17" ht="14" thickTop="1" thickBot="1">
      <c r="A420" s="15">
        <v>417</v>
      </c>
      <c r="B420" s="17">
        <f ca="1">('normal case'!D419-'normal case'!B419)/'normal case'!B419</f>
        <v>5.9014499777614481E-10</v>
      </c>
      <c r="C420" s="23">
        <f ca="1">'normal case'!D419</f>
        <v>101.00000005960464</v>
      </c>
      <c r="D420" s="24">
        <f ca="1">'normal case'!C419</f>
        <v>-1.5107707374006907E-7</v>
      </c>
      <c r="E420" s="22">
        <f ca="1">'normal case'!L419/100</f>
        <v>1.9999998807907104E-2</v>
      </c>
      <c r="F420" s="25">
        <f ca="1">'normal case'!U419/100</f>
        <v>5.499999850988388E-2</v>
      </c>
      <c r="G420" s="25">
        <f ca="1">'normal case'!T419/100</f>
        <v>3.4999999701976779E-2</v>
      </c>
      <c r="H420" s="25">
        <f ca="1">'public finance'!D418</f>
        <v>1.9802129779314939E-3</v>
      </c>
      <c r="I420" s="20">
        <f ca="1">'public finance'!E418</f>
        <v>2924.3014586080017</v>
      </c>
      <c r="J420" s="118">
        <f ca="1">'public finance'!H418</f>
        <v>-83551.414379865295</v>
      </c>
      <c r="K420" s="17">
        <f ca="1">'public finance'!C418/'normal case'!D419</f>
        <v>0.19801980186333762</v>
      </c>
      <c r="L420" s="20">
        <f ca="1">'public finance'!A418/'normal case'!D419</f>
        <v>0.2</v>
      </c>
      <c r="M420" s="18" t="str">
        <f>IF(controls!$B$44=0,"",'normal case'!AJ419)</f>
        <v/>
      </c>
      <c r="N420" s="18" t="str">
        <f>IF(controls!$B$44=0,"",'normal case'!AM419)</f>
        <v/>
      </c>
      <c r="O420" s="160" t="str">
        <f>IF(controls!$B$44=0,"",'external balance'!D419)</f>
        <v/>
      </c>
      <c r="P420" s="160" t="str">
        <f>IF(controls!$B$44=0,"",'external balance'!F419)</f>
        <v/>
      </c>
      <c r="Q420" s="159" t="str">
        <f>IF(controls!$B$44=0,"",'external balance'!H419)</f>
        <v/>
      </c>
    </row>
    <row r="421" spans="1:17" ht="14" thickTop="1" thickBot="1">
      <c r="A421" s="15">
        <v>418</v>
      </c>
      <c r="B421" s="17">
        <f ca="1">('normal case'!D420-'normal case'!B420)/'normal case'!B420</f>
        <v>5.9014499777614481E-10</v>
      </c>
      <c r="C421" s="23">
        <f ca="1">'normal case'!D420</f>
        <v>101.00000005960464</v>
      </c>
      <c r="D421" s="24">
        <f ca="1">'normal case'!C420</f>
        <v>-1.5107707374006907E-7</v>
      </c>
      <c r="E421" s="22">
        <f ca="1">'normal case'!L420/100</f>
        <v>1.9999998807907104E-2</v>
      </c>
      <c r="F421" s="25">
        <f ca="1">'normal case'!U420/100</f>
        <v>5.499999850988388E-2</v>
      </c>
      <c r="G421" s="25">
        <f ca="1">'normal case'!T420/100</f>
        <v>3.4999999701976779E-2</v>
      </c>
      <c r="H421" s="25">
        <f ca="1">'public finance'!D419</f>
        <v>1.9802129779314939E-3</v>
      </c>
      <c r="I421" s="20">
        <f ca="1">'public finance'!E419</f>
        <v>3026.6520087872527</v>
      </c>
      <c r="J421" s="118">
        <f ca="1">'public finance'!H419</f>
        <v>-86475.715838458462</v>
      </c>
      <c r="K421" s="17">
        <f ca="1">'public finance'!C419/'normal case'!D420</f>
        <v>0.19801980186333762</v>
      </c>
      <c r="L421" s="20">
        <f ca="1">'public finance'!A419/'normal case'!D420</f>
        <v>0.2</v>
      </c>
      <c r="M421" s="18" t="str">
        <f>IF(controls!$B$44=0,"",'normal case'!AJ420)</f>
        <v/>
      </c>
      <c r="N421" s="18" t="str">
        <f>IF(controls!$B$44=0,"",'normal case'!AM420)</f>
        <v/>
      </c>
      <c r="O421" s="160" t="str">
        <f>IF(controls!$B$44=0,"",'external balance'!D420)</f>
        <v/>
      </c>
      <c r="P421" s="160" t="str">
        <f>IF(controls!$B$44=0,"",'external balance'!F420)</f>
        <v/>
      </c>
      <c r="Q421" s="159" t="str">
        <f>IF(controls!$B$44=0,"",'external balance'!H420)</f>
        <v/>
      </c>
    </row>
    <row r="422" spans="1:17" ht="14" thickTop="1" thickBot="1">
      <c r="A422" s="15">
        <v>419</v>
      </c>
      <c r="B422" s="17">
        <f ca="1">('normal case'!D421-'normal case'!B421)/'normal case'!B421</f>
        <v>5.9014499777614481E-10</v>
      </c>
      <c r="C422" s="23">
        <f ca="1">'normal case'!D421</f>
        <v>101.00000005960464</v>
      </c>
      <c r="D422" s="24">
        <f ca="1">'normal case'!C421</f>
        <v>-1.5107707374006907E-7</v>
      </c>
      <c r="E422" s="22">
        <f ca="1">'normal case'!L421/100</f>
        <v>1.9999998807907104E-2</v>
      </c>
      <c r="F422" s="25">
        <f ca="1">'normal case'!U421/100</f>
        <v>5.499999850988388E-2</v>
      </c>
      <c r="G422" s="25">
        <f ca="1">'normal case'!T421/100</f>
        <v>3.4999999701976779E-2</v>
      </c>
      <c r="H422" s="25">
        <f ca="1">'public finance'!D420</f>
        <v>1.9802129779314939E-3</v>
      </c>
      <c r="I422" s="20">
        <f ca="1">'public finance'!E420</f>
        <v>3132.5848281922745</v>
      </c>
      <c r="J422" s="118">
        <f ca="1">'public finance'!H420</f>
        <v>-89502.367847230882</v>
      </c>
      <c r="K422" s="17">
        <f ca="1">'public finance'!C420/'normal case'!D421</f>
        <v>0.19801980186333762</v>
      </c>
      <c r="L422" s="20">
        <f ca="1">'public finance'!A420/'normal case'!D421</f>
        <v>0.2</v>
      </c>
      <c r="M422" s="18" t="str">
        <f>IF(controls!$B$44=0,"",'normal case'!AJ421)</f>
        <v/>
      </c>
      <c r="N422" s="18" t="str">
        <f>IF(controls!$B$44=0,"",'normal case'!AM421)</f>
        <v/>
      </c>
      <c r="O422" s="160" t="str">
        <f>IF(controls!$B$44=0,"",'external balance'!D421)</f>
        <v/>
      </c>
      <c r="P422" s="160" t="str">
        <f>IF(controls!$B$44=0,"",'external balance'!F421)</f>
        <v/>
      </c>
      <c r="Q422" s="159" t="str">
        <f>IF(controls!$B$44=0,"",'external balance'!H421)</f>
        <v/>
      </c>
    </row>
    <row r="423" spans="1:17" ht="14" thickTop="1" thickBot="1">
      <c r="A423" s="15">
        <v>420</v>
      </c>
      <c r="B423" s="17">
        <f ca="1">('normal case'!D422-'normal case'!B422)/'normal case'!B422</f>
        <v>5.9014499777614481E-10</v>
      </c>
      <c r="C423" s="23">
        <f ca="1">'normal case'!D422</f>
        <v>101.00000005960464</v>
      </c>
      <c r="D423" s="24">
        <f ca="1">'normal case'!C422</f>
        <v>-1.5107707374006907E-7</v>
      </c>
      <c r="E423" s="22">
        <f ca="1">'normal case'!L422/100</f>
        <v>1.9999998807907104E-2</v>
      </c>
      <c r="F423" s="25">
        <f ca="1">'normal case'!U422/100</f>
        <v>5.499999850988388E-2</v>
      </c>
      <c r="G423" s="25">
        <f ca="1">'normal case'!T422/100</f>
        <v>3.4999999701976779E-2</v>
      </c>
      <c r="H423" s="25">
        <f ca="1">'public finance'!D421</f>
        <v>1.9802129779314939E-3</v>
      </c>
      <c r="I423" s="20">
        <f ca="1">'public finance'!E421</f>
        <v>3242.2252962449015</v>
      </c>
      <c r="J423" s="118">
        <f ca="1">'public finance'!H421</f>
        <v>-92634.95267540832</v>
      </c>
      <c r="K423" s="17">
        <f ca="1">'public finance'!C421/'normal case'!D422</f>
        <v>0.19801980186333762</v>
      </c>
      <c r="L423" s="20">
        <f ca="1">'public finance'!A421/'normal case'!D422</f>
        <v>0.2</v>
      </c>
      <c r="M423" s="18" t="str">
        <f>IF(controls!$B$44=0,"",'normal case'!AJ422)</f>
        <v/>
      </c>
      <c r="N423" s="18" t="str">
        <f>IF(controls!$B$44=0,"",'normal case'!AM422)</f>
        <v/>
      </c>
      <c r="O423" s="160" t="str">
        <f>IF(controls!$B$44=0,"",'external balance'!D422)</f>
        <v/>
      </c>
      <c r="P423" s="160" t="str">
        <f>IF(controls!$B$44=0,"",'external balance'!F422)</f>
        <v/>
      </c>
      <c r="Q423" s="159" t="str">
        <f>IF(controls!$B$44=0,"",'external balance'!H422)</f>
        <v/>
      </c>
    </row>
    <row r="424" spans="1:17" ht="14" thickTop="1" thickBot="1">
      <c r="A424" s="15">
        <v>421</v>
      </c>
      <c r="B424" s="17">
        <f ca="1">('normal case'!D423-'normal case'!B423)/'normal case'!B423</f>
        <v>5.9014499777614481E-10</v>
      </c>
      <c r="C424" s="23">
        <f ca="1">'normal case'!D423</f>
        <v>101.00000005960464</v>
      </c>
      <c r="D424" s="24">
        <f ca="1">'normal case'!C423</f>
        <v>-1.5107707374006907E-7</v>
      </c>
      <c r="E424" s="22">
        <f ca="1">'normal case'!L423/100</f>
        <v>1.9999998807907104E-2</v>
      </c>
      <c r="F424" s="25">
        <f ca="1">'normal case'!U423/100</f>
        <v>5.499999850988388E-2</v>
      </c>
      <c r="G424" s="25">
        <f ca="1">'normal case'!T423/100</f>
        <v>3.4999999701976779E-2</v>
      </c>
      <c r="H424" s="25">
        <f ca="1">'public finance'!D422</f>
        <v>1.9802129779314939E-3</v>
      </c>
      <c r="I424" s="20">
        <f ca="1">'public finance'!E422</f>
        <v>3355.7031806466957</v>
      </c>
      <c r="J424" s="118">
        <f ca="1">'public finance'!H422</f>
        <v>-95877.177971638375</v>
      </c>
      <c r="K424" s="17">
        <f ca="1">'public finance'!C422/'normal case'!D423</f>
        <v>0.19801980186333762</v>
      </c>
      <c r="L424" s="20">
        <f ca="1">'public finance'!A422/'normal case'!D423</f>
        <v>0.2</v>
      </c>
      <c r="M424" s="18" t="str">
        <f>IF(controls!$B$44=0,"",'normal case'!AJ423)</f>
        <v/>
      </c>
      <c r="N424" s="18" t="str">
        <f>IF(controls!$B$44=0,"",'normal case'!AM423)</f>
        <v/>
      </c>
      <c r="O424" s="160" t="str">
        <f>IF(controls!$B$44=0,"",'external balance'!D423)</f>
        <v/>
      </c>
      <c r="P424" s="160" t="str">
        <f>IF(controls!$B$44=0,"",'external balance'!F423)</f>
        <v/>
      </c>
      <c r="Q424" s="159" t="str">
        <f>IF(controls!$B$44=0,"",'external balance'!H423)</f>
        <v/>
      </c>
    </row>
    <row r="425" spans="1:17" ht="14" thickTop="1" thickBot="1">
      <c r="A425" s="15">
        <v>422</v>
      </c>
      <c r="B425" s="17">
        <f ca="1">('normal case'!D424-'normal case'!B424)/'normal case'!B424</f>
        <v>5.9014499777614481E-10</v>
      </c>
      <c r="C425" s="23">
        <f ca="1">'normal case'!D424</f>
        <v>101.00000005960464</v>
      </c>
      <c r="D425" s="24">
        <f ca="1">'normal case'!C424</f>
        <v>-1.5107707374006907E-7</v>
      </c>
      <c r="E425" s="22">
        <f ca="1">'normal case'!L424/100</f>
        <v>1.9999998807907104E-2</v>
      </c>
      <c r="F425" s="25">
        <f ca="1">'normal case'!U424/100</f>
        <v>5.499999850988388E-2</v>
      </c>
      <c r="G425" s="25">
        <f ca="1">'normal case'!T424/100</f>
        <v>3.4999999701976779E-2</v>
      </c>
      <c r="H425" s="25">
        <f ca="1">'public finance'!D423</f>
        <v>1.9802129779314939E-3</v>
      </c>
      <c r="I425" s="20">
        <f ca="1">'public finance'!E423</f>
        <v>3473.1527909687329</v>
      </c>
      <c r="J425" s="118">
        <f ca="1">'public finance'!H423</f>
        <v>-99232.881152270231</v>
      </c>
      <c r="K425" s="17">
        <f ca="1">'public finance'!C423/'normal case'!D424</f>
        <v>0.19801980186333762</v>
      </c>
      <c r="L425" s="20">
        <f ca="1">'public finance'!A423/'normal case'!D424</f>
        <v>0.2</v>
      </c>
      <c r="M425" s="18" t="str">
        <f>IF(controls!$B$44=0,"",'normal case'!AJ424)</f>
        <v/>
      </c>
      <c r="N425" s="18" t="str">
        <f>IF(controls!$B$44=0,"",'normal case'!AM424)</f>
        <v/>
      </c>
      <c r="O425" s="160" t="str">
        <f>IF(controls!$B$44=0,"",'external balance'!D424)</f>
        <v/>
      </c>
      <c r="P425" s="160" t="str">
        <f>IF(controls!$B$44=0,"",'external balance'!F424)</f>
        <v/>
      </c>
      <c r="Q425" s="159" t="str">
        <f>IF(controls!$B$44=0,"",'external balance'!H424)</f>
        <v/>
      </c>
    </row>
    <row r="426" spans="1:17" ht="14" thickTop="1" thickBot="1">
      <c r="A426" s="15">
        <v>423</v>
      </c>
      <c r="B426" s="17">
        <f ca="1">('normal case'!D425-'normal case'!B425)/'normal case'!B425</f>
        <v>5.9014499777614481E-10</v>
      </c>
      <c r="C426" s="23">
        <f ca="1">'normal case'!D425</f>
        <v>101.00000005960464</v>
      </c>
      <c r="D426" s="24">
        <f ca="1">'normal case'!C425</f>
        <v>-1.5107707374006907E-7</v>
      </c>
      <c r="E426" s="22">
        <f ca="1">'normal case'!L425/100</f>
        <v>1.9999998807907104E-2</v>
      </c>
      <c r="F426" s="25">
        <f ca="1">'normal case'!U425/100</f>
        <v>5.499999850988388E-2</v>
      </c>
      <c r="G426" s="25">
        <f ca="1">'normal case'!T425/100</f>
        <v>3.4999999701976779E-2</v>
      </c>
      <c r="H426" s="25">
        <f ca="1">'public finance'!D424</f>
        <v>1.9802129779314939E-3</v>
      </c>
      <c r="I426" s="20">
        <f ca="1">'public finance'!E424</f>
        <v>3594.7131376170391</v>
      </c>
      <c r="J426" s="118">
        <f ca="1">'public finance'!H424</f>
        <v>-102706.03394322413</v>
      </c>
      <c r="K426" s="17">
        <f ca="1">'public finance'!C424/'normal case'!D425</f>
        <v>0.19801980186333762</v>
      </c>
      <c r="L426" s="20">
        <f ca="1">'public finance'!A424/'normal case'!D425</f>
        <v>0.2</v>
      </c>
      <c r="M426" s="18" t="str">
        <f>IF(controls!$B$44=0,"",'normal case'!AJ425)</f>
        <v/>
      </c>
      <c r="N426" s="18" t="str">
        <f>IF(controls!$B$44=0,"",'normal case'!AM425)</f>
        <v/>
      </c>
      <c r="O426" s="160" t="str">
        <f>IF(controls!$B$44=0,"",'external balance'!D425)</f>
        <v/>
      </c>
      <c r="P426" s="160" t="str">
        <f>IF(controls!$B$44=0,"",'external balance'!F425)</f>
        <v/>
      </c>
      <c r="Q426" s="159" t="str">
        <f>IF(controls!$B$44=0,"",'external balance'!H425)</f>
        <v/>
      </c>
    </row>
    <row r="427" spans="1:17" ht="14" thickTop="1" thickBot="1">
      <c r="A427" s="15">
        <v>424</v>
      </c>
      <c r="B427" s="17">
        <f ca="1">('normal case'!D426-'normal case'!B426)/'normal case'!B426</f>
        <v>5.9014499777614481E-10</v>
      </c>
      <c r="C427" s="23">
        <f ca="1">'normal case'!D426</f>
        <v>101.00000005960464</v>
      </c>
      <c r="D427" s="24">
        <f ca="1">'normal case'!C426</f>
        <v>-1.5107707374006907E-7</v>
      </c>
      <c r="E427" s="22">
        <f ca="1">'normal case'!L426/100</f>
        <v>1.9999998807907104E-2</v>
      </c>
      <c r="F427" s="25">
        <f ca="1">'normal case'!U426/100</f>
        <v>5.499999850988388E-2</v>
      </c>
      <c r="G427" s="25">
        <f ca="1">'normal case'!T426/100</f>
        <v>3.4999999701976779E-2</v>
      </c>
      <c r="H427" s="25">
        <f ca="1">'public finance'!D425</f>
        <v>1.9802129779314939E-3</v>
      </c>
      <c r="I427" s="20">
        <f ca="1">'public finance'!E425</f>
        <v>3720.5280963618084</v>
      </c>
      <c r="J427" s="118">
        <f ca="1">'public finance'!H425</f>
        <v>-106300.74708082632</v>
      </c>
      <c r="K427" s="17">
        <f ca="1">'public finance'!C425/'normal case'!D426</f>
        <v>0.19801980186333762</v>
      </c>
      <c r="L427" s="20">
        <f ca="1">'public finance'!A425/'normal case'!D426</f>
        <v>0.2</v>
      </c>
      <c r="M427" s="18" t="str">
        <f>IF(controls!$B$44=0,"",'normal case'!AJ426)</f>
        <v/>
      </c>
      <c r="N427" s="18" t="str">
        <f>IF(controls!$B$44=0,"",'normal case'!AM426)</f>
        <v/>
      </c>
      <c r="O427" s="160" t="str">
        <f>IF(controls!$B$44=0,"",'external balance'!D426)</f>
        <v/>
      </c>
      <c r="P427" s="160" t="str">
        <f>IF(controls!$B$44=0,"",'external balance'!F426)</f>
        <v/>
      </c>
      <c r="Q427" s="159" t="str">
        <f>IF(controls!$B$44=0,"",'external balance'!H426)</f>
        <v/>
      </c>
    </row>
    <row r="428" spans="1:17" ht="14" thickTop="1" thickBot="1">
      <c r="A428" s="15">
        <v>425</v>
      </c>
      <c r="B428" s="17">
        <f ca="1">('normal case'!D427-'normal case'!B427)/'normal case'!B427</f>
        <v>5.9014499777614481E-10</v>
      </c>
      <c r="C428" s="23">
        <f ca="1">'normal case'!D427</f>
        <v>101.00000005960464</v>
      </c>
      <c r="D428" s="24">
        <f ca="1">'normal case'!C427</f>
        <v>-1.5107707374006907E-7</v>
      </c>
      <c r="E428" s="22">
        <f ca="1">'normal case'!L427/100</f>
        <v>1.9999998807907104E-2</v>
      </c>
      <c r="F428" s="25">
        <f ca="1">'normal case'!U427/100</f>
        <v>5.499999850988388E-2</v>
      </c>
      <c r="G428" s="25">
        <f ca="1">'normal case'!T427/100</f>
        <v>3.4999999701976779E-2</v>
      </c>
      <c r="H428" s="25">
        <f ca="1">'public finance'!D426</f>
        <v>1.9802129779314939E-3</v>
      </c>
      <c r="I428" s="20">
        <f ca="1">'public finance'!E426</f>
        <v>3850.7465786251478</v>
      </c>
      <c r="J428" s="118">
        <f ca="1">'public finance'!H426</f>
        <v>-110021.27517717329</v>
      </c>
      <c r="K428" s="17">
        <f ca="1">'public finance'!C426/'normal case'!D427</f>
        <v>0.19801980186333762</v>
      </c>
      <c r="L428" s="20">
        <f ca="1">'public finance'!A426/'normal case'!D427</f>
        <v>0.2</v>
      </c>
      <c r="M428" s="18" t="str">
        <f>IF(controls!$B$44=0,"",'normal case'!AJ427)</f>
        <v/>
      </c>
      <c r="N428" s="18" t="str">
        <f>IF(controls!$B$44=0,"",'normal case'!AM427)</f>
        <v/>
      </c>
      <c r="O428" s="160" t="str">
        <f>IF(controls!$B$44=0,"",'external balance'!D427)</f>
        <v/>
      </c>
      <c r="P428" s="160" t="str">
        <f>IF(controls!$B$44=0,"",'external balance'!F427)</f>
        <v/>
      </c>
      <c r="Q428" s="159" t="str">
        <f>IF(controls!$B$44=0,"",'external balance'!H427)</f>
        <v/>
      </c>
    </row>
    <row r="429" spans="1:17" ht="14" thickTop="1" thickBot="1">
      <c r="A429" s="15">
        <v>426</v>
      </c>
      <c r="B429" s="17">
        <f ca="1">('normal case'!D428-'normal case'!B428)/'normal case'!B428</f>
        <v>5.9014499777614481E-10</v>
      </c>
      <c r="C429" s="23">
        <f ca="1">'normal case'!D428</f>
        <v>101.00000005960464</v>
      </c>
      <c r="D429" s="24">
        <f ca="1">'normal case'!C428</f>
        <v>-1.5107707374006907E-7</v>
      </c>
      <c r="E429" s="22">
        <f ca="1">'normal case'!L428/100</f>
        <v>1.9999998807907104E-2</v>
      </c>
      <c r="F429" s="25">
        <f ca="1">'normal case'!U428/100</f>
        <v>5.499999850988388E-2</v>
      </c>
      <c r="G429" s="25">
        <f ca="1">'normal case'!T428/100</f>
        <v>3.4999999701976779E-2</v>
      </c>
      <c r="H429" s="25">
        <f ca="1">'public finance'!D427</f>
        <v>1.9802129779314939E-3</v>
      </c>
      <c r="I429" s="20">
        <f ca="1">'public finance'!E427</f>
        <v>3985.5227077288969</v>
      </c>
      <c r="J429" s="118">
        <f ca="1">'public finance'!H427</f>
        <v>-113872.0217557836</v>
      </c>
      <c r="K429" s="17">
        <f ca="1">'public finance'!C427/'normal case'!D428</f>
        <v>0.19801980186333762</v>
      </c>
      <c r="L429" s="20">
        <f ca="1">'public finance'!A427/'normal case'!D428</f>
        <v>0.2</v>
      </c>
      <c r="M429" s="18" t="str">
        <f>IF(controls!$B$44=0,"",'normal case'!AJ428)</f>
        <v/>
      </c>
      <c r="N429" s="18" t="str">
        <f>IF(controls!$B$44=0,"",'normal case'!AM428)</f>
        <v/>
      </c>
      <c r="O429" s="160" t="str">
        <f>IF(controls!$B$44=0,"",'external balance'!D428)</f>
        <v/>
      </c>
      <c r="P429" s="160" t="str">
        <f>IF(controls!$B$44=0,"",'external balance'!F428)</f>
        <v/>
      </c>
      <c r="Q429" s="159" t="str">
        <f>IF(controls!$B$44=0,"",'external balance'!H428)</f>
        <v/>
      </c>
    </row>
    <row r="430" spans="1:17" ht="14" thickTop="1" thickBot="1">
      <c r="A430" s="15">
        <v>427</v>
      </c>
      <c r="B430" s="17">
        <f ca="1">('normal case'!D429-'normal case'!B429)/'normal case'!B429</f>
        <v>5.9014499777614481E-10</v>
      </c>
      <c r="C430" s="23">
        <f ca="1">'normal case'!D429</f>
        <v>101.00000005960464</v>
      </c>
      <c r="D430" s="24">
        <f ca="1">'normal case'!C429</f>
        <v>-1.5107707374006907E-7</v>
      </c>
      <c r="E430" s="22">
        <f ca="1">'normal case'!L429/100</f>
        <v>1.9999998807907104E-2</v>
      </c>
      <c r="F430" s="25">
        <f ca="1">'normal case'!U429/100</f>
        <v>5.499999850988388E-2</v>
      </c>
      <c r="G430" s="25">
        <f ca="1">'normal case'!T429/100</f>
        <v>3.4999999701976779E-2</v>
      </c>
      <c r="H430" s="25">
        <f ca="1">'public finance'!D428</f>
        <v>1.9802129779314939E-3</v>
      </c>
      <c r="I430" s="20">
        <f ca="1">'public finance'!E428</f>
        <v>4125.0160013111108</v>
      </c>
      <c r="J430" s="118">
        <f ca="1">'public finance'!H428</f>
        <v>-117857.54446349764</v>
      </c>
      <c r="K430" s="17">
        <f ca="1">'public finance'!C428/'normal case'!D429</f>
        <v>0.19801980186333762</v>
      </c>
      <c r="L430" s="20">
        <f ca="1">'public finance'!A428/'normal case'!D429</f>
        <v>0.2</v>
      </c>
      <c r="M430" s="18" t="str">
        <f>IF(controls!$B$44=0,"",'normal case'!AJ429)</f>
        <v/>
      </c>
      <c r="N430" s="18" t="str">
        <f>IF(controls!$B$44=0,"",'normal case'!AM429)</f>
        <v/>
      </c>
      <c r="O430" s="160" t="str">
        <f>IF(controls!$B$44=0,"",'external balance'!D429)</f>
        <v/>
      </c>
      <c r="P430" s="160" t="str">
        <f>IF(controls!$B$44=0,"",'external balance'!F429)</f>
        <v/>
      </c>
      <c r="Q430" s="159" t="str">
        <f>IF(controls!$B$44=0,"",'external balance'!H429)</f>
        <v/>
      </c>
    </row>
    <row r="431" spans="1:17" ht="14" thickTop="1" thickBot="1">
      <c r="A431" s="15">
        <v>428</v>
      </c>
      <c r="B431" s="17">
        <f ca="1">('normal case'!D430-'normal case'!B430)/'normal case'!B430</f>
        <v>5.9014499777614481E-10</v>
      </c>
      <c r="C431" s="23">
        <f ca="1">'normal case'!D430</f>
        <v>101.00000005960464</v>
      </c>
      <c r="D431" s="24">
        <f ca="1">'normal case'!C430</f>
        <v>-1.5107707374006907E-7</v>
      </c>
      <c r="E431" s="22">
        <f ca="1">'normal case'!L430/100</f>
        <v>1.9999998807907104E-2</v>
      </c>
      <c r="F431" s="25">
        <f ca="1">'normal case'!U430/100</f>
        <v>5.499999850988388E-2</v>
      </c>
      <c r="G431" s="25">
        <f ca="1">'normal case'!T430/100</f>
        <v>3.4999999701976779E-2</v>
      </c>
      <c r="H431" s="25">
        <f ca="1">'public finance'!D429</f>
        <v>1.9802129779314939E-3</v>
      </c>
      <c r="I431" s="20">
        <f ca="1">'public finance'!E429</f>
        <v>4269.3915601271292</v>
      </c>
      <c r="J431" s="118">
        <f ca="1">'public finance'!H429</f>
        <v>-121982.5604647939</v>
      </c>
      <c r="K431" s="17">
        <f ca="1">'public finance'!C429/'normal case'!D430</f>
        <v>0.19801980186333762</v>
      </c>
      <c r="L431" s="20">
        <f ca="1">'public finance'!A429/'normal case'!D430</f>
        <v>0.2</v>
      </c>
      <c r="M431" s="18" t="str">
        <f>IF(controls!$B$44=0,"",'normal case'!AJ430)</f>
        <v/>
      </c>
      <c r="N431" s="18" t="str">
        <f>IF(controls!$B$44=0,"",'normal case'!AM430)</f>
        <v/>
      </c>
      <c r="O431" s="160" t="str">
        <f>IF(controls!$B$44=0,"",'external balance'!D430)</f>
        <v/>
      </c>
      <c r="P431" s="160" t="str">
        <f>IF(controls!$B$44=0,"",'external balance'!F430)</f>
        <v/>
      </c>
      <c r="Q431" s="159" t="str">
        <f>IF(controls!$B$44=0,"",'external balance'!H430)</f>
        <v/>
      </c>
    </row>
    <row r="432" spans="1:17" ht="14" thickTop="1" thickBot="1">
      <c r="A432" s="15">
        <v>429</v>
      </c>
      <c r="B432" s="17">
        <f ca="1">('normal case'!D431-'normal case'!B431)/'normal case'!B431</f>
        <v>5.9014499777614481E-10</v>
      </c>
      <c r="C432" s="23">
        <f ca="1">'normal case'!D431</f>
        <v>101.00000005960464</v>
      </c>
      <c r="D432" s="24">
        <f ca="1">'normal case'!C431</f>
        <v>-1.5107707374006907E-7</v>
      </c>
      <c r="E432" s="22">
        <f ca="1">'normal case'!L431/100</f>
        <v>1.9999998807907104E-2</v>
      </c>
      <c r="F432" s="25">
        <f ca="1">'normal case'!U431/100</f>
        <v>5.499999850988388E-2</v>
      </c>
      <c r="G432" s="25">
        <f ca="1">'normal case'!T431/100</f>
        <v>3.4999999701976779E-2</v>
      </c>
      <c r="H432" s="25">
        <f ca="1">'public finance'!D430</f>
        <v>1.9802129779314939E-3</v>
      </c>
      <c r="I432" s="20">
        <f ca="1">'public finance'!E430</f>
        <v>4418.8202634586814</v>
      </c>
      <c r="J432" s="118">
        <f ca="1">'public finance'!H430</f>
        <v>-126251.9520249062</v>
      </c>
      <c r="K432" s="17">
        <f ca="1">'public finance'!C430/'normal case'!D431</f>
        <v>0.19801980186333762</v>
      </c>
      <c r="L432" s="20">
        <f ca="1">'public finance'!A430/'normal case'!D431</f>
        <v>0.2</v>
      </c>
      <c r="M432" s="18" t="str">
        <f>IF(controls!$B$44=0,"",'normal case'!AJ431)</f>
        <v/>
      </c>
      <c r="N432" s="18" t="str">
        <f>IF(controls!$B$44=0,"",'normal case'!AM431)</f>
        <v/>
      </c>
      <c r="O432" s="160" t="str">
        <f>IF(controls!$B$44=0,"",'external balance'!D431)</f>
        <v/>
      </c>
      <c r="P432" s="160" t="str">
        <f>IF(controls!$B$44=0,"",'external balance'!F431)</f>
        <v/>
      </c>
      <c r="Q432" s="159" t="str">
        <f>IF(controls!$B$44=0,"",'external balance'!H431)</f>
        <v/>
      </c>
    </row>
    <row r="433" spans="1:17" ht="14" thickTop="1" thickBot="1">
      <c r="A433" s="15">
        <v>430</v>
      </c>
      <c r="B433" s="17">
        <f ca="1">('normal case'!D432-'normal case'!B432)/'normal case'!B432</f>
        <v>5.9014499777614481E-10</v>
      </c>
      <c r="C433" s="23">
        <f ca="1">'normal case'!D432</f>
        <v>101.00000005960464</v>
      </c>
      <c r="D433" s="24">
        <f ca="1">'normal case'!C432</f>
        <v>-1.5107707374006907E-7</v>
      </c>
      <c r="E433" s="22">
        <f ca="1">'normal case'!L432/100</f>
        <v>1.9999998807907104E-2</v>
      </c>
      <c r="F433" s="25">
        <f ca="1">'normal case'!U432/100</f>
        <v>5.499999850988388E-2</v>
      </c>
      <c r="G433" s="25">
        <f ca="1">'normal case'!T432/100</f>
        <v>3.4999999701976779E-2</v>
      </c>
      <c r="H433" s="25">
        <f ca="1">'public finance'!D431</f>
        <v>1.9802129779314939E-3</v>
      </c>
      <c r="I433" s="20">
        <f ca="1">'public finance'!E431</f>
        <v>4573.4789713623049</v>
      </c>
      <c r="J433" s="118">
        <f ca="1">'public finance'!H431</f>
        <v>-130670.77228835004</v>
      </c>
      <c r="K433" s="17">
        <f ca="1">'public finance'!C431/'normal case'!D432</f>
        <v>0.19801980186333762</v>
      </c>
      <c r="L433" s="20">
        <f ca="1">'public finance'!A431/'normal case'!D432</f>
        <v>0.2</v>
      </c>
      <c r="M433" s="18" t="str">
        <f>IF(controls!$B$44=0,"",'normal case'!AJ432)</f>
        <v/>
      </c>
      <c r="N433" s="18" t="str">
        <f>IF(controls!$B$44=0,"",'normal case'!AM432)</f>
        <v/>
      </c>
      <c r="O433" s="160" t="str">
        <f>IF(controls!$B$44=0,"",'external balance'!D432)</f>
        <v/>
      </c>
      <c r="P433" s="160" t="str">
        <f>IF(controls!$B$44=0,"",'external balance'!F432)</f>
        <v/>
      </c>
      <c r="Q433" s="159" t="str">
        <f>IF(controls!$B$44=0,"",'external balance'!H432)</f>
        <v/>
      </c>
    </row>
    <row r="434" spans="1:17" ht="14" thickTop="1" thickBot="1">
      <c r="A434" s="15">
        <v>431</v>
      </c>
      <c r="B434" s="17">
        <f ca="1">('normal case'!D433-'normal case'!B433)/'normal case'!B433</f>
        <v>5.9014499777614481E-10</v>
      </c>
      <c r="C434" s="23">
        <f ca="1">'normal case'!D433</f>
        <v>101.00000005960464</v>
      </c>
      <c r="D434" s="24">
        <f ca="1">'normal case'!C433</f>
        <v>-1.5107707374006907E-7</v>
      </c>
      <c r="E434" s="22">
        <f ca="1">'normal case'!L433/100</f>
        <v>1.9999998807907104E-2</v>
      </c>
      <c r="F434" s="25">
        <f ca="1">'normal case'!U433/100</f>
        <v>5.499999850988388E-2</v>
      </c>
      <c r="G434" s="25">
        <f ca="1">'normal case'!T433/100</f>
        <v>3.4999999701976779E-2</v>
      </c>
      <c r="H434" s="25">
        <f ca="1">'public finance'!D432</f>
        <v>1.9802129779314939E-3</v>
      </c>
      <c r="I434" s="20">
        <f ca="1">'public finance'!E432</f>
        <v>4733.5507339964634</v>
      </c>
      <c r="J434" s="118">
        <f ca="1">'public finance'!H432</f>
        <v>-135244.25125969751</v>
      </c>
      <c r="K434" s="17">
        <f ca="1">'public finance'!C432/'normal case'!D433</f>
        <v>0.19801980186333762</v>
      </c>
      <c r="L434" s="20">
        <f ca="1">'public finance'!A432/'normal case'!D433</f>
        <v>0.2</v>
      </c>
      <c r="M434" s="18" t="str">
        <f>IF(controls!$B$44=0,"",'normal case'!AJ433)</f>
        <v/>
      </c>
      <c r="N434" s="18" t="str">
        <f>IF(controls!$B$44=0,"",'normal case'!AM433)</f>
        <v/>
      </c>
      <c r="O434" s="160" t="str">
        <f>IF(controls!$B$44=0,"",'external balance'!D433)</f>
        <v/>
      </c>
      <c r="P434" s="160" t="str">
        <f>IF(controls!$B$44=0,"",'external balance'!F433)</f>
        <v/>
      </c>
      <c r="Q434" s="159" t="str">
        <f>IF(controls!$B$44=0,"",'external balance'!H433)</f>
        <v/>
      </c>
    </row>
    <row r="435" spans="1:17" ht="14" thickTop="1" thickBot="1">
      <c r="A435" s="15">
        <v>432</v>
      </c>
      <c r="B435" s="17">
        <f ca="1">('normal case'!D434-'normal case'!B434)/'normal case'!B434</f>
        <v>5.9014499777614481E-10</v>
      </c>
      <c r="C435" s="23">
        <f ca="1">'normal case'!D434</f>
        <v>101.00000005960464</v>
      </c>
      <c r="D435" s="24">
        <f ca="1">'normal case'!C434</f>
        <v>-1.5107707374006907E-7</v>
      </c>
      <c r="E435" s="22">
        <f ca="1">'normal case'!L434/100</f>
        <v>1.9999998807907104E-2</v>
      </c>
      <c r="F435" s="25">
        <f ca="1">'normal case'!U434/100</f>
        <v>5.499999850988388E-2</v>
      </c>
      <c r="G435" s="25">
        <f ca="1">'normal case'!T434/100</f>
        <v>3.4999999701976779E-2</v>
      </c>
      <c r="H435" s="25">
        <f ca="1">'public finance'!D433</f>
        <v>1.9802129779314939E-3</v>
      </c>
      <c r="I435" s="20">
        <f ca="1">'public finance'!E433</f>
        <v>4899.2250082751125</v>
      </c>
      <c r="J435" s="118">
        <f ca="1">'public finance'!H433</f>
        <v>-139977.80199367914</v>
      </c>
      <c r="K435" s="17">
        <f ca="1">'public finance'!C433/'normal case'!D434</f>
        <v>0.19801980186333762</v>
      </c>
      <c r="L435" s="20">
        <f ca="1">'public finance'!A433/'normal case'!D434</f>
        <v>0.2</v>
      </c>
      <c r="M435" s="18" t="str">
        <f>IF(controls!$B$44=0,"",'normal case'!AJ434)</f>
        <v/>
      </c>
      <c r="N435" s="18" t="str">
        <f>IF(controls!$B$44=0,"",'normal case'!AM434)</f>
        <v/>
      </c>
      <c r="O435" s="160" t="str">
        <f>IF(controls!$B$44=0,"",'external balance'!D434)</f>
        <v/>
      </c>
      <c r="P435" s="160" t="str">
        <f>IF(controls!$B$44=0,"",'external balance'!F434)</f>
        <v/>
      </c>
      <c r="Q435" s="159" t="str">
        <f>IF(controls!$B$44=0,"",'external balance'!H434)</f>
        <v/>
      </c>
    </row>
    <row r="436" spans="1:17" ht="14" thickTop="1" thickBot="1">
      <c r="A436" s="15">
        <v>433</v>
      </c>
      <c r="B436" s="17">
        <f ca="1">('normal case'!D435-'normal case'!B435)/'normal case'!B435</f>
        <v>5.9014499777614481E-10</v>
      </c>
      <c r="C436" s="23">
        <f ca="1">'normal case'!D435</f>
        <v>101.00000005960464</v>
      </c>
      <c r="D436" s="24">
        <f ca="1">'normal case'!C435</f>
        <v>-1.5107707374006907E-7</v>
      </c>
      <c r="E436" s="22">
        <f ca="1">'normal case'!L435/100</f>
        <v>1.9999998807907104E-2</v>
      </c>
      <c r="F436" s="25">
        <f ca="1">'normal case'!U435/100</f>
        <v>5.499999850988388E-2</v>
      </c>
      <c r="G436" s="25">
        <f ca="1">'normal case'!T435/100</f>
        <v>3.4999999701976779E-2</v>
      </c>
      <c r="H436" s="25">
        <f ca="1">'public finance'!D434</f>
        <v>1.9802129779314939E-3</v>
      </c>
      <c r="I436" s="20">
        <f ca="1">'public finance'!E434</f>
        <v>5070.6978821041394</v>
      </c>
      <c r="J436" s="118">
        <f ca="1">'public finance'!H434</f>
        <v>-144877.02700193939</v>
      </c>
      <c r="K436" s="17">
        <f ca="1">'public finance'!C434/'normal case'!D435</f>
        <v>0.19801980186333762</v>
      </c>
      <c r="L436" s="20">
        <f ca="1">'public finance'!A434/'normal case'!D435</f>
        <v>0.2</v>
      </c>
      <c r="M436" s="18" t="str">
        <f>IF(controls!$B$44=0,"",'normal case'!AJ435)</f>
        <v/>
      </c>
      <c r="N436" s="18" t="str">
        <f>IF(controls!$B$44=0,"",'normal case'!AM435)</f>
        <v/>
      </c>
      <c r="O436" s="160" t="str">
        <f>IF(controls!$B$44=0,"",'external balance'!D435)</f>
        <v/>
      </c>
      <c r="P436" s="160" t="str">
        <f>IF(controls!$B$44=0,"",'external balance'!F435)</f>
        <v/>
      </c>
      <c r="Q436" s="159" t="str">
        <f>IF(controls!$B$44=0,"",'external balance'!H435)</f>
        <v/>
      </c>
    </row>
    <row r="437" spans="1:17" ht="14" thickTop="1" thickBot="1">
      <c r="A437" s="15">
        <v>434</v>
      </c>
      <c r="B437" s="17">
        <f ca="1">('normal case'!D436-'normal case'!B436)/'normal case'!B436</f>
        <v>5.9014499777614481E-10</v>
      </c>
      <c r="C437" s="23">
        <f ca="1">'normal case'!D436</f>
        <v>101.00000005960464</v>
      </c>
      <c r="D437" s="24">
        <f ca="1">'normal case'!C436</f>
        <v>-1.5107707374006907E-7</v>
      </c>
      <c r="E437" s="22">
        <f ca="1">'normal case'!L436/100</f>
        <v>1.9999998807907104E-2</v>
      </c>
      <c r="F437" s="25">
        <f ca="1">'normal case'!U436/100</f>
        <v>5.499999850988388E-2</v>
      </c>
      <c r="G437" s="25">
        <f ca="1">'normal case'!T436/100</f>
        <v>3.4999999701976779E-2</v>
      </c>
      <c r="H437" s="25">
        <f ca="1">'public finance'!D435</f>
        <v>1.9802129779314939E-3</v>
      </c>
      <c r="I437" s="20">
        <f ca="1">'public finance'!E435</f>
        <v>5248.1723064660791</v>
      </c>
      <c r="J437" s="118">
        <f ca="1">'public finance'!H435</f>
        <v>-149947.72488402869</v>
      </c>
      <c r="K437" s="17">
        <f ca="1">'public finance'!C435/'normal case'!D436</f>
        <v>0.19801980186333762</v>
      </c>
      <c r="L437" s="20">
        <f ca="1">'public finance'!A435/'normal case'!D436</f>
        <v>0.2</v>
      </c>
      <c r="M437" s="18" t="str">
        <f>IF(controls!$B$44=0,"",'normal case'!AJ436)</f>
        <v/>
      </c>
      <c r="N437" s="18" t="str">
        <f>IF(controls!$B$44=0,"",'normal case'!AM436)</f>
        <v/>
      </c>
      <c r="O437" s="160" t="str">
        <f>IF(controls!$B$44=0,"",'external balance'!D436)</f>
        <v/>
      </c>
      <c r="P437" s="160" t="str">
        <f>IF(controls!$B$44=0,"",'external balance'!F436)</f>
        <v/>
      </c>
      <c r="Q437" s="159" t="str">
        <f>IF(controls!$B$44=0,"",'external balance'!H436)</f>
        <v/>
      </c>
    </row>
    <row r="438" spans="1:17" ht="14" thickTop="1" thickBot="1">
      <c r="A438" s="15">
        <v>435</v>
      </c>
      <c r="B438" s="17">
        <f ca="1">('normal case'!D437-'normal case'!B437)/'normal case'!B437</f>
        <v>5.9014499777614481E-10</v>
      </c>
      <c r="C438" s="23">
        <f ca="1">'normal case'!D437</f>
        <v>101.00000005960464</v>
      </c>
      <c r="D438" s="24">
        <f ca="1">'normal case'!C437</f>
        <v>-1.5107707374006907E-7</v>
      </c>
      <c r="E438" s="22">
        <f ca="1">'normal case'!L437/100</f>
        <v>1.9999998807907104E-2</v>
      </c>
      <c r="F438" s="25">
        <f ca="1">'normal case'!U437/100</f>
        <v>5.499999850988388E-2</v>
      </c>
      <c r="G438" s="25">
        <f ca="1">'normal case'!T437/100</f>
        <v>3.4999999701976779E-2</v>
      </c>
      <c r="H438" s="25">
        <f ca="1">'public finance'!D436</f>
        <v>1.9802129779314939E-3</v>
      </c>
      <c r="I438" s="20">
        <f ca="1">'public finance'!E436</f>
        <v>5431.858335627795</v>
      </c>
      <c r="J438" s="118">
        <f ca="1">'public finance'!H436</f>
        <v>-155195.89719047994</v>
      </c>
      <c r="K438" s="17">
        <f ca="1">'public finance'!C436/'normal case'!D437</f>
        <v>0.19801980186333762</v>
      </c>
      <c r="L438" s="20">
        <f ca="1">'public finance'!A436/'normal case'!D437</f>
        <v>0.2</v>
      </c>
      <c r="M438" s="18" t="str">
        <f>IF(controls!$B$44=0,"",'normal case'!AJ437)</f>
        <v/>
      </c>
      <c r="N438" s="18" t="str">
        <f>IF(controls!$B$44=0,"",'normal case'!AM437)</f>
        <v/>
      </c>
      <c r="O438" s="160" t="str">
        <f>IF(controls!$B$44=0,"",'external balance'!D437)</f>
        <v/>
      </c>
      <c r="P438" s="160" t="str">
        <f>IF(controls!$B$44=0,"",'external balance'!F437)</f>
        <v/>
      </c>
      <c r="Q438" s="159" t="str">
        <f>IF(controls!$B$44=0,"",'external balance'!H437)</f>
        <v/>
      </c>
    </row>
    <row r="439" spans="1:17" ht="14" thickTop="1" thickBot="1">
      <c r="A439" s="15">
        <v>436</v>
      </c>
      <c r="B439" s="17">
        <f ca="1">('normal case'!D438-'normal case'!B438)/'normal case'!B438</f>
        <v>5.9014499777614481E-10</v>
      </c>
      <c r="C439" s="23">
        <f ca="1">'normal case'!D438</f>
        <v>101.00000005960464</v>
      </c>
      <c r="D439" s="24">
        <f ca="1">'normal case'!C438</f>
        <v>-1.5107707374006907E-7</v>
      </c>
      <c r="E439" s="22">
        <f ca="1">'normal case'!L438/100</f>
        <v>1.9999998807907104E-2</v>
      </c>
      <c r="F439" s="25">
        <f ca="1">'normal case'!U438/100</f>
        <v>5.499999850988388E-2</v>
      </c>
      <c r="G439" s="25">
        <f ca="1">'normal case'!T438/100</f>
        <v>3.4999999701976779E-2</v>
      </c>
      <c r="H439" s="25">
        <f ca="1">'public finance'!D437</f>
        <v>1.9802129779314939E-3</v>
      </c>
      <c r="I439" s="20">
        <f ca="1">'public finance'!E437</f>
        <v>5621.9733757554286</v>
      </c>
      <c r="J439" s="118">
        <f ca="1">'public finance'!H437</f>
        <v>-160627.75552609289</v>
      </c>
      <c r="K439" s="17">
        <f ca="1">'public finance'!C437/'normal case'!D438</f>
        <v>0.19801980186333762</v>
      </c>
      <c r="L439" s="20">
        <f ca="1">'public finance'!A437/'normal case'!D438</f>
        <v>0.2</v>
      </c>
      <c r="M439" s="18" t="str">
        <f>IF(controls!$B$44=0,"",'normal case'!AJ438)</f>
        <v/>
      </c>
      <c r="N439" s="18" t="str">
        <f>IF(controls!$B$44=0,"",'normal case'!AM438)</f>
        <v/>
      </c>
      <c r="O439" s="160" t="str">
        <f>IF(controls!$B$44=0,"",'external balance'!D438)</f>
        <v/>
      </c>
      <c r="P439" s="160" t="str">
        <f>IF(controls!$B$44=0,"",'external balance'!F438)</f>
        <v/>
      </c>
      <c r="Q439" s="159" t="str">
        <f>IF(controls!$B$44=0,"",'external balance'!H438)</f>
        <v/>
      </c>
    </row>
    <row r="440" spans="1:17" ht="14" thickTop="1" thickBot="1">
      <c r="A440" s="15">
        <v>437</v>
      </c>
      <c r="B440" s="17">
        <f ca="1">('normal case'!D439-'normal case'!B439)/'normal case'!B439</f>
        <v>5.9014499777614481E-10</v>
      </c>
      <c r="C440" s="23">
        <f ca="1">'normal case'!D439</f>
        <v>101.00000005960464</v>
      </c>
      <c r="D440" s="24">
        <f ca="1">'normal case'!C439</f>
        <v>-1.5107707374006907E-7</v>
      </c>
      <c r="E440" s="22">
        <f ca="1">'normal case'!L439/100</f>
        <v>1.9999998807907104E-2</v>
      </c>
      <c r="F440" s="25">
        <f ca="1">'normal case'!U439/100</f>
        <v>5.499999850988388E-2</v>
      </c>
      <c r="G440" s="25">
        <f ca="1">'normal case'!T439/100</f>
        <v>3.4999999701976779E-2</v>
      </c>
      <c r="H440" s="25">
        <f ca="1">'public finance'!D438</f>
        <v>1.9802129779314939E-3</v>
      </c>
      <c r="I440" s="20">
        <f ca="1">'public finance'!E438</f>
        <v>5818.7424422308695</v>
      </c>
      <c r="J440" s="118">
        <f ca="1">'public finance'!H438</f>
        <v>-166249.72890183344</v>
      </c>
      <c r="K440" s="17">
        <f ca="1">'public finance'!C438/'normal case'!D439</f>
        <v>0.19801980186333762</v>
      </c>
      <c r="L440" s="20">
        <f ca="1">'public finance'!A438/'normal case'!D439</f>
        <v>0.2</v>
      </c>
      <c r="M440" s="18" t="str">
        <f>IF(controls!$B$44=0,"",'normal case'!AJ439)</f>
        <v/>
      </c>
      <c r="N440" s="18" t="str">
        <f>IF(controls!$B$44=0,"",'normal case'!AM439)</f>
        <v/>
      </c>
      <c r="O440" s="160" t="str">
        <f>IF(controls!$B$44=0,"",'external balance'!D439)</f>
        <v/>
      </c>
      <c r="P440" s="160" t="str">
        <f>IF(controls!$B$44=0,"",'external balance'!F439)</f>
        <v/>
      </c>
      <c r="Q440" s="159" t="str">
        <f>IF(controls!$B$44=0,"",'external balance'!H439)</f>
        <v/>
      </c>
    </row>
    <row r="441" spans="1:17" ht="14" thickTop="1" thickBot="1">
      <c r="A441" s="15">
        <v>438</v>
      </c>
      <c r="B441" s="17">
        <f ca="1">('normal case'!D440-'normal case'!B440)/'normal case'!B440</f>
        <v>5.9014499777614481E-10</v>
      </c>
      <c r="C441" s="23">
        <f ca="1">'normal case'!D440</f>
        <v>101.00000005960464</v>
      </c>
      <c r="D441" s="24">
        <f ca="1">'normal case'!C440</f>
        <v>-1.5107707374006907E-7</v>
      </c>
      <c r="E441" s="22">
        <f ca="1">'normal case'!L440/100</f>
        <v>1.9999998807907104E-2</v>
      </c>
      <c r="F441" s="25">
        <f ca="1">'normal case'!U440/100</f>
        <v>5.499999850988388E-2</v>
      </c>
      <c r="G441" s="25">
        <f ca="1">'normal case'!T440/100</f>
        <v>3.4999999701976779E-2</v>
      </c>
      <c r="H441" s="25">
        <f ca="1">'public finance'!D439</f>
        <v>1.9802129779314939E-3</v>
      </c>
      <c r="I441" s="20">
        <f ca="1">'public finance'!E439</f>
        <v>6022.3984259743102</v>
      </c>
      <c r="J441" s="118">
        <f ca="1">'public finance'!H439</f>
        <v>-172068.4713440495</v>
      </c>
      <c r="K441" s="17">
        <f ca="1">'public finance'!C439/'normal case'!D440</f>
        <v>0.19801980186333762</v>
      </c>
      <c r="L441" s="20">
        <f ca="1">'public finance'!A439/'normal case'!D440</f>
        <v>0.2</v>
      </c>
      <c r="M441" s="18" t="str">
        <f>IF(controls!$B$44=0,"",'normal case'!AJ440)</f>
        <v/>
      </c>
      <c r="N441" s="18" t="str">
        <f>IF(controls!$B$44=0,"",'normal case'!AM440)</f>
        <v/>
      </c>
      <c r="O441" s="160" t="str">
        <f>IF(controls!$B$44=0,"",'external balance'!D440)</f>
        <v/>
      </c>
      <c r="P441" s="160" t="str">
        <f>IF(controls!$B$44=0,"",'external balance'!F440)</f>
        <v/>
      </c>
      <c r="Q441" s="159" t="str">
        <f>IF(controls!$B$44=0,"",'external balance'!H440)</f>
        <v/>
      </c>
    </row>
    <row r="442" spans="1:17" ht="14" thickTop="1" thickBot="1">
      <c r="A442" s="15">
        <v>439</v>
      </c>
      <c r="B442" s="17">
        <f ca="1">('normal case'!D441-'normal case'!B441)/'normal case'!B441</f>
        <v>5.9014499777614481E-10</v>
      </c>
      <c r="C442" s="23">
        <f ca="1">'normal case'!D441</f>
        <v>101.00000005960464</v>
      </c>
      <c r="D442" s="24">
        <f ca="1">'normal case'!C441</f>
        <v>-1.5107707374006907E-7</v>
      </c>
      <c r="E442" s="22">
        <f ca="1">'normal case'!L441/100</f>
        <v>1.9999998807907104E-2</v>
      </c>
      <c r="F442" s="25">
        <f ca="1">'normal case'!U441/100</f>
        <v>5.499999850988388E-2</v>
      </c>
      <c r="G442" s="25">
        <f ca="1">'normal case'!T441/100</f>
        <v>3.4999999701976779E-2</v>
      </c>
      <c r="H442" s="25">
        <f ca="1">'public finance'!D440</f>
        <v>1.9802129779314939E-3</v>
      </c>
      <c r="I442" s="20">
        <f ca="1">'public finance'!E440</f>
        <v>6233.1823690880756</v>
      </c>
      <c r="J442" s="118">
        <f ca="1">'public finance'!H440</f>
        <v>-178090.86977000893</v>
      </c>
      <c r="K442" s="17">
        <f ca="1">'public finance'!C440/'normal case'!D441</f>
        <v>0.19801980186333762</v>
      </c>
      <c r="L442" s="20">
        <f ca="1">'public finance'!A440/'normal case'!D441</f>
        <v>0.2</v>
      </c>
      <c r="M442" s="18" t="str">
        <f>IF(controls!$B$44=0,"",'normal case'!AJ441)</f>
        <v/>
      </c>
      <c r="N442" s="18" t="str">
        <f>IF(controls!$B$44=0,"",'normal case'!AM441)</f>
        <v/>
      </c>
      <c r="O442" s="160" t="str">
        <f>IF(controls!$B$44=0,"",'external balance'!D441)</f>
        <v/>
      </c>
      <c r="P442" s="160" t="str">
        <f>IF(controls!$B$44=0,"",'external balance'!F441)</f>
        <v/>
      </c>
      <c r="Q442" s="159" t="str">
        <f>IF(controls!$B$44=0,"",'external balance'!H441)</f>
        <v/>
      </c>
    </row>
    <row r="443" spans="1:17" ht="14" thickTop="1" thickBot="1">
      <c r="A443" s="15">
        <v>440</v>
      </c>
      <c r="B443" s="17">
        <f ca="1">('normal case'!D442-'normal case'!B442)/'normal case'!B442</f>
        <v>5.9014499777614481E-10</v>
      </c>
      <c r="C443" s="23">
        <f ca="1">'normal case'!D442</f>
        <v>101.00000005960464</v>
      </c>
      <c r="D443" s="24">
        <f ca="1">'normal case'!C442</f>
        <v>-1.5107707374006907E-7</v>
      </c>
      <c r="E443" s="22">
        <f ca="1">'normal case'!L442/100</f>
        <v>1.9999998807907104E-2</v>
      </c>
      <c r="F443" s="25">
        <f ca="1">'normal case'!U442/100</f>
        <v>5.499999850988388E-2</v>
      </c>
      <c r="G443" s="25">
        <f ca="1">'normal case'!T442/100</f>
        <v>3.4999999701976779E-2</v>
      </c>
      <c r="H443" s="25">
        <f ca="1">'public finance'!D441</f>
        <v>1.9802129779314939E-3</v>
      </c>
      <c r="I443" s="20">
        <f ca="1">'public finance'!E441</f>
        <v>6451.3437501480057</v>
      </c>
      <c r="J443" s="118">
        <f ca="1">'public finance'!H441</f>
        <v>-184324.05213908214</v>
      </c>
      <c r="K443" s="17">
        <f ca="1">'public finance'!C441/'normal case'!D442</f>
        <v>0.19801980186333762</v>
      </c>
      <c r="L443" s="20">
        <f ca="1">'public finance'!A441/'normal case'!D442</f>
        <v>0.2</v>
      </c>
      <c r="M443" s="18" t="str">
        <f>IF(controls!$B$44=0,"",'normal case'!AJ442)</f>
        <v/>
      </c>
      <c r="N443" s="18" t="str">
        <f>IF(controls!$B$44=0,"",'normal case'!AM442)</f>
        <v/>
      </c>
      <c r="O443" s="160" t="str">
        <f>IF(controls!$B$44=0,"",'external balance'!D442)</f>
        <v/>
      </c>
      <c r="P443" s="160" t="str">
        <f>IF(controls!$B$44=0,"",'external balance'!F442)</f>
        <v/>
      </c>
      <c r="Q443" s="159" t="str">
        <f>IF(controls!$B$44=0,"",'external balance'!H442)</f>
        <v/>
      </c>
    </row>
    <row r="444" spans="1:17" ht="14" thickTop="1" thickBot="1">
      <c r="A444" s="15">
        <v>441</v>
      </c>
      <c r="B444" s="17">
        <f ca="1">('normal case'!D443-'normal case'!B443)/'normal case'!B443</f>
        <v>5.9014499777614481E-10</v>
      </c>
      <c r="C444" s="23">
        <f ca="1">'normal case'!D443</f>
        <v>101.00000005960464</v>
      </c>
      <c r="D444" s="24">
        <f ca="1">'normal case'!C443</f>
        <v>-1.5107707374006907E-7</v>
      </c>
      <c r="E444" s="22">
        <f ca="1">'normal case'!L443/100</f>
        <v>1.9999998807907104E-2</v>
      </c>
      <c r="F444" s="25">
        <f ca="1">'normal case'!U443/100</f>
        <v>5.499999850988388E-2</v>
      </c>
      <c r="G444" s="25">
        <f ca="1">'normal case'!T443/100</f>
        <v>3.4999999701976779E-2</v>
      </c>
      <c r="H444" s="25">
        <f ca="1">'public finance'!D442</f>
        <v>1.9802129779314939E-3</v>
      </c>
      <c r="I444" s="20">
        <f ca="1">'public finance'!E442</f>
        <v>6677.1407794800143</v>
      </c>
      <c r="J444" s="118">
        <f ca="1">'public finance'!H442</f>
        <v>-190775.39588921526</v>
      </c>
      <c r="K444" s="17">
        <f ca="1">'public finance'!C442/'normal case'!D443</f>
        <v>0.19801980186333762</v>
      </c>
      <c r="L444" s="20">
        <f ca="1">'public finance'!A442/'normal case'!D443</f>
        <v>0.2</v>
      </c>
      <c r="M444" s="18" t="str">
        <f>IF(controls!$B$44=0,"",'normal case'!AJ443)</f>
        <v/>
      </c>
      <c r="N444" s="18" t="str">
        <f>IF(controls!$B$44=0,"",'normal case'!AM443)</f>
        <v/>
      </c>
      <c r="O444" s="160" t="str">
        <f>IF(controls!$B$44=0,"",'external balance'!D443)</f>
        <v/>
      </c>
      <c r="P444" s="160" t="str">
        <f>IF(controls!$B$44=0,"",'external balance'!F443)</f>
        <v/>
      </c>
      <c r="Q444" s="159" t="str">
        <f>IF(controls!$B$44=0,"",'external balance'!H443)</f>
        <v/>
      </c>
    </row>
    <row r="445" spans="1:17" ht="14" thickTop="1" thickBot="1">
      <c r="A445" s="15">
        <v>442</v>
      </c>
      <c r="B445" s="17">
        <f ca="1">('normal case'!D444-'normal case'!B444)/'normal case'!B444</f>
        <v>5.9014499777614481E-10</v>
      </c>
      <c r="C445" s="23">
        <f ca="1">'normal case'!D444</f>
        <v>101.00000005960464</v>
      </c>
      <c r="D445" s="24">
        <f ca="1">'normal case'!C444</f>
        <v>-1.5107707374006907E-7</v>
      </c>
      <c r="E445" s="22">
        <f ca="1">'normal case'!L444/100</f>
        <v>1.9999998807907104E-2</v>
      </c>
      <c r="F445" s="25">
        <f ca="1">'normal case'!U444/100</f>
        <v>5.499999850988388E-2</v>
      </c>
      <c r="G445" s="25">
        <f ca="1">'normal case'!T444/100</f>
        <v>3.4999999701976779E-2</v>
      </c>
      <c r="H445" s="25">
        <f ca="1">'public finance'!D443</f>
        <v>1.9802129779314939E-3</v>
      </c>
      <c r="I445" s="20">
        <f ca="1">'public finance'!E443</f>
        <v>6910.8407047713526</v>
      </c>
      <c r="J445" s="118">
        <f ca="1">'public finance'!H443</f>
        <v>-197452.53666868043</v>
      </c>
      <c r="K445" s="17">
        <f ca="1">'public finance'!C443/'normal case'!D444</f>
        <v>0.19801980186333762</v>
      </c>
      <c r="L445" s="20">
        <f ca="1">'public finance'!A443/'normal case'!D444</f>
        <v>0.2</v>
      </c>
      <c r="M445" s="18" t="str">
        <f>IF(controls!$B$44=0,"",'normal case'!AJ444)</f>
        <v/>
      </c>
      <c r="N445" s="18" t="str">
        <f>IF(controls!$B$44=0,"",'normal case'!AM444)</f>
        <v/>
      </c>
      <c r="O445" s="160" t="str">
        <f>IF(controls!$B$44=0,"",'external balance'!D444)</f>
        <v/>
      </c>
      <c r="P445" s="160" t="str">
        <f>IF(controls!$B$44=0,"",'external balance'!F444)</f>
        <v/>
      </c>
      <c r="Q445" s="159" t="str">
        <f>IF(controls!$B$44=0,"",'external balance'!H444)</f>
        <v/>
      </c>
    </row>
    <row r="446" spans="1:17" ht="14" thickTop="1" thickBot="1">
      <c r="A446" s="15">
        <v>443</v>
      </c>
      <c r="B446" s="17">
        <f ca="1">('normal case'!D445-'normal case'!B445)/'normal case'!B445</f>
        <v>5.9014499777614481E-10</v>
      </c>
      <c r="C446" s="23">
        <f ca="1">'normal case'!D445</f>
        <v>101.00000005960464</v>
      </c>
      <c r="D446" s="24">
        <f ca="1">'normal case'!C445</f>
        <v>-1.5107707374006907E-7</v>
      </c>
      <c r="E446" s="22">
        <f ca="1">'normal case'!L445/100</f>
        <v>1.9999998807907104E-2</v>
      </c>
      <c r="F446" s="25">
        <f ca="1">'normal case'!U445/100</f>
        <v>5.499999850988388E-2</v>
      </c>
      <c r="G446" s="25">
        <f ca="1">'normal case'!T445/100</f>
        <v>3.4999999701976779E-2</v>
      </c>
      <c r="H446" s="25">
        <f ca="1">'public finance'!D444</f>
        <v>1.9802129779314939E-3</v>
      </c>
      <c r="I446" s="20">
        <f ca="1">'public finance'!E444</f>
        <v>7152.7201273782384</v>
      </c>
      <c r="J446" s="118">
        <f ca="1">'public finance'!H444</f>
        <v>-204363.37737343693</v>
      </c>
      <c r="K446" s="17">
        <f ca="1">'public finance'!C444/'normal case'!D445</f>
        <v>0.19801980186333762</v>
      </c>
      <c r="L446" s="20">
        <f ca="1">'public finance'!A444/'normal case'!D445</f>
        <v>0.2</v>
      </c>
      <c r="M446" s="18" t="str">
        <f>IF(controls!$B$44=0,"",'normal case'!AJ445)</f>
        <v/>
      </c>
      <c r="N446" s="18" t="str">
        <f>IF(controls!$B$44=0,"",'normal case'!AM445)</f>
        <v/>
      </c>
      <c r="O446" s="160" t="str">
        <f>IF(controls!$B$44=0,"",'external balance'!D445)</f>
        <v/>
      </c>
      <c r="P446" s="160" t="str">
        <f>IF(controls!$B$44=0,"",'external balance'!F445)</f>
        <v/>
      </c>
      <c r="Q446" s="159" t="str">
        <f>IF(controls!$B$44=0,"",'external balance'!H445)</f>
        <v/>
      </c>
    </row>
    <row r="447" spans="1:17" ht="14" thickTop="1" thickBot="1">
      <c r="A447" s="15">
        <v>444</v>
      </c>
      <c r="B447" s="17">
        <f ca="1">('normal case'!D446-'normal case'!B446)/'normal case'!B446</f>
        <v>5.9014499777614481E-10</v>
      </c>
      <c r="C447" s="23">
        <f ca="1">'normal case'!D446</f>
        <v>101.00000005960464</v>
      </c>
      <c r="D447" s="24">
        <f ca="1">'normal case'!C446</f>
        <v>-1.5107707374006907E-7</v>
      </c>
      <c r="E447" s="22">
        <f ca="1">'normal case'!L446/100</f>
        <v>1.9999998807907104E-2</v>
      </c>
      <c r="F447" s="25">
        <f ca="1">'normal case'!U446/100</f>
        <v>5.499999850988388E-2</v>
      </c>
      <c r="G447" s="25">
        <f ca="1">'normal case'!T446/100</f>
        <v>3.4999999701976779E-2</v>
      </c>
      <c r="H447" s="25">
        <f ca="1">'public finance'!D445</f>
        <v>1.9802129779314939E-3</v>
      </c>
      <c r="I447" s="20">
        <f ca="1">'public finance'!E445</f>
        <v>7403.06532970428</v>
      </c>
      <c r="J447" s="118">
        <f ca="1">'public finance'!H445</f>
        <v>-211516.0975008003</v>
      </c>
      <c r="K447" s="17">
        <f ca="1">'public finance'!C445/'normal case'!D446</f>
        <v>0.19801980186333762</v>
      </c>
      <c r="L447" s="20">
        <f ca="1">'public finance'!A445/'normal case'!D446</f>
        <v>0.2</v>
      </c>
      <c r="M447" s="18" t="str">
        <f>IF(controls!$B$44=0,"",'normal case'!AJ446)</f>
        <v/>
      </c>
      <c r="N447" s="18" t="str">
        <f>IF(controls!$B$44=0,"",'normal case'!AM446)</f>
        <v/>
      </c>
      <c r="O447" s="160" t="str">
        <f>IF(controls!$B$44=0,"",'external balance'!D446)</f>
        <v/>
      </c>
      <c r="P447" s="160" t="str">
        <f>IF(controls!$B$44=0,"",'external balance'!F446)</f>
        <v/>
      </c>
      <c r="Q447" s="159" t="str">
        <f>IF(controls!$B$44=0,"",'external balance'!H446)</f>
        <v/>
      </c>
    </row>
    <row r="448" spans="1:17" ht="14" thickTop="1" thickBot="1">
      <c r="A448" s="15">
        <v>445</v>
      </c>
      <c r="B448" s="17">
        <f ca="1">('normal case'!D447-'normal case'!B447)/'normal case'!B447</f>
        <v>5.9014499777614481E-10</v>
      </c>
      <c r="C448" s="23">
        <f ca="1">'normal case'!D447</f>
        <v>101.00000005960464</v>
      </c>
      <c r="D448" s="24">
        <f ca="1">'normal case'!C447</f>
        <v>-1.5107707374006907E-7</v>
      </c>
      <c r="E448" s="22">
        <f ca="1">'normal case'!L447/100</f>
        <v>1.9999998807907104E-2</v>
      </c>
      <c r="F448" s="25">
        <f ca="1">'normal case'!U447/100</f>
        <v>5.499999850988388E-2</v>
      </c>
      <c r="G448" s="25">
        <f ca="1">'normal case'!T447/100</f>
        <v>3.4999999701976779E-2</v>
      </c>
      <c r="H448" s="25">
        <f ca="1">'public finance'!D446</f>
        <v>1.9802129779314939E-3</v>
      </c>
      <c r="I448" s="20">
        <f ca="1">'public finance'!E446</f>
        <v>7662.1726140371247</v>
      </c>
      <c r="J448" s="118">
        <f ca="1">'public finance'!H446</f>
        <v>-218919.16283048972</v>
      </c>
      <c r="K448" s="17">
        <f ca="1">'public finance'!C446/'normal case'!D447</f>
        <v>0.19801980186333762</v>
      </c>
      <c r="L448" s="20">
        <f ca="1">'public finance'!A446/'normal case'!D447</f>
        <v>0.2</v>
      </c>
      <c r="M448" s="18" t="str">
        <f>IF(controls!$B$44=0,"",'normal case'!AJ447)</f>
        <v/>
      </c>
      <c r="N448" s="18" t="str">
        <f>IF(controls!$B$44=0,"",'normal case'!AM447)</f>
        <v/>
      </c>
      <c r="O448" s="160" t="str">
        <f>IF(controls!$B$44=0,"",'external balance'!D447)</f>
        <v/>
      </c>
      <c r="P448" s="160" t="str">
        <f>IF(controls!$B$44=0,"",'external balance'!F447)</f>
        <v/>
      </c>
      <c r="Q448" s="159" t="str">
        <f>IF(controls!$B$44=0,"",'external balance'!H447)</f>
        <v/>
      </c>
    </row>
    <row r="449" spans="1:17" ht="14" thickTop="1" thickBot="1">
      <c r="A449" s="15">
        <v>446</v>
      </c>
      <c r="B449" s="17">
        <f ca="1">('normal case'!D448-'normal case'!B448)/'normal case'!B448</f>
        <v>5.9014499777614481E-10</v>
      </c>
      <c r="C449" s="23">
        <f ca="1">'normal case'!D448</f>
        <v>101.00000005960464</v>
      </c>
      <c r="D449" s="24">
        <f ca="1">'normal case'!C448</f>
        <v>-1.5107707374006907E-7</v>
      </c>
      <c r="E449" s="22">
        <f ca="1">'normal case'!L448/100</f>
        <v>1.9999998807907104E-2</v>
      </c>
      <c r="F449" s="25">
        <f ca="1">'normal case'!U448/100</f>
        <v>5.499999850988388E-2</v>
      </c>
      <c r="G449" s="25">
        <f ca="1">'normal case'!T448/100</f>
        <v>3.4999999701976779E-2</v>
      </c>
      <c r="H449" s="25">
        <f ca="1">'public finance'!D447</f>
        <v>1.9802129779314939E-3</v>
      </c>
      <c r="I449" s="20">
        <f ca="1">'public finance'!E447</f>
        <v>7930.3486532443967</v>
      </c>
      <c r="J449" s="118">
        <f ca="1">'public finance'!H447</f>
        <v>-226581.33544451196</v>
      </c>
      <c r="K449" s="17">
        <f ca="1">'public finance'!C447/'normal case'!D448</f>
        <v>0.19801980186333762</v>
      </c>
      <c r="L449" s="20">
        <f ca="1">'public finance'!A447/'normal case'!D448</f>
        <v>0.2</v>
      </c>
      <c r="M449" s="18" t="str">
        <f>IF(controls!$B$44=0,"",'normal case'!AJ448)</f>
        <v/>
      </c>
      <c r="N449" s="18" t="str">
        <f>IF(controls!$B$44=0,"",'normal case'!AM448)</f>
        <v/>
      </c>
      <c r="O449" s="160" t="str">
        <f>IF(controls!$B$44=0,"",'external balance'!D448)</f>
        <v/>
      </c>
      <c r="P449" s="160" t="str">
        <f>IF(controls!$B$44=0,"",'external balance'!F448)</f>
        <v/>
      </c>
      <c r="Q449" s="159" t="str">
        <f>IF(controls!$B$44=0,"",'external balance'!H448)</f>
        <v/>
      </c>
    </row>
    <row r="450" spans="1:17" ht="14" thickTop="1" thickBot="1">
      <c r="A450" s="15">
        <v>447</v>
      </c>
      <c r="B450" s="17">
        <f ca="1">('normal case'!D449-'normal case'!B449)/'normal case'!B449</f>
        <v>5.9014499777614481E-10</v>
      </c>
      <c r="C450" s="23">
        <f ca="1">'normal case'!D449</f>
        <v>101.00000005960464</v>
      </c>
      <c r="D450" s="24">
        <f ca="1">'normal case'!C449</f>
        <v>-1.5107707374006907E-7</v>
      </c>
      <c r="E450" s="22">
        <f ca="1">'normal case'!L449/100</f>
        <v>1.9999998807907104E-2</v>
      </c>
      <c r="F450" s="25">
        <f ca="1">'normal case'!U449/100</f>
        <v>5.499999850988388E-2</v>
      </c>
      <c r="G450" s="25">
        <f ca="1">'normal case'!T449/100</f>
        <v>3.4999999701976779E-2</v>
      </c>
      <c r="H450" s="25">
        <f ca="1">'public finance'!D448</f>
        <v>1.9802129779314939E-3</v>
      </c>
      <c r="I450" s="20">
        <f ca="1">'public finance'!E448</f>
        <v>8207.9108537440025</v>
      </c>
      <c r="J450" s="118">
        <f ca="1">'public finance'!H448</f>
        <v>-234511.6840977415</v>
      </c>
      <c r="K450" s="17">
        <f ca="1">'public finance'!C448/'normal case'!D449</f>
        <v>0.19801980186333762</v>
      </c>
      <c r="L450" s="20">
        <f ca="1">'public finance'!A448/'normal case'!D449</f>
        <v>0.2</v>
      </c>
      <c r="M450" s="18" t="str">
        <f>IF(controls!$B$44=0,"",'normal case'!AJ449)</f>
        <v/>
      </c>
      <c r="N450" s="18" t="str">
        <f>IF(controls!$B$44=0,"",'normal case'!AM449)</f>
        <v/>
      </c>
      <c r="O450" s="160" t="str">
        <f>IF(controls!$B$44=0,"",'external balance'!D449)</f>
        <v/>
      </c>
      <c r="P450" s="160" t="str">
        <f>IF(controls!$B$44=0,"",'external balance'!F449)</f>
        <v/>
      </c>
      <c r="Q450" s="159" t="str">
        <f>IF(controls!$B$44=0,"",'external balance'!H449)</f>
        <v/>
      </c>
    </row>
    <row r="451" spans="1:17" ht="14" thickTop="1" thickBot="1">
      <c r="A451" s="15">
        <v>448</v>
      </c>
      <c r="B451" s="17">
        <f ca="1">('normal case'!D450-'normal case'!B450)/'normal case'!B450</f>
        <v>5.9014499777614481E-10</v>
      </c>
      <c r="C451" s="23">
        <f ca="1">'normal case'!D450</f>
        <v>101.00000005960464</v>
      </c>
      <c r="D451" s="24">
        <f ca="1">'normal case'!C450</f>
        <v>-1.5107707374006907E-7</v>
      </c>
      <c r="E451" s="22">
        <f ca="1">'normal case'!L450/100</f>
        <v>1.9999998807907104E-2</v>
      </c>
      <c r="F451" s="25">
        <f ca="1">'normal case'!U450/100</f>
        <v>5.499999850988388E-2</v>
      </c>
      <c r="G451" s="25">
        <f ca="1">'normal case'!T450/100</f>
        <v>3.4999999701976779E-2</v>
      </c>
      <c r="H451" s="25">
        <f ca="1">'public finance'!D449</f>
        <v>1.9802129779314939E-3</v>
      </c>
      <c r="I451" s="20">
        <f ca="1">'public finance'!E449</f>
        <v>8495.1877311783755</v>
      </c>
      <c r="J451" s="118">
        <f ca="1">'public finance'!H449</f>
        <v>-242719.59495147064</v>
      </c>
      <c r="K451" s="17">
        <f ca="1">'public finance'!C449/'normal case'!D450</f>
        <v>0.19801980186333762</v>
      </c>
      <c r="L451" s="20">
        <f ca="1">'public finance'!A449/'normal case'!D450</f>
        <v>0.2</v>
      </c>
      <c r="M451" s="18" t="str">
        <f>IF(controls!$B$44=0,"",'normal case'!AJ450)</f>
        <v/>
      </c>
      <c r="N451" s="18" t="str">
        <f>IF(controls!$B$44=0,"",'normal case'!AM450)</f>
        <v/>
      </c>
      <c r="O451" s="160" t="str">
        <f>IF(controls!$B$44=0,"",'external balance'!D450)</f>
        <v/>
      </c>
      <c r="P451" s="160" t="str">
        <f>IF(controls!$B$44=0,"",'external balance'!F450)</f>
        <v/>
      </c>
      <c r="Q451" s="159" t="str">
        <f>IF(controls!$B$44=0,"",'external balance'!H450)</f>
        <v/>
      </c>
    </row>
    <row r="452" spans="1:17" ht="14" thickTop="1" thickBot="1">
      <c r="A452" s="15">
        <v>449</v>
      </c>
      <c r="B452" s="17">
        <f ca="1">('normal case'!D451-'normal case'!B451)/'normal case'!B451</f>
        <v>5.9014499777614481E-10</v>
      </c>
      <c r="C452" s="23">
        <f ca="1">'normal case'!D451</f>
        <v>101.00000005960464</v>
      </c>
      <c r="D452" s="24">
        <f ca="1">'normal case'!C451</f>
        <v>-1.5107707374006907E-7</v>
      </c>
      <c r="E452" s="22">
        <f ca="1">'normal case'!L451/100</f>
        <v>1.9999998807907104E-2</v>
      </c>
      <c r="F452" s="25">
        <f ca="1">'normal case'!U451/100</f>
        <v>5.499999850988388E-2</v>
      </c>
      <c r="G452" s="25">
        <f ca="1">'normal case'!T451/100</f>
        <v>3.4999999701976779E-2</v>
      </c>
      <c r="H452" s="25">
        <f ca="1">'public finance'!D450</f>
        <v>1.9802129779314939E-3</v>
      </c>
      <c r="I452" s="20">
        <f ca="1">'public finance'!E450</f>
        <v>8792.5192992373341</v>
      </c>
      <c r="J452" s="118">
        <f ca="1">'public finance'!H450</f>
        <v>-251214.78268263416</v>
      </c>
      <c r="K452" s="17">
        <f ca="1">'public finance'!C450/'normal case'!D451</f>
        <v>0.19801980186333762</v>
      </c>
      <c r="L452" s="20">
        <f ca="1">'public finance'!A450/'normal case'!D451</f>
        <v>0.2</v>
      </c>
      <c r="M452" s="18" t="str">
        <f>IF(controls!$B$44=0,"",'normal case'!AJ451)</f>
        <v/>
      </c>
      <c r="N452" s="18" t="str">
        <f>IF(controls!$B$44=0,"",'normal case'!AM451)</f>
        <v/>
      </c>
      <c r="O452" s="160" t="str">
        <f>IF(controls!$B$44=0,"",'external balance'!D451)</f>
        <v/>
      </c>
      <c r="P452" s="160" t="str">
        <f>IF(controls!$B$44=0,"",'external balance'!F451)</f>
        <v/>
      </c>
      <c r="Q452" s="159" t="str">
        <f>IF(controls!$B$44=0,"",'external balance'!H451)</f>
        <v/>
      </c>
    </row>
    <row r="453" spans="1:17" ht="14" thickTop="1" thickBot="1">
      <c r="A453" s="15">
        <v>450</v>
      </c>
      <c r="B453" s="17">
        <f ca="1">('normal case'!D452-'normal case'!B452)/'normal case'!B452</f>
        <v>5.9014499777614481E-10</v>
      </c>
      <c r="C453" s="23">
        <f ca="1">'normal case'!D452</f>
        <v>101.00000005960464</v>
      </c>
      <c r="D453" s="24">
        <f ca="1">'normal case'!C452</f>
        <v>-1.5107707374006907E-7</v>
      </c>
      <c r="E453" s="22">
        <f ca="1">'normal case'!L452/100</f>
        <v>1.9999998807907104E-2</v>
      </c>
      <c r="F453" s="25">
        <f ca="1">'normal case'!U452/100</f>
        <v>5.499999850988388E-2</v>
      </c>
      <c r="G453" s="25">
        <f ca="1">'normal case'!T452/100</f>
        <v>3.4999999701976779E-2</v>
      </c>
      <c r="H453" s="25">
        <f ca="1">'public finance'!D451</f>
        <v>1.9802129779314939E-3</v>
      </c>
      <c r="I453" s="20">
        <f ca="1">'public finance'!E451</f>
        <v>9100.2574720897464</v>
      </c>
      <c r="J453" s="118">
        <f ca="1">'public finance'!H451</f>
        <v>-260007.30198185664</v>
      </c>
      <c r="K453" s="17">
        <f ca="1">'public finance'!C451/'normal case'!D452</f>
        <v>0.19801980186333762</v>
      </c>
      <c r="L453" s="20">
        <f ca="1">'public finance'!A451/'normal case'!D452</f>
        <v>0.2</v>
      </c>
      <c r="M453" s="18" t="str">
        <f>IF(controls!$B$44=0,"",'normal case'!AJ452)</f>
        <v/>
      </c>
      <c r="N453" s="18" t="str">
        <f>IF(controls!$B$44=0,"",'normal case'!AM452)</f>
        <v/>
      </c>
      <c r="O453" s="160" t="str">
        <f>IF(controls!$B$44=0,"",'external balance'!D452)</f>
        <v/>
      </c>
      <c r="P453" s="160" t="str">
        <f>IF(controls!$B$44=0,"",'external balance'!F452)</f>
        <v/>
      </c>
      <c r="Q453" s="159" t="str">
        <f>IF(controls!$B$44=0,"",'external balance'!H452)</f>
        <v/>
      </c>
    </row>
    <row r="454" spans="1:17" ht="14" thickTop="1" thickBot="1">
      <c r="A454" s="15">
        <v>451</v>
      </c>
      <c r="B454" s="17">
        <f ca="1">('normal case'!D453-'normal case'!B453)/'normal case'!B453</f>
        <v>5.9014499777614481E-10</v>
      </c>
      <c r="C454" s="23">
        <f ca="1">'normal case'!D453</f>
        <v>101.00000005960464</v>
      </c>
      <c r="D454" s="24">
        <f ca="1">'normal case'!C453</f>
        <v>-1.5107707374006907E-7</v>
      </c>
      <c r="E454" s="22">
        <f ca="1">'normal case'!L453/100</f>
        <v>1.9999998807907104E-2</v>
      </c>
      <c r="F454" s="25">
        <f ca="1">'normal case'!U453/100</f>
        <v>5.499999850988388E-2</v>
      </c>
      <c r="G454" s="25">
        <f ca="1">'normal case'!T453/100</f>
        <v>3.4999999701976779E-2</v>
      </c>
      <c r="H454" s="25">
        <f ca="1">'public finance'!D452</f>
        <v>1.9802129779314939E-3</v>
      </c>
      <c r="I454" s="20">
        <f ca="1">'public finance'!E452</f>
        <v>9418.7664809002799</v>
      </c>
      <c r="J454" s="118">
        <f ca="1">'public finance'!H452</f>
        <v>-269107.55945393152</v>
      </c>
      <c r="K454" s="17">
        <f ca="1">'public finance'!C452/'normal case'!D453</f>
        <v>0.19801980186333762</v>
      </c>
      <c r="L454" s="20">
        <f ca="1">'public finance'!A452/'normal case'!D453</f>
        <v>0.2</v>
      </c>
      <c r="M454" s="18" t="str">
        <f>IF(controls!$B$44=0,"",'normal case'!AJ453)</f>
        <v/>
      </c>
      <c r="N454" s="18" t="str">
        <f>IF(controls!$B$44=0,"",'normal case'!AM453)</f>
        <v/>
      </c>
      <c r="O454" s="160" t="str">
        <f>IF(controls!$B$44=0,"",'external balance'!D453)</f>
        <v/>
      </c>
      <c r="P454" s="160" t="str">
        <f>IF(controls!$B$44=0,"",'external balance'!F453)</f>
        <v/>
      </c>
      <c r="Q454" s="159" t="str">
        <f>IF(controls!$B$44=0,"",'external balance'!H453)</f>
        <v/>
      </c>
    </row>
    <row r="455" spans="1:17" ht="14" thickTop="1" thickBot="1">
      <c r="A455" s="15">
        <v>452</v>
      </c>
      <c r="B455" s="17">
        <f ca="1">('normal case'!D454-'normal case'!B454)/'normal case'!B454</f>
        <v>5.9014499777614481E-10</v>
      </c>
      <c r="C455" s="23">
        <f ca="1">'normal case'!D454</f>
        <v>101.00000005960464</v>
      </c>
      <c r="D455" s="24">
        <f ca="1">'normal case'!C454</f>
        <v>-1.5107707374006907E-7</v>
      </c>
      <c r="E455" s="22">
        <f ca="1">'normal case'!L454/100</f>
        <v>1.9999998807907104E-2</v>
      </c>
      <c r="F455" s="25">
        <f ca="1">'normal case'!U454/100</f>
        <v>5.499999850988388E-2</v>
      </c>
      <c r="G455" s="25">
        <f ca="1">'normal case'!T454/100</f>
        <v>3.4999999701976779E-2</v>
      </c>
      <c r="H455" s="25">
        <f ca="1">'public finance'!D453</f>
        <v>1.9802129779314939E-3</v>
      </c>
      <c r="I455" s="20">
        <f ca="1">'public finance'!E453</f>
        <v>9748.4233049242575</v>
      </c>
      <c r="J455" s="118">
        <f ca="1">'public finance'!H453</f>
        <v>-278526.32593481691</v>
      </c>
      <c r="K455" s="17">
        <f ca="1">'public finance'!C453/'normal case'!D454</f>
        <v>0.19801980186333762</v>
      </c>
      <c r="L455" s="20">
        <f ca="1">'public finance'!A453/'normal case'!D454</f>
        <v>0.2</v>
      </c>
      <c r="M455" s="18" t="str">
        <f>IF(controls!$B$44=0,"",'normal case'!AJ454)</f>
        <v/>
      </c>
      <c r="N455" s="18" t="str">
        <f>IF(controls!$B$44=0,"",'normal case'!AM454)</f>
        <v/>
      </c>
      <c r="O455" s="160" t="str">
        <f>IF(controls!$B$44=0,"",'external balance'!D454)</f>
        <v/>
      </c>
      <c r="P455" s="160" t="str">
        <f>IF(controls!$B$44=0,"",'external balance'!F454)</f>
        <v/>
      </c>
      <c r="Q455" s="159" t="str">
        <f>IF(controls!$B$44=0,"",'external balance'!H454)</f>
        <v/>
      </c>
    </row>
    <row r="456" spans="1:17" ht="14" thickTop="1" thickBot="1">
      <c r="A456" s="15">
        <v>453</v>
      </c>
      <c r="B456" s="17">
        <f ca="1">('normal case'!D455-'normal case'!B455)/'normal case'!B455</f>
        <v>5.9014499777614481E-10</v>
      </c>
      <c r="C456" s="23">
        <f ca="1">'normal case'!D455</f>
        <v>101.00000005960464</v>
      </c>
      <c r="D456" s="24">
        <f ca="1">'normal case'!C455</f>
        <v>-1.5107707374006907E-7</v>
      </c>
      <c r="E456" s="22">
        <f ca="1">'normal case'!L455/100</f>
        <v>1.9999998807907104E-2</v>
      </c>
      <c r="F456" s="25">
        <f ca="1">'normal case'!U455/100</f>
        <v>5.499999850988388E-2</v>
      </c>
      <c r="G456" s="25">
        <f ca="1">'normal case'!T455/100</f>
        <v>3.4999999701976779E-2</v>
      </c>
      <c r="H456" s="25">
        <f ca="1">'public finance'!D454</f>
        <v>1.9802129779314939E-3</v>
      </c>
      <c r="I456" s="20">
        <f ca="1">'public finance'!E454</f>
        <v>10089.618117690829</v>
      </c>
      <c r="J456" s="118">
        <f ca="1">'public finance'!H454</f>
        <v>-288274.74923972628</v>
      </c>
      <c r="K456" s="17">
        <f ca="1">'public finance'!C454/'normal case'!D455</f>
        <v>0.19801980186333762</v>
      </c>
      <c r="L456" s="20">
        <f ca="1">'public finance'!A454/'normal case'!D455</f>
        <v>0.2</v>
      </c>
      <c r="M456" s="18" t="str">
        <f>IF(controls!$B$44=0,"",'normal case'!AJ455)</f>
        <v/>
      </c>
      <c r="N456" s="18" t="str">
        <f>IF(controls!$B$44=0,"",'normal case'!AM455)</f>
        <v/>
      </c>
      <c r="O456" s="160" t="str">
        <f>IF(controls!$B$44=0,"",'external balance'!D455)</f>
        <v/>
      </c>
      <c r="P456" s="160" t="str">
        <f>IF(controls!$B$44=0,"",'external balance'!F455)</f>
        <v/>
      </c>
      <c r="Q456" s="159" t="str">
        <f>IF(controls!$B$44=0,"",'external balance'!H455)</f>
        <v/>
      </c>
    </row>
    <row r="457" spans="1:17" ht="14" thickTop="1" thickBot="1">
      <c r="A457" s="15">
        <v>454</v>
      </c>
      <c r="B457" s="17">
        <f ca="1">('normal case'!D456-'normal case'!B456)/'normal case'!B456</f>
        <v>5.9014499777614481E-10</v>
      </c>
      <c r="C457" s="23">
        <f ca="1">'normal case'!D456</f>
        <v>101.00000005960464</v>
      </c>
      <c r="D457" s="24">
        <f ca="1">'normal case'!C456</f>
        <v>-1.5107707374006907E-7</v>
      </c>
      <c r="E457" s="22">
        <f ca="1">'normal case'!L456/100</f>
        <v>1.9999998807907104E-2</v>
      </c>
      <c r="F457" s="25">
        <f ca="1">'normal case'!U456/100</f>
        <v>5.499999850988388E-2</v>
      </c>
      <c r="G457" s="25">
        <f ca="1">'normal case'!T456/100</f>
        <v>3.4999999701976779E-2</v>
      </c>
      <c r="H457" s="25">
        <f ca="1">'public finance'!D455</f>
        <v>1.9802129779314939E-3</v>
      </c>
      <c r="I457" s="20">
        <f ca="1">'public finance'!E455</f>
        <v>10442.754748802547</v>
      </c>
      <c r="J457" s="118">
        <f ca="1">'public finance'!H455</f>
        <v>-298364.36735740228</v>
      </c>
      <c r="K457" s="17">
        <f ca="1">'public finance'!C455/'normal case'!D456</f>
        <v>0.19801980186333762</v>
      </c>
      <c r="L457" s="20">
        <f ca="1">'public finance'!A455/'normal case'!D456</f>
        <v>0.2</v>
      </c>
      <c r="M457" s="18" t="str">
        <f>IF(controls!$B$44=0,"",'normal case'!AJ456)</f>
        <v/>
      </c>
      <c r="N457" s="18" t="str">
        <f>IF(controls!$B$44=0,"",'normal case'!AM456)</f>
        <v/>
      </c>
      <c r="O457" s="160" t="str">
        <f>IF(controls!$B$44=0,"",'external balance'!D456)</f>
        <v/>
      </c>
      <c r="P457" s="160" t="str">
        <f>IF(controls!$B$44=0,"",'external balance'!F456)</f>
        <v/>
      </c>
      <c r="Q457" s="159" t="str">
        <f>IF(controls!$B$44=0,"",'external balance'!H456)</f>
        <v/>
      </c>
    </row>
    <row r="458" spans="1:17" ht="14" thickTop="1" thickBot="1">
      <c r="A458" s="15">
        <v>455</v>
      </c>
      <c r="B458" s="17">
        <f ca="1">('normal case'!D457-'normal case'!B457)/'normal case'!B457</f>
        <v>5.9014499777614481E-10</v>
      </c>
      <c r="C458" s="23">
        <f ca="1">'normal case'!D457</f>
        <v>101.00000005960464</v>
      </c>
      <c r="D458" s="24">
        <f ca="1">'normal case'!C457</f>
        <v>-1.5107707374006907E-7</v>
      </c>
      <c r="E458" s="22">
        <f ca="1">'normal case'!L457/100</f>
        <v>1.9999998807907104E-2</v>
      </c>
      <c r="F458" s="25">
        <f ca="1">'normal case'!U457/100</f>
        <v>5.499999850988388E-2</v>
      </c>
      <c r="G458" s="25">
        <f ca="1">'normal case'!T457/100</f>
        <v>3.4999999701976779E-2</v>
      </c>
      <c r="H458" s="25">
        <f ca="1">'public finance'!D456</f>
        <v>1.9802129779314939E-3</v>
      </c>
      <c r="I458" s="20">
        <f ca="1">'public finance'!E456</f>
        <v>10808.251161897933</v>
      </c>
      <c r="J458" s="118">
        <f ca="1">'public finance'!H456</f>
        <v>-308807.12210618996</v>
      </c>
      <c r="K458" s="17">
        <f ca="1">'public finance'!C456/'normal case'!D457</f>
        <v>0.19801980186333762</v>
      </c>
      <c r="L458" s="20">
        <f ca="1">'public finance'!A456/'normal case'!D457</f>
        <v>0.2</v>
      </c>
      <c r="M458" s="18" t="str">
        <f>IF(controls!$B$44=0,"",'normal case'!AJ457)</f>
        <v/>
      </c>
      <c r="N458" s="18" t="str">
        <f>IF(controls!$B$44=0,"",'normal case'!AM457)</f>
        <v/>
      </c>
      <c r="O458" s="160" t="str">
        <f>IF(controls!$B$44=0,"",'external balance'!D457)</f>
        <v/>
      </c>
      <c r="P458" s="160" t="str">
        <f>IF(controls!$B$44=0,"",'external balance'!F457)</f>
        <v/>
      </c>
      <c r="Q458" s="159" t="str">
        <f>IF(controls!$B$44=0,"",'external balance'!H457)</f>
        <v/>
      </c>
    </row>
    <row r="459" spans="1:17" ht="14" thickTop="1" thickBot="1">
      <c r="A459" s="15">
        <v>456</v>
      </c>
      <c r="B459" s="17">
        <f ca="1">('normal case'!D458-'normal case'!B458)/'normal case'!B458</f>
        <v>5.9014499777614481E-10</v>
      </c>
      <c r="C459" s="23">
        <f ca="1">'normal case'!D458</f>
        <v>101.00000005960464</v>
      </c>
      <c r="D459" s="24">
        <f ca="1">'normal case'!C458</f>
        <v>-1.5107707374006907E-7</v>
      </c>
      <c r="E459" s="22">
        <f ca="1">'normal case'!L458/100</f>
        <v>1.9999998807907104E-2</v>
      </c>
      <c r="F459" s="25">
        <f ca="1">'normal case'!U458/100</f>
        <v>5.499999850988388E-2</v>
      </c>
      <c r="G459" s="25">
        <f ca="1">'normal case'!T458/100</f>
        <v>3.4999999701976779E-2</v>
      </c>
      <c r="H459" s="25">
        <f ca="1">'public finance'!D457</f>
        <v>1.9802129779314939E-3</v>
      </c>
      <c r="I459" s="20">
        <f ca="1">'public finance'!E457</f>
        <v>11186.53994934273</v>
      </c>
      <c r="J459" s="118">
        <f ca="1">'public finance'!H457</f>
        <v>-319615.37326807302</v>
      </c>
      <c r="K459" s="17">
        <f ca="1">'public finance'!C457/'normal case'!D458</f>
        <v>0.19801980186333762</v>
      </c>
      <c r="L459" s="20">
        <f ca="1">'public finance'!A457/'normal case'!D458</f>
        <v>0.2</v>
      </c>
      <c r="M459" s="18" t="str">
        <f>IF(controls!$B$44=0,"",'normal case'!AJ458)</f>
        <v/>
      </c>
      <c r="N459" s="18" t="str">
        <f>IF(controls!$B$44=0,"",'normal case'!AM458)</f>
        <v/>
      </c>
      <c r="O459" s="160" t="str">
        <f>IF(controls!$B$44=0,"",'external balance'!D458)</f>
        <v/>
      </c>
      <c r="P459" s="160" t="str">
        <f>IF(controls!$B$44=0,"",'external balance'!F458)</f>
        <v/>
      </c>
      <c r="Q459" s="159" t="str">
        <f>IF(controls!$B$44=0,"",'external balance'!H458)</f>
        <v/>
      </c>
    </row>
    <row r="460" spans="1:17" ht="14" thickTop="1" thickBot="1">
      <c r="A460" s="15">
        <v>457</v>
      </c>
      <c r="B460" s="17">
        <f ca="1">('normal case'!D459-'normal case'!B459)/'normal case'!B459</f>
        <v>5.9014499777614481E-10</v>
      </c>
      <c r="C460" s="23">
        <f ca="1">'normal case'!D459</f>
        <v>101.00000005960464</v>
      </c>
      <c r="D460" s="24">
        <f ca="1">'normal case'!C459</f>
        <v>-1.5107707374006907E-7</v>
      </c>
      <c r="E460" s="22">
        <f ca="1">'normal case'!L459/100</f>
        <v>1.9999998807907104E-2</v>
      </c>
      <c r="F460" s="25">
        <f ca="1">'normal case'!U459/100</f>
        <v>5.499999850988388E-2</v>
      </c>
      <c r="G460" s="25">
        <f ca="1">'normal case'!T459/100</f>
        <v>3.4999999701976779E-2</v>
      </c>
      <c r="H460" s="25">
        <f ca="1">'public finance'!D458</f>
        <v>1.9802129779314939E-3</v>
      </c>
      <c r="I460" s="20">
        <f ca="1">'public finance'!E458</f>
        <v>11578.068844235358</v>
      </c>
      <c r="J460" s="118">
        <f ca="1">'public finance'!H458</f>
        <v>-330801.9132174009</v>
      </c>
      <c r="K460" s="17">
        <f ca="1">'public finance'!C458/'normal case'!D459</f>
        <v>0.19801980186333762</v>
      </c>
      <c r="L460" s="20">
        <f ca="1">'public finance'!A458/'normal case'!D459</f>
        <v>0.2</v>
      </c>
      <c r="M460" s="18" t="str">
        <f>IF(controls!$B$44=0,"",'normal case'!AJ459)</f>
        <v/>
      </c>
      <c r="N460" s="18" t="str">
        <f>IF(controls!$B$44=0,"",'normal case'!AM459)</f>
        <v/>
      </c>
      <c r="O460" s="160" t="str">
        <f>IF(controls!$B$44=0,"",'external balance'!D459)</f>
        <v/>
      </c>
      <c r="P460" s="160" t="str">
        <f>IF(controls!$B$44=0,"",'external balance'!F459)</f>
        <v/>
      </c>
      <c r="Q460" s="159" t="str">
        <f>IF(controls!$B$44=0,"",'external balance'!H459)</f>
        <v/>
      </c>
    </row>
    <row r="461" spans="1:17" ht="14" thickTop="1" thickBot="1">
      <c r="A461" s="15">
        <v>458</v>
      </c>
      <c r="B461" s="17">
        <f ca="1">('normal case'!D460-'normal case'!B460)/'normal case'!B460</f>
        <v>5.9014499777614481E-10</v>
      </c>
      <c r="C461" s="23">
        <f ca="1">'normal case'!D460</f>
        <v>101.00000005960464</v>
      </c>
      <c r="D461" s="24">
        <f ca="1">'normal case'!C460</f>
        <v>-1.5107707374006907E-7</v>
      </c>
      <c r="E461" s="22">
        <f ca="1">'normal case'!L460/100</f>
        <v>1.9999998807907104E-2</v>
      </c>
      <c r="F461" s="25">
        <f ca="1">'normal case'!U460/100</f>
        <v>5.499999850988388E-2</v>
      </c>
      <c r="G461" s="25">
        <f ca="1">'normal case'!T460/100</f>
        <v>3.4999999701976779E-2</v>
      </c>
      <c r="H461" s="25">
        <f ca="1">'public finance'!D459</f>
        <v>1.9802129779314939E-3</v>
      </c>
      <c r="I461" s="20">
        <f ca="1">'public finance'!E459</f>
        <v>11983.301250332541</v>
      </c>
      <c r="J461" s="118">
        <f ca="1">'public finance'!H459</f>
        <v>-342379.98206162138</v>
      </c>
      <c r="K461" s="17">
        <f ca="1">'public finance'!C459/'normal case'!D460</f>
        <v>0.19801980186333762</v>
      </c>
      <c r="L461" s="20">
        <f ca="1">'public finance'!A459/'normal case'!D460</f>
        <v>0.2</v>
      </c>
      <c r="M461" s="18" t="str">
        <f>IF(controls!$B$44=0,"",'normal case'!AJ460)</f>
        <v/>
      </c>
      <c r="N461" s="18" t="str">
        <f>IF(controls!$B$44=0,"",'normal case'!AM460)</f>
        <v/>
      </c>
      <c r="O461" s="160" t="str">
        <f>IF(controls!$B$44=0,"",'external balance'!D460)</f>
        <v/>
      </c>
      <c r="P461" s="160" t="str">
        <f>IF(controls!$B$44=0,"",'external balance'!F460)</f>
        <v/>
      </c>
      <c r="Q461" s="159" t="str">
        <f>IF(controls!$B$44=0,"",'external balance'!H460)</f>
        <v/>
      </c>
    </row>
    <row r="462" spans="1:17" ht="14" thickTop="1" thickBot="1">
      <c r="A462" s="15">
        <v>459</v>
      </c>
      <c r="B462" s="17">
        <f ca="1">('normal case'!D461-'normal case'!B461)/'normal case'!B461</f>
        <v>5.9014499777614481E-10</v>
      </c>
      <c r="C462" s="23">
        <f ca="1">'normal case'!D461</f>
        <v>101.00000005960464</v>
      </c>
      <c r="D462" s="24">
        <f ca="1">'normal case'!C461</f>
        <v>-1.5107707374006907E-7</v>
      </c>
      <c r="E462" s="22">
        <f ca="1">'normal case'!L461/100</f>
        <v>1.9999998807907104E-2</v>
      </c>
      <c r="F462" s="25">
        <f ca="1">'normal case'!U461/100</f>
        <v>5.499999850988388E-2</v>
      </c>
      <c r="G462" s="25">
        <f ca="1">'normal case'!T461/100</f>
        <v>3.4999999701976779E-2</v>
      </c>
      <c r="H462" s="25">
        <f ca="1">'public finance'!D460</f>
        <v>1.9802129779314939E-3</v>
      </c>
      <c r="I462" s="20">
        <f ca="1">'public finance'!E460</f>
        <v>12402.716790522356</v>
      </c>
      <c r="J462" s="118">
        <f ca="1">'public finance'!H460</f>
        <v>-354363.28331193904</v>
      </c>
      <c r="K462" s="17">
        <f ca="1">'public finance'!C460/'normal case'!D461</f>
        <v>0.19801980186333762</v>
      </c>
      <c r="L462" s="20">
        <f ca="1">'public finance'!A460/'normal case'!D461</f>
        <v>0.2</v>
      </c>
      <c r="M462" s="18" t="str">
        <f>IF(controls!$B$44=0,"",'normal case'!AJ461)</f>
        <v/>
      </c>
      <c r="N462" s="18" t="str">
        <f>IF(controls!$B$44=0,"",'normal case'!AM461)</f>
        <v/>
      </c>
      <c r="O462" s="160" t="str">
        <f>IF(controls!$B$44=0,"",'external balance'!D461)</f>
        <v/>
      </c>
      <c r="P462" s="160" t="str">
        <f>IF(controls!$B$44=0,"",'external balance'!F461)</f>
        <v/>
      </c>
      <c r="Q462" s="159" t="str">
        <f>IF(controls!$B$44=0,"",'external balance'!H461)</f>
        <v/>
      </c>
    </row>
    <row r="463" spans="1:17" ht="14" thickTop="1" thickBot="1">
      <c r="A463" s="15">
        <v>460</v>
      </c>
      <c r="B463" s="17">
        <f ca="1">('normal case'!D462-'normal case'!B462)/'normal case'!B462</f>
        <v>5.9014499777614481E-10</v>
      </c>
      <c r="C463" s="23">
        <f ca="1">'normal case'!D462</f>
        <v>101.00000005960464</v>
      </c>
      <c r="D463" s="24">
        <f ca="1">'normal case'!C462</f>
        <v>-1.5107707374006907E-7</v>
      </c>
      <c r="E463" s="22">
        <f ca="1">'normal case'!L462/100</f>
        <v>1.9999998807907104E-2</v>
      </c>
      <c r="F463" s="25">
        <f ca="1">'normal case'!U462/100</f>
        <v>5.499999850988388E-2</v>
      </c>
      <c r="G463" s="25">
        <f ca="1">'normal case'!T462/100</f>
        <v>3.4999999701976779E-2</v>
      </c>
      <c r="H463" s="25">
        <f ca="1">'public finance'!D461</f>
        <v>1.9802129779314939E-3</v>
      </c>
      <c r="I463" s="20">
        <f ca="1">'public finance'!E461</f>
        <v>12836.811874493822</v>
      </c>
      <c r="J463" s="118">
        <f ca="1">'public finance'!H461</f>
        <v>-366766.00010244653</v>
      </c>
      <c r="K463" s="17">
        <f ca="1">'public finance'!C461/'normal case'!D462</f>
        <v>0.19801980186333762</v>
      </c>
      <c r="L463" s="20">
        <f ca="1">'public finance'!A461/'normal case'!D462</f>
        <v>0.2</v>
      </c>
      <c r="M463" s="18" t="str">
        <f>IF(controls!$B$44=0,"",'normal case'!AJ462)</f>
        <v/>
      </c>
      <c r="N463" s="18" t="str">
        <f>IF(controls!$B$44=0,"",'normal case'!AM462)</f>
        <v/>
      </c>
      <c r="O463" s="160" t="str">
        <f>IF(controls!$B$44=0,"",'external balance'!D462)</f>
        <v/>
      </c>
      <c r="P463" s="160" t="str">
        <f>IF(controls!$B$44=0,"",'external balance'!F462)</f>
        <v/>
      </c>
      <c r="Q463" s="159" t="str">
        <f>IF(controls!$B$44=0,"",'external balance'!H462)</f>
        <v/>
      </c>
    </row>
    <row r="464" spans="1:17" ht="14" thickTop="1" thickBot="1">
      <c r="A464" s="15">
        <v>461</v>
      </c>
      <c r="B464" s="17">
        <f ca="1">('normal case'!D463-'normal case'!B463)/'normal case'!B463</f>
        <v>5.9014499777614481E-10</v>
      </c>
      <c r="C464" s="23">
        <f ca="1">'normal case'!D463</f>
        <v>101.00000005960464</v>
      </c>
      <c r="D464" s="24">
        <f ca="1">'normal case'!C463</f>
        <v>-1.5107707374006907E-7</v>
      </c>
      <c r="E464" s="22">
        <f ca="1">'normal case'!L463/100</f>
        <v>1.9999998807907104E-2</v>
      </c>
      <c r="F464" s="25">
        <f ca="1">'normal case'!U463/100</f>
        <v>5.499999850988388E-2</v>
      </c>
      <c r="G464" s="25">
        <f ca="1">'normal case'!T463/100</f>
        <v>3.4999999701976779E-2</v>
      </c>
      <c r="H464" s="25">
        <f ca="1">'public finance'!D462</f>
        <v>1.9802129779314939E-3</v>
      </c>
      <c r="I464" s="20">
        <f ca="1">'public finance'!E462</f>
        <v>13286.100286274917</v>
      </c>
      <c r="J464" s="118">
        <f ca="1">'public finance'!H462</f>
        <v>-379602.81197692547</v>
      </c>
      <c r="K464" s="17">
        <f ca="1">'public finance'!C462/'normal case'!D463</f>
        <v>0.19801980186333762</v>
      </c>
      <c r="L464" s="20">
        <f ca="1">'public finance'!A462/'normal case'!D463</f>
        <v>0.2</v>
      </c>
      <c r="M464" s="18" t="str">
        <f>IF(controls!$B$44=0,"",'normal case'!AJ463)</f>
        <v/>
      </c>
      <c r="N464" s="18" t="str">
        <f>IF(controls!$B$44=0,"",'normal case'!AM463)</f>
        <v/>
      </c>
      <c r="O464" s="160" t="str">
        <f>IF(controls!$B$44=0,"",'external balance'!D463)</f>
        <v/>
      </c>
      <c r="P464" s="160" t="str">
        <f>IF(controls!$B$44=0,"",'external balance'!F463)</f>
        <v/>
      </c>
      <c r="Q464" s="159" t="str">
        <f>IF(controls!$B$44=0,"",'external balance'!H463)</f>
        <v/>
      </c>
    </row>
    <row r="465" spans="1:17" ht="14" thickTop="1" thickBot="1">
      <c r="A465" s="15">
        <v>462</v>
      </c>
      <c r="B465" s="17">
        <f ca="1">('normal case'!D464-'normal case'!B464)/'normal case'!B464</f>
        <v>5.9014499777614481E-10</v>
      </c>
      <c r="C465" s="23">
        <f ca="1">'normal case'!D464</f>
        <v>101.00000005960464</v>
      </c>
      <c r="D465" s="24">
        <f ca="1">'normal case'!C464</f>
        <v>-1.5107707374006907E-7</v>
      </c>
      <c r="E465" s="22">
        <f ca="1">'normal case'!L464/100</f>
        <v>1.9999998807907104E-2</v>
      </c>
      <c r="F465" s="25">
        <f ca="1">'normal case'!U464/100</f>
        <v>5.499999850988388E-2</v>
      </c>
      <c r="G465" s="25">
        <f ca="1">'normal case'!T464/100</f>
        <v>3.4999999701976779E-2</v>
      </c>
      <c r="H465" s="25">
        <f ca="1">'public finance'!D463</f>
        <v>1.9802129779314939E-3</v>
      </c>
      <c r="I465" s="20">
        <f ca="1">'public finance'!E463</f>
        <v>13751.11379233445</v>
      </c>
      <c r="J465" s="118">
        <f ca="1">'public finance'!H463</f>
        <v>-392888.91226318548</v>
      </c>
      <c r="K465" s="17">
        <f ca="1">'public finance'!C463/'normal case'!D464</f>
        <v>0.19801980186333762</v>
      </c>
      <c r="L465" s="20">
        <f ca="1">'public finance'!A463/'normal case'!D464</f>
        <v>0.2</v>
      </c>
      <c r="M465" s="18" t="str">
        <f>IF(controls!$B$44=0,"",'normal case'!AJ464)</f>
        <v/>
      </c>
      <c r="N465" s="18" t="str">
        <f>IF(controls!$B$44=0,"",'normal case'!AM464)</f>
        <v/>
      </c>
      <c r="O465" s="160" t="str">
        <f>IF(controls!$B$44=0,"",'external balance'!D464)</f>
        <v/>
      </c>
      <c r="P465" s="160" t="str">
        <f>IF(controls!$B$44=0,"",'external balance'!F464)</f>
        <v/>
      </c>
      <c r="Q465" s="159" t="str">
        <f>IF(controls!$B$44=0,"",'external balance'!H464)</f>
        <v/>
      </c>
    </row>
    <row r="466" spans="1:17" ht="14" thickTop="1" thickBot="1">
      <c r="A466" s="15">
        <v>463</v>
      </c>
      <c r="B466" s="17">
        <f ca="1">('normal case'!D465-'normal case'!B465)/'normal case'!B465</f>
        <v>5.9014499777614481E-10</v>
      </c>
      <c r="C466" s="23">
        <f ca="1">'normal case'!D465</f>
        <v>101.00000005960464</v>
      </c>
      <c r="D466" s="24">
        <f ca="1">'normal case'!C465</f>
        <v>-1.5107707374006907E-7</v>
      </c>
      <c r="E466" s="22">
        <f ca="1">'normal case'!L465/100</f>
        <v>1.9999998807907104E-2</v>
      </c>
      <c r="F466" s="25">
        <f ca="1">'normal case'!U465/100</f>
        <v>5.499999850988388E-2</v>
      </c>
      <c r="G466" s="25">
        <f ca="1">'normal case'!T465/100</f>
        <v>3.4999999701976779E-2</v>
      </c>
      <c r="H466" s="25">
        <f ca="1">'public finance'!D464</f>
        <v>1.9802129779314939E-3</v>
      </c>
      <c r="I466" s="20">
        <f ca="1">'public finance'!E464</f>
        <v>14232.402770967483</v>
      </c>
      <c r="J466" s="118">
        <f ca="1">'public finance'!H464</f>
        <v>-406640.02605550503</v>
      </c>
      <c r="K466" s="17">
        <f ca="1">'public finance'!C464/'normal case'!D465</f>
        <v>0.19801980186333762</v>
      </c>
      <c r="L466" s="20">
        <f ca="1">'public finance'!A464/'normal case'!D465</f>
        <v>0.2</v>
      </c>
      <c r="M466" s="18" t="str">
        <f>IF(controls!$B$44=0,"",'normal case'!AJ465)</f>
        <v/>
      </c>
      <c r="N466" s="18" t="str">
        <f>IF(controls!$B$44=0,"",'normal case'!AM465)</f>
        <v/>
      </c>
      <c r="O466" s="160" t="str">
        <f>IF(controls!$B$44=0,"",'external balance'!D465)</f>
        <v/>
      </c>
      <c r="P466" s="160" t="str">
        <f>IF(controls!$B$44=0,"",'external balance'!F465)</f>
        <v/>
      </c>
      <c r="Q466" s="159" t="str">
        <f>IF(controls!$B$44=0,"",'external balance'!H465)</f>
        <v/>
      </c>
    </row>
    <row r="467" spans="1:17" ht="14" thickTop="1" thickBot="1">
      <c r="A467" s="15">
        <v>464</v>
      </c>
      <c r="B467" s="17">
        <f ca="1">('normal case'!D466-'normal case'!B466)/'normal case'!B466</f>
        <v>5.9014499777614481E-10</v>
      </c>
      <c r="C467" s="23">
        <f ca="1">'normal case'!D466</f>
        <v>101.00000005960464</v>
      </c>
      <c r="D467" s="24">
        <f ca="1">'normal case'!C466</f>
        <v>-1.5107707374006907E-7</v>
      </c>
      <c r="E467" s="22">
        <f ca="1">'normal case'!L466/100</f>
        <v>1.9999998807907104E-2</v>
      </c>
      <c r="F467" s="25">
        <f ca="1">'normal case'!U466/100</f>
        <v>5.499999850988388E-2</v>
      </c>
      <c r="G467" s="25">
        <f ca="1">'normal case'!T466/100</f>
        <v>3.4999999701976779E-2</v>
      </c>
      <c r="H467" s="25">
        <f ca="1">'public finance'!D465</f>
        <v>1.9802129779314939E-3</v>
      </c>
      <c r="I467" s="20">
        <f ca="1">'public finance'!E465</f>
        <v>14730.53686370924</v>
      </c>
      <c r="J467" s="118">
        <f ca="1">'public finance'!H465</f>
        <v>-420872.4288264577</v>
      </c>
      <c r="K467" s="17">
        <f ca="1">'public finance'!C465/'normal case'!D466</f>
        <v>0.19801980186333762</v>
      </c>
      <c r="L467" s="20">
        <f ca="1">'public finance'!A465/'normal case'!D466</f>
        <v>0.2</v>
      </c>
      <c r="M467" s="18" t="str">
        <f>IF(controls!$B$44=0,"",'normal case'!AJ466)</f>
        <v/>
      </c>
      <c r="N467" s="18" t="str">
        <f>IF(controls!$B$44=0,"",'normal case'!AM466)</f>
        <v/>
      </c>
      <c r="O467" s="160" t="str">
        <f>IF(controls!$B$44=0,"",'external balance'!D466)</f>
        <v/>
      </c>
      <c r="P467" s="160" t="str">
        <f>IF(controls!$B$44=0,"",'external balance'!F466)</f>
        <v/>
      </c>
      <c r="Q467" s="159" t="str">
        <f>IF(controls!$B$44=0,"",'external balance'!H466)</f>
        <v/>
      </c>
    </row>
    <row r="468" spans="1:17" ht="14" thickTop="1" thickBot="1">
      <c r="A468" s="15">
        <v>465</v>
      </c>
      <c r="B468" s="17">
        <f ca="1">('normal case'!D467-'normal case'!B467)/'normal case'!B467</f>
        <v>5.9014499777614481E-10</v>
      </c>
      <c r="C468" s="23">
        <f ca="1">'normal case'!D467</f>
        <v>101.00000005960464</v>
      </c>
      <c r="D468" s="24">
        <f ca="1">'normal case'!C467</f>
        <v>-1.5107707374006907E-7</v>
      </c>
      <c r="E468" s="22">
        <f ca="1">'normal case'!L467/100</f>
        <v>1.9999998807907104E-2</v>
      </c>
      <c r="F468" s="25">
        <f ca="1">'normal case'!U467/100</f>
        <v>5.499999850988388E-2</v>
      </c>
      <c r="G468" s="25">
        <f ca="1">'normal case'!T467/100</f>
        <v>3.4999999701976779E-2</v>
      </c>
      <c r="H468" s="25">
        <f ca="1">'public finance'!D466</f>
        <v>1.9802129779314939E-3</v>
      </c>
      <c r="I468" s="20">
        <f ca="1">'public finance'!E466</f>
        <v>15246.105649548499</v>
      </c>
      <c r="J468" s="118">
        <f ca="1">'public finance'!H466</f>
        <v>-435602.96569015208</v>
      </c>
      <c r="K468" s="17">
        <f ca="1">'public finance'!C466/'normal case'!D467</f>
        <v>0.19801980186333762</v>
      </c>
      <c r="L468" s="20">
        <f ca="1">'public finance'!A466/'normal case'!D467</f>
        <v>0.2</v>
      </c>
      <c r="M468" s="18" t="str">
        <f>IF(controls!$B$44=0,"",'normal case'!AJ467)</f>
        <v/>
      </c>
      <c r="N468" s="18" t="str">
        <f>IF(controls!$B$44=0,"",'normal case'!AM467)</f>
        <v/>
      </c>
      <c r="O468" s="160" t="str">
        <f>IF(controls!$B$44=0,"",'external balance'!D467)</f>
        <v/>
      </c>
      <c r="P468" s="160" t="str">
        <f>IF(controls!$B$44=0,"",'external balance'!F467)</f>
        <v/>
      </c>
      <c r="Q468" s="159" t="str">
        <f>IF(controls!$B$44=0,"",'external balance'!H467)</f>
        <v/>
      </c>
    </row>
    <row r="469" spans="1:17" ht="14" thickTop="1" thickBot="1">
      <c r="A469" s="15">
        <v>466</v>
      </c>
      <c r="B469" s="17">
        <f ca="1">('normal case'!D468-'normal case'!B468)/'normal case'!B468</f>
        <v>5.9014499777614481E-10</v>
      </c>
      <c r="C469" s="23">
        <f ca="1">'normal case'!D468</f>
        <v>101.00000005960464</v>
      </c>
      <c r="D469" s="24">
        <f ca="1">'normal case'!C468</f>
        <v>-1.5107707374006907E-7</v>
      </c>
      <c r="E469" s="22">
        <f ca="1">'normal case'!L468/100</f>
        <v>1.9999998807907104E-2</v>
      </c>
      <c r="F469" s="25">
        <f ca="1">'normal case'!U468/100</f>
        <v>5.499999850988388E-2</v>
      </c>
      <c r="G469" s="25">
        <f ca="1">'normal case'!T468/100</f>
        <v>3.4999999701976779E-2</v>
      </c>
      <c r="H469" s="25">
        <f ca="1">'public finance'!D467</f>
        <v>1.9802129779314939E-3</v>
      </c>
      <c r="I469" s="20">
        <f ca="1">'public finance'!E467</f>
        <v>15779.719342738485</v>
      </c>
      <c r="J469" s="118">
        <f ca="1">'public finance'!H467</f>
        <v>-450849.0713396857</v>
      </c>
      <c r="K469" s="17">
        <f ca="1">'public finance'!C467/'normal case'!D468</f>
        <v>0.19801980186333762</v>
      </c>
      <c r="L469" s="20">
        <f ca="1">'public finance'!A467/'normal case'!D468</f>
        <v>0.2</v>
      </c>
      <c r="M469" s="18" t="str">
        <f>IF(controls!$B$44=0,"",'normal case'!AJ468)</f>
        <v/>
      </c>
      <c r="N469" s="18" t="str">
        <f>IF(controls!$B$44=0,"",'normal case'!AM468)</f>
        <v/>
      </c>
      <c r="O469" s="160" t="str">
        <f>IF(controls!$B$44=0,"",'external balance'!D468)</f>
        <v/>
      </c>
      <c r="P469" s="160" t="str">
        <f>IF(controls!$B$44=0,"",'external balance'!F468)</f>
        <v/>
      </c>
      <c r="Q469" s="159" t="str">
        <f>IF(controls!$B$44=0,"",'external balance'!H468)</f>
        <v/>
      </c>
    </row>
    <row r="470" spans="1:17" ht="14" thickTop="1" thickBot="1">
      <c r="A470" s="15">
        <v>467</v>
      </c>
      <c r="B470" s="17">
        <f ca="1">('normal case'!D469-'normal case'!B469)/'normal case'!B469</f>
        <v>5.9014499777614481E-10</v>
      </c>
      <c r="C470" s="23">
        <f ca="1">'normal case'!D469</f>
        <v>101.00000005960464</v>
      </c>
      <c r="D470" s="24">
        <f ca="1">'normal case'!C469</f>
        <v>-1.5107707374006907E-7</v>
      </c>
      <c r="E470" s="22">
        <f ca="1">'normal case'!L469/100</f>
        <v>1.9999998807907104E-2</v>
      </c>
      <c r="F470" s="25">
        <f ca="1">'normal case'!U469/100</f>
        <v>5.499999850988388E-2</v>
      </c>
      <c r="G470" s="25">
        <f ca="1">'normal case'!T469/100</f>
        <v>3.4999999701976779E-2</v>
      </c>
      <c r="H470" s="25">
        <f ca="1">'public finance'!D468</f>
        <v>1.9802129779314939E-3</v>
      </c>
      <c r="I470" s="20">
        <f ca="1">'public finance'!E468</f>
        <v>16332.009515031088</v>
      </c>
      <c r="J470" s="118">
        <f ca="1">'public finance'!H468</f>
        <v>-466628.79068240937</v>
      </c>
      <c r="K470" s="17">
        <f ca="1">'public finance'!C468/'normal case'!D469</f>
        <v>0.19801980186333762</v>
      </c>
      <c r="L470" s="20">
        <f ca="1">'public finance'!A468/'normal case'!D469</f>
        <v>0.2</v>
      </c>
      <c r="M470" s="18" t="str">
        <f>IF(controls!$B$44=0,"",'normal case'!AJ469)</f>
        <v/>
      </c>
      <c r="N470" s="18" t="str">
        <f>IF(controls!$B$44=0,"",'normal case'!AM469)</f>
        <v/>
      </c>
      <c r="O470" s="160" t="str">
        <f>IF(controls!$B$44=0,"",'external balance'!D469)</f>
        <v/>
      </c>
      <c r="P470" s="160" t="str">
        <f>IF(controls!$B$44=0,"",'external balance'!F469)</f>
        <v/>
      </c>
      <c r="Q470" s="159" t="str">
        <f>IF(controls!$B$44=0,"",'external balance'!H469)</f>
        <v/>
      </c>
    </row>
    <row r="471" spans="1:17" ht="14" thickTop="1" thickBot="1">
      <c r="A471" s="15">
        <v>468</v>
      </c>
      <c r="B471" s="17">
        <f ca="1">('normal case'!D470-'normal case'!B470)/'normal case'!B470</f>
        <v>5.9014499777614481E-10</v>
      </c>
      <c r="C471" s="23">
        <f ca="1">'normal case'!D470</f>
        <v>101.00000005960464</v>
      </c>
      <c r="D471" s="24">
        <f ca="1">'normal case'!C470</f>
        <v>-1.5107707374006907E-7</v>
      </c>
      <c r="E471" s="22">
        <f ca="1">'normal case'!L470/100</f>
        <v>1.9999998807907104E-2</v>
      </c>
      <c r="F471" s="25">
        <f ca="1">'normal case'!U470/100</f>
        <v>5.499999850988388E-2</v>
      </c>
      <c r="G471" s="25">
        <f ca="1">'normal case'!T470/100</f>
        <v>3.4999999701976779E-2</v>
      </c>
      <c r="H471" s="25">
        <f ca="1">'public finance'!D469</f>
        <v>1.9802129779314939E-3</v>
      </c>
      <c r="I471" s="20">
        <f ca="1">'public finance'!E469</f>
        <v>16903.629843189341</v>
      </c>
      <c r="J471" s="118">
        <f ca="1">'public finance'!H469</f>
        <v>-482960.80019742559</v>
      </c>
      <c r="K471" s="17">
        <f ca="1">'public finance'!C469/'normal case'!D470</f>
        <v>0.19801980186333762</v>
      </c>
      <c r="L471" s="20">
        <f ca="1">'public finance'!A469/'normal case'!D470</f>
        <v>0.2</v>
      </c>
      <c r="M471" s="18" t="str">
        <f>IF(controls!$B$44=0,"",'normal case'!AJ470)</f>
        <v/>
      </c>
      <c r="N471" s="18" t="str">
        <f>IF(controls!$B$44=0,"",'normal case'!AM470)</f>
        <v/>
      </c>
      <c r="O471" s="160" t="str">
        <f>IF(controls!$B$44=0,"",'external balance'!D470)</f>
        <v/>
      </c>
      <c r="P471" s="160" t="str">
        <f>IF(controls!$B$44=0,"",'external balance'!F470)</f>
        <v/>
      </c>
      <c r="Q471" s="159" t="str">
        <f>IF(controls!$B$44=0,"",'external balance'!H470)</f>
        <v/>
      </c>
    </row>
    <row r="472" spans="1:17" ht="14" thickTop="1" thickBot="1">
      <c r="A472" s="15">
        <v>469</v>
      </c>
      <c r="B472" s="17">
        <f ca="1">('normal case'!D471-'normal case'!B471)/'normal case'!B471</f>
        <v>5.9014499777614481E-10</v>
      </c>
      <c r="C472" s="23">
        <f ca="1">'normal case'!D471</f>
        <v>101.00000005960464</v>
      </c>
      <c r="D472" s="24">
        <f ca="1">'normal case'!C471</f>
        <v>-1.5107707374006907E-7</v>
      </c>
      <c r="E472" s="22">
        <f ca="1">'normal case'!L471/100</f>
        <v>1.9999998807907104E-2</v>
      </c>
      <c r="F472" s="25">
        <f ca="1">'normal case'!U471/100</f>
        <v>5.499999850988388E-2</v>
      </c>
      <c r="G472" s="25">
        <f ca="1">'normal case'!T471/100</f>
        <v>3.4999999701976779E-2</v>
      </c>
      <c r="H472" s="25">
        <f ca="1">'public finance'!D470</f>
        <v>1.9802129779314939E-3</v>
      </c>
      <c r="I472" s="20">
        <f ca="1">'public finance'!E470</f>
        <v>17495.256882662772</v>
      </c>
      <c r="J472" s="118">
        <f ca="1">'public finance'!H470</f>
        <v>-499864.43004060001</v>
      </c>
      <c r="K472" s="17">
        <f ca="1">'public finance'!C470/'normal case'!D471</f>
        <v>0.19801980186333762</v>
      </c>
      <c r="L472" s="20">
        <f ca="1">'public finance'!A470/'normal case'!D471</f>
        <v>0.2</v>
      </c>
      <c r="M472" s="18" t="str">
        <f>IF(controls!$B$44=0,"",'normal case'!AJ471)</f>
        <v/>
      </c>
      <c r="N472" s="18" t="str">
        <f>IF(controls!$B$44=0,"",'normal case'!AM471)</f>
        <v/>
      </c>
      <c r="O472" s="160" t="str">
        <f>IF(controls!$B$44=0,"",'external balance'!D471)</f>
        <v/>
      </c>
      <c r="P472" s="160" t="str">
        <f>IF(controls!$B$44=0,"",'external balance'!F471)</f>
        <v/>
      </c>
      <c r="Q472" s="159" t="str">
        <f>IF(controls!$B$44=0,"",'external balance'!H471)</f>
        <v/>
      </c>
    </row>
    <row r="473" spans="1:17" ht="14" thickTop="1" thickBot="1">
      <c r="A473" s="15">
        <v>470</v>
      </c>
      <c r="B473" s="17">
        <f ca="1">('normal case'!D472-'normal case'!B472)/'normal case'!B472</f>
        <v>5.9014499777614481E-10</v>
      </c>
      <c r="C473" s="23">
        <f ca="1">'normal case'!D472</f>
        <v>101.00000005960464</v>
      </c>
      <c r="D473" s="24">
        <f ca="1">'normal case'!C472</f>
        <v>-1.5107707374006907E-7</v>
      </c>
      <c r="E473" s="22">
        <f ca="1">'normal case'!L472/100</f>
        <v>1.9999998807907104E-2</v>
      </c>
      <c r="F473" s="25">
        <f ca="1">'normal case'!U472/100</f>
        <v>5.499999850988388E-2</v>
      </c>
      <c r="G473" s="25">
        <f ca="1">'normal case'!T472/100</f>
        <v>3.4999999701976779E-2</v>
      </c>
      <c r="H473" s="25">
        <f ca="1">'public finance'!D471</f>
        <v>1.9802129779314939E-3</v>
      </c>
      <c r="I473" s="20">
        <f ca="1">'public finance'!E471</f>
        <v>18107.590868341456</v>
      </c>
      <c r="J473" s="118">
        <f ca="1">'public finance'!H471</f>
        <v>-517359.68692324794</v>
      </c>
      <c r="K473" s="17">
        <f ca="1">'public finance'!C471/'normal case'!D472</f>
        <v>0.19801980186333762</v>
      </c>
      <c r="L473" s="20">
        <f ca="1">'public finance'!A471/'normal case'!D472</f>
        <v>0.2</v>
      </c>
      <c r="M473" s="18" t="str">
        <f>IF(controls!$B$44=0,"",'normal case'!AJ472)</f>
        <v/>
      </c>
      <c r="N473" s="18" t="str">
        <f>IF(controls!$B$44=0,"",'normal case'!AM472)</f>
        <v/>
      </c>
      <c r="O473" s="160" t="str">
        <f>IF(controls!$B$44=0,"",'external balance'!D472)</f>
        <v/>
      </c>
      <c r="P473" s="160" t="str">
        <f>IF(controls!$B$44=0,"",'external balance'!F472)</f>
        <v/>
      </c>
      <c r="Q473" s="159" t="str">
        <f>IF(controls!$B$44=0,"",'external balance'!H472)</f>
        <v/>
      </c>
    </row>
    <row r="474" spans="1:17" ht="14" thickTop="1" thickBot="1">
      <c r="A474" s="15">
        <v>471</v>
      </c>
      <c r="B474" s="17">
        <f ca="1">('normal case'!D473-'normal case'!B473)/'normal case'!B473</f>
        <v>5.9014499777614481E-10</v>
      </c>
      <c r="C474" s="23">
        <f ca="1">'normal case'!D473</f>
        <v>101.00000005960464</v>
      </c>
      <c r="D474" s="24">
        <f ca="1">'normal case'!C473</f>
        <v>-1.5107707374006907E-7</v>
      </c>
      <c r="E474" s="22">
        <f ca="1">'normal case'!L473/100</f>
        <v>1.9999998807907104E-2</v>
      </c>
      <c r="F474" s="25">
        <f ca="1">'normal case'!U473/100</f>
        <v>5.499999850988388E-2</v>
      </c>
      <c r="G474" s="25">
        <f ca="1">'normal case'!T473/100</f>
        <v>3.4999999701976779E-2</v>
      </c>
      <c r="H474" s="25">
        <f ca="1">'public finance'!D472</f>
        <v>1.9802129779314939E-3</v>
      </c>
      <c r="I474" s="20">
        <f ca="1">'public finance'!E472</f>
        <v>18741.356543336406</v>
      </c>
      <c r="J474" s="118">
        <f ca="1">'public finance'!H472</f>
        <v>-535467.27779157448</v>
      </c>
      <c r="K474" s="17">
        <f ca="1">'public finance'!C472/'normal case'!D473</f>
        <v>0.19801980186333762</v>
      </c>
      <c r="L474" s="20">
        <f ca="1">'public finance'!A472/'normal case'!D473</f>
        <v>0.2</v>
      </c>
      <c r="M474" s="18" t="str">
        <f>IF(controls!$B$44=0,"",'normal case'!AJ473)</f>
        <v/>
      </c>
      <c r="N474" s="18" t="str">
        <f>IF(controls!$B$44=0,"",'normal case'!AM473)</f>
        <v/>
      </c>
      <c r="O474" s="160" t="str">
        <f>IF(controls!$B$44=0,"",'external balance'!D473)</f>
        <v/>
      </c>
      <c r="P474" s="160" t="str">
        <f>IF(controls!$B$44=0,"",'external balance'!F473)</f>
        <v/>
      </c>
      <c r="Q474" s="159" t="str">
        <f>IF(controls!$B$44=0,"",'external balance'!H473)</f>
        <v/>
      </c>
    </row>
    <row r="475" spans="1:17" ht="14" thickTop="1" thickBot="1">
      <c r="A475" s="15">
        <v>472</v>
      </c>
      <c r="B475" s="17">
        <f ca="1">('normal case'!D474-'normal case'!B474)/'normal case'!B474</f>
        <v>5.9014499777614481E-10</v>
      </c>
      <c r="C475" s="23">
        <f ca="1">'normal case'!D474</f>
        <v>101.00000005960464</v>
      </c>
      <c r="D475" s="24">
        <f ca="1">'normal case'!C474</f>
        <v>-1.5107707374006907E-7</v>
      </c>
      <c r="E475" s="22">
        <f ca="1">'normal case'!L474/100</f>
        <v>1.9999998807907104E-2</v>
      </c>
      <c r="F475" s="25">
        <f ca="1">'normal case'!U474/100</f>
        <v>5.499999850988388E-2</v>
      </c>
      <c r="G475" s="25">
        <f ca="1">'normal case'!T474/100</f>
        <v>3.4999999701976779E-2</v>
      </c>
      <c r="H475" s="25">
        <f ca="1">'public finance'!D473</f>
        <v>1.9802129779314939E-3</v>
      </c>
      <c r="I475" s="20">
        <f ca="1">'public finance'!E473</f>
        <v>19397.304016767299</v>
      </c>
      <c r="J475" s="118">
        <f ca="1">'public finance'!H473</f>
        <v>-554208.63433489599</v>
      </c>
      <c r="K475" s="17">
        <f ca="1">'public finance'!C473/'normal case'!D474</f>
        <v>0.19801980186333762</v>
      </c>
      <c r="L475" s="20">
        <f ca="1">'public finance'!A473/'normal case'!D474</f>
        <v>0.2</v>
      </c>
      <c r="M475" s="18" t="str">
        <f>IF(controls!$B$44=0,"",'normal case'!AJ474)</f>
        <v/>
      </c>
      <c r="N475" s="18" t="str">
        <f>IF(controls!$B$44=0,"",'normal case'!AM474)</f>
        <v/>
      </c>
      <c r="O475" s="160" t="str">
        <f>IF(controls!$B$44=0,"",'external balance'!D474)</f>
        <v/>
      </c>
      <c r="P475" s="160" t="str">
        <f>IF(controls!$B$44=0,"",'external balance'!F474)</f>
        <v/>
      </c>
      <c r="Q475" s="159" t="str">
        <f>IF(controls!$B$44=0,"",'external balance'!H474)</f>
        <v/>
      </c>
    </row>
    <row r="476" spans="1:17" ht="14" thickTop="1" thickBot="1">
      <c r="A476" s="15">
        <v>473</v>
      </c>
      <c r="B476" s="17">
        <f ca="1">('normal case'!D475-'normal case'!B475)/'normal case'!B475</f>
        <v>5.9014499777614481E-10</v>
      </c>
      <c r="C476" s="23">
        <f ca="1">'normal case'!D475</f>
        <v>101.00000005960464</v>
      </c>
      <c r="D476" s="24">
        <f ca="1">'normal case'!C475</f>
        <v>-1.5107707374006907E-7</v>
      </c>
      <c r="E476" s="22">
        <f ca="1">'normal case'!L475/100</f>
        <v>1.9999998807907104E-2</v>
      </c>
      <c r="F476" s="25">
        <f ca="1">'normal case'!U475/100</f>
        <v>5.499999850988388E-2</v>
      </c>
      <c r="G476" s="25">
        <f ca="1">'normal case'!T475/100</f>
        <v>3.4999999701976779E-2</v>
      </c>
      <c r="H476" s="25">
        <f ca="1">'public finance'!D474</f>
        <v>1.9802129779314939E-3</v>
      </c>
      <c r="I476" s="20">
        <f ca="1">'public finance'!E474</f>
        <v>20076.209651572786</v>
      </c>
      <c r="J476" s="118">
        <f ca="1">'public finance'!H474</f>
        <v>-573605.93835164851</v>
      </c>
      <c r="K476" s="17">
        <f ca="1">'public finance'!C474/'normal case'!D475</f>
        <v>0.19801980186333762</v>
      </c>
      <c r="L476" s="20">
        <f ca="1">'public finance'!A474/'normal case'!D475</f>
        <v>0.2</v>
      </c>
      <c r="M476" s="18" t="str">
        <f>IF(controls!$B$44=0,"",'normal case'!AJ475)</f>
        <v/>
      </c>
      <c r="N476" s="18" t="str">
        <f>IF(controls!$B$44=0,"",'normal case'!AM475)</f>
        <v/>
      </c>
      <c r="O476" s="160" t="str">
        <f>IF(controls!$B$44=0,"",'external balance'!D475)</f>
        <v/>
      </c>
      <c r="P476" s="160" t="str">
        <f>IF(controls!$B$44=0,"",'external balance'!F475)</f>
        <v/>
      </c>
      <c r="Q476" s="159" t="str">
        <f>IF(controls!$B$44=0,"",'external balance'!H475)</f>
        <v/>
      </c>
    </row>
    <row r="477" spans="1:17" ht="14" thickTop="1" thickBot="1">
      <c r="A477" s="15">
        <v>474</v>
      </c>
      <c r="B477" s="17">
        <f ca="1">('normal case'!D476-'normal case'!B476)/'normal case'!B476</f>
        <v>5.9014499777614481E-10</v>
      </c>
      <c r="C477" s="23">
        <f ca="1">'normal case'!D476</f>
        <v>101.00000005960464</v>
      </c>
      <c r="D477" s="24">
        <f ca="1">'normal case'!C476</f>
        <v>-1.5107707374006907E-7</v>
      </c>
      <c r="E477" s="22">
        <f ca="1">'normal case'!L476/100</f>
        <v>1.9999998807907104E-2</v>
      </c>
      <c r="F477" s="25">
        <f ca="1">'normal case'!U476/100</f>
        <v>5.499999850988388E-2</v>
      </c>
      <c r="G477" s="25">
        <f ca="1">'normal case'!T476/100</f>
        <v>3.4999999701976779E-2</v>
      </c>
      <c r="H477" s="25">
        <f ca="1">'public finance'!D475</f>
        <v>1.9802129779314939E-3</v>
      </c>
      <c r="I477" s="20">
        <f ca="1">'public finance'!E475</f>
        <v>20778.876983394137</v>
      </c>
      <c r="J477" s="118">
        <f ca="1">'public finance'!H475</f>
        <v>-593682.14800320636</v>
      </c>
      <c r="K477" s="17">
        <f ca="1">'public finance'!C475/'normal case'!D476</f>
        <v>0.19801980186333762</v>
      </c>
      <c r="L477" s="20">
        <f ca="1">'public finance'!A475/'normal case'!D476</f>
        <v>0.2</v>
      </c>
      <c r="M477" s="18" t="str">
        <f>IF(controls!$B$44=0,"",'normal case'!AJ476)</f>
        <v/>
      </c>
      <c r="N477" s="18" t="str">
        <f>IF(controls!$B$44=0,"",'normal case'!AM476)</f>
        <v/>
      </c>
      <c r="O477" s="160" t="str">
        <f>IF(controls!$B$44=0,"",'external balance'!D476)</f>
        <v/>
      </c>
      <c r="P477" s="160" t="str">
        <f>IF(controls!$B$44=0,"",'external balance'!F476)</f>
        <v/>
      </c>
      <c r="Q477" s="159" t="str">
        <f>IF(controls!$B$44=0,"",'external balance'!H476)</f>
        <v/>
      </c>
    </row>
    <row r="478" spans="1:17" ht="14" thickTop="1" thickBot="1">
      <c r="A478" s="15">
        <v>475</v>
      </c>
      <c r="B478" s="17">
        <f ca="1">('normal case'!D477-'normal case'!B477)/'normal case'!B477</f>
        <v>5.9014499777614481E-10</v>
      </c>
      <c r="C478" s="23">
        <f ca="1">'normal case'!D477</f>
        <v>101.00000005960464</v>
      </c>
      <c r="D478" s="24">
        <f ca="1">'normal case'!C477</f>
        <v>-1.5107707374006907E-7</v>
      </c>
      <c r="E478" s="22">
        <f ca="1">'normal case'!L477/100</f>
        <v>1.9999998807907104E-2</v>
      </c>
      <c r="F478" s="25">
        <f ca="1">'normal case'!U477/100</f>
        <v>5.499999850988388E-2</v>
      </c>
      <c r="G478" s="25">
        <f ca="1">'normal case'!T477/100</f>
        <v>3.4999999701976779E-2</v>
      </c>
      <c r="H478" s="25">
        <f ca="1">'public finance'!D476</f>
        <v>1.9802129779314939E-3</v>
      </c>
      <c r="I478" s="20">
        <f ca="1">'public finance'!E476</f>
        <v>21506.137671619825</v>
      </c>
      <c r="J478" s="118">
        <f ca="1">'public finance'!H476</f>
        <v>-614461.02498658572</v>
      </c>
      <c r="K478" s="17">
        <f ca="1">'public finance'!C476/'normal case'!D477</f>
        <v>0.19801980186333762</v>
      </c>
      <c r="L478" s="20">
        <f ca="1">'public finance'!A476/'normal case'!D477</f>
        <v>0.2</v>
      </c>
      <c r="M478" s="18" t="str">
        <f>IF(controls!$B$44=0,"",'normal case'!AJ477)</f>
        <v/>
      </c>
      <c r="N478" s="18" t="str">
        <f>IF(controls!$B$44=0,"",'normal case'!AM477)</f>
        <v/>
      </c>
      <c r="O478" s="160" t="str">
        <f>IF(controls!$B$44=0,"",'external balance'!D477)</f>
        <v/>
      </c>
      <c r="P478" s="160" t="str">
        <f>IF(controls!$B$44=0,"",'external balance'!F477)</f>
        <v/>
      </c>
      <c r="Q478" s="159" t="str">
        <f>IF(controls!$B$44=0,"",'external balance'!H477)</f>
        <v/>
      </c>
    </row>
    <row r="479" spans="1:17" ht="14" thickTop="1" thickBot="1">
      <c r="A479" s="15">
        <v>476</v>
      </c>
      <c r="B479" s="17">
        <f ca="1">('normal case'!D478-'normal case'!B478)/'normal case'!B478</f>
        <v>5.9014499777614481E-10</v>
      </c>
      <c r="C479" s="23">
        <f ca="1">'normal case'!D478</f>
        <v>101.00000005960464</v>
      </c>
      <c r="D479" s="24">
        <f ca="1">'normal case'!C478</f>
        <v>-1.5107707374006907E-7</v>
      </c>
      <c r="E479" s="22">
        <f ca="1">'normal case'!L478/100</f>
        <v>1.9999998807907104E-2</v>
      </c>
      <c r="F479" s="25">
        <f ca="1">'normal case'!U478/100</f>
        <v>5.499999850988388E-2</v>
      </c>
      <c r="G479" s="25">
        <f ca="1">'normal case'!T478/100</f>
        <v>3.4999999701976779E-2</v>
      </c>
      <c r="H479" s="25">
        <f ca="1">'public finance'!D477</f>
        <v>1.9802129779314939E-3</v>
      </c>
      <c r="I479" s="20">
        <f ca="1">'public finance'!E477</f>
        <v>22258.85248371667</v>
      </c>
      <c r="J479" s="118">
        <f ca="1">'public finance'!H477</f>
        <v>-635967.1626581907</v>
      </c>
      <c r="K479" s="17">
        <f ca="1">'public finance'!C477/'normal case'!D478</f>
        <v>0.19801980186333762</v>
      </c>
      <c r="L479" s="20">
        <f ca="1">'public finance'!A477/'normal case'!D478</f>
        <v>0.2</v>
      </c>
      <c r="M479" s="18" t="str">
        <f>IF(controls!$B$44=0,"",'normal case'!AJ478)</f>
        <v/>
      </c>
      <c r="N479" s="18" t="str">
        <f>IF(controls!$B$44=0,"",'normal case'!AM478)</f>
        <v/>
      </c>
      <c r="O479" s="160" t="str">
        <f>IF(controls!$B$44=0,"",'external balance'!D478)</f>
        <v/>
      </c>
      <c r="P479" s="160" t="str">
        <f>IF(controls!$B$44=0,"",'external balance'!F478)</f>
        <v/>
      </c>
      <c r="Q479" s="159" t="str">
        <f>IF(controls!$B$44=0,"",'external balance'!H478)</f>
        <v/>
      </c>
    </row>
    <row r="480" spans="1:17" ht="14" thickTop="1" thickBot="1">
      <c r="A480" s="15">
        <v>477</v>
      </c>
      <c r="B480" s="17">
        <f ca="1">('normal case'!D479-'normal case'!B479)/'normal case'!B479</f>
        <v>5.9014499777614481E-10</v>
      </c>
      <c r="C480" s="23">
        <f ca="1">'normal case'!D479</f>
        <v>101.00000005960464</v>
      </c>
      <c r="D480" s="24">
        <f ca="1">'normal case'!C479</f>
        <v>-1.5107707374006907E-7</v>
      </c>
      <c r="E480" s="22">
        <f ca="1">'normal case'!L479/100</f>
        <v>1.9999998807907104E-2</v>
      </c>
      <c r="F480" s="25">
        <f ca="1">'normal case'!U479/100</f>
        <v>5.499999850988388E-2</v>
      </c>
      <c r="G480" s="25">
        <f ca="1">'normal case'!T479/100</f>
        <v>3.4999999701976779E-2</v>
      </c>
      <c r="H480" s="25">
        <f ca="1">'public finance'!D478</f>
        <v>1.9802129779314939E-3</v>
      </c>
      <c r="I480" s="20">
        <f ca="1">'public finance'!E478</f>
        <v>23037.912314012581</v>
      </c>
      <c r="J480" s="118">
        <f ca="1">'public finance'!H478</f>
        <v>-658226.01514189248</v>
      </c>
      <c r="K480" s="17">
        <f ca="1">'public finance'!C478/'normal case'!D479</f>
        <v>0.19801980186333762</v>
      </c>
      <c r="L480" s="20">
        <f ca="1">'public finance'!A478/'normal case'!D479</f>
        <v>0.2</v>
      </c>
      <c r="M480" s="18" t="str">
        <f>IF(controls!$B$44=0,"",'normal case'!AJ479)</f>
        <v/>
      </c>
      <c r="N480" s="18" t="str">
        <f>IF(controls!$B$44=0,"",'normal case'!AM479)</f>
        <v/>
      </c>
      <c r="O480" s="160" t="str">
        <f>IF(controls!$B$44=0,"",'external balance'!D479)</f>
        <v/>
      </c>
      <c r="P480" s="160" t="str">
        <f>IF(controls!$B$44=0,"",'external balance'!F479)</f>
        <v/>
      </c>
      <c r="Q480" s="159" t="str">
        <f>IF(controls!$B$44=0,"",'external balance'!H479)</f>
        <v/>
      </c>
    </row>
    <row r="481" spans="1:17" ht="14" thickTop="1" thickBot="1">
      <c r="A481" s="15">
        <v>478</v>
      </c>
      <c r="B481" s="17">
        <f ca="1">('normal case'!D480-'normal case'!B480)/'normal case'!B480</f>
        <v>5.9014499777614481E-10</v>
      </c>
      <c r="C481" s="23">
        <f ca="1">'normal case'!D480</f>
        <v>101.00000005960464</v>
      </c>
      <c r="D481" s="24">
        <f ca="1">'normal case'!C480</f>
        <v>-1.5107707374006907E-7</v>
      </c>
      <c r="E481" s="22">
        <f ca="1">'normal case'!L480/100</f>
        <v>1.9999998807907104E-2</v>
      </c>
      <c r="F481" s="25">
        <f ca="1">'normal case'!U480/100</f>
        <v>5.499999850988388E-2</v>
      </c>
      <c r="G481" s="25">
        <f ca="1">'normal case'!T480/100</f>
        <v>3.4999999701976779E-2</v>
      </c>
      <c r="H481" s="25">
        <f ca="1">'public finance'!D479</f>
        <v>1.9802129779314939E-3</v>
      </c>
      <c r="I481" s="20">
        <f ca="1">'public finance'!E479</f>
        <v>23844.239238136663</v>
      </c>
      <c r="J481" s="118">
        <f ca="1">'public finance'!H479</f>
        <v>-681263.92745589023</v>
      </c>
      <c r="K481" s="17">
        <f ca="1">'public finance'!C479/'normal case'!D480</f>
        <v>0.19801980186333762</v>
      </c>
      <c r="L481" s="20">
        <f ca="1">'public finance'!A479/'normal case'!D480</f>
        <v>0.2</v>
      </c>
      <c r="M481" s="18" t="str">
        <f>IF(controls!$B$44=0,"",'normal case'!AJ480)</f>
        <v/>
      </c>
      <c r="N481" s="18" t="str">
        <f>IF(controls!$B$44=0,"",'normal case'!AM480)</f>
        <v/>
      </c>
      <c r="O481" s="160" t="str">
        <f>IF(controls!$B$44=0,"",'external balance'!D480)</f>
        <v/>
      </c>
      <c r="P481" s="160" t="str">
        <f>IF(controls!$B$44=0,"",'external balance'!F480)</f>
        <v/>
      </c>
      <c r="Q481" s="159" t="str">
        <f>IF(controls!$B$44=0,"",'external balance'!H480)</f>
        <v/>
      </c>
    </row>
    <row r="482" spans="1:17" ht="14" thickTop="1" thickBot="1">
      <c r="A482" s="15">
        <v>479</v>
      </c>
      <c r="B482" s="17">
        <f ca="1">('normal case'!D481-'normal case'!B481)/'normal case'!B481</f>
        <v>5.9014499777614481E-10</v>
      </c>
      <c r="C482" s="23">
        <f ca="1">'normal case'!D481</f>
        <v>101.00000005960464</v>
      </c>
      <c r="D482" s="24">
        <f ca="1">'normal case'!C481</f>
        <v>-1.5107707374006907E-7</v>
      </c>
      <c r="E482" s="22">
        <f ca="1">'normal case'!L481/100</f>
        <v>1.9999998807907104E-2</v>
      </c>
      <c r="F482" s="25">
        <f ca="1">'normal case'!U481/100</f>
        <v>5.499999850988388E-2</v>
      </c>
      <c r="G482" s="25">
        <f ca="1">'normal case'!T481/100</f>
        <v>3.4999999701976779E-2</v>
      </c>
      <c r="H482" s="25">
        <f ca="1">'public finance'!D480</f>
        <v>1.9802129779314939E-3</v>
      </c>
      <c r="I482" s="20">
        <f ca="1">'public finance'!E480</f>
        <v>24678.787604364796</v>
      </c>
      <c r="J482" s="118">
        <f ca="1">'public finance'!H480</f>
        <v>-705108.16669401212</v>
      </c>
      <c r="K482" s="17">
        <f ca="1">'public finance'!C480/'normal case'!D481</f>
        <v>0.19801980186333762</v>
      </c>
      <c r="L482" s="20">
        <f ca="1">'public finance'!A480/'normal case'!D481</f>
        <v>0.2</v>
      </c>
      <c r="M482" s="18" t="str">
        <f>IF(controls!$B$44=0,"",'normal case'!AJ481)</f>
        <v/>
      </c>
      <c r="N482" s="18" t="str">
        <f>IF(controls!$B$44=0,"",'normal case'!AM481)</f>
        <v/>
      </c>
      <c r="O482" s="160" t="str">
        <f>IF(controls!$B$44=0,"",'external balance'!D481)</f>
        <v/>
      </c>
      <c r="P482" s="160" t="str">
        <f>IF(controls!$B$44=0,"",'external balance'!F481)</f>
        <v/>
      </c>
      <c r="Q482" s="159" t="str">
        <f>IF(controls!$B$44=0,"",'external balance'!H481)</f>
        <v/>
      </c>
    </row>
    <row r="483" spans="1:17" ht="14" thickTop="1" thickBot="1">
      <c r="A483" s="15">
        <v>480</v>
      </c>
      <c r="B483" s="17">
        <f ca="1">('normal case'!D482-'normal case'!B482)/'normal case'!B482</f>
        <v>5.9014499777614481E-10</v>
      </c>
      <c r="C483" s="23">
        <f ca="1">'normal case'!D482</f>
        <v>101.00000005960464</v>
      </c>
      <c r="D483" s="24">
        <f ca="1">'normal case'!C482</f>
        <v>-1.5107707374006907E-7</v>
      </c>
      <c r="E483" s="22">
        <f ca="1">'normal case'!L482/100</f>
        <v>1.9999998807907104E-2</v>
      </c>
      <c r="F483" s="25">
        <f ca="1">'normal case'!U482/100</f>
        <v>5.499999850988388E-2</v>
      </c>
      <c r="G483" s="25">
        <f ca="1">'normal case'!T482/100</f>
        <v>3.4999999701976779E-2</v>
      </c>
      <c r="H483" s="25">
        <f ca="1">'public finance'!D481</f>
        <v>1.9802129779314939E-3</v>
      </c>
      <c r="I483" s="20">
        <f ca="1">'public finance'!E481</f>
        <v>25542.545163162191</v>
      </c>
      <c r="J483" s="118">
        <f ca="1">'public finance'!H481</f>
        <v>-729786.95429836202</v>
      </c>
      <c r="K483" s="17">
        <f ca="1">'public finance'!C481/'normal case'!D482</f>
        <v>0.19801980186333762</v>
      </c>
      <c r="L483" s="20">
        <f ca="1">'public finance'!A481/'normal case'!D482</f>
        <v>0.2</v>
      </c>
      <c r="M483" s="18" t="str">
        <f>IF(controls!$B$44=0,"",'normal case'!AJ482)</f>
        <v/>
      </c>
      <c r="N483" s="18" t="str">
        <f>IF(controls!$B$44=0,"",'normal case'!AM482)</f>
        <v/>
      </c>
      <c r="O483" s="160" t="str">
        <f>IF(controls!$B$44=0,"",'external balance'!D482)</f>
        <v/>
      </c>
      <c r="P483" s="160" t="str">
        <f>IF(controls!$B$44=0,"",'external balance'!F482)</f>
        <v/>
      </c>
      <c r="Q483" s="159" t="str">
        <f>IF(controls!$B$44=0,"",'external balance'!H482)</f>
        <v/>
      </c>
    </row>
    <row r="484" spans="1:17" ht="14" thickTop="1" thickBot="1">
      <c r="A484" s="15">
        <v>481</v>
      </c>
      <c r="B484" s="17">
        <f ca="1">('normal case'!D483-'normal case'!B483)/'normal case'!B483</f>
        <v>5.9014499777614481E-10</v>
      </c>
      <c r="C484" s="23">
        <f ca="1">'normal case'!D483</f>
        <v>101.00000005960464</v>
      </c>
      <c r="D484" s="24">
        <f ca="1">'normal case'!C483</f>
        <v>-1.5107707374006907E-7</v>
      </c>
      <c r="E484" s="22">
        <f ca="1">'normal case'!L483/100</f>
        <v>1.9999998807907104E-2</v>
      </c>
      <c r="F484" s="25">
        <f ca="1">'normal case'!U483/100</f>
        <v>5.499999850988388E-2</v>
      </c>
      <c r="G484" s="25">
        <f ca="1">'normal case'!T483/100</f>
        <v>3.4999999701976779E-2</v>
      </c>
      <c r="H484" s="25">
        <f ca="1">'public finance'!D482</f>
        <v>1.9802129779314939E-3</v>
      </c>
      <c r="I484" s="20">
        <f ca="1">'public finance'!E482</f>
        <v>26436.534236260079</v>
      </c>
      <c r="J484" s="118">
        <f ca="1">'public finance'!H482</f>
        <v>-755329.4994615094</v>
      </c>
      <c r="K484" s="17">
        <f ca="1">'public finance'!C482/'normal case'!D483</f>
        <v>0.19801980186333762</v>
      </c>
      <c r="L484" s="20">
        <f ca="1">'public finance'!A482/'normal case'!D483</f>
        <v>0.2</v>
      </c>
      <c r="M484" s="18" t="str">
        <f>IF(controls!$B$44=0,"",'normal case'!AJ483)</f>
        <v/>
      </c>
      <c r="N484" s="18" t="str">
        <f>IF(controls!$B$44=0,"",'normal case'!AM483)</f>
        <v/>
      </c>
      <c r="O484" s="160" t="str">
        <f>IF(controls!$B$44=0,"",'external balance'!D483)</f>
        <v/>
      </c>
      <c r="P484" s="160" t="str">
        <f>IF(controls!$B$44=0,"",'external balance'!F483)</f>
        <v/>
      </c>
      <c r="Q484" s="159" t="str">
        <f>IF(controls!$B$44=0,"",'external balance'!H483)</f>
        <v/>
      </c>
    </row>
    <row r="485" spans="1:17" ht="14" thickTop="1" thickBot="1">
      <c r="A485" s="15">
        <v>482</v>
      </c>
      <c r="B485" s="17">
        <f ca="1">('normal case'!D484-'normal case'!B484)/'normal case'!B484</f>
        <v>5.9014499777614481E-10</v>
      </c>
      <c r="C485" s="23">
        <f ca="1">'normal case'!D484</f>
        <v>101.00000005960464</v>
      </c>
      <c r="D485" s="24">
        <f ca="1">'normal case'!C484</f>
        <v>-1.5107707374006907E-7</v>
      </c>
      <c r="E485" s="22">
        <f ca="1">'normal case'!L484/100</f>
        <v>1.9999998807907104E-2</v>
      </c>
      <c r="F485" s="25">
        <f ca="1">'normal case'!U484/100</f>
        <v>5.499999850988388E-2</v>
      </c>
      <c r="G485" s="25">
        <f ca="1">'normal case'!T484/100</f>
        <v>3.4999999701976779E-2</v>
      </c>
      <c r="H485" s="25">
        <f ca="1">'public finance'!D483</f>
        <v>1.9802129779314939E-3</v>
      </c>
      <c r="I485" s="20">
        <f ca="1">'public finance'!E483</f>
        <v>27361.812926649956</v>
      </c>
      <c r="J485" s="118">
        <f ca="1">'public finance'!H483</f>
        <v>-781766.03369775461</v>
      </c>
      <c r="K485" s="17">
        <f ca="1">'public finance'!C483/'normal case'!D484</f>
        <v>0.19801980186333762</v>
      </c>
      <c r="L485" s="20">
        <f ca="1">'public finance'!A483/'normal case'!D484</f>
        <v>0.2</v>
      </c>
      <c r="M485" s="18" t="str">
        <f>IF(controls!$B$44=0,"",'normal case'!AJ484)</f>
        <v/>
      </c>
      <c r="N485" s="18" t="str">
        <f>IF(controls!$B$44=0,"",'normal case'!AM484)</f>
        <v/>
      </c>
      <c r="O485" s="160" t="str">
        <f>IF(controls!$B$44=0,"",'external balance'!D484)</f>
        <v/>
      </c>
      <c r="P485" s="160" t="str">
        <f>IF(controls!$B$44=0,"",'external balance'!F484)</f>
        <v/>
      </c>
      <c r="Q485" s="159" t="str">
        <f>IF(controls!$B$44=0,"",'external balance'!H484)</f>
        <v/>
      </c>
    </row>
    <row r="486" spans="1:17" ht="14" thickTop="1" thickBot="1">
      <c r="A486" s="15">
        <v>483</v>
      </c>
      <c r="B486" s="17">
        <f ca="1">('normal case'!D485-'normal case'!B485)/'normal case'!B485</f>
        <v>5.9014499777614481E-10</v>
      </c>
      <c r="C486" s="23">
        <f ca="1">'normal case'!D485</f>
        <v>101.00000005960464</v>
      </c>
      <c r="D486" s="24">
        <f ca="1">'normal case'!C485</f>
        <v>-1.5107707374006907E-7</v>
      </c>
      <c r="E486" s="22">
        <f ca="1">'normal case'!L485/100</f>
        <v>1.9999998807907104E-2</v>
      </c>
      <c r="F486" s="25">
        <f ca="1">'normal case'!U485/100</f>
        <v>5.499999850988388E-2</v>
      </c>
      <c r="G486" s="25">
        <f ca="1">'normal case'!T485/100</f>
        <v>3.4999999701976779E-2</v>
      </c>
      <c r="H486" s="25">
        <f ca="1">'public finance'!D484</f>
        <v>1.9802129779314939E-3</v>
      </c>
      <c r="I486" s="20">
        <f ca="1">'public finance'!E484</f>
        <v>28319.476370927732</v>
      </c>
      <c r="J486" s="118">
        <f ca="1">'public finance'!H484</f>
        <v>-809127.84662438964</v>
      </c>
      <c r="K486" s="17">
        <f ca="1">'public finance'!C484/'normal case'!D485</f>
        <v>0.19801980186333762</v>
      </c>
      <c r="L486" s="20">
        <f ca="1">'public finance'!A484/'normal case'!D485</f>
        <v>0.2</v>
      </c>
      <c r="M486" s="18" t="str">
        <f>IF(controls!$B$44=0,"",'normal case'!AJ485)</f>
        <v/>
      </c>
      <c r="N486" s="18" t="str">
        <f>IF(controls!$B$44=0,"",'normal case'!AM485)</f>
        <v/>
      </c>
      <c r="O486" s="160" t="str">
        <f>IF(controls!$B$44=0,"",'external balance'!D485)</f>
        <v/>
      </c>
      <c r="P486" s="160" t="str">
        <f>IF(controls!$B$44=0,"",'external balance'!F485)</f>
        <v/>
      </c>
      <c r="Q486" s="159" t="str">
        <f>IF(controls!$B$44=0,"",'external balance'!H485)</f>
        <v/>
      </c>
    </row>
    <row r="487" spans="1:17" ht="14" thickTop="1" thickBot="1">
      <c r="A487" s="15">
        <v>484</v>
      </c>
      <c r="B487" s="17">
        <f ca="1">('normal case'!D486-'normal case'!B486)/'normal case'!B486</f>
        <v>5.9014499777614481E-10</v>
      </c>
      <c r="C487" s="23">
        <f ca="1">'normal case'!D486</f>
        <v>101.00000005960464</v>
      </c>
      <c r="D487" s="24">
        <f ca="1">'normal case'!C486</f>
        <v>-1.5107707374006907E-7</v>
      </c>
      <c r="E487" s="22">
        <f ca="1">'normal case'!L486/100</f>
        <v>1.9999998807907104E-2</v>
      </c>
      <c r="F487" s="25">
        <f ca="1">'normal case'!U486/100</f>
        <v>5.499999850988388E-2</v>
      </c>
      <c r="G487" s="25">
        <f ca="1">'normal case'!T486/100</f>
        <v>3.4999999701976779E-2</v>
      </c>
      <c r="H487" s="25">
        <f ca="1">'public finance'!D485</f>
        <v>1.9802129779314939E-3</v>
      </c>
      <c r="I487" s="20">
        <f ca="1">'public finance'!E485</f>
        <v>29310.658035469824</v>
      </c>
      <c r="J487" s="118">
        <f ca="1">'public finance'!H485</f>
        <v>-837447.32299530262</v>
      </c>
      <c r="K487" s="17">
        <f ca="1">'public finance'!C485/'normal case'!D486</f>
        <v>0.19801980186333762</v>
      </c>
      <c r="L487" s="20">
        <f ca="1">'public finance'!A485/'normal case'!D486</f>
        <v>0.2</v>
      </c>
      <c r="M487" s="18" t="str">
        <f>IF(controls!$B$44=0,"",'normal case'!AJ486)</f>
        <v/>
      </c>
      <c r="N487" s="18" t="str">
        <f>IF(controls!$B$44=0,"",'normal case'!AM486)</f>
        <v/>
      </c>
      <c r="O487" s="160" t="str">
        <f>IF(controls!$B$44=0,"",'external balance'!D486)</f>
        <v/>
      </c>
      <c r="P487" s="160" t="str">
        <f>IF(controls!$B$44=0,"",'external balance'!F486)</f>
        <v/>
      </c>
      <c r="Q487" s="159" t="str">
        <f>IF(controls!$B$44=0,"",'external balance'!H486)</f>
        <v/>
      </c>
    </row>
    <row r="488" spans="1:17" ht="14" thickTop="1" thickBot="1">
      <c r="A488" s="15">
        <v>485</v>
      </c>
      <c r="B488" s="17">
        <f ca="1">('normal case'!D487-'normal case'!B487)/'normal case'!B487</f>
        <v>5.9014499777614481E-10</v>
      </c>
      <c r="C488" s="23">
        <f ca="1">'normal case'!D487</f>
        <v>101.00000005960464</v>
      </c>
      <c r="D488" s="24">
        <f ca="1">'normal case'!C487</f>
        <v>-1.5107707374006907E-7</v>
      </c>
      <c r="E488" s="22">
        <f ca="1">'normal case'!L487/100</f>
        <v>1.9999998807907104E-2</v>
      </c>
      <c r="F488" s="25">
        <f ca="1">'normal case'!U487/100</f>
        <v>5.499999850988388E-2</v>
      </c>
      <c r="G488" s="25">
        <f ca="1">'normal case'!T487/100</f>
        <v>3.4999999701976779E-2</v>
      </c>
      <c r="H488" s="25">
        <f ca="1">'public finance'!D486</f>
        <v>1.9802129779314939E-3</v>
      </c>
      <c r="I488" s="20">
        <f ca="1">'public finance'!E486</f>
        <v>30336.531057975491</v>
      </c>
      <c r="J488" s="118">
        <f ca="1">'public finance'!H486</f>
        <v>-866757.98103075766</v>
      </c>
      <c r="K488" s="17">
        <f ca="1">'public finance'!C486/'normal case'!D487</f>
        <v>0.19801980186333762</v>
      </c>
      <c r="L488" s="20">
        <f ca="1">'public finance'!A486/'normal case'!D487</f>
        <v>0.2</v>
      </c>
      <c r="M488" s="18" t="str">
        <f>IF(controls!$B$44=0,"",'normal case'!AJ487)</f>
        <v/>
      </c>
      <c r="N488" s="18" t="str">
        <f>IF(controls!$B$44=0,"",'normal case'!AM487)</f>
        <v/>
      </c>
      <c r="O488" s="160" t="str">
        <f>IF(controls!$B$44=0,"",'external balance'!D487)</f>
        <v/>
      </c>
      <c r="P488" s="160" t="str">
        <f>IF(controls!$B$44=0,"",'external balance'!F487)</f>
        <v/>
      </c>
      <c r="Q488" s="159" t="str">
        <f>IF(controls!$B$44=0,"",'external balance'!H487)</f>
        <v/>
      </c>
    </row>
    <row r="489" spans="1:17" ht="14" thickTop="1" thickBot="1">
      <c r="A489" s="15">
        <v>486</v>
      </c>
      <c r="B489" s="17">
        <f ca="1">('normal case'!D488-'normal case'!B488)/'normal case'!B488</f>
        <v>5.9014499777614481E-10</v>
      </c>
      <c r="C489" s="23">
        <f ca="1">'normal case'!D488</f>
        <v>101.00000005960464</v>
      </c>
      <c r="D489" s="24">
        <f ca="1">'normal case'!C488</f>
        <v>-1.5107707374006907E-7</v>
      </c>
      <c r="E489" s="22">
        <f ca="1">'normal case'!L488/100</f>
        <v>1.9999998807907104E-2</v>
      </c>
      <c r="F489" s="25">
        <f ca="1">'normal case'!U488/100</f>
        <v>5.499999850988388E-2</v>
      </c>
      <c r="G489" s="25">
        <f ca="1">'normal case'!T488/100</f>
        <v>3.4999999701976779E-2</v>
      </c>
      <c r="H489" s="25">
        <f ca="1">'public finance'!D487</f>
        <v>1.9802129779314939E-3</v>
      </c>
      <c r="I489" s="20">
        <f ca="1">'public finance'!E487</f>
        <v>31398.309635963127</v>
      </c>
      <c r="J489" s="118">
        <f ca="1">'public finance'!H487</f>
        <v>-897094.51208871836</v>
      </c>
      <c r="K489" s="17">
        <f ca="1">'public finance'!C487/'normal case'!D488</f>
        <v>0.19801980186333762</v>
      </c>
      <c r="L489" s="20">
        <f ca="1">'public finance'!A487/'normal case'!D488</f>
        <v>0.2</v>
      </c>
      <c r="M489" s="18" t="str">
        <f>IF(controls!$B$44=0,"",'normal case'!AJ488)</f>
        <v/>
      </c>
      <c r="N489" s="18" t="str">
        <f>IF(controls!$B$44=0,"",'normal case'!AM488)</f>
        <v/>
      </c>
      <c r="O489" s="160" t="str">
        <f>IF(controls!$B$44=0,"",'external balance'!D488)</f>
        <v/>
      </c>
      <c r="P489" s="160" t="str">
        <f>IF(controls!$B$44=0,"",'external balance'!F488)</f>
        <v/>
      </c>
      <c r="Q489" s="159" t="str">
        <f>IF(controls!$B$44=0,"",'external balance'!H488)</f>
        <v/>
      </c>
    </row>
    <row r="490" spans="1:17" ht="14" thickTop="1" thickBot="1">
      <c r="A490" s="15">
        <v>487</v>
      </c>
      <c r="B490" s="17">
        <f ca="1">('normal case'!D489-'normal case'!B489)/'normal case'!B489</f>
        <v>5.9014499777614481E-10</v>
      </c>
      <c r="C490" s="23">
        <f ca="1">'normal case'!D489</f>
        <v>101.00000005960464</v>
      </c>
      <c r="D490" s="24">
        <f ca="1">'normal case'!C489</f>
        <v>-1.5107707374006907E-7</v>
      </c>
      <c r="E490" s="22">
        <f ca="1">'normal case'!L489/100</f>
        <v>1.9999998807907104E-2</v>
      </c>
      <c r="F490" s="25">
        <f ca="1">'normal case'!U489/100</f>
        <v>5.499999850988388E-2</v>
      </c>
      <c r="G490" s="25">
        <f ca="1">'normal case'!T489/100</f>
        <v>3.4999999701976779E-2</v>
      </c>
      <c r="H490" s="25">
        <f ca="1">'public finance'!D488</f>
        <v>1.9802129779314939E-3</v>
      </c>
      <c r="I490" s="20">
        <f ca="1">'public finance'!E488</f>
        <v>32497.250463863897</v>
      </c>
      <c r="J490" s="118">
        <f ca="1">'public finance'!H488</f>
        <v>-928492.82172466675</v>
      </c>
      <c r="K490" s="17">
        <f ca="1">'public finance'!C488/'normal case'!D489</f>
        <v>0.19801980186333762</v>
      </c>
      <c r="L490" s="20">
        <f ca="1">'public finance'!A488/'normal case'!D489</f>
        <v>0.2</v>
      </c>
      <c r="M490" s="18" t="str">
        <f>IF(controls!$B$44=0,"",'normal case'!AJ489)</f>
        <v/>
      </c>
      <c r="N490" s="18" t="str">
        <f>IF(controls!$B$44=0,"",'normal case'!AM489)</f>
        <v/>
      </c>
      <c r="O490" s="160" t="str">
        <f>IF(controls!$B$44=0,"",'external balance'!D489)</f>
        <v/>
      </c>
      <c r="P490" s="160" t="str">
        <f>IF(controls!$B$44=0,"",'external balance'!F489)</f>
        <v/>
      </c>
      <c r="Q490" s="159" t="str">
        <f>IF(controls!$B$44=0,"",'external balance'!H489)</f>
        <v/>
      </c>
    </row>
    <row r="491" spans="1:17" ht="14" thickTop="1" thickBot="1">
      <c r="A491" s="15">
        <v>488</v>
      </c>
      <c r="B491" s="17">
        <f ca="1">('normal case'!D490-'normal case'!B490)/'normal case'!B490</f>
        <v>5.9014499777614481E-10</v>
      </c>
      <c r="C491" s="23">
        <f ca="1">'normal case'!D490</f>
        <v>101.00000005960464</v>
      </c>
      <c r="D491" s="24">
        <f ca="1">'normal case'!C490</f>
        <v>-1.5107707374006907E-7</v>
      </c>
      <c r="E491" s="22">
        <f ca="1">'normal case'!L490/100</f>
        <v>1.9999998807907104E-2</v>
      </c>
      <c r="F491" s="25">
        <f ca="1">'normal case'!U490/100</f>
        <v>5.499999850988388E-2</v>
      </c>
      <c r="G491" s="25">
        <f ca="1">'normal case'!T490/100</f>
        <v>3.4999999701976779E-2</v>
      </c>
      <c r="H491" s="25">
        <f ca="1">'public finance'!D489</f>
        <v>1.9802129779314939E-3</v>
      </c>
      <c r="I491" s="20">
        <f ca="1">'public finance'!E489</f>
        <v>33634.654220413671</v>
      </c>
      <c r="J491" s="118">
        <f ca="1">'public finance'!H489</f>
        <v>-960990.07218851591</v>
      </c>
      <c r="K491" s="17">
        <f ca="1">'public finance'!C489/'normal case'!D490</f>
        <v>0.19801980186333762</v>
      </c>
      <c r="L491" s="20">
        <f ca="1">'public finance'!A489/'normal case'!D490</f>
        <v>0.2</v>
      </c>
      <c r="M491" s="18" t="str">
        <f>IF(controls!$B$44=0,"",'normal case'!AJ490)</f>
        <v/>
      </c>
      <c r="N491" s="18" t="str">
        <f>IF(controls!$B$44=0,"",'normal case'!AM490)</f>
        <v/>
      </c>
      <c r="O491" s="160" t="str">
        <f>IF(controls!$B$44=0,"",'external balance'!D490)</f>
        <v/>
      </c>
      <c r="P491" s="160" t="str">
        <f>IF(controls!$B$44=0,"",'external balance'!F490)</f>
        <v/>
      </c>
      <c r="Q491" s="159" t="str">
        <f>IF(controls!$B$44=0,"",'external balance'!H490)</f>
        <v/>
      </c>
    </row>
    <row r="492" spans="1:17" ht="14" thickTop="1" thickBot="1">
      <c r="A492" s="15">
        <v>489</v>
      </c>
      <c r="B492" s="17">
        <f ca="1">('normal case'!D491-'normal case'!B491)/'normal case'!B491</f>
        <v>5.9014499777614481E-10</v>
      </c>
      <c r="C492" s="23">
        <f ca="1">'normal case'!D491</f>
        <v>101.00000005960464</v>
      </c>
      <c r="D492" s="24">
        <f ca="1">'normal case'!C491</f>
        <v>-1.5107707374006907E-7</v>
      </c>
      <c r="E492" s="22">
        <f ca="1">'normal case'!L491/100</f>
        <v>1.9999998807907104E-2</v>
      </c>
      <c r="F492" s="25">
        <f ca="1">'normal case'!U491/100</f>
        <v>5.499999850988388E-2</v>
      </c>
      <c r="G492" s="25">
        <f ca="1">'normal case'!T491/100</f>
        <v>3.4999999701976779E-2</v>
      </c>
      <c r="H492" s="25">
        <f ca="1">'public finance'!D490</f>
        <v>1.9802129779314939E-3</v>
      </c>
      <c r="I492" s="20">
        <f ca="1">'public finance'!E490</f>
        <v>34811.867108103732</v>
      </c>
      <c r="J492" s="118">
        <f ca="1">'public finance'!H490</f>
        <v>-994624.72640891478</v>
      </c>
      <c r="K492" s="17">
        <f ca="1">'public finance'!C490/'normal case'!D491</f>
        <v>0.19801980186333762</v>
      </c>
      <c r="L492" s="20">
        <f ca="1">'public finance'!A490/'normal case'!D491</f>
        <v>0.2</v>
      </c>
      <c r="M492" s="18" t="str">
        <f>IF(controls!$B$44=0,"",'normal case'!AJ491)</f>
        <v/>
      </c>
      <c r="N492" s="18" t="str">
        <f>IF(controls!$B$44=0,"",'normal case'!AM491)</f>
        <v/>
      </c>
      <c r="O492" s="160" t="str">
        <f>IF(controls!$B$44=0,"",'external balance'!D491)</f>
        <v/>
      </c>
      <c r="P492" s="160" t="str">
        <f>IF(controls!$B$44=0,"",'external balance'!F491)</f>
        <v/>
      </c>
      <c r="Q492" s="159" t="str">
        <f>IF(controls!$B$44=0,"",'external balance'!H491)</f>
        <v/>
      </c>
    </row>
    <row r="493" spans="1:17" ht="14" thickTop="1" thickBot="1">
      <c r="A493" s="15">
        <v>490</v>
      </c>
      <c r="B493" s="17">
        <f ca="1">('normal case'!D492-'normal case'!B492)/'normal case'!B492</f>
        <v>5.9014499777614481E-10</v>
      </c>
      <c r="C493" s="23">
        <f ca="1">'normal case'!D492</f>
        <v>101.00000005960464</v>
      </c>
      <c r="D493" s="24">
        <f ca="1">'normal case'!C492</f>
        <v>-1.5107707374006907E-7</v>
      </c>
      <c r="E493" s="22">
        <f ca="1">'normal case'!L492/100</f>
        <v>1.9999998807907104E-2</v>
      </c>
      <c r="F493" s="25">
        <f ca="1">'normal case'!U492/100</f>
        <v>5.499999850988388E-2</v>
      </c>
      <c r="G493" s="25">
        <f ca="1">'normal case'!T492/100</f>
        <v>3.4999999701976779E-2</v>
      </c>
      <c r="H493" s="25">
        <f ca="1">'public finance'!D491</f>
        <v>1.9802129779314939E-3</v>
      </c>
      <c r="I493" s="20">
        <f ca="1">'public finance'!E491</f>
        <v>36030.282446512094</v>
      </c>
      <c r="J493" s="118">
        <f ca="1">'public finance'!H491</f>
        <v>-1029436.5935170038</v>
      </c>
      <c r="K493" s="17">
        <f ca="1">'public finance'!C491/'normal case'!D492</f>
        <v>0.19801980186333762</v>
      </c>
      <c r="L493" s="20">
        <f ca="1">'public finance'!A491/'normal case'!D492</f>
        <v>0.2</v>
      </c>
      <c r="M493" s="18" t="str">
        <f>IF(controls!$B$44=0,"",'normal case'!AJ492)</f>
        <v/>
      </c>
      <c r="N493" s="18" t="str">
        <f>IF(controls!$B$44=0,"",'normal case'!AM492)</f>
        <v/>
      </c>
      <c r="O493" s="160" t="str">
        <f>IF(controls!$B$44=0,"",'external balance'!D492)</f>
        <v/>
      </c>
      <c r="P493" s="160" t="str">
        <f>IF(controls!$B$44=0,"",'external balance'!F492)</f>
        <v/>
      </c>
      <c r="Q493" s="159" t="str">
        <f>IF(controls!$B$44=0,"",'external balance'!H492)</f>
        <v/>
      </c>
    </row>
    <row r="494" spans="1:17" ht="14" thickTop="1" thickBot="1">
      <c r="A494" s="15">
        <v>491</v>
      </c>
      <c r="B494" s="17">
        <f ca="1">('normal case'!D493-'normal case'!B493)/'normal case'!B493</f>
        <v>5.9014499777614481E-10</v>
      </c>
      <c r="C494" s="23">
        <f ca="1">'normal case'!D493</f>
        <v>101.00000005960464</v>
      </c>
      <c r="D494" s="24">
        <f ca="1">'normal case'!C493</f>
        <v>-1.5107707374006907E-7</v>
      </c>
      <c r="E494" s="22">
        <f ca="1">'normal case'!L493/100</f>
        <v>1.9999998807907104E-2</v>
      </c>
      <c r="F494" s="25">
        <f ca="1">'normal case'!U493/100</f>
        <v>5.499999850988388E-2</v>
      </c>
      <c r="G494" s="25">
        <f ca="1">'normal case'!T493/100</f>
        <v>3.4999999701976779E-2</v>
      </c>
      <c r="H494" s="25">
        <f ca="1">'public finance'!D492</f>
        <v>1.9802129779314939E-3</v>
      </c>
      <c r="I494" s="20">
        <f ca="1">'public finance'!E492</f>
        <v>37291.342321401644</v>
      </c>
      <c r="J494" s="118">
        <f ca="1">'public finance'!H492</f>
        <v>-1065466.8759635009</v>
      </c>
      <c r="K494" s="17">
        <f ca="1">'public finance'!C492/'normal case'!D493</f>
        <v>0.19801980186333762</v>
      </c>
      <c r="L494" s="20">
        <f ca="1">'public finance'!A492/'normal case'!D493</f>
        <v>0.2</v>
      </c>
      <c r="M494" s="18" t="str">
        <f>IF(controls!$B$44=0,"",'normal case'!AJ493)</f>
        <v/>
      </c>
      <c r="N494" s="18" t="str">
        <f>IF(controls!$B$44=0,"",'normal case'!AM493)</f>
        <v/>
      </c>
      <c r="O494" s="160" t="str">
        <f>IF(controls!$B$44=0,"",'external balance'!D493)</f>
        <v/>
      </c>
      <c r="P494" s="160" t="str">
        <f>IF(controls!$B$44=0,"",'external balance'!F493)</f>
        <v/>
      </c>
      <c r="Q494" s="159" t="str">
        <f>IF(controls!$B$44=0,"",'external balance'!H493)</f>
        <v/>
      </c>
    </row>
    <row r="495" spans="1:17" ht="14" thickTop="1" thickBot="1">
      <c r="A495" s="15">
        <v>492</v>
      </c>
      <c r="B495" s="17">
        <f ca="1">('normal case'!D494-'normal case'!B494)/'normal case'!B494</f>
        <v>5.9014499777614481E-10</v>
      </c>
      <c r="C495" s="23">
        <f ca="1">'normal case'!D494</f>
        <v>101.00000005960464</v>
      </c>
      <c r="D495" s="24">
        <f ca="1">'normal case'!C494</f>
        <v>-1.5107707374006907E-7</v>
      </c>
      <c r="E495" s="22">
        <f ca="1">'normal case'!L494/100</f>
        <v>1.9999998807907104E-2</v>
      </c>
      <c r="F495" s="25">
        <f ca="1">'normal case'!U494/100</f>
        <v>5.499999850988388E-2</v>
      </c>
      <c r="G495" s="25">
        <f ca="1">'normal case'!T494/100</f>
        <v>3.4999999701976779E-2</v>
      </c>
      <c r="H495" s="25">
        <f ca="1">'public finance'!D493</f>
        <v>1.9802129779314939E-3</v>
      </c>
      <c r="I495" s="20">
        <f ca="1">'public finance'!E493</f>
        <v>38596.539291536494</v>
      </c>
      <c r="J495" s="118">
        <f ca="1">'public finance'!H493</f>
        <v>-1102758.218284888</v>
      </c>
      <c r="K495" s="17">
        <f ca="1">'public finance'!C493/'normal case'!D494</f>
        <v>0.19801980186333762</v>
      </c>
      <c r="L495" s="20">
        <f ca="1">'public finance'!A493/'normal case'!D494</f>
        <v>0.2</v>
      </c>
      <c r="M495" s="18" t="str">
        <f>IF(controls!$B$44=0,"",'normal case'!AJ494)</f>
        <v/>
      </c>
      <c r="N495" s="18" t="str">
        <f>IF(controls!$B$44=0,"",'normal case'!AM494)</f>
        <v/>
      </c>
      <c r="O495" s="160" t="str">
        <f>IF(controls!$B$44=0,"",'external balance'!D494)</f>
        <v/>
      </c>
      <c r="P495" s="160" t="str">
        <f>IF(controls!$B$44=0,"",'external balance'!F494)</f>
        <v/>
      </c>
      <c r="Q495" s="159" t="str">
        <f>IF(controls!$B$44=0,"",'external balance'!H494)</f>
        <v/>
      </c>
    </row>
    <row r="496" spans="1:17" ht="14" thickTop="1" thickBot="1">
      <c r="A496" s="15">
        <v>493</v>
      </c>
      <c r="B496" s="17">
        <f ca="1">('normal case'!D495-'normal case'!B495)/'normal case'!B495</f>
        <v>5.9014499777614481E-10</v>
      </c>
      <c r="C496" s="23">
        <f ca="1">'normal case'!D495</f>
        <v>101.00000005960464</v>
      </c>
      <c r="D496" s="24">
        <f ca="1">'normal case'!C495</f>
        <v>-1.5107707374006907E-7</v>
      </c>
      <c r="E496" s="22">
        <f ca="1">'normal case'!L495/100</f>
        <v>1.9999998807907104E-2</v>
      </c>
      <c r="F496" s="25">
        <f ca="1">'normal case'!U495/100</f>
        <v>5.499999850988388E-2</v>
      </c>
      <c r="G496" s="25">
        <f ca="1">'normal case'!T495/100</f>
        <v>3.4999999701976779E-2</v>
      </c>
      <c r="H496" s="25">
        <f ca="1">'public finance'!D494</f>
        <v>1.9802129779314939E-3</v>
      </c>
      <c r="I496" s="20">
        <f ca="1">'public finance'!E494</f>
        <v>39947.418155237086</v>
      </c>
      <c r="J496" s="118">
        <f ca="1">'public finance'!H494</f>
        <v>-1141354.7575764095</v>
      </c>
      <c r="K496" s="17">
        <f ca="1">'public finance'!C494/'normal case'!D495</f>
        <v>0.19801980186333762</v>
      </c>
      <c r="L496" s="20">
        <f ca="1">'public finance'!A494/'normal case'!D495</f>
        <v>0.2</v>
      </c>
      <c r="M496" s="18" t="str">
        <f>IF(controls!$B$44=0,"",'normal case'!AJ495)</f>
        <v/>
      </c>
      <c r="N496" s="18" t="str">
        <f>IF(controls!$B$44=0,"",'normal case'!AM495)</f>
        <v/>
      </c>
      <c r="O496" s="160" t="str">
        <f>IF(controls!$B$44=0,"",'external balance'!D495)</f>
        <v/>
      </c>
      <c r="P496" s="160" t="str">
        <f>IF(controls!$B$44=0,"",'external balance'!F495)</f>
        <v/>
      </c>
      <c r="Q496" s="159" t="str">
        <f>IF(controls!$B$44=0,"",'external balance'!H495)</f>
        <v/>
      </c>
    </row>
    <row r="497" spans="1:17" ht="14" thickTop="1" thickBot="1">
      <c r="A497" s="15">
        <v>494</v>
      </c>
      <c r="B497" s="17">
        <f ca="1">('normal case'!D496-'normal case'!B496)/'normal case'!B496</f>
        <v>5.9014499777614481E-10</v>
      </c>
      <c r="C497" s="23">
        <f ca="1">'normal case'!D496</f>
        <v>101.00000005960464</v>
      </c>
      <c r="D497" s="24">
        <f ca="1">'normal case'!C496</f>
        <v>-1.5107707374006907E-7</v>
      </c>
      <c r="E497" s="22">
        <f ca="1">'normal case'!L496/100</f>
        <v>1.9999998807907104E-2</v>
      </c>
      <c r="F497" s="25">
        <f ca="1">'normal case'!U496/100</f>
        <v>5.499999850988388E-2</v>
      </c>
      <c r="G497" s="25">
        <f ca="1">'normal case'!T496/100</f>
        <v>3.4999999701976779E-2</v>
      </c>
      <c r="H497" s="25">
        <f ca="1">'public finance'!D495</f>
        <v>1.9802129779314939E-3</v>
      </c>
      <c r="I497" s="20">
        <f ca="1">'public finance'!E495</f>
        <v>41345.577778764615</v>
      </c>
      <c r="J497" s="118">
        <f ca="1">'public finance'!H495</f>
        <v>-1181302.1757316319</v>
      </c>
      <c r="K497" s="17">
        <f ca="1">'public finance'!C495/'normal case'!D496</f>
        <v>0.19801980186333762</v>
      </c>
      <c r="L497" s="20">
        <f ca="1">'public finance'!A495/'normal case'!D496</f>
        <v>0.2</v>
      </c>
      <c r="M497" s="18" t="str">
        <f>IF(controls!$B$44=0,"",'normal case'!AJ496)</f>
        <v/>
      </c>
      <c r="N497" s="18" t="str">
        <f>IF(controls!$B$44=0,"",'normal case'!AM496)</f>
        <v/>
      </c>
      <c r="O497" s="160" t="str">
        <f>IF(controls!$B$44=0,"",'external balance'!D496)</f>
        <v/>
      </c>
      <c r="P497" s="160" t="str">
        <f>IF(controls!$B$44=0,"",'external balance'!F496)</f>
        <v/>
      </c>
      <c r="Q497" s="159" t="str">
        <f>IF(controls!$B$44=0,"",'external balance'!H496)</f>
        <v/>
      </c>
    </row>
    <row r="498" spans="1:17" ht="14" thickTop="1" thickBot="1">
      <c r="A498" s="15">
        <v>495</v>
      </c>
      <c r="B498" s="17">
        <f ca="1">('normal case'!D497-'normal case'!B497)/'normal case'!B497</f>
        <v>5.9014499777614481E-10</v>
      </c>
      <c r="C498" s="23">
        <f ca="1">'normal case'!D497</f>
        <v>101.00000005960464</v>
      </c>
      <c r="D498" s="24">
        <f ca="1">'normal case'!C497</f>
        <v>-1.5107707374006907E-7</v>
      </c>
      <c r="E498" s="22">
        <f ca="1">'normal case'!L497/100</f>
        <v>1.9999998807907104E-2</v>
      </c>
      <c r="F498" s="25">
        <f ca="1">'normal case'!U497/100</f>
        <v>5.499999850988388E-2</v>
      </c>
      <c r="G498" s="25">
        <f ca="1">'normal case'!T497/100</f>
        <v>3.4999999701976779E-2</v>
      </c>
      <c r="H498" s="25">
        <f ca="1">'public finance'!D496</f>
        <v>1.9802129779314939E-3</v>
      </c>
      <c r="I498" s="20">
        <f ca="1">'public finance'!E496</f>
        <v>42792.672988698905</v>
      </c>
      <c r="J498" s="118">
        <f ca="1">'public finance'!H496</f>
        <v>-1222647.7535103816</v>
      </c>
      <c r="K498" s="17">
        <f ca="1">'public finance'!C496/'normal case'!D497</f>
        <v>0.19801980186333762</v>
      </c>
      <c r="L498" s="20">
        <f ca="1">'public finance'!A496/'normal case'!D497</f>
        <v>0.2</v>
      </c>
      <c r="M498" s="18" t="str">
        <f>IF(controls!$B$44=0,"",'normal case'!AJ497)</f>
        <v/>
      </c>
      <c r="N498" s="18" t="str">
        <f>IF(controls!$B$44=0,"",'normal case'!AM497)</f>
        <v/>
      </c>
      <c r="O498" s="160" t="str">
        <f>IF(controls!$B$44=0,"",'external balance'!D497)</f>
        <v/>
      </c>
      <c r="P498" s="160" t="str">
        <f>IF(controls!$B$44=0,"",'external balance'!F497)</f>
        <v/>
      </c>
      <c r="Q498" s="159" t="str">
        <f>IF(controls!$B$44=0,"",'external balance'!H497)</f>
        <v/>
      </c>
    </row>
    <row r="499" spans="1:17" ht="14" thickTop="1" thickBot="1">
      <c r="A499" s="15">
        <v>496</v>
      </c>
      <c r="B499" s="17">
        <f ca="1">('normal case'!D498-'normal case'!B498)/'normal case'!B498</f>
        <v>5.9014499777614481E-10</v>
      </c>
      <c r="C499" s="23">
        <f ca="1">'normal case'!D498</f>
        <v>101.00000005960464</v>
      </c>
      <c r="D499" s="24">
        <f ca="1">'normal case'!C498</f>
        <v>-1.5107707374006907E-7</v>
      </c>
      <c r="E499" s="22">
        <f ca="1">'normal case'!L498/100</f>
        <v>1.9999998807907104E-2</v>
      </c>
      <c r="F499" s="25">
        <f ca="1">'normal case'!U498/100</f>
        <v>5.499999850988388E-2</v>
      </c>
      <c r="G499" s="25">
        <f ca="1">'normal case'!T498/100</f>
        <v>3.4999999701976779E-2</v>
      </c>
      <c r="H499" s="25">
        <f ca="1">'public finance'!D497</f>
        <v>1.9802129779314939E-3</v>
      </c>
      <c r="I499" s="20">
        <f ca="1">'public finance'!E497</f>
        <v>44290.416530549635</v>
      </c>
      <c r="J499" s="118">
        <f ca="1">'public finance'!H497</f>
        <v>-1265440.4264990657</v>
      </c>
      <c r="K499" s="17">
        <f ca="1">'public finance'!C497/'normal case'!D498</f>
        <v>0.19801980186333762</v>
      </c>
      <c r="L499" s="20">
        <f ca="1">'public finance'!A497/'normal case'!D498</f>
        <v>0.2</v>
      </c>
      <c r="M499" s="18" t="str">
        <f>IF(controls!$B$44=0,"",'normal case'!AJ498)</f>
        <v/>
      </c>
      <c r="N499" s="18" t="str">
        <f>IF(controls!$B$44=0,"",'normal case'!AM498)</f>
        <v/>
      </c>
      <c r="O499" s="160" t="str">
        <f>IF(controls!$B$44=0,"",'external balance'!D498)</f>
        <v/>
      </c>
      <c r="P499" s="160" t="str">
        <f>IF(controls!$B$44=0,"",'external balance'!F498)</f>
        <v/>
      </c>
      <c r="Q499" s="159" t="str">
        <f>IF(controls!$B$44=0,"",'external balance'!H498)</f>
        <v/>
      </c>
    </row>
    <row r="500" spans="1:17" ht="14" thickTop="1" thickBot="1">
      <c r="A500" s="15">
        <v>497</v>
      </c>
      <c r="B500" s="17">
        <f ca="1">('normal case'!D499-'normal case'!B499)/'normal case'!B499</f>
        <v>5.9014499777614481E-10</v>
      </c>
      <c r="C500" s="23">
        <f ca="1">'normal case'!D499</f>
        <v>101.00000005960464</v>
      </c>
      <c r="D500" s="24">
        <f ca="1">'normal case'!C499</f>
        <v>-1.5107707374006907E-7</v>
      </c>
      <c r="E500" s="22">
        <f ca="1">'normal case'!L499/100</f>
        <v>1.9999998807907104E-2</v>
      </c>
      <c r="F500" s="25">
        <f ca="1">'normal case'!U499/100</f>
        <v>5.499999850988388E-2</v>
      </c>
      <c r="G500" s="25">
        <f ca="1">'normal case'!T499/100</f>
        <v>3.4999999701976779E-2</v>
      </c>
      <c r="H500" s="25">
        <f ca="1">'public finance'!D498</f>
        <v>1.9802129779314939E-3</v>
      </c>
      <c r="I500" s="20">
        <f ca="1">'public finance'!E498</f>
        <v>45840.581095918787</v>
      </c>
      <c r="J500" s="118">
        <f ca="1">'public finance'!H498</f>
        <v>-1309730.8430296006</v>
      </c>
      <c r="K500" s="17">
        <f ca="1">'public finance'!C498/'normal case'!D499</f>
        <v>0.19801980186333762</v>
      </c>
      <c r="L500" s="20">
        <f ca="1">'public finance'!A498/'normal case'!D499</f>
        <v>0.2</v>
      </c>
      <c r="M500" s="18" t="str">
        <f>IF(controls!$B$44=0,"",'normal case'!AJ499)</f>
        <v/>
      </c>
      <c r="N500" s="18" t="str">
        <f>IF(controls!$B$44=0,"",'normal case'!AM499)</f>
        <v/>
      </c>
      <c r="O500" s="160" t="str">
        <f>IF(controls!$B$44=0,"",'external balance'!D499)</f>
        <v/>
      </c>
      <c r="P500" s="160" t="str">
        <f>IF(controls!$B$44=0,"",'external balance'!F499)</f>
        <v/>
      </c>
      <c r="Q500" s="159" t="str">
        <f>IF(controls!$B$44=0,"",'external balance'!H499)</f>
        <v/>
      </c>
    </row>
    <row r="501" spans="1:17" ht="14" thickTop="1" thickBot="1">
      <c r="A501" s="15">
        <v>498</v>
      </c>
      <c r="B501" s="17">
        <f ca="1">('normal case'!D500-'normal case'!B500)/'normal case'!B500</f>
        <v>5.9014499777614481E-10</v>
      </c>
      <c r="C501" s="23">
        <f ca="1">'normal case'!D500</f>
        <v>101.00000005960464</v>
      </c>
      <c r="D501" s="24">
        <f ca="1">'normal case'!C500</f>
        <v>-1.5107707374006907E-7</v>
      </c>
      <c r="E501" s="22">
        <f ca="1">'normal case'!L500/100</f>
        <v>1.9999998807907104E-2</v>
      </c>
      <c r="F501" s="25">
        <f ca="1">'normal case'!U500/100</f>
        <v>5.499999850988388E-2</v>
      </c>
      <c r="G501" s="25">
        <f ca="1">'normal case'!T500/100</f>
        <v>3.4999999701976779E-2</v>
      </c>
      <c r="H501" s="25">
        <f ca="1">'public finance'!D499</f>
        <v>1.9802129779314939E-3</v>
      </c>
      <c r="I501" s="20">
        <f ca="1">'public finance'!E499</f>
        <v>47445.001420613866</v>
      </c>
      <c r="J501" s="118">
        <f ca="1">'public finance'!H499</f>
        <v>-1355571.4241255044</v>
      </c>
      <c r="K501" s="17">
        <f ca="1">'public finance'!C499/'normal case'!D500</f>
        <v>0.19801980186333762</v>
      </c>
      <c r="L501" s="20">
        <f ca="1">'public finance'!A499/'normal case'!D500</f>
        <v>0.2</v>
      </c>
      <c r="M501" s="18" t="str">
        <f>IF(controls!$B$44=0,"",'normal case'!AJ500)</f>
        <v/>
      </c>
      <c r="N501" s="18" t="str">
        <f>IF(controls!$B$44=0,"",'normal case'!AM500)</f>
        <v/>
      </c>
      <c r="O501" s="160" t="str">
        <f>IF(controls!$B$44=0,"",'external balance'!D500)</f>
        <v/>
      </c>
      <c r="P501" s="160" t="str">
        <f>IF(controls!$B$44=0,"",'external balance'!F500)</f>
        <v/>
      </c>
      <c r="Q501" s="159" t="str">
        <f>IF(controls!$B$44=0,"",'external balance'!H500)</f>
        <v/>
      </c>
    </row>
    <row r="502" spans="1:17" ht="13.5" thickTop="1"/>
  </sheetData>
  <mergeCells count="3">
    <mergeCell ref="R2:X2"/>
    <mergeCell ref="Z2:AD2"/>
    <mergeCell ref="B2:L2"/>
  </mergeCells>
  <phoneticPr fontId="3" type="noConversion"/>
  <conditionalFormatting sqref="AF17">
    <cfRule type="expression" dxfId="28" priority="1" stopIfTrue="1">
      <formula>$W$26</formula>
    </cfRule>
  </conditionalFormatting>
  <pageMargins left="0.75" right="0.75" top="1" bottom="1" header="0" footer="0"/>
  <pageSetup paperSize="9" orientation="portrait" horizontalDpi="4294967295"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48" r:id="rId4" name="Button 8">
              <controlPr defaultSize="0" print="0" autoFill="0" autoPict="0" macro="[0]!go_main_page">
                <anchor moveWithCells="1" sizeWithCells="1">
                  <from>
                    <xdr:col>0</xdr:col>
                    <xdr:colOff>19050</xdr:colOff>
                    <xdr:row>0</xdr:row>
                    <xdr:rowOff>50800</xdr:rowOff>
                  </from>
                  <to>
                    <xdr:col>1</xdr:col>
                    <xdr:colOff>0</xdr:colOff>
                    <xdr:row>0</xdr:row>
                    <xdr:rowOff>355600</xdr:rowOff>
                  </to>
                </anchor>
              </controlPr>
            </control>
          </mc:Choice>
        </mc:AlternateContent>
        <mc:AlternateContent xmlns:mc="http://schemas.openxmlformats.org/markup-compatibility/2006">
          <mc:Choice Requires="x14">
            <control shapeId="10249" r:id="rId5" name="Button 9">
              <controlPr defaultSize="0" print="0" autoFill="0" autoPict="0" macro="[0]!go_figures_inflation_income_rates">
                <anchor moveWithCells="1" sizeWithCells="1">
                  <from>
                    <xdr:col>1</xdr:col>
                    <xdr:colOff>374650</xdr:colOff>
                    <xdr:row>0</xdr:row>
                    <xdr:rowOff>50800</xdr:rowOff>
                  </from>
                  <to>
                    <xdr:col>2</xdr:col>
                    <xdr:colOff>609600</xdr:colOff>
                    <xdr:row>0</xdr:row>
                    <xdr:rowOff>355600</xdr:rowOff>
                  </to>
                </anchor>
              </controlPr>
            </control>
          </mc:Choice>
        </mc:AlternateContent>
        <mc:AlternateContent xmlns:mc="http://schemas.openxmlformats.org/markup-compatibility/2006">
          <mc:Choice Requires="x14">
            <control shapeId="10250" r:id="rId6" name="Button 10">
              <controlPr defaultSize="0" print="0" autoFill="0" autoPict="0" macro="[0]!go_figures_public_finance">
                <anchor moveWithCells="1">
                  <from>
                    <xdr:col>2</xdr:col>
                    <xdr:colOff>736600</xdr:colOff>
                    <xdr:row>0</xdr:row>
                    <xdr:rowOff>50800</xdr:rowOff>
                  </from>
                  <to>
                    <xdr:col>4</xdr:col>
                    <xdr:colOff>260350</xdr:colOff>
                    <xdr:row>0</xdr:row>
                    <xdr:rowOff>355600</xdr:rowOff>
                  </to>
                </anchor>
              </controlPr>
            </control>
          </mc:Choice>
        </mc:AlternateContent>
        <mc:AlternateContent xmlns:mc="http://schemas.openxmlformats.org/markup-compatibility/2006">
          <mc:Choice Requires="x14">
            <control shapeId="10252" r:id="rId7" name="Button 12">
              <controlPr defaultSize="0" print="0" autoFill="0" autoPict="0" macro="[0]!go_exrate_figures">
                <anchor moveWithCells="1" sizeWithCells="1">
                  <from>
                    <xdr:col>4</xdr:col>
                    <xdr:colOff>374650</xdr:colOff>
                    <xdr:row>0</xdr:row>
                    <xdr:rowOff>50800</xdr:rowOff>
                  </from>
                  <to>
                    <xdr:col>5</xdr:col>
                    <xdr:colOff>736600</xdr:colOff>
                    <xdr:row>0</xdr:row>
                    <xdr:rowOff>355600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3"/>
  <dimension ref="A1:Y52"/>
  <sheetViews>
    <sheetView showGridLines="0" showRowColHeaders="0" zoomScale="71" zoomScaleNormal="71" workbookViewId="0">
      <selection activeCell="F9" sqref="F9:K9"/>
    </sheetView>
  </sheetViews>
  <sheetFormatPr defaultColWidth="10.90625" defaultRowHeight="12.5"/>
  <cols>
    <col min="1" max="1" width="6.7265625" customWidth="1"/>
    <col min="2" max="2" width="2.453125" customWidth="1"/>
    <col min="3" max="3" width="2" customWidth="1"/>
    <col min="4" max="4" width="1.7265625" customWidth="1"/>
    <col min="5" max="5" width="4.453125" customWidth="1"/>
    <col min="6" max="6" width="5.453125" customWidth="1"/>
    <col min="7" max="7" width="8.54296875" customWidth="1"/>
    <col min="8" max="8" width="10" customWidth="1"/>
    <col min="9" max="9" width="10.453125" customWidth="1"/>
    <col min="10" max="10" width="11.1796875" customWidth="1"/>
    <col min="11" max="11" width="9.26953125" customWidth="1"/>
    <col min="12" max="13" width="4.26953125" customWidth="1"/>
    <col min="14" max="14" width="7.81640625" customWidth="1"/>
    <col min="15" max="15" width="1.81640625" customWidth="1"/>
    <col min="16" max="16" width="6.1796875" customWidth="1"/>
    <col min="17" max="17" width="5.7265625" customWidth="1"/>
    <col min="18" max="18" width="8.453125" customWidth="1"/>
    <col min="19" max="19" width="8.26953125" customWidth="1"/>
    <col min="20" max="20" width="17.81640625" bestFit="1" customWidth="1"/>
    <col min="21" max="21" width="8.26953125" customWidth="1"/>
    <col min="22" max="22" width="17.81640625" bestFit="1" customWidth="1"/>
    <col min="23" max="23" width="12.26953125" style="96" bestFit="1" customWidth="1"/>
  </cols>
  <sheetData>
    <row r="1" spans="1:25" ht="13" thickBot="1"/>
    <row r="2" spans="1:25" ht="13.5" customHeight="1" thickTop="1">
      <c r="B2" s="295"/>
      <c r="C2" s="296"/>
      <c r="D2" s="296"/>
      <c r="E2" s="296"/>
      <c r="F2" s="296"/>
      <c r="G2" s="678" t="s">
        <v>191</v>
      </c>
      <c r="H2" s="678"/>
      <c r="I2" s="678"/>
      <c r="J2" s="680"/>
      <c r="K2" s="297"/>
      <c r="L2" s="298"/>
      <c r="M2" s="299"/>
      <c r="P2" s="297"/>
      <c r="Q2" s="298"/>
      <c r="R2" s="298"/>
      <c r="S2" s="678" t="s">
        <v>190</v>
      </c>
      <c r="T2" s="678"/>
      <c r="U2" s="678"/>
      <c r="V2" s="662"/>
      <c r="W2"/>
    </row>
    <row r="3" spans="1:25" ht="12.75" customHeight="1">
      <c r="B3" s="300"/>
      <c r="C3" s="301"/>
      <c r="D3" s="301"/>
      <c r="E3" s="301"/>
      <c r="F3" s="301"/>
      <c r="G3" s="679"/>
      <c r="H3" s="679"/>
      <c r="I3" s="679"/>
      <c r="J3" s="681"/>
      <c r="K3" s="300"/>
      <c r="L3" s="302"/>
      <c r="M3" s="303"/>
      <c r="P3" s="300"/>
      <c r="Q3" s="302"/>
      <c r="R3" s="302"/>
      <c r="S3" s="679"/>
      <c r="T3" s="679"/>
      <c r="U3" s="679"/>
      <c r="V3" s="663"/>
      <c r="W3" s="180"/>
    </row>
    <row r="4" spans="1:25" ht="12.75" customHeight="1">
      <c r="B4" s="300"/>
      <c r="C4" s="302"/>
      <c r="D4" s="302"/>
      <c r="E4" s="302"/>
      <c r="F4" s="302"/>
      <c r="G4" s="302"/>
      <c r="H4" s="302"/>
      <c r="I4" s="302"/>
      <c r="J4" s="302"/>
      <c r="K4" s="300"/>
      <c r="L4" s="302"/>
      <c r="M4" s="303"/>
      <c r="P4" s="300"/>
      <c r="Q4" s="302"/>
      <c r="R4" s="302"/>
      <c r="S4" s="302"/>
      <c r="T4" s="302"/>
      <c r="U4" s="302"/>
      <c r="V4" s="303"/>
    </row>
    <row r="5" spans="1:25" ht="12.75" customHeight="1">
      <c r="B5" s="300"/>
      <c r="C5" s="302"/>
      <c r="D5" s="302"/>
      <c r="E5" s="302"/>
      <c r="F5" s="302"/>
      <c r="G5" s="302"/>
      <c r="H5" s="302"/>
      <c r="I5" s="302"/>
      <c r="J5" s="302"/>
      <c r="K5" s="300"/>
      <c r="L5" s="302"/>
      <c r="M5" s="303"/>
      <c r="P5" s="300"/>
      <c r="Q5" s="302"/>
      <c r="R5" s="302"/>
      <c r="S5" s="302"/>
      <c r="T5" s="302"/>
      <c r="U5" s="302"/>
      <c r="V5" s="303"/>
    </row>
    <row r="6" spans="1:25" ht="23.25" customHeight="1">
      <c r="B6" s="300"/>
      <c r="C6" s="302"/>
      <c r="D6" s="302"/>
      <c r="E6" s="302"/>
      <c r="F6" s="302"/>
      <c r="G6" s="302"/>
      <c r="H6" s="302"/>
      <c r="I6" s="302"/>
      <c r="J6" s="302"/>
      <c r="K6" s="300"/>
      <c r="L6" s="302"/>
      <c r="M6" s="303"/>
      <c r="P6" s="300"/>
      <c r="Q6" s="302"/>
      <c r="R6" s="302"/>
      <c r="S6" s="302"/>
      <c r="T6" s="302"/>
      <c r="U6" s="302"/>
      <c r="V6" s="303"/>
    </row>
    <row r="7" spans="1:25" ht="15.75" customHeight="1" thickBot="1">
      <c r="B7" s="304"/>
      <c r="C7" s="305"/>
      <c r="D7" s="305"/>
      <c r="E7" s="305"/>
      <c r="F7" s="305"/>
      <c r="G7" s="305"/>
      <c r="H7" s="305"/>
      <c r="I7" s="305"/>
      <c r="J7" s="305"/>
      <c r="K7" s="304"/>
      <c r="L7" s="305"/>
      <c r="M7" s="306"/>
      <c r="P7" s="304"/>
      <c r="Q7" s="305"/>
      <c r="R7" s="305"/>
      <c r="S7" s="305"/>
      <c r="T7" s="305"/>
      <c r="U7" s="305"/>
      <c r="V7" s="306"/>
    </row>
    <row r="8" spans="1:25" ht="24" customHeight="1" thickTop="1">
      <c r="A8" s="685" t="s">
        <v>223</v>
      </c>
      <c r="B8" s="180"/>
      <c r="F8" s="182"/>
      <c r="G8" s="183"/>
      <c r="H8" s="184"/>
      <c r="I8" s="184"/>
      <c r="J8" s="184"/>
      <c r="K8" s="184"/>
      <c r="L8" s="184"/>
      <c r="M8" s="184"/>
      <c r="N8" s="185"/>
      <c r="O8" s="183"/>
    </row>
    <row r="9" spans="1:25" ht="25.5" customHeight="1">
      <c r="A9" s="685"/>
      <c r="B9" s="180"/>
      <c r="F9" s="669" t="s">
        <v>169</v>
      </c>
      <c r="G9" s="670"/>
      <c r="H9" s="670"/>
      <c r="I9" s="670"/>
      <c r="J9" s="670"/>
      <c r="K9" s="671"/>
      <c r="L9" s="183" t="str">
        <f>IF(I41=1,"%","")</f>
        <v/>
      </c>
      <c r="M9" s="183"/>
      <c r="O9" s="183"/>
    </row>
    <row r="10" spans="1:25" ht="12" customHeight="1">
      <c r="A10" s="685"/>
      <c r="B10" s="180"/>
      <c r="C10" s="687"/>
      <c r="F10" s="672" t="s">
        <v>215</v>
      </c>
      <c r="G10" s="673"/>
      <c r="H10" s="673"/>
      <c r="I10" s="673"/>
      <c r="J10" s="674"/>
      <c r="K10" s="689">
        <v>1</v>
      </c>
      <c r="O10" s="179"/>
    </row>
    <row r="11" spans="1:25" ht="16" customHeight="1">
      <c r="A11" s="685"/>
      <c r="B11" s="180"/>
      <c r="C11" s="687"/>
      <c r="F11" s="675"/>
      <c r="G11" s="676"/>
      <c r="H11" s="676"/>
      <c r="I11" s="676"/>
      <c r="J11" s="677"/>
      <c r="K11" s="690"/>
      <c r="O11" s="179"/>
      <c r="Y11" s="117" t="str">
        <f>controls!B39</f>
        <v>None</v>
      </c>
    </row>
    <row r="12" spans="1:25" ht="12" customHeight="1">
      <c r="A12" s="685"/>
      <c r="B12" s="180"/>
      <c r="F12" s="672" t="s">
        <v>216</v>
      </c>
      <c r="G12" s="673"/>
      <c r="H12" s="673"/>
      <c r="I12" s="673"/>
      <c r="J12" s="674"/>
      <c r="K12" s="689">
        <v>0.75</v>
      </c>
      <c r="O12" s="179"/>
      <c r="Y12" s="117">
        <f>controls!B40</f>
        <v>3</v>
      </c>
    </row>
    <row r="13" spans="1:25" ht="16" customHeight="1">
      <c r="A13" s="685"/>
      <c r="B13" s="180"/>
      <c r="F13" s="675"/>
      <c r="G13" s="676"/>
      <c r="H13" s="676"/>
      <c r="I13" s="676"/>
      <c r="J13" s="677"/>
      <c r="K13" s="690"/>
      <c r="O13" s="179"/>
    </row>
    <row r="14" spans="1:25" ht="14.15" customHeight="1">
      <c r="A14" s="685"/>
      <c r="B14" s="180"/>
      <c r="F14" s="672" t="s">
        <v>170</v>
      </c>
      <c r="G14" s="673"/>
      <c r="H14" s="673"/>
      <c r="I14" s="673"/>
      <c r="J14" s="674"/>
      <c r="K14" s="307">
        <f>controls!B49/10</f>
        <v>1</v>
      </c>
      <c r="O14" s="179"/>
    </row>
    <row r="15" spans="1:25" ht="15.25" customHeight="1">
      <c r="A15" s="685"/>
      <c r="B15" s="180"/>
      <c r="F15" s="675"/>
      <c r="G15" s="676"/>
      <c r="H15" s="676"/>
      <c r="I15" s="676"/>
      <c r="J15" s="677"/>
      <c r="K15" s="181"/>
      <c r="O15" s="179"/>
    </row>
    <row r="16" spans="1:25" ht="12" customHeight="1">
      <c r="A16" s="685"/>
      <c r="B16" s="180"/>
      <c r="F16" s="672" t="s">
        <v>171</v>
      </c>
      <c r="G16" s="673"/>
      <c r="H16" s="673"/>
      <c r="I16" s="673"/>
      <c r="J16" s="674"/>
      <c r="K16" s="689">
        <v>2</v>
      </c>
      <c r="L16" s="665" t="s">
        <v>119</v>
      </c>
      <c r="O16" s="179"/>
    </row>
    <row r="17" spans="1:20" ht="16" customHeight="1">
      <c r="A17" s="685"/>
      <c r="B17" s="180"/>
      <c r="F17" s="675"/>
      <c r="G17" s="676"/>
      <c r="H17" s="676"/>
      <c r="I17" s="676"/>
      <c r="J17" s="677"/>
      <c r="K17" s="690"/>
      <c r="L17" s="666"/>
      <c r="M17" s="202"/>
      <c r="O17" s="179"/>
    </row>
    <row r="18" spans="1:20" ht="28" customHeight="1">
      <c r="A18" s="685"/>
      <c r="B18" s="180"/>
      <c r="F18" s="682" t="s">
        <v>241</v>
      </c>
      <c r="G18" s="683"/>
      <c r="H18" s="683"/>
      <c r="I18" s="683"/>
      <c r="J18" s="684"/>
      <c r="K18" s="310">
        <f>'choose m.p.'!W5</f>
        <v>2</v>
      </c>
      <c r="L18" s="179"/>
      <c r="M18" s="179"/>
      <c r="O18" s="179"/>
    </row>
    <row r="19" spans="1:20" ht="19.5" customHeight="1">
      <c r="A19" s="685"/>
      <c r="B19" s="180"/>
      <c r="G19" s="178"/>
      <c r="H19" s="178"/>
      <c r="I19" s="178"/>
      <c r="J19" s="178"/>
      <c r="K19" s="309"/>
      <c r="L19" s="179"/>
      <c r="M19" s="179"/>
      <c r="O19" s="179"/>
    </row>
    <row r="20" spans="1:20" ht="18" customHeight="1">
      <c r="A20" s="685"/>
      <c r="B20" s="180"/>
      <c r="F20" s="669" t="str">
        <f>IF(AND(controls!B40=3,controls!B57=TRUE),"Easy level. Shocks are expected",IF(AND(controls!B40=3,controls!B57=FALSE),"Easy level. Shocks are unexpected",IF(controls!B40=1,"Medium level","Hard level")))</f>
        <v>Easy level. Shocks are unexpected</v>
      </c>
      <c r="G20" s="670"/>
      <c r="H20" s="670"/>
      <c r="I20" s="670"/>
      <c r="J20" s="688"/>
    </row>
    <row r="21" spans="1:20" ht="15" customHeight="1">
      <c r="A21" s="685"/>
      <c r="B21" s="180"/>
      <c r="F21" s="691" t="s">
        <v>97</v>
      </c>
      <c r="G21" s="693" t="s">
        <v>120</v>
      </c>
      <c r="H21" s="693" t="s">
        <v>121</v>
      </c>
      <c r="I21" s="691" t="s">
        <v>122</v>
      </c>
      <c r="J21" s="691" t="s">
        <v>13</v>
      </c>
      <c r="K21" s="686" t="str">
        <f>IF(controls!$B$40=3,"",IF(controls!$B$39="Stabilizing real interest rate","Stabilizing real interest rate",""))</f>
        <v/>
      </c>
      <c r="L21" s="667" t="str">
        <f>IF(controls!$B$40=3,"",IF(controls!$B$39="Supply shocks","Supply shocks",""))</f>
        <v/>
      </c>
      <c r="M21" s="668"/>
      <c r="N21" s="667" t="str">
        <f>IF(controls!$B$40=3,"",IF(controls!$B$39="Demand shocks","Demand shocks",""))</f>
        <v/>
      </c>
    </row>
    <row r="22" spans="1:20" ht="33" customHeight="1">
      <c r="A22" s="685"/>
      <c r="B22" s="180"/>
      <c r="F22" s="692"/>
      <c r="G22" s="694"/>
      <c r="H22" s="694"/>
      <c r="I22" s="692"/>
      <c r="J22" s="692"/>
      <c r="K22" s="686"/>
      <c r="L22" s="667"/>
      <c r="M22" s="668"/>
      <c r="N22" s="667"/>
    </row>
    <row r="23" spans="1:20" ht="15" customHeight="1">
      <c r="A23" s="685"/>
      <c r="B23" s="180"/>
      <c r="F23" s="293">
        <v>1</v>
      </c>
      <c r="G23" s="294">
        <f>IF('choose m.p.'!$I3="","",'choose m.p.'!I3)</f>
        <v>2</v>
      </c>
      <c r="H23" s="294">
        <f>IF('choose m.p.'!$I3="","",'choose m.p.'!H3)</f>
        <v>0</v>
      </c>
      <c r="I23" s="294">
        <f>'choose m.p.'!G3</f>
        <v>2</v>
      </c>
      <c r="J23" s="294">
        <f>'choose m.p.'!D3</f>
        <v>50</v>
      </c>
      <c r="K23" s="32" t="str">
        <f>IF(controls!$B$40=3,"",IF(COUNT($G$23:$G$42)&gt;=1,IF(controls!$B$39="Stabilizing real interest rate",'choose m.p.'!J3,""),""))</f>
        <v/>
      </c>
      <c r="L23" s="664" t="str">
        <f>IF(controls!$B$40=3,"",IF(COUNT($G$23:$G$42)&gt;=0,IF(controls!$B$39="Supply shocks",IF('choose m.p.'!L3=0,"",'choose m.p.'!L3),""),""))</f>
        <v/>
      </c>
      <c r="M23" s="664"/>
      <c r="N23" s="31" t="str">
        <f>IF(controls!$B$40=3,"",IF(COUNT($G$23:$G$42)&gt;=0,IF(controls!$B$39="Demand shocks",IF('choose m.p.'!M3=0,"",'choose m.p.'!M3),""),""))</f>
        <v/>
      </c>
    </row>
    <row r="24" spans="1:20" ht="15" customHeight="1">
      <c r="A24" s="685"/>
      <c r="B24" s="180"/>
      <c r="F24" s="293">
        <f>IF('choose m.p.'!$I3="","",'choose m.p.'!A4)</f>
        <v>2</v>
      </c>
      <c r="G24" s="294">
        <f>IF('choose m.p.'!$I4="","",'choose m.p.'!I4)</f>
        <v>2</v>
      </c>
      <c r="H24" s="294">
        <f>IF('choose m.p.'!$I4="","",'choose m.p.'!H4)</f>
        <v>-1.5</v>
      </c>
      <c r="I24" s="294">
        <f>IF('choose m.p.'!$I3="","",'choose m.p.'!G4)</f>
        <v>3.5</v>
      </c>
      <c r="J24" s="294">
        <f>IF('choose m.p.'!$I3="","",'choose m.p.'!D4)</f>
        <v>51.5</v>
      </c>
      <c r="K24" s="32" t="str">
        <f>IF(controls!$B$40=3,"",IF(COUNT($G$23:$G$42)&gt;=2,IF(controls!$B$39="Stabilizing real interest rate",'choose m.p.'!J4,""),""))</f>
        <v/>
      </c>
      <c r="L24" s="664" t="str">
        <f>IF(controls!$B$40=3,"",IF(COUNT($G$23:$G$42)&gt;=1,IF(controls!$B$39="Supply shocks",IF('choose m.p.'!L4=0,"",'choose m.p.'!L4),""),""))</f>
        <v/>
      </c>
      <c r="M24" s="664"/>
      <c r="N24" s="31" t="str">
        <f>IF(controls!$B$40=3,"",IF(COUNT($G$23:$G$42)&gt;=1,IF(controls!$B$39="Demand shocks",IF('choose m.p.'!M4=0,"",'choose m.p.'!M4),""),""))</f>
        <v/>
      </c>
    </row>
    <row r="25" spans="1:20" ht="15" customHeight="1">
      <c r="A25" s="685"/>
      <c r="B25" s="180"/>
      <c r="F25" s="293">
        <f>IF('choose m.p.'!$I4="","",'choose m.p.'!A5)</f>
        <v>3</v>
      </c>
      <c r="G25" s="294">
        <f>IF('choose m.p.'!$I5="","",'choose m.p.'!I5)</f>
        <v>2</v>
      </c>
      <c r="H25" s="294">
        <f>IF('choose m.p.'!$I5="","",'choose m.p.'!H5)</f>
        <v>-4.125</v>
      </c>
      <c r="I25" s="294">
        <f>IF('choose m.p.'!$I4="","",'choose m.p.'!G5)</f>
        <v>6.125</v>
      </c>
      <c r="J25" s="294">
        <f>IF('choose m.p.'!$I4="","",'choose m.p.'!D5)</f>
        <v>52.625</v>
      </c>
      <c r="K25" s="32" t="str">
        <f>IF(controls!$B$40=3,"",IF(COUNT($G$23:$G$42)&gt;=3,IF(controls!$B$39="Stabilizing real interest rate",'choose m.p.'!J5,""),""))</f>
        <v/>
      </c>
      <c r="L25" s="664" t="str">
        <f>IF(controls!$B$40=3,"",IF(COUNT($G$23:$G$42)&gt;=2,IF(controls!$B$39="Supply shocks",IF('choose m.p.'!L5=0,"",'choose m.p.'!L5),""),""))</f>
        <v/>
      </c>
      <c r="M25" s="664"/>
      <c r="N25" s="31" t="str">
        <f>IF(controls!$B$40=3,"",IF(COUNT($G$23:$G$42)&gt;=2,IF(controls!$B$39="Demand shocks",IF('choose m.p.'!M5=0,"",'choose m.p.'!M5),""),""))</f>
        <v/>
      </c>
    </row>
    <row r="26" spans="1:20" ht="15" customHeight="1">
      <c r="A26" s="685"/>
      <c r="B26" s="180"/>
      <c r="F26" s="293">
        <f>IF('choose m.p.'!$I5="","",'choose m.p.'!A6)</f>
        <v>4</v>
      </c>
      <c r="G26" s="294">
        <f>IF('choose m.p.'!$I6="","",'choose m.p.'!I6)</f>
        <v>2</v>
      </c>
      <c r="H26" s="294">
        <f>IF('choose m.p.'!$I6="","",'choose m.p.'!H6)</f>
        <v>-8.71875</v>
      </c>
      <c r="I26" s="294">
        <f>IF('choose m.p.'!$I5="","",'choose m.p.'!G6)</f>
        <v>10.71875</v>
      </c>
      <c r="J26" s="294">
        <f>IF('choose m.p.'!$I5="","",'choose m.p.'!D6)</f>
        <v>54.59375</v>
      </c>
      <c r="K26" s="196" t="str">
        <f>IF(controls!$B$40=3,"",IF(COUNT($G$23:$G$42)&gt;=4,IF(controls!$B$39="Stabilizing real interest rate",'choose m.p.'!J6,""),""))</f>
        <v/>
      </c>
      <c r="L26" s="664" t="str">
        <f>IF(controls!$B$40=3,"",IF(COUNT($G$23:$G$42)&gt;=3,IF(controls!$B$39="Supply shocks",IF('choose m.p.'!L6=0,"",'choose m.p.'!L6),""),""))</f>
        <v/>
      </c>
      <c r="M26" s="664"/>
      <c r="N26" s="31" t="str">
        <f>IF(controls!$B$40=3,"",IF(COUNT($G$23:$G$42)&gt;=3,IF(controls!$B$39="Demand shocks",IF('choose m.p.'!M6=0,"",'choose m.p.'!M6),""),""))</f>
        <v/>
      </c>
    </row>
    <row r="27" spans="1:20" ht="15" customHeight="1">
      <c r="A27" s="685"/>
      <c r="B27" s="180"/>
      <c r="F27" s="293">
        <f>IF('choose m.p.'!$I6="","",'choose m.p.'!A7)</f>
        <v>5</v>
      </c>
      <c r="G27" s="294">
        <f>IF('choose m.p.'!$I7="","",'choose m.p.'!I7)</f>
        <v>2</v>
      </c>
      <c r="H27" s="294">
        <f>IF('choose m.p.'!$I7="","",'choose m.p.'!H7)</f>
        <v>-15.787812500000001</v>
      </c>
      <c r="I27" s="294">
        <f>IF('choose m.p.'!$I6="","",'choose m.p.'!G7)</f>
        <v>17.787812500000001</v>
      </c>
      <c r="J27" s="294">
        <f>IF('choose m.p.'!$I6="","",'choose m.p.'!D7)</f>
        <v>59.069062500000001</v>
      </c>
      <c r="K27" s="32" t="str">
        <f>IF(controls!$B$40=3,"",IF(COUNT($G$23:$G$42)&gt;=5,IF(controls!$B$39="Stabilizing real interest rate",'choose m.p.'!J7,""),""))</f>
        <v/>
      </c>
      <c r="L27" s="664" t="str">
        <f>IF(controls!$B$40=3,"",IF(COUNT($G$23:$G$42)&gt;=4,IF(controls!$B$39="Supply shocks",IF('choose m.p.'!L7=0,"",'choose m.p.'!L7),""),""))</f>
        <v/>
      </c>
      <c r="M27" s="664"/>
      <c r="N27" s="31" t="str">
        <f>IF(controls!$B$40=3,"",IF(COUNT($G$23:$G$42)&gt;=4,IF(controls!$B$39="Demand shocks",IF('choose m.p.'!M7=0,"",'choose m.p.'!M7),""),""))</f>
        <v/>
      </c>
    </row>
    <row r="28" spans="1:20" ht="15" customHeight="1">
      <c r="A28" s="685"/>
      <c r="B28" s="180"/>
      <c r="F28" s="293">
        <f>IF('choose m.p.'!$I7="","",'choose m.p.'!A8)</f>
        <v>6</v>
      </c>
      <c r="G28" s="294">
        <f>IF('choose m.p.'!$I8="","",'choose m.p.'!I8)</f>
        <v>2</v>
      </c>
      <c r="H28" s="294">
        <f>IF('choose m.p.'!$I8="","",'choose m.p.'!H8)</f>
        <v>-29.128671875000002</v>
      </c>
      <c r="I28" s="294">
        <f>IF('choose m.p.'!$I7="","",'choose m.p.'!G8)</f>
        <v>31.128671875000002</v>
      </c>
      <c r="J28" s="294">
        <f>IF('choose m.p.'!$I7="","",'choose m.p.'!D8)</f>
        <v>63.340859375000001</v>
      </c>
      <c r="K28" s="32" t="str">
        <f>IF(controls!$B$40=3,"",IF(COUNT($G$23:$G$42)&gt;=6,IF(controls!$B$39="Stabilizing real interest rate",'choose m.p.'!J8,""),""))</f>
        <v/>
      </c>
      <c r="L28" s="664" t="str">
        <f>IF(controls!$B$40=3,"",IF(COUNT($G$23:$G$42)&gt;=5,IF(controls!$B$39="Supply shocks",IF('choose m.p.'!L8=0,"",'choose m.p.'!L8),""),""))</f>
        <v/>
      </c>
      <c r="M28" s="664"/>
      <c r="N28" s="31" t="str">
        <f>IF(controls!$B$40=3,"",IF(COUNT($G$23:$G$42)&gt;=5,IF(controls!$B$39="Demand shocks",IF('choose m.p.'!M8=0,"",'choose m.p.'!M8),""),""))</f>
        <v/>
      </c>
    </row>
    <row r="29" spans="1:20" ht="15" customHeight="1">
      <c r="A29" s="685"/>
      <c r="B29" s="180"/>
      <c r="F29" s="293">
        <f>IF('choose m.p.'!$I8="","",'choose m.p.'!A9)</f>
        <v>7</v>
      </c>
      <c r="G29" s="294">
        <f>IF('choose m.p.'!$I9="","",'choose m.p.'!I9)</f>
        <v>2</v>
      </c>
      <c r="H29" s="294">
        <f>IF('choose m.p.'!$I9="","",'choose m.p.'!H9)</f>
        <v>-52.475175781250009</v>
      </c>
      <c r="I29" s="294">
        <f>IF('choose m.p.'!$I8="","",'choose m.p.'!G9)</f>
        <v>54.475175781250009</v>
      </c>
      <c r="J29" s="294">
        <f>IF('choose m.p.'!$I8="","",'choose m.p.'!D9)</f>
        <v>73.346503906250007</v>
      </c>
      <c r="K29" s="32" t="str">
        <f>IF(controls!$B$40=3,"",IF(COUNT($G$23:$G$42)&gt;=7,IF(controls!$B$39="Stabilizing real interest rate",'choose m.p.'!J9,""),""))</f>
        <v/>
      </c>
      <c r="L29" s="664" t="str">
        <f>IF(controls!$B$40=3,"",IF(COUNT($G$23:$G$42)&gt;=6,IF(controls!$B$39="Supply shocks",IF('choose m.p.'!L9=0,"",'choose m.p.'!L9),""),""))</f>
        <v/>
      </c>
      <c r="M29" s="664"/>
      <c r="N29" s="31" t="str">
        <f>IF(controls!$B$40=3,"",IF(COUNT($G$23:$G$42)&gt;=6,IF(controls!$B$39="Demand shocks",IF('choose m.p.'!M9=0,"",'choose m.p.'!M9),""),""))</f>
        <v/>
      </c>
    </row>
    <row r="30" spans="1:20" ht="13">
      <c r="A30" s="685"/>
      <c r="B30" s="180"/>
      <c r="F30" s="293">
        <f>IF('choose m.p.'!$I9="","",'choose m.p.'!A10)</f>
        <v>8</v>
      </c>
      <c r="G30" s="294">
        <f>IF('choose m.p.'!$I10="","",'choose m.p.'!I10)</f>
        <v>2</v>
      </c>
      <c r="H30" s="294">
        <f>IF('choose m.p.'!$I10="","",'choose m.p.'!H10)</f>
        <v>-93.331557617187514</v>
      </c>
      <c r="I30" s="294">
        <f>IF('choose m.p.'!$I9="","",'choose m.p.'!G10)</f>
        <v>95.331557617187514</v>
      </c>
      <c r="J30" s="294">
        <f>IF('choose m.p.'!$I9="","",'choose m.p.'!D10)</f>
        <v>90.856381835937498</v>
      </c>
      <c r="K30" s="32" t="str">
        <f>IF(controls!$B$40=3,"",IF(COUNT($G$23:$G$42)&gt;=8,IF(controls!$B$39="Stabilizing real interest rate",'choose m.p.'!J10,""),""))</f>
        <v/>
      </c>
      <c r="L30" s="664" t="str">
        <f>IF(controls!$B$40=3,"",IF(COUNT($G$23:$G$42)&gt;=7,IF(controls!$B$39="Supply shocks",IF('choose m.p.'!L10=0,"",'choose m.p.'!L10),""),""))</f>
        <v/>
      </c>
      <c r="M30" s="664"/>
      <c r="N30" s="31" t="str">
        <f>IF(controls!$B$40=3,"",IF(COUNT($G$23:$G$42)&gt;=7,IF(controls!$B$39="Demand shocks",IF('choose m.p.'!M10=0,"",'choose m.p.'!M10),""),""))</f>
        <v/>
      </c>
    </row>
    <row r="31" spans="1:20" ht="13">
      <c r="A31" s="685"/>
      <c r="B31" s="180"/>
      <c r="F31" s="293">
        <f>IF('choose m.p.'!$I10="","",'choose m.p.'!A11)</f>
        <v>9</v>
      </c>
      <c r="G31" s="294" t="str">
        <f>IF('choose m.p.'!$I11="","",'choose m.p.'!I11)</f>
        <v/>
      </c>
      <c r="H31" s="294" t="str">
        <f>IF('choose m.p.'!$I11="","",'choose m.p.'!H11)</f>
        <v/>
      </c>
      <c r="I31" s="294">
        <f>IF('choose m.p.'!$I10="","",'choose m.p.'!G11)</f>
        <v>166.83022583007815</v>
      </c>
      <c r="J31" s="294">
        <f>IF('choose m.p.'!$I10="","",'choose m.p.'!D11)</f>
        <v>121.49866821289064</v>
      </c>
      <c r="K31" s="32" t="str">
        <f>IF(controls!$B$40=3,"",IF(COUNT($G$23:$G$42)&gt;=9,IF(controls!$B$39="Stabilizing real interest rate",'choose m.p.'!J11,""),""))</f>
        <v/>
      </c>
      <c r="L31" s="664" t="str">
        <f>IF(controls!$B$40=3,"",IF(COUNT($G$23:$G$42)&gt;=8,IF(controls!$B$39="Supply shocks",IF('choose m.p.'!L11=0,"",'choose m.p.'!L11),""),""))</f>
        <v/>
      </c>
      <c r="M31" s="664"/>
      <c r="N31" s="31" t="str">
        <f>IF(controls!$B$40=3,"",IF(COUNT($G$23:$G$42)&gt;=8,IF(controls!$B$39="Demand shocks",IF('choose m.p.'!M11=0,"",'choose m.p.'!M11),""),""))</f>
        <v/>
      </c>
      <c r="T31" s="97"/>
    </row>
    <row r="32" spans="1:20" ht="13">
      <c r="A32" s="685"/>
      <c r="B32" s="180"/>
      <c r="F32" s="293" t="str">
        <f>IF('choose m.p.'!$I11="","",'choose m.p.'!A12)</f>
        <v/>
      </c>
      <c r="G32" s="294" t="str">
        <f>IF('choose m.p.'!$I12="","",'choose m.p.'!I12)</f>
        <v/>
      </c>
      <c r="H32" s="294" t="str">
        <f>IF('choose m.p.'!$I12="","",'choose m.p.'!H12)</f>
        <v/>
      </c>
      <c r="I32" s="294" t="str">
        <f>IF('choose m.p.'!$I11="","",'choose m.p.'!G12)</f>
        <v/>
      </c>
      <c r="J32" s="294" t="str">
        <f>IF('choose m.p.'!$I11="","",'choose m.p.'!D12)</f>
        <v/>
      </c>
      <c r="K32" s="32" t="str">
        <f>IF(controls!$B$40=3,"",IF(COUNT($G$23:$G$42)&gt;=10,IF(controls!$B$39="Stabilizing real interest rate",'choose m.p.'!J12,""),""))</f>
        <v/>
      </c>
      <c r="L32" s="664" t="str">
        <f>IF(controls!$B$40=3,"",IF(COUNT($G$23:$G$42)&gt;=9,IF(controls!$B$39="Supply shocks",IF('choose m.p.'!L12=0,"",'choose m.p.'!L12),""),""))</f>
        <v/>
      </c>
      <c r="M32" s="664"/>
      <c r="N32" s="31" t="str">
        <f>IF(controls!$B$40=3,"",IF(COUNT($G$23:$G$42)&gt;=9,IF(controls!$B$39="Demand shocks",IF('choose m.p.'!M12=0,"",'choose m.p.'!M12),""),""))</f>
        <v/>
      </c>
      <c r="T32" s="97"/>
    </row>
    <row r="33" spans="1:20" ht="13">
      <c r="A33" s="685"/>
      <c r="B33" s="180"/>
      <c r="F33" s="293" t="str">
        <f>IF('choose m.p.'!$I12="","",'choose m.p.'!A13)</f>
        <v/>
      </c>
      <c r="G33" s="294" t="str">
        <f>IF('choose m.p.'!$I13="","",'choose m.p.'!I13)</f>
        <v/>
      </c>
      <c r="H33" s="294" t="str">
        <f>IF('choose m.p.'!$I13="","",'choose m.p.'!H13)</f>
        <v/>
      </c>
      <c r="I33" s="294" t="str">
        <f>IF('choose m.p.'!$I12="","",'choose m.p.'!G13)</f>
        <v/>
      </c>
      <c r="J33" s="294" t="str">
        <f>IF('choose m.p.'!$I12="","",'choose m.p.'!D13)</f>
        <v/>
      </c>
      <c r="K33" s="32" t="str">
        <f>IF(controls!$B$40=3,"",IF(COUNT($G$23:$G$42)&gt;=11,IF(controls!$B$39="Stabilizing real interest rate",'choose m.p.'!J13,""),""))</f>
        <v/>
      </c>
      <c r="L33" s="664" t="str">
        <f>IF(controls!$B$40=3,"",IF(COUNT($G$23:$G$42)&gt;=10,IF(controls!$B$39="Supply shocks",IF('choose m.p.'!L13=0,"",'choose m.p.'!L13),""),""))</f>
        <v/>
      </c>
      <c r="M33" s="664"/>
      <c r="N33" s="31" t="str">
        <f>IF(controls!$B$40=3,"",IF(COUNT($G$23:$G$42)&gt;=10,IF(controls!$B$39="Demand shocks",IF('choose m.p.'!M13=0,"",'choose m.p.'!M13),""),""))</f>
        <v/>
      </c>
      <c r="T33" s="97"/>
    </row>
    <row r="34" spans="1:20" ht="13">
      <c r="A34" s="685"/>
      <c r="B34" s="180"/>
      <c r="F34" s="293" t="str">
        <f>IF('choose m.p.'!$I13="","",'choose m.p.'!A14)</f>
        <v/>
      </c>
      <c r="G34" s="294" t="str">
        <f>IF('choose m.p.'!$I14="","",'choose m.p.'!I14)</f>
        <v/>
      </c>
      <c r="H34" s="294" t="str">
        <f>IF('choose m.p.'!$I14="","",'choose m.p.'!H14)</f>
        <v/>
      </c>
      <c r="I34" s="294" t="str">
        <f>IF('choose m.p.'!$I13="","",'choose m.p.'!G14)</f>
        <v/>
      </c>
      <c r="J34" s="294" t="str">
        <f>IF('choose m.p.'!$I13="","",'choose m.p.'!D14)</f>
        <v/>
      </c>
      <c r="K34" s="32" t="str">
        <f>IF(controls!$B$40=3,"",IF(COUNT($G$23:$G$42)&gt;=12,IF(controls!$B$39="Stabilizing real interest rate",'choose m.p.'!J14,""),""))</f>
        <v/>
      </c>
      <c r="L34" s="664" t="str">
        <f>IF(controls!$B$40=3,"",IF(COUNT($G$23:$G$42)&gt;=11,IF(controls!$B$39="Supply shocks",IF('choose m.p.'!L14=0,"",'choose m.p.'!L14),""),""))</f>
        <v/>
      </c>
      <c r="M34" s="664"/>
      <c r="N34" s="31" t="str">
        <f>IF(controls!$B$40=3,"",IF(COUNT($G$23:$G$42)&gt;=11,IF(controls!$B$39="Demand shocks",IF('choose m.p.'!M14=0,"",'choose m.p.'!M14),""),""))</f>
        <v/>
      </c>
      <c r="T34" s="97"/>
    </row>
    <row r="35" spans="1:20" ht="12.75" customHeight="1">
      <c r="A35" s="685"/>
      <c r="B35" s="180"/>
      <c r="F35" s="293" t="str">
        <f>IF('choose m.p.'!$I14="","",'choose m.p.'!A15)</f>
        <v/>
      </c>
      <c r="G35" s="294" t="str">
        <f>IF('choose m.p.'!$I15="","",'choose m.p.'!I15)</f>
        <v/>
      </c>
      <c r="H35" s="294" t="str">
        <f>IF('choose m.p.'!$I15="","",'choose m.p.'!H15)</f>
        <v/>
      </c>
      <c r="I35" s="294" t="str">
        <f>IF('choose m.p.'!$I14="","",'choose m.p.'!G15)</f>
        <v/>
      </c>
      <c r="J35" s="294" t="str">
        <f>IF('choose m.p.'!$I14="","",'choose m.p.'!D15)</f>
        <v/>
      </c>
      <c r="K35" s="32" t="str">
        <f>IF(controls!$B$40=3,"",IF(COUNT($G$23:$G$42)&gt;=13,IF(controls!$B$39="Stabilizing real interest rate",'choose m.p.'!J15,""),""))</f>
        <v/>
      </c>
      <c r="L35" s="664" t="str">
        <f>IF(controls!$B$40=3,"",IF(COUNT($G$23:$G$42)&gt;=12,IF(controls!$B$39="Supply shocks",IF('choose m.p.'!L15=0,"",'choose m.p.'!L15),""),""))</f>
        <v/>
      </c>
      <c r="M35" s="664"/>
      <c r="N35" s="31" t="str">
        <f>IF(controls!$B$40=3,"",IF(COUNT($G$23:$G$42)&gt;=12,IF(controls!$B$39="Demand shocks",IF('choose m.p.'!M15=0,"",'choose m.p.'!M15),""),""))</f>
        <v/>
      </c>
      <c r="T35" s="97"/>
    </row>
    <row r="36" spans="1:20" ht="13">
      <c r="A36" s="685"/>
      <c r="B36" s="180"/>
      <c r="F36" s="293" t="str">
        <f>IF('choose m.p.'!$I15="","",'choose m.p.'!A16)</f>
        <v/>
      </c>
      <c r="G36" s="294" t="str">
        <f>IF('choose m.p.'!$I16="","",'choose m.p.'!I16)</f>
        <v/>
      </c>
      <c r="H36" s="294" t="str">
        <f>IF('choose m.p.'!$I16="","",'choose m.p.'!H16)</f>
        <v/>
      </c>
      <c r="I36" s="294" t="str">
        <f>IF('choose m.p.'!$I15="","",'choose m.p.'!G16)</f>
        <v/>
      </c>
      <c r="J36" s="294" t="str">
        <f>IF('choose m.p.'!$I15="","",'choose m.p.'!D16)</f>
        <v/>
      </c>
      <c r="K36" s="32" t="str">
        <f>IF(controls!$B$40=3,"",IF(COUNT($G$23:$G$42)&gt;=14,IF(controls!$B$39="Stabilizing real interest rate",'choose m.p.'!J16,""),""))</f>
        <v/>
      </c>
      <c r="L36" s="664" t="str">
        <f>IF(controls!$B$40=3,"",IF(COUNT($G$23:$G$42)&gt;=13,IF(controls!$B$39="Supply shocks",IF('choose m.p.'!L16=0,"",'choose m.p.'!L16),""),""))</f>
        <v/>
      </c>
      <c r="M36" s="664"/>
      <c r="N36" s="31" t="str">
        <f>IF(controls!$B$40=3,"",IF(COUNT($G$23:$G$42)&gt;=13,IF(controls!$B$39="Demand shocks",IF('choose m.p.'!M16=0,"",'choose m.p.'!M16),""),""))</f>
        <v/>
      </c>
      <c r="T36" s="97"/>
    </row>
    <row r="37" spans="1:20" ht="12.75" customHeight="1">
      <c r="A37" s="685"/>
      <c r="B37" s="180"/>
      <c r="F37" s="293" t="str">
        <f>IF('choose m.p.'!$I16="","",'choose m.p.'!A17)</f>
        <v/>
      </c>
      <c r="G37" s="294" t="str">
        <f>IF('choose m.p.'!$I17="","",'choose m.p.'!I17)</f>
        <v/>
      </c>
      <c r="H37" s="294" t="str">
        <f>IF('choose m.p.'!$I17="","",'choose m.p.'!H17)</f>
        <v/>
      </c>
      <c r="I37" s="294" t="str">
        <f>IF('choose m.p.'!$I16="","",'choose m.p.'!G17)</f>
        <v/>
      </c>
      <c r="J37" s="294" t="str">
        <f>IF('choose m.p.'!$I16="","",'choose m.p.'!D17)</f>
        <v/>
      </c>
      <c r="K37" s="32" t="str">
        <f>IF(controls!$B$40=3,"",IF(COUNT($G$23:$G$42)&gt;=15,IF(controls!$B$39="Stabilizing real interest rate",'choose m.p.'!J17,""),""))</f>
        <v/>
      </c>
      <c r="L37" s="664" t="str">
        <f>IF(controls!$B$40=3,"",IF(COUNT($G$23:$G$42)&gt;=14,IF(controls!$B$39="Supply shocks",IF('choose m.p.'!L17=0,"",'choose m.p.'!L17),""),""))</f>
        <v/>
      </c>
      <c r="M37" s="664"/>
      <c r="N37" s="31" t="str">
        <f>IF(controls!$B$40=3,"",IF(COUNT($G$23:$G$42)&gt;=14,IF(controls!$B$39="Demand shocks",IF('choose m.p.'!M17=0,"",'choose m.p.'!M17),""),""))</f>
        <v/>
      </c>
      <c r="T37" s="97"/>
    </row>
    <row r="38" spans="1:20" ht="13">
      <c r="A38" s="685"/>
      <c r="B38" s="180"/>
      <c r="F38" s="293" t="str">
        <f>IF('choose m.p.'!$I17="","",'choose m.p.'!A18)</f>
        <v/>
      </c>
      <c r="G38" s="294" t="str">
        <f>IF('choose m.p.'!$I18="","",'choose m.p.'!I18)</f>
        <v/>
      </c>
      <c r="H38" s="294" t="str">
        <f>IF('choose m.p.'!$I18="","",'choose m.p.'!H18)</f>
        <v/>
      </c>
      <c r="I38" s="294" t="str">
        <f>IF('choose m.p.'!$I17="","",'choose m.p.'!G18)</f>
        <v/>
      </c>
      <c r="J38" s="294" t="str">
        <f>IF('choose m.p.'!$I17="","",'choose m.p.'!D18)</f>
        <v/>
      </c>
      <c r="K38" s="32" t="str">
        <f>IF(controls!$B$40=3,"",IF(COUNT($G$23:$G$42)&gt;=16,IF(controls!$B$39="Stabilizing real interest rate",'choose m.p.'!J18,""),""))</f>
        <v/>
      </c>
      <c r="L38" s="664" t="str">
        <f>IF(controls!$B$40=3,"",IF(COUNT($G$23:$G$42)&gt;=15,IF(controls!$B$39="Supply shocks",IF('choose m.p.'!L18=0,"",'choose m.p.'!L18),""),""))</f>
        <v/>
      </c>
      <c r="M38" s="664"/>
      <c r="N38" s="31" t="str">
        <f>IF(controls!$B$40=3,"",IF(COUNT($G$23:$G$42)&gt;=15,IF(controls!$B$39="Demand shocks",IF('choose m.p.'!M18=0,"",'choose m.p.'!M18),""),""))</f>
        <v/>
      </c>
      <c r="S38" s="43"/>
      <c r="T38" s="97"/>
    </row>
    <row r="39" spans="1:20" ht="12.75" customHeight="1">
      <c r="A39" s="685"/>
      <c r="B39" s="180"/>
      <c r="F39" s="293" t="str">
        <f>IF('choose m.p.'!$I18="","",'choose m.p.'!A19)</f>
        <v/>
      </c>
      <c r="G39" s="294" t="str">
        <f>IF('choose m.p.'!$I19="","",'choose m.p.'!I19)</f>
        <v/>
      </c>
      <c r="H39" s="294" t="str">
        <f>IF('choose m.p.'!$I19="","",'choose m.p.'!H19)</f>
        <v/>
      </c>
      <c r="I39" s="294" t="str">
        <f>IF('choose m.p.'!$I18="","",'choose m.p.'!G19)</f>
        <v/>
      </c>
      <c r="J39" s="294" t="str">
        <f>IF('choose m.p.'!$I18="","",'choose m.p.'!D19)</f>
        <v/>
      </c>
      <c r="K39" s="32" t="str">
        <f>IF(controls!$B$40=3,"",IF(COUNT($G$23:$G$42)&gt;=17,IF(controls!$B$39="Stabilizing real interest rate",'choose m.p.'!J19,""),""))</f>
        <v/>
      </c>
      <c r="L39" s="664" t="str">
        <f>IF(controls!$B$40=3,"",IF(COUNT($G$23:$G$42)&gt;=16,IF(controls!$B$39="Supply shocks",IF('choose m.p.'!L19=0,"",'choose m.p.'!L19),""),""))</f>
        <v/>
      </c>
      <c r="M39" s="664"/>
      <c r="N39" s="31" t="str">
        <f>IF(controls!$B$40=3,"",IF(COUNT($G$23:$G$42)&gt;=16,IF(controls!$B$39="Demand shocks",IF('choose m.p.'!M19=0,"",'choose m.p.'!M19),""),""))</f>
        <v/>
      </c>
      <c r="T39" s="97"/>
    </row>
    <row r="40" spans="1:20" ht="13">
      <c r="A40" s="685"/>
      <c r="B40" s="180"/>
      <c r="F40" s="293" t="str">
        <f>IF('choose m.p.'!$I19="","",'choose m.p.'!A20)</f>
        <v/>
      </c>
      <c r="G40" s="294" t="str">
        <f>IF('choose m.p.'!$I20="","",'choose m.p.'!I20)</f>
        <v/>
      </c>
      <c r="H40" s="294" t="str">
        <f>IF('choose m.p.'!$I20="","",'choose m.p.'!H20)</f>
        <v/>
      </c>
      <c r="I40" s="294" t="str">
        <f>IF('choose m.p.'!$I19="","",'choose m.p.'!G20)</f>
        <v/>
      </c>
      <c r="J40" s="294" t="str">
        <f>IF('choose m.p.'!$I19="","",'choose m.p.'!D20)</f>
        <v/>
      </c>
      <c r="K40" s="32" t="str">
        <f>IF(controls!$B$40=3,"",IF(COUNT($G$23:$G$42)&gt;=18,IF(controls!$B$39="Stabilizing real interest rate",'choose m.p.'!J20,""),""))</f>
        <v/>
      </c>
      <c r="L40" s="664" t="str">
        <f>IF(controls!$B$40=3,"",IF(COUNT($G$23:$G$42)&gt;=17,IF(controls!$B$39="Supply shocks",IF('choose m.p.'!L20=0,"",'choose m.p.'!L20),""),""))</f>
        <v/>
      </c>
      <c r="M40" s="664"/>
      <c r="N40" s="31" t="str">
        <f>IF(controls!$B$40=3,"",IF(COUNT($G$23:$G$42)&gt;=17,IF(controls!$B$39="Demand shocks",IF('choose m.p.'!M20=0,"",'choose m.p.'!M20),""),""))</f>
        <v/>
      </c>
      <c r="R40">
        <f>controls!B40</f>
        <v>3</v>
      </c>
      <c r="T40" s="97"/>
    </row>
    <row r="41" spans="1:20" ht="13">
      <c r="A41" s="685"/>
      <c r="B41" s="180"/>
      <c r="F41" s="293" t="str">
        <f>IF('choose m.p.'!$I20="","",'choose m.p.'!A21)</f>
        <v/>
      </c>
      <c r="G41" s="294" t="str">
        <f>IF('choose m.p.'!$I21="","",'choose m.p.'!I21)</f>
        <v/>
      </c>
      <c r="H41" s="294" t="str">
        <f>IF('choose m.p.'!$I21="","",'choose m.p.'!H21)</f>
        <v/>
      </c>
      <c r="I41" s="294" t="str">
        <f>IF('choose m.p.'!$I20="","",'choose m.p.'!G21)</f>
        <v/>
      </c>
      <c r="J41" s="294" t="str">
        <f>IF('choose m.p.'!$I20="","",'choose m.p.'!D21)</f>
        <v/>
      </c>
      <c r="K41" s="32" t="str">
        <f>IF(controls!$B$40=3,"",IF(COUNT($G$23:$G$42)&gt;=19,IF(controls!$B$39="Stabilizing real interest rate",'choose m.p.'!J21,""),""))</f>
        <v/>
      </c>
      <c r="L41" s="664" t="str">
        <f>IF(controls!$B$40=3,"",IF(COUNT($G$23:$G$42)&gt;=18,IF(controls!$B$39="Supply shocks",IF('choose m.p.'!L21=0,"",'choose m.p.'!L21),""),""))</f>
        <v/>
      </c>
      <c r="M41" s="664"/>
      <c r="N41" s="31" t="str">
        <f>IF(controls!$B$40=3,"",IF(COUNT($G$23:$G$42)&gt;=18,IF(controls!$B$39="Demand shocks",IF('choose m.p.'!M21=0,"",'choose m.p.'!M21),""),""))</f>
        <v/>
      </c>
      <c r="T41" s="97"/>
    </row>
    <row r="42" spans="1:20" ht="13">
      <c r="A42" s="685"/>
      <c r="B42" s="180"/>
      <c r="F42" s="293" t="str">
        <f>IF('choose m.p.'!$I21="","",'choose m.p.'!A22)</f>
        <v/>
      </c>
      <c r="G42" s="294" t="str">
        <f>IF('choose m.p.'!$I22="","",'choose m.p.'!I22)</f>
        <v/>
      </c>
      <c r="H42" s="294" t="str">
        <f>IF('choose m.p.'!$I22="","",'choose m.p.'!H22)</f>
        <v/>
      </c>
      <c r="I42" s="294" t="str">
        <f>IF('choose m.p.'!$I21="","",'choose m.p.'!G22)</f>
        <v/>
      </c>
      <c r="J42" s="294" t="str">
        <f>IF('choose m.p.'!$I21="","",'choose m.p.'!D22)</f>
        <v/>
      </c>
      <c r="K42" s="32" t="str">
        <f>IF(controls!$B$40=3,"",IF(COUNT($G$23:$G$42)&gt;=20,IF(controls!$B$39="Stabilizing real interest rate",'choose m.p.'!J22,""),""))</f>
        <v/>
      </c>
      <c r="L42" s="664" t="str">
        <f>IF(controls!$B$40=3,"",IF(COUNT($G$23:$G$42)&gt;=19,IF(controls!$B$39="Supply shocks",IF('choose m.p.'!L22=0,"",'choose m.p.'!L22),""),""))</f>
        <v/>
      </c>
      <c r="M42" s="664"/>
      <c r="N42" s="31" t="str">
        <f>IF(controls!$B$40=3,"",IF(COUNT($G$23:$G$42)&gt;=19,IF(controls!$B$39="Demand shocks",IF('choose m.p.'!M22=0,"",'choose m.p.'!M22),""),""))</f>
        <v/>
      </c>
      <c r="S42" s="68">
        <f>COUNT(G23:G42)</f>
        <v>8</v>
      </c>
      <c r="T42" s="97"/>
    </row>
    <row r="43" spans="1:20">
      <c r="A43" s="685"/>
      <c r="B43" s="180"/>
      <c r="S43" s="68">
        <f>COUNT($G$23:$G$42)</f>
        <v>8</v>
      </c>
      <c r="T43" s="97"/>
    </row>
    <row r="44" spans="1:20">
      <c r="A44" s="685"/>
      <c r="B44" s="180"/>
      <c r="T44" s="97"/>
    </row>
    <row r="45" spans="1:20">
      <c r="A45" s="685"/>
      <c r="B45" s="180"/>
      <c r="T45" s="97"/>
    </row>
    <row r="46" spans="1:20">
      <c r="A46" s="685"/>
      <c r="B46" s="180"/>
      <c r="T46" s="97"/>
    </row>
    <row r="47" spans="1:20">
      <c r="A47" s="685"/>
      <c r="B47" s="180"/>
      <c r="T47" s="97"/>
    </row>
    <row r="48" spans="1:20">
      <c r="A48" s="685"/>
      <c r="B48" s="180"/>
      <c r="T48" s="97"/>
    </row>
    <row r="49" spans="1:20">
      <c r="A49" s="685"/>
      <c r="B49" s="180"/>
      <c r="T49" s="97"/>
    </row>
    <row r="50" spans="1:20">
      <c r="T50" s="97"/>
    </row>
    <row r="51" spans="1:20">
      <c r="T51" t="str">
        <f>IF(COUNT($G$23:$G$42)&gt;=0,IF('choose m.p.'!J23=0,"",'choose m.p.'!J23),"")</f>
        <v/>
      </c>
    </row>
    <row r="52" spans="1:20">
      <c r="T52" t="str">
        <f>IF(COUNT($G$23:$G$42)&gt;=0,IF('choose m.p.'!J24=0,"",'choose m.p.'!J24),"")</f>
        <v/>
      </c>
    </row>
  </sheetData>
  <sheetProtection selectLockedCells="1"/>
  <mergeCells count="45">
    <mergeCell ref="F18:J18"/>
    <mergeCell ref="S2:U3"/>
    <mergeCell ref="A8:A49"/>
    <mergeCell ref="K21:K22"/>
    <mergeCell ref="C10:C11"/>
    <mergeCell ref="F20:J20"/>
    <mergeCell ref="K16:K17"/>
    <mergeCell ref="K12:K13"/>
    <mergeCell ref="K10:K11"/>
    <mergeCell ref="N21:N22"/>
    <mergeCell ref="J21:J22"/>
    <mergeCell ref="F21:F22"/>
    <mergeCell ref="G21:G22"/>
    <mergeCell ref="H21:H22"/>
    <mergeCell ref="I21:I22"/>
    <mergeCell ref="F16:J17"/>
    <mergeCell ref="F9:K9"/>
    <mergeCell ref="F10:J11"/>
    <mergeCell ref="F12:J13"/>
    <mergeCell ref="F14:J15"/>
    <mergeCell ref="G2:I3"/>
    <mergeCell ref="J2:J3"/>
    <mergeCell ref="L29:M29"/>
    <mergeCell ref="L30:M30"/>
    <mergeCell ref="L16:L17"/>
    <mergeCell ref="L21:M22"/>
    <mergeCell ref="L23:M23"/>
    <mergeCell ref="L24:M24"/>
    <mergeCell ref="L25:M25"/>
    <mergeCell ref="V2:V3"/>
    <mergeCell ref="L41:M41"/>
    <mergeCell ref="L42:M42"/>
    <mergeCell ref="L36:M36"/>
    <mergeCell ref="L37:M37"/>
    <mergeCell ref="L38:M38"/>
    <mergeCell ref="L39:M39"/>
    <mergeCell ref="L40:M40"/>
    <mergeCell ref="L31:M31"/>
    <mergeCell ref="L32:M32"/>
    <mergeCell ref="L33:M33"/>
    <mergeCell ref="L34:M34"/>
    <mergeCell ref="L35:M35"/>
    <mergeCell ref="L26:M26"/>
    <mergeCell ref="L27:M27"/>
    <mergeCell ref="L28:M28"/>
  </mergeCells>
  <phoneticPr fontId="3" type="noConversion"/>
  <conditionalFormatting sqref="F24">
    <cfRule type="expression" dxfId="27" priority="18" stopIfTrue="1">
      <formula>COUNT($F$24:$F$42)=1</formula>
    </cfRule>
  </conditionalFormatting>
  <conditionalFormatting sqref="L21:M42">
    <cfRule type="expression" dxfId="26" priority="19" stopIfTrue="1">
      <formula>AND($Y$11="Supply shocks",$Y$12&lt;3)</formula>
    </cfRule>
  </conditionalFormatting>
  <conditionalFormatting sqref="N21:N42">
    <cfRule type="expression" dxfId="25" priority="20" stopIfTrue="1">
      <formula>AND($Y$11="Demand shocks",$Y$12&lt;3)</formula>
    </cfRule>
  </conditionalFormatting>
  <conditionalFormatting sqref="K21:K42">
    <cfRule type="expression" dxfId="24" priority="21" stopIfTrue="1">
      <formula>AND($Y$11="Stabilizing real interest rate",$Y$12&lt;3)</formula>
    </cfRule>
  </conditionalFormatting>
  <conditionalFormatting sqref="F25">
    <cfRule type="expression" dxfId="23" priority="22" stopIfTrue="1">
      <formula>COUNT($F$24:$F$42)=2</formula>
    </cfRule>
  </conditionalFormatting>
  <conditionalFormatting sqref="F26">
    <cfRule type="expression" dxfId="22" priority="23" stopIfTrue="1">
      <formula>COUNT($F$24:$F$42)=3</formula>
    </cfRule>
  </conditionalFormatting>
  <conditionalFormatting sqref="F27">
    <cfRule type="expression" dxfId="21" priority="24" stopIfTrue="1">
      <formula>COUNT($F$24:$F$42)=4</formula>
    </cfRule>
  </conditionalFormatting>
  <conditionalFormatting sqref="F28">
    <cfRule type="expression" dxfId="20" priority="25" stopIfTrue="1">
      <formula>COUNT($F$24:$F$42)=5</formula>
    </cfRule>
  </conditionalFormatting>
  <conditionalFormatting sqref="F29">
    <cfRule type="expression" dxfId="19" priority="26" stopIfTrue="1">
      <formula>COUNT($F$24:$F$42)=6</formula>
    </cfRule>
  </conditionalFormatting>
  <conditionalFormatting sqref="F30">
    <cfRule type="expression" dxfId="18" priority="27" stopIfTrue="1">
      <formula>COUNT($F$24:$F$42)=7</formula>
    </cfRule>
  </conditionalFormatting>
  <conditionalFormatting sqref="F31">
    <cfRule type="expression" dxfId="17" priority="28" stopIfTrue="1">
      <formula>COUNT($F$24:$F$42)=8</formula>
    </cfRule>
  </conditionalFormatting>
  <conditionalFormatting sqref="F32">
    <cfRule type="expression" dxfId="16" priority="29" stopIfTrue="1">
      <formula>COUNT($F$24:$F$42)=9</formula>
    </cfRule>
  </conditionalFormatting>
  <conditionalFormatting sqref="F33">
    <cfRule type="expression" dxfId="15" priority="30" stopIfTrue="1">
      <formula>COUNT($F$24:$F$42)=10</formula>
    </cfRule>
  </conditionalFormatting>
  <conditionalFormatting sqref="F34">
    <cfRule type="expression" dxfId="14" priority="31" stopIfTrue="1">
      <formula>COUNT($F$24:$F$42)=11</formula>
    </cfRule>
  </conditionalFormatting>
  <conditionalFormatting sqref="F35">
    <cfRule type="expression" dxfId="13" priority="32" stopIfTrue="1">
      <formula>COUNT($F$24:$F$42)=12</formula>
    </cfRule>
  </conditionalFormatting>
  <conditionalFormatting sqref="F36">
    <cfRule type="expression" dxfId="12" priority="33" stopIfTrue="1">
      <formula>COUNT($F$24:$F$42)=13</formula>
    </cfRule>
  </conditionalFormatting>
  <conditionalFormatting sqref="F37">
    <cfRule type="expression" dxfId="11" priority="34" stopIfTrue="1">
      <formula>COUNT($F$24:$F$42)=14</formula>
    </cfRule>
  </conditionalFormatting>
  <conditionalFormatting sqref="F38">
    <cfRule type="expression" dxfId="10" priority="35" stopIfTrue="1">
      <formula>COUNT($F$24:$F$42)=15</formula>
    </cfRule>
  </conditionalFormatting>
  <conditionalFormatting sqref="F39">
    <cfRule type="expression" dxfId="9" priority="36" stopIfTrue="1">
      <formula>COUNT($F$24:$F$42)=16</formula>
    </cfRule>
  </conditionalFormatting>
  <conditionalFormatting sqref="F40">
    <cfRule type="expression" dxfId="8" priority="37" stopIfTrue="1">
      <formula>COUNT($F$24:$F$42)=17</formula>
    </cfRule>
  </conditionalFormatting>
  <conditionalFormatting sqref="F41">
    <cfRule type="expression" dxfId="7" priority="38" stopIfTrue="1">
      <formula>COUNT($F$24:$F$42)=18</formula>
    </cfRule>
  </conditionalFormatting>
  <conditionalFormatting sqref="F42">
    <cfRule type="expression" dxfId="6" priority="39" stopIfTrue="1">
      <formula>COUNT($F$24:$F$42)=19</formula>
    </cfRule>
  </conditionalFormatting>
  <conditionalFormatting sqref="K2:M7">
    <cfRule type="expression" dxfId="5" priority="7">
      <formula>$R$40=3</formula>
    </cfRule>
  </conditionalFormatting>
  <conditionalFormatting sqref="K2:K7">
    <cfRule type="expression" dxfId="4" priority="6">
      <formula>OR($R$40=1,$R$40=2)</formula>
    </cfRule>
  </conditionalFormatting>
  <dataValidations count="1">
    <dataValidation type="decimal" allowBlank="1" showInputMessage="1" showErrorMessage="1" sqref="K14:K15" xr:uid="{00000000-0002-0000-0D00-000000000000}">
      <formula1>0</formula1>
      <formula2>1</formula2>
    </dataValidation>
  </dataValidations>
  <pageMargins left="0.74803149606299213" right="0.74803149606299213" top="0.98425196850393704" bottom="0.98425196850393704" header="0" footer="0"/>
  <pageSetup paperSize="9" scale="115" orientation="portrait" horizontalDpi="300" verticalDpi="300" r:id="rId1"/>
  <headerFooter alignWithMargins="0"/>
  <cellWatches>
    <cellWatch r="F9"/>
  </cellWatches>
  <drawing r:id="rId2"/>
  <legacyDrawing r:id="rId3"/>
  <mc:AlternateContent xmlns:mc="http://schemas.openxmlformats.org/markup-compatibility/2006">
    <mc:Choice Requires="x14">
      <controls>
        <mc:AlternateContent xmlns:mc="http://schemas.openxmlformats.org/markup-compatibility/2006">
          <mc:Choice Requires="x14">
            <control shapeId="19464" r:id="rId4" name="Button 8">
              <controlPr defaultSize="0" print="0" autoFill="0" autoPict="0" macro="[0]!go_main_page">
                <anchor moveWithCells="1" sizeWithCells="1">
                  <from>
                    <xdr:col>1</xdr:col>
                    <xdr:colOff>69850</xdr:colOff>
                    <xdr:row>2</xdr:row>
                    <xdr:rowOff>133350</xdr:rowOff>
                  </from>
                  <to>
                    <xdr:col>5</xdr:col>
                    <xdr:colOff>190500</xdr:colOff>
                    <xdr:row>6</xdr:row>
                    <xdr:rowOff>19050</xdr:rowOff>
                  </to>
                </anchor>
              </controlPr>
            </control>
          </mc:Choice>
        </mc:AlternateContent>
        <mc:AlternateContent xmlns:mc="http://schemas.openxmlformats.org/markup-compatibility/2006">
          <mc:Choice Requires="x14">
            <control shapeId="19466" r:id="rId5" name="Button 10">
              <controlPr defaultSize="0" print="0" autoFill="0" autoPict="0" macro="[0]!introducir_datos_permanent_shocks">
                <anchor moveWithCells="1" sizeWithCells="1">
                  <from>
                    <xdr:col>20</xdr:col>
                    <xdr:colOff>146050</xdr:colOff>
                    <xdr:row>3</xdr:row>
                    <xdr:rowOff>69850</xdr:rowOff>
                  </from>
                  <to>
                    <xdr:col>21</xdr:col>
                    <xdr:colOff>717550</xdr:colOff>
                    <xdr:row>6</xdr:row>
                    <xdr:rowOff>19050</xdr:rowOff>
                  </to>
                </anchor>
              </controlPr>
            </control>
          </mc:Choice>
        </mc:AlternateContent>
        <mc:AlternateContent xmlns:mc="http://schemas.openxmlformats.org/markup-compatibility/2006">
          <mc:Choice Requires="x14">
            <control shapeId="19469" r:id="rId6" name="Button 13">
              <controlPr defaultSize="0" print="0" autoFill="0" autoPict="0" macro="[0]!go_welcome_own_monetary_policy">
                <anchor moveWithCells="1" sizeWithCells="1">
                  <from>
                    <xdr:col>5</xdr:col>
                    <xdr:colOff>279400</xdr:colOff>
                    <xdr:row>2</xdr:row>
                    <xdr:rowOff>133350</xdr:rowOff>
                  </from>
                  <to>
                    <xdr:col>7</xdr:col>
                    <xdr:colOff>171450</xdr:colOff>
                    <xdr:row>6</xdr:row>
                    <xdr:rowOff>19050</xdr:rowOff>
                  </to>
                </anchor>
              </controlPr>
            </control>
          </mc:Choice>
        </mc:AlternateContent>
        <mc:AlternateContent xmlns:mc="http://schemas.openxmlformats.org/markup-compatibility/2006">
          <mc:Choice Requires="x14">
            <control shapeId="19474" r:id="rId7" name="Scroll Bar 18">
              <controlPr defaultSize="0" autoPict="0">
                <anchor moveWithCells="1">
                  <from>
                    <xdr:col>10</xdr:col>
                    <xdr:colOff>19050</xdr:colOff>
                    <xdr:row>14</xdr:row>
                    <xdr:rowOff>31750</xdr:rowOff>
                  </from>
                  <to>
                    <xdr:col>10</xdr:col>
                    <xdr:colOff>603250</xdr:colOff>
                    <xdr:row>14</xdr:row>
                    <xdr:rowOff>184150</xdr:rowOff>
                  </to>
                </anchor>
              </controlPr>
            </control>
          </mc:Choice>
        </mc:AlternateContent>
        <mc:AlternateContent xmlns:mc="http://schemas.openxmlformats.org/markup-compatibility/2006">
          <mc:Choice Requires="x14">
            <control shapeId="19476" r:id="rId8" name="Button 20">
              <controlPr defaultSize="0" print="0" autoFill="0" autoPict="0" macro="[0]!introducir_datos_you_choose_shocks">
                <anchor moveWithCells="1" sizeWithCells="1">
                  <from>
                    <xdr:col>15</xdr:col>
                    <xdr:colOff>266700</xdr:colOff>
                    <xdr:row>3</xdr:row>
                    <xdr:rowOff>76200</xdr:rowOff>
                  </from>
                  <to>
                    <xdr:col>17</xdr:col>
                    <xdr:colOff>546100</xdr:colOff>
                    <xdr:row>6</xdr:row>
                    <xdr:rowOff>19050</xdr:rowOff>
                  </to>
                </anchor>
              </controlPr>
            </control>
          </mc:Choice>
        </mc:AlternateContent>
        <mc:AlternateContent xmlns:mc="http://schemas.openxmlformats.org/markup-compatibility/2006">
          <mc:Choice Requires="x14">
            <control shapeId="19483" r:id="rId9" name="Button 27">
              <controlPr defaultSize="0" print="0" autoFill="0" autoPict="0" macro="[0]!print_results">
                <anchor moveWithCells="1" sizeWithCells="1">
                  <from>
                    <xdr:col>8</xdr:col>
                    <xdr:colOff>533400</xdr:colOff>
                    <xdr:row>2</xdr:row>
                    <xdr:rowOff>133350</xdr:rowOff>
                  </from>
                  <to>
                    <xdr:col>9</xdr:col>
                    <xdr:colOff>660400</xdr:colOff>
                    <xdr:row>6</xdr:row>
                    <xdr:rowOff>38100</xdr:rowOff>
                  </to>
                </anchor>
              </controlPr>
            </control>
          </mc:Choice>
        </mc:AlternateContent>
        <mc:AlternateContent xmlns:mc="http://schemas.openxmlformats.org/markup-compatibility/2006">
          <mc:Choice Requires="x14">
            <control shapeId="19484" r:id="rId10" name="Button 28">
              <controlPr defaultSize="0" print="0" autoFill="0" autoPict="0" macro="[0]!evaluate_policy_choice">
                <anchor moveWithCells="1" sizeWithCells="1">
                  <from>
                    <xdr:col>10</xdr:col>
                    <xdr:colOff>127000</xdr:colOff>
                    <xdr:row>2</xdr:row>
                    <xdr:rowOff>133350</xdr:rowOff>
                  </from>
                  <to>
                    <xdr:col>12</xdr:col>
                    <xdr:colOff>50800</xdr:colOff>
                    <xdr:row>6</xdr:row>
                    <xdr:rowOff>31750</xdr:rowOff>
                  </to>
                </anchor>
              </controlPr>
            </control>
          </mc:Choice>
        </mc:AlternateContent>
        <mc:AlternateContent xmlns:mc="http://schemas.openxmlformats.org/markup-compatibility/2006">
          <mc:Choice Requires="x14">
            <control shapeId="19485" r:id="rId11" name="Button 29">
              <controlPr defaultSize="0" print="0" autoFill="0" autoPict="0" macro="[0]!introducir_datos_temporary_shocks">
                <anchor moveWithCells="1" sizeWithCells="1">
                  <from>
                    <xdr:col>18</xdr:col>
                    <xdr:colOff>412750</xdr:colOff>
                    <xdr:row>3</xdr:row>
                    <xdr:rowOff>69850</xdr:rowOff>
                  </from>
                  <to>
                    <xdr:col>19</xdr:col>
                    <xdr:colOff>933450</xdr:colOff>
                    <xdr:row>6</xdr:row>
                    <xdr:rowOff>19050</xdr:rowOff>
                  </to>
                </anchor>
              </controlPr>
            </control>
          </mc:Choice>
        </mc:AlternateContent>
        <mc:AlternateContent xmlns:mc="http://schemas.openxmlformats.org/markup-compatibility/2006">
          <mc:Choice Requires="x14">
            <control shapeId="19486" r:id="rId12" name="Button 30">
              <controlPr defaultSize="0" print="0" autoFill="0" autoPict="0" macro="[0]!resetear_shocks_game">
                <anchor moveWithCells="1" sizeWithCells="1">
                  <from>
                    <xdr:col>7</xdr:col>
                    <xdr:colOff>279400</xdr:colOff>
                    <xdr:row>2</xdr:row>
                    <xdr:rowOff>133350</xdr:rowOff>
                  </from>
                  <to>
                    <xdr:col>8</xdr:col>
                    <xdr:colOff>412750</xdr:colOff>
                    <xdr:row>6</xdr:row>
                    <xdr:rowOff>38100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2"/>
  <dimension ref="A1:AA3545"/>
  <sheetViews>
    <sheetView workbookViewId="0">
      <pane xSplit="1" ySplit="2" topLeftCell="F3" activePane="bottomRight" state="frozenSplit"/>
      <selection activeCell="C45" sqref="C45"/>
      <selection pane="topRight" activeCell="C45" sqref="C45"/>
      <selection pane="bottomLeft" activeCell="C45" sqref="C45"/>
      <selection pane="bottomRight" activeCell="G11" sqref="G11"/>
    </sheetView>
  </sheetViews>
  <sheetFormatPr defaultColWidth="11.453125" defaultRowHeight="12.5"/>
  <cols>
    <col min="1" max="1" width="4" style="43" bestFit="1" customWidth="1"/>
    <col min="2" max="2" width="56.7265625" style="79" bestFit="1" customWidth="1"/>
    <col min="3" max="3" width="8.26953125" style="67" bestFit="1" customWidth="1"/>
    <col min="4" max="4" width="56.7265625" style="64" bestFit="1" customWidth="1"/>
    <col min="5" max="5" width="41.26953125" style="79" bestFit="1" customWidth="1"/>
    <col min="6" max="6" width="21.453125" style="79" bestFit="1" customWidth="1"/>
    <col min="7" max="7" width="9.1796875" style="62" bestFit="1" customWidth="1"/>
    <col min="8" max="8" width="20.26953125" style="62" bestFit="1" customWidth="1"/>
    <col min="9" max="9" width="14.453125" style="80" customWidth="1"/>
    <col min="10" max="10" width="23.7265625" style="80" bestFit="1" customWidth="1"/>
    <col min="11" max="11" width="29.26953125" customWidth="1"/>
    <col min="12" max="12" width="12.26953125" style="44" bestFit="1" customWidth="1"/>
    <col min="13" max="13" width="15.26953125" style="44" bestFit="1" customWidth="1"/>
    <col min="14" max="14" width="16.26953125" style="44" bestFit="1" customWidth="1"/>
    <col min="15" max="15" width="28" style="44" bestFit="1" customWidth="1"/>
    <col min="16" max="16" width="30" style="44" bestFit="1" customWidth="1"/>
    <col min="17" max="17" width="11.54296875" style="44" bestFit="1" customWidth="1"/>
    <col min="18" max="18" width="19.26953125" style="44" bestFit="1" customWidth="1"/>
    <col min="19" max="19" width="30.26953125" style="43" bestFit="1" customWidth="1"/>
    <col min="20" max="20" width="9.1796875" style="43" bestFit="1" customWidth="1"/>
    <col min="21" max="21" width="11.54296875" style="43" customWidth="1"/>
    <col min="22" max="23" width="17.7265625" style="43" bestFit="1" customWidth="1"/>
    <col min="24" max="24" width="12.26953125" style="43" bestFit="1" customWidth="1"/>
    <col min="25" max="16384" width="11.453125" style="43"/>
  </cols>
  <sheetData>
    <row r="1" spans="1:27" ht="12.75" customHeight="1">
      <c r="B1" s="695" t="s">
        <v>48</v>
      </c>
      <c r="C1" s="593" t="s">
        <v>52</v>
      </c>
      <c r="D1" s="505"/>
      <c r="E1" s="505"/>
      <c r="F1" s="598" t="s">
        <v>106</v>
      </c>
      <c r="I1" s="195" t="s">
        <v>198</v>
      </c>
      <c r="J1" s="32"/>
      <c r="K1" s="594" t="s">
        <v>99</v>
      </c>
      <c r="L1" s="597" t="s">
        <v>38</v>
      </c>
      <c r="M1" s="596"/>
      <c r="N1" s="697" t="s">
        <v>94</v>
      </c>
      <c r="O1" s="597"/>
      <c r="P1" s="597"/>
    </row>
    <row r="2" spans="1:27">
      <c r="B2" s="696"/>
      <c r="C2" s="67" t="s">
        <v>17</v>
      </c>
      <c r="D2" s="64" t="s">
        <v>96</v>
      </c>
      <c r="E2" s="79" t="s">
        <v>93</v>
      </c>
      <c r="F2" s="599"/>
      <c r="G2" s="62" t="s">
        <v>12</v>
      </c>
      <c r="H2" s="62" t="s">
        <v>46</v>
      </c>
      <c r="I2"/>
      <c r="J2" s="80" t="s">
        <v>73</v>
      </c>
      <c r="K2" s="594"/>
      <c r="L2" s="57" t="s">
        <v>1</v>
      </c>
      <c r="M2" s="57" t="s">
        <v>2</v>
      </c>
      <c r="N2" s="608"/>
      <c r="O2" s="57"/>
      <c r="P2" s="57"/>
    </row>
    <row r="3" spans="1:27">
      <c r="A3" s="43">
        <v>1</v>
      </c>
      <c r="B3" s="79">
        <f>IF(controls!$B$40=3,'choose m.p.'!$W$3,IF(controls!$B$40=1,'choose m.p.'!$W$3*(1+L3),W3*(1+L3)))</f>
        <v>50</v>
      </c>
      <c r="D3" s="64">
        <f>IF(E3-'input own m.p.'!$K$12*'choose m.p.'!W5&gt;0,E3-'input own m.p.'!$K$12*'choose m.p.'!W5,0.1)</f>
        <v>50</v>
      </c>
      <c r="E3" s="79">
        <f>IF(controls!B40=3,$T$3,$T$3+($T$3-'input own m.p.'!$K$12*'choose m.p.'!$W$5)*'choose m.p.'!M3)</f>
        <v>51.5</v>
      </c>
      <c r="G3" s="62">
        <f>'input own m.p.'!$K$16+'input own m.p.'!K10*(D3-B3)</f>
        <v>2</v>
      </c>
      <c r="H3" s="376">
        <f>IF(I3=0,0,I3-G3)</f>
        <v>0</v>
      </c>
      <c r="I3" s="377">
        <v>2</v>
      </c>
      <c r="J3" s="81">
        <f>IF(controls!$B$40=1,(E4-B4)/'input own m.p.'!$K$12,(E4-B4)/'input own m.p.'!$K$12)</f>
        <v>2</v>
      </c>
      <c r="K3" s="97">
        <f>IF(controls!$B$40=1,'choose m.p.'!$W$5+G3,J3+G3)</f>
        <v>4</v>
      </c>
      <c r="L3" s="36"/>
      <c r="M3" s="36"/>
      <c r="N3" s="36">
        <v>0.1</v>
      </c>
      <c r="S3" s="55" t="s">
        <v>76</v>
      </c>
      <c r="T3" s="55">
        <v>51.5</v>
      </c>
      <c r="U3" s="43">
        <v>-0.01</v>
      </c>
      <c r="V3" s="63" t="s">
        <v>47</v>
      </c>
      <c r="W3" s="63">
        <v>50</v>
      </c>
      <c r="X3" s="63" t="s">
        <v>173</v>
      </c>
      <c r="Y3" s="79">
        <v>4</v>
      </c>
      <c r="Z3" s="67" t="s">
        <v>174</v>
      </c>
      <c r="AA3" s="63">
        <f>W3*(1+Y3/100)</f>
        <v>52</v>
      </c>
    </row>
    <row r="4" spans="1:27">
      <c r="A4" s="43">
        <v>2</v>
      </c>
      <c r="B4" s="79">
        <f>IF(controls!$B$40=3,$W$3,IF(controls!$B$40=1,'choose m.p.'!$W$3*(1+L4),B3*(1+L4)))</f>
        <v>50</v>
      </c>
      <c r="C4" s="67">
        <f t="shared" ref="C4:C23" si="0">D4/D3-1</f>
        <v>3.0000000000000027E-2</v>
      </c>
      <c r="D4" s="64">
        <f>IF(E4-'input own m.p.'!$K$12*'choose m.p.'!H3&gt;0,E4-'input own m.p.'!$K$12*'choose m.p.'!H3,0.1)</f>
        <v>51.5</v>
      </c>
      <c r="E4" s="79">
        <f>IF(controls!$B$40=3,$T$3,IF(controls!$B$40=1,'choose m.p.'!$T$3+E27+D3*M4,E3+D3*(M4+F4/100)))</f>
        <v>51.5</v>
      </c>
      <c r="G4" s="62">
        <f>IF(ABS('input own m.p.'!$K$14*G3+(1-'input own m.p.'!$K$14)*('input own m.p.'!$K$16/100)*100+'input own m.p.'!$K$10*(D4-B4)-G3)&lt;0.0000001,G3,'input own m.p.'!$K$14*G3+(1-'input own m.p.'!$K$14)*('input own m.p.'!$K$16/100)*100+'input own m.p.'!$K$10*(D4-B4))</f>
        <v>3.5</v>
      </c>
      <c r="H4" s="376">
        <f t="shared" ref="H4:H23" si="1">I4-G4</f>
        <v>-1.5</v>
      </c>
      <c r="I4" s="377">
        <v>2</v>
      </c>
      <c r="J4" s="81">
        <f>IF(controls!$B$40=1,(E5-B5)/'input own m.p.'!$K$12,(E5-B5)/'input own m.p.'!$K$12)</f>
        <v>2</v>
      </c>
      <c r="K4" s="97">
        <f>IF(controls!$B$40=1,'choose m.p.'!$W$5+G4,J3+G4)</f>
        <v>5.5</v>
      </c>
      <c r="L4" s="36"/>
      <c r="M4" s="36"/>
      <c r="N4" s="36">
        <v>-0.1</v>
      </c>
      <c r="P4" s="44">
        <v>0.05</v>
      </c>
      <c r="S4" s="63" t="s">
        <v>100</v>
      </c>
      <c r="T4" s="56">
        <v>2</v>
      </c>
      <c r="U4" s="52">
        <v>0.04</v>
      </c>
      <c r="V4" s="55" t="s">
        <v>49</v>
      </c>
      <c r="W4" s="63">
        <v>50</v>
      </c>
      <c r="X4" s="52"/>
      <c r="Y4" s="36"/>
      <c r="Z4" s="36"/>
    </row>
    <row r="5" spans="1:27">
      <c r="A5" s="43">
        <v>3</v>
      </c>
      <c r="B5" s="79">
        <f>IF(controls!$B$40=3,$W$3,IF(controls!$B$40=1,'choose m.p.'!$W$3*(1+L5),B4*(1+L5)))</f>
        <v>50</v>
      </c>
      <c r="C5" s="67">
        <f t="shared" si="0"/>
        <v>2.1844660194174859E-2</v>
      </c>
      <c r="D5" s="64">
        <f>IF(E5-'input own m.p.'!$K$12*'choose m.p.'!H4&gt;0,E5-'input own m.p.'!$K$12*'choose m.p.'!H4,0.1)</f>
        <v>52.625</v>
      </c>
      <c r="E5" s="79">
        <f>IF(controls!$B$40=3,$T$3,IF(controls!$B$40=1,'choose m.p.'!$T$3+SUM($E$27:E28)+D4*M5,E4+D4*(M5+F5/100)))</f>
        <v>51.5</v>
      </c>
      <c r="G5" s="62">
        <f>IF(ABS('input own m.p.'!$K$14*G4+(1-'input own m.p.'!$K$14)*('input own m.p.'!$K$16/100)*100+'input own m.p.'!$K$10*(D5-B5)-G4)&lt;0.0000001,G4,'input own m.p.'!$K$14*G4+(1-'input own m.p.'!$K$14)*('input own m.p.'!$K$16/100)*100+'input own m.p.'!$K$10*(D5-B5))</f>
        <v>6.125</v>
      </c>
      <c r="H5" s="376">
        <f t="shared" si="1"/>
        <v>-4.125</v>
      </c>
      <c r="I5">
        <v>2</v>
      </c>
      <c r="J5" s="81">
        <f>IF(controls!$B$40=1,(E6-B6)/'input own m.p.'!$K$12,(E6-B6)/'input own m.p.'!$K$12)</f>
        <v>2</v>
      </c>
      <c r="K5" s="97">
        <f>IF(controls!$B$40=1,'choose m.p.'!$W$5+G5,J4+G5)</f>
        <v>8.125</v>
      </c>
      <c r="L5" s="36">
        <v>-0.02</v>
      </c>
      <c r="M5" s="36"/>
      <c r="N5" s="36">
        <v>0.09</v>
      </c>
      <c r="P5" s="44">
        <v>-0.02</v>
      </c>
      <c r="S5" s="63" t="s">
        <v>172</v>
      </c>
      <c r="T5" s="55">
        <f>T3*(1+T4/100)</f>
        <v>52.53</v>
      </c>
      <c r="U5" s="52">
        <v>0.04</v>
      </c>
      <c r="V5" s="55" t="s">
        <v>50</v>
      </c>
      <c r="W5" s="55">
        <f>(T3-W3)/'input own m.p.'!$K$12</f>
        <v>2</v>
      </c>
      <c r="X5" s="52"/>
      <c r="Y5" s="36"/>
      <c r="Z5" s="36"/>
    </row>
    <row r="6" spans="1:27">
      <c r="A6" s="43">
        <v>4</v>
      </c>
      <c r="B6" s="79">
        <f>IF(controls!$B$40=3,$W$3,IF(controls!$B$40=1,'choose m.p.'!$W$3*(1+L6),B5*(1+L6)))</f>
        <v>50</v>
      </c>
      <c r="C6" s="67">
        <f t="shared" si="0"/>
        <v>3.7410926365795794E-2</v>
      </c>
      <c r="D6" s="64">
        <f>IF(E6-'input own m.p.'!$K$12*'choose m.p.'!H5&gt;0,E6-'input own m.p.'!$K$12*'choose m.p.'!H5,0.1)</f>
        <v>54.59375</v>
      </c>
      <c r="E6" s="79">
        <f>IF(controls!$B$40=3,$T$3,IF(controls!$B$40=1,'choose m.p.'!$T$3+SUM($E$27:E29)+D5*M6,E5+D5*(M6+F6/100)))</f>
        <v>51.5</v>
      </c>
      <c r="G6" s="62">
        <f>IF(ABS('input own m.p.'!$K$14*G5+(1-'input own m.p.'!$K$14)*('input own m.p.'!$K$16/100)*100+'input own m.p.'!$K$10*(D6-B6)-G5)&lt;0.0000001,G5,'input own m.p.'!$K$14*G5+(1-'input own m.p.'!$K$14)*('input own m.p.'!$K$16/100)*100+'input own m.p.'!$K$10*(D6-B6))</f>
        <v>10.71875</v>
      </c>
      <c r="H6" s="376">
        <f t="shared" si="1"/>
        <v>-8.71875</v>
      </c>
      <c r="I6">
        <v>2</v>
      </c>
      <c r="J6" s="81">
        <f>IF(controls!$B$40=1,(E7-B7)/'input own m.p.'!$K$12,(E7-B7)/'input own m.p.'!$K$12)</f>
        <v>0.70666666666666822</v>
      </c>
      <c r="K6" s="97">
        <f>IF(controls!$B$40=1,'choose m.p.'!$W$5+G6,J5+G6)</f>
        <v>12.71875</v>
      </c>
      <c r="L6" s="36"/>
      <c r="M6" s="36"/>
      <c r="N6" s="36">
        <v>-0.09</v>
      </c>
      <c r="P6" s="44">
        <v>-0.02</v>
      </c>
      <c r="S6" s="55"/>
      <c r="T6" s="56"/>
      <c r="U6" s="52">
        <v>0.04</v>
      </c>
      <c r="V6" s="52"/>
      <c r="W6" s="52"/>
      <c r="Y6" s="36"/>
      <c r="Z6" s="36"/>
    </row>
    <row r="7" spans="1:27">
      <c r="A7" s="43">
        <v>5</v>
      </c>
      <c r="B7" s="79">
        <f>IF(controls!$B$40=3,$AA$3,IF(controls!$B$40=1,'choose m.p.'!$W$3*(1+L7),B6*(1+L7)))</f>
        <v>52</v>
      </c>
      <c r="C7" s="67">
        <f t="shared" si="0"/>
        <v>8.1974813966800175E-2</v>
      </c>
      <c r="D7" s="64">
        <f>IF(E7-'input own m.p.'!$K$12*'choose m.p.'!H6&gt;0,E7-'input own m.p.'!$K$12*'choose m.p.'!H6,0.1)</f>
        <v>59.069062500000001</v>
      </c>
      <c r="E7" s="79">
        <f>IF(controls!$B$40=3,$T$5,IF(controls!$B$40=1,'choose m.p.'!$T$3+SUM($E$27:E30)+D6*M7,E6+D6*(M7+F7/100)))</f>
        <v>52.53</v>
      </c>
      <c r="G7" s="62">
        <f>IF(ABS('input own m.p.'!$K$14*G6+(1-'input own m.p.'!$K$14)*('input own m.p.'!$K$16/100)*100+'input own m.p.'!$K$10*(D7-B7)-G6)&lt;0.0000001,G6,'input own m.p.'!$K$14*G6+(1-'input own m.p.'!$K$14)*('input own m.p.'!$K$16/100)*100+'input own m.p.'!$K$10*(D7-B7))</f>
        <v>17.787812500000001</v>
      </c>
      <c r="H7" s="376">
        <f t="shared" si="1"/>
        <v>-15.787812500000001</v>
      </c>
      <c r="I7">
        <v>2</v>
      </c>
      <c r="J7" s="81">
        <f>IF(controls!$B$40=1,(E8-B8)/'input own m.p.'!$K$12,(E8-B8)/'input own m.p.'!$K$12)</f>
        <v>2</v>
      </c>
      <c r="K7" s="97">
        <f>IF(controls!$B$40=1,'choose m.p.'!$W$5+G7,J6+G7)</f>
        <v>18.494479166666668</v>
      </c>
      <c r="L7" s="36"/>
      <c r="M7" s="36">
        <v>0.03</v>
      </c>
      <c r="N7" s="36">
        <v>0.08</v>
      </c>
      <c r="P7" s="44">
        <v>-0.02</v>
      </c>
      <c r="R7" s="52"/>
      <c r="S7" s="52"/>
      <c r="T7" s="52"/>
      <c r="U7" s="52">
        <v>0.03</v>
      </c>
      <c r="V7" s="55"/>
      <c r="W7" s="55"/>
      <c r="Y7" s="36"/>
      <c r="Z7" s="36"/>
    </row>
    <row r="8" spans="1:27">
      <c r="A8" s="43">
        <v>6</v>
      </c>
      <c r="B8" s="79">
        <f>IF(controls!$B$40=3,IF(controls!$B$48="temporary",$W$3,$AA$3),IF(controls!$B$40=1,'choose m.p.'!$W$3*(1+L8),B7*(1+L8)))</f>
        <v>50</v>
      </c>
      <c r="C8" s="67">
        <f t="shared" si="0"/>
        <v>7.2318684167367531E-2</v>
      </c>
      <c r="D8" s="64">
        <f>IF(E8-'input own m.p.'!$K$12*'choose m.p.'!H7&gt;0,E8-'input own m.p.'!$K$12*'choose m.p.'!H7,0.1)</f>
        <v>63.340859375000001</v>
      </c>
      <c r="E8" s="79">
        <f>IF(controls!$B$40=3,IF(controls!$B$47="temporary",$T$3,$T$5),IF(controls!$B$40=1,'choose m.p.'!$T$3+SUM($E$27:E31)+D7*M8,E7+D7*(M8+F8/100)))</f>
        <v>51.5</v>
      </c>
      <c r="G8" s="62">
        <f>IF(ABS('input own m.p.'!$K$14*G7+(1-'input own m.p.'!$K$14)*('input own m.p.'!$K$16/100)*100+'input own m.p.'!$K$10*(D8-B8)-G7)&lt;0.0000001,G7,'input own m.p.'!$K$14*G7+(1-'input own m.p.'!$K$14)*('input own m.p.'!$K$16/100)*100+'input own m.p.'!$K$10*(D8-B8))</f>
        <v>31.128671875000002</v>
      </c>
      <c r="H8" s="376">
        <f t="shared" si="1"/>
        <v>-29.128671875000002</v>
      </c>
      <c r="I8">
        <v>2</v>
      </c>
      <c r="J8" s="81">
        <f>IF(controls!$B$40=1,(E9-B9)/'input own m.p.'!$K$12,(E9-B9)/'input own m.p.'!$K$12)</f>
        <v>2</v>
      </c>
      <c r="K8" s="97">
        <f>IF(controls!$B$40=1,'choose m.p.'!$W$5+G8,J7+G8)</f>
        <v>33.128671875000002</v>
      </c>
      <c r="L8" s="36"/>
      <c r="M8" s="36"/>
      <c r="N8" s="36">
        <v>-0.08</v>
      </c>
      <c r="P8" s="44">
        <v>-0.02</v>
      </c>
      <c r="Q8" s="44">
        <v>0.03</v>
      </c>
      <c r="S8" s="55" t="s">
        <v>0</v>
      </c>
      <c r="T8" s="55">
        <f>'input own m.p.'!K16</f>
        <v>2</v>
      </c>
      <c r="U8" s="43">
        <v>0.03</v>
      </c>
      <c r="V8" s="55">
        <v>0.03</v>
      </c>
      <c r="W8" s="63">
        <f>'main page'!G8*'choose m.p.'!W3</f>
        <v>50</v>
      </c>
      <c r="Y8" s="36"/>
      <c r="Z8" s="36"/>
    </row>
    <row r="9" spans="1:27">
      <c r="A9" s="43">
        <v>7</v>
      </c>
      <c r="B9" s="79">
        <f>IF(controls!$B$40=3,IF(controls!$B$48="temporary",$W$3,$AA$3),IF(controls!$B$40=1,'choose m.p.'!$W$3*(1+L9),B8*(1+L9)))</f>
        <v>50</v>
      </c>
      <c r="C9" s="67">
        <f t="shared" si="0"/>
        <v>0.15796508967478795</v>
      </c>
      <c r="D9" s="64">
        <f>IF(E9-'input own m.p.'!$K$12*'choose m.p.'!H8&gt;0,E9-'input own m.p.'!$K$12*'choose m.p.'!H8,0.1)</f>
        <v>73.346503906250007</v>
      </c>
      <c r="E9" s="79">
        <f>IF(controls!$B$40=3,IF(controls!$B$47="temporary",$T$3,$T$5),IF(controls!$B$40=1,'choose m.p.'!$T$3+SUM($E$27:E32)+D8*M9,E8+D8*(M9+F9/100)))</f>
        <v>51.5</v>
      </c>
      <c r="G9" s="62">
        <f>IF(ABS('input own m.p.'!$K$14*G8+(1-'input own m.p.'!$K$14)*('input own m.p.'!$K$16/100)*100+'input own m.p.'!$K$10*(D9-B9)-G8)&lt;0.0000001,G8,'input own m.p.'!$K$14*G8+(1-'input own m.p.'!$K$14)*('input own m.p.'!$K$16/100)*100+'input own m.p.'!$K$10*(D9-B9))</f>
        <v>54.475175781250009</v>
      </c>
      <c r="H9" s="376">
        <f t="shared" si="1"/>
        <v>-52.475175781250009</v>
      </c>
      <c r="I9">
        <v>2</v>
      </c>
      <c r="J9" s="81">
        <f>IF(controls!$B$40=1,(E10-B10)/'input own m.p.'!$K$12,(E10-B10)/'input own m.p.'!$K$12)</f>
        <v>2</v>
      </c>
      <c r="K9" s="97">
        <f>IF(controls!$B$40=1,'choose m.p.'!$W$5+G9,J8+G9)</f>
        <v>56.475175781250009</v>
      </c>
      <c r="L9" s="36"/>
      <c r="M9" s="36"/>
      <c r="N9" s="36">
        <v>7.0000000000000007E-2</v>
      </c>
      <c r="P9" s="44">
        <v>-0.02</v>
      </c>
      <c r="Q9" s="44">
        <v>0.04</v>
      </c>
      <c r="U9" s="43">
        <v>0.03</v>
      </c>
      <c r="V9" s="43">
        <v>0.06</v>
      </c>
      <c r="Y9" s="36"/>
      <c r="Z9" s="36"/>
    </row>
    <row r="10" spans="1:27">
      <c r="A10" s="43">
        <v>8</v>
      </c>
      <c r="B10" s="79">
        <f>IF(controls!$B$40=3,IF(controls!$B$48="temporary",$W$3,$AA$3),IF(controls!$B$40=1,'choose m.p.'!$W$3*(1+L10),B9*(1+L10)))</f>
        <v>50</v>
      </c>
      <c r="C10" s="67">
        <f t="shared" si="0"/>
        <v>0.23872818740029178</v>
      </c>
      <c r="D10" s="64">
        <f>IF(E10-'input own m.p.'!$K$12*'choose m.p.'!H9&gt;0,E10-'input own m.p.'!$K$12*'choose m.p.'!H9,0.1)</f>
        <v>90.856381835937498</v>
      </c>
      <c r="E10" s="79">
        <f>IF(controls!$B$40=3,IF(controls!$B$47="temporary",$T$3,$T$5),IF(controls!$B$40=1,'choose m.p.'!$T$3+SUM($E$27:E33)+D9*M10,E9+D9*(M10+F10/100)))</f>
        <v>51.5</v>
      </c>
      <c r="G10" s="62">
        <f>IF(ABS('input own m.p.'!$K$14*G9+(1-'input own m.p.'!$K$14)*('input own m.p.'!$K$16/100)*100+'input own m.p.'!$K$10*(D10-B10)-G9)&lt;0.0000001,G9,'input own m.p.'!$K$14*G9+(1-'input own m.p.'!$K$14)*('input own m.p.'!$K$16/100)*100+'input own m.p.'!$K$10*(D10-B10))</f>
        <v>95.331557617187514</v>
      </c>
      <c r="H10" s="376">
        <f t="shared" si="1"/>
        <v>-93.331557617187514</v>
      </c>
      <c r="I10">
        <v>2</v>
      </c>
      <c r="J10" s="81">
        <f>IF(controls!$B$40=1,(E11-B11)/'input own m.p.'!$K$12,(E11-B11)/'input own m.p.'!$K$12)</f>
        <v>2</v>
      </c>
      <c r="K10" s="97">
        <f>IF(controls!$B$40=1,'choose m.p.'!$W$5+G10,J9+G10)</f>
        <v>97.331557617187514</v>
      </c>
      <c r="L10" s="36">
        <v>-0.05</v>
      </c>
      <c r="M10" s="36"/>
      <c r="N10" s="36">
        <v>-7.0000000000000007E-2</v>
      </c>
      <c r="P10" s="44">
        <v>-0.02</v>
      </c>
      <c r="Q10" s="44">
        <v>-0.05</v>
      </c>
      <c r="U10" s="43">
        <v>0.03</v>
      </c>
      <c r="V10" s="43">
        <v>0.06</v>
      </c>
      <c r="Y10" s="36"/>
      <c r="Z10" s="36"/>
    </row>
    <row r="11" spans="1:27" ht="13.5" customHeight="1">
      <c r="A11" s="43">
        <v>9</v>
      </c>
      <c r="B11" s="79">
        <f>IF(controls!$B$40=3,IF(controls!$B$48="temporary",$W$3,$AA$3),IF(controls!$B$40=1,'choose m.p.'!$W$3*(1+L11),B10*(1+L11)))</f>
        <v>50</v>
      </c>
      <c r="C11" s="67">
        <f t="shared" si="0"/>
        <v>0.33726069383089641</v>
      </c>
      <c r="D11" s="64">
        <f>IF(E11-'input own m.p.'!$K$12*'choose m.p.'!H10&gt;0,E11-'input own m.p.'!$K$12*'choose m.p.'!H10,0.1)</f>
        <v>121.49866821289064</v>
      </c>
      <c r="E11" s="79">
        <f>IF(controls!$B$40=3,IF(controls!$B$47="temporary",$T$3,$T$5),IF(controls!$B$40=1,'choose m.p.'!$T$3+SUM($E$27:E34)+D10*M11,E10+D10*(M11+F11/100)))</f>
        <v>51.5</v>
      </c>
      <c r="G11" s="62">
        <f>IF(ABS('input own m.p.'!$K$14*G10+(1-'input own m.p.'!$K$14)*('input own m.p.'!$K$16/100)*100+'input own m.p.'!$K$10*(D11-B11)-G10)&lt;0.0000001,G10,'input own m.p.'!$K$14*G10+(1-'input own m.p.'!$K$14)*('input own m.p.'!$K$16/100)*100+'input own m.p.'!$K$10*(D11-B11))</f>
        <v>166.83022583007815</v>
      </c>
      <c r="H11" s="376">
        <f t="shared" si="1"/>
        <v>-166.83022583007815</v>
      </c>
      <c r="I11"/>
      <c r="J11" s="81">
        <f>IF(controls!$B$40=1,(E12-B12)/'input own m.p.'!$K$12,(E12-B12)/'input own m.p.'!$K$12)</f>
        <v>2</v>
      </c>
      <c r="K11" s="97">
        <f>IF(controls!$B$40=1,'choose m.p.'!$W$5+G11,J10+G11)</f>
        <v>168.83022583007815</v>
      </c>
      <c r="L11" s="36"/>
      <c r="M11" s="36"/>
      <c r="N11" s="36">
        <v>0.06</v>
      </c>
      <c r="P11" s="44">
        <v>-0.02</v>
      </c>
      <c r="Q11" s="44">
        <v>-0.05</v>
      </c>
      <c r="T11" s="52" t="b">
        <v>0</v>
      </c>
      <c r="U11" s="43">
        <v>0.03</v>
      </c>
      <c r="V11" s="43">
        <v>0.06</v>
      </c>
      <c r="Y11" s="36"/>
      <c r="Z11" s="36"/>
    </row>
    <row r="12" spans="1:27">
      <c r="A12" s="43">
        <v>10</v>
      </c>
      <c r="B12" s="79">
        <f>IF(controls!$B$40=3,IF(controls!$B$48="temporary",$W$3,$AA$3),IF(controls!$B$40=1,'choose m.p.'!$W$3*(1+L12),B11*(1+L12)))</f>
        <v>50</v>
      </c>
      <c r="C12" s="67">
        <f t="shared" si="0"/>
        <v>0.45370045590194796</v>
      </c>
      <c r="D12" s="64">
        <f>IF(E12-'input own m.p.'!$K$12*'choose m.p.'!H11&gt;0,E12-'input own m.p.'!$K$12*'choose m.p.'!H11,0.1)</f>
        <v>176.62266937255862</v>
      </c>
      <c r="E12" s="79">
        <f>IF(controls!$B$40=3,IF(controls!$B$47="temporary",$T$3,$T$5),IF(controls!$B$40=1,'choose m.p.'!$T$3+SUM($E$27:E35)+D11*M12,E11+D11*(M12+F12/100)))</f>
        <v>51.5</v>
      </c>
      <c r="G12" s="62">
        <f>IF(ABS('input own m.p.'!$K$14*G11+(1-'input own m.p.'!$K$14)*('input own m.p.'!$K$16/100)*100+'input own m.p.'!$K$10*(D12-B12)-G11)&lt;0.0000001,G11,'input own m.p.'!$K$14*G11+(1-'input own m.p.'!$K$14)*('input own m.p.'!$K$16/100)*100+'input own m.p.'!$K$10*(D12-B12))</f>
        <v>293.4528952026368</v>
      </c>
      <c r="H12" s="376">
        <f t="shared" si="1"/>
        <v>-293.4528952026368</v>
      </c>
      <c r="I12"/>
      <c r="J12" s="81">
        <f>IF(controls!$B$40=1,(E13-B13)/'input own m.p.'!$K$12,(E13-B13)/'input own m.p.'!$K$12)</f>
        <v>2</v>
      </c>
      <c r="K12" s="97">
        <f>IF(controls!$B$40=1,'choose m.p.'!$W$5+G12,J11+G12)</f>
        <v>295.4528952026368</v>
      </c>
      <c r="L12" s="36"/>
      <c r="M12" s="36">
        <v>0.09</v>
      </c>
      <c r="N12" s="36">
        <v>-0.06</v>
      </c>
      <c r="P12" s="44">
        <v>-0.02</v>
      </c>
      <c r="Q12" s="44">
        <v>-0.05</v>
      </c>
      <c r="U12" s="43">
        <v>0.03</v>
      </c>
      <c r="V12" s="43">
        <v>0.09</v>
      </c>
      <c r="Y12" s="36"/>
      <c r="Z12" s="36"/>
    </row>
    <row r="13" spans="1:27">
      <c r="A13" s="43">
        <v>11</v>
      </c>
      <c r="B13" s="79">
        <f>IF(controls!$B$40=3,IF(controls!$B$48="temporary",$W$3,$AA$3),IF(controls!$B$40=1,'choose m.p.'!$W$3*(1+L13),B12*(1+L13)))</f>
        <v>50</v>
      </c>
      <c r="C13" s="67">
        <f t="shared" si="0"/>
        <v>0.53768297335094961</v>
      </c>
      <c r="D13" s="64">
        <f>IF(E13-'input own m.p.'!$K$12*'choose m.p.'!H12&gt;0,E13-'input own m.p.'!$K$12*'choose m.p.'!H12,0.1)</f>
        <v>271.58967140197763</v>
      </c>
      <c r="E13" s="79">
        <f>IF(controls!$B$40=3,IF(controls!$B$47="temporary",$T$3,$T$5),IF(controls!$B$40=1,'choose m.p.'!$T$3+SUM($E$27:E36)+D12*M13,E12+D12*(M13+F13/100)))</f>
        <v>51.5</v>
      </c>
      <c r="G13" s="62">
        <f>IF(ABS('input own m.p.'!$K$14*G12+(1-'input own m.p.'!$K$14)*('input own m.p.'!$K$16/100)*100+'input own m.p.'!$K$10*(D13-B13)-G12)&lt;0.0000001,G12,'input own m.p.'!$K$14*G12+(1-'input own m.p.'!$K$14)*('input own m.p.'!$K$16/100)*100+'input own m.p.'!$K$10*(D13-B13))</f>
        <v>515.04256660461442</v>
      </c>
      <c r="H13" s="376">
        <f t="shared" si="1"/>
        <v>-515.04256660461442</v>
      </c>
      <c r="I13"/>
      <c r="J13" s="81">
        <f>IF(controls!$B$40=1,(E14-B14)/'input own m.p.'!$K$12,(E14-B14)/'input own m.p.'!$K$12)</f>
        <v>2</v>
      </c>
      <c r="K13" s="97">
        <f>IF(controls!$B$40=1,'choose m.p.'!$W$5+G13,J12+G13)</f>
        <v>517.04256660461442</v>
      </c>
      <c r="L13" s="36"/>
      <c r="M13" s="36"/>
      <c r="N13" s="36">
        <v>0.05</v>
      </c>
      <c r="P13" s="44">
        <v>-0.02</v>
      </c>
      <c r="Q13" s="44">
        <v>-0.05</v>
      </c>
      <c r="R13" s="44">
        <v>-0.03</v>
      </c>
      <c r="U13" s="43">
        <v>0.03</v>
      </c>
      <c r="V13" s="43">
        <v>0.09</v>
      </c>
      <c r="W13" s="43">
        <v>-0.06</v>
      </c>
      <c r="Y13" s="36"/>
      <c r="Z13" s="36"/>
    </row>
    <row r="14" spans="1:27">
      <c r="A14" s="43">
        <v>12</v>
      </c>
      <c r="B14" s="79">
        <f>IF(controls!$B$40=3,IF(controls!$B$48="temporary",$W$3,$AA$3),IF(controls!$B$40=1,'choose m.p.'!$W$3*(1+L14),B13*(1+L14)))</f>
        <v>50</v>
      </c>
      <c r="C14" s="67">
        <f t="shared" si="0"/>
        <v>0.61192405695540386</v>
      </c>
      <c r="D14" s="64">
        <f>IF(E14-'input own m.p.'!$K$12*'choose m.p.'!H13&gt;0,E14-'input own m.p.'!$K$12*'choose m.p.'!H13,0.1)</f>
        <v>437.78192495346082</v>
      </c>
      <c r="E14" s="79">
        <f>IF(controls!$B$40=3,IF(controls!$B$47="temporary",$T$3,$T$5),IF(controls!$B$40=1,'choose m.p.'!$T$3+SUM($E$27:E37)+D13*M14,E13+D13*(M14+F14/100)))</f>
        <v>51.5</v>
      </c>
      <c r="G14" s="62">
        <f>IF(ABS('input own m.p.'!$K$14*G13+(1-'input own m.p.'!$K$14)*('input own m.p.'!$K$16/100)*100+'input own m.p.'!$K$10*(D14-B14)-G13)&lt;0.0000001,G13,'input own m.p.'!$K$14*G13+(1-'input own m.p.'!$K$14)*('input own m.p.'!$K$16/100)*100+'input own m.p.'!$K$10*(D14-B14))</f>
        <v>902.82449155807524</v>
      </c>
      <c r="H14" s="376">
        <f t="shared" si="1"/>
        <v>-902.82449155807524</v>
      </c>
      <c r="I14"/>
      <c r="J14" s="81">
        <f>IF(controls!$B$40=1,(E15-B15)/'input own m.p.'!$K$12,(E15-B15)/'input own m.p.'!$K$12)</f>
        <v>2</v>
      </c>
      <c r="K14" s="97">
        <f>IF(controls!$B$40=1,'choose m.p.'!$W$5+G14,J13+G14)</f>
        <v>904.82449155807524</v>
      </c>
      <c r="L14" s="36"/>
      <c r="M14" s="36"/>
      <c r="N14" s="36">
        <v>-0.05</v>
      </c>
      <c r="P14" s="44">
        <v>-0.02</v>
      </c>
      <c r="Q14" s="44">
        <v>-0.05</v>
      </c>
      <c r="R14" s="44">
        <v>-0.03</v>
      </c>
      <c r="U14" s="43">
        <v>0.03</v>
      </c>
      <c r="V14" s="43">
        <v>0.09</v>
      </c>
      <c r="W14" s="43">
        <v>-0.06</v>
      </c>
      <c r="Y14" s="36"/>
      <c r="Z14" s="36"/>
    </row>
    <row r="15" spans="1:27">
      <c r="A15" s="43">
        <v>13</v>
      </c>
      <c r="B15" s="79">
        <f>IF(controls!$B$40=3,IF(controls!$B$48="temporary",$W$3,$AA$3),IF(controls!$B$40=1,'choose m.p.'!$W$3*(1+L15),B14*(1+L15)))</f>
        <v>50</v>
      </c>
      <c r="C15" s="67">
        <f t="shared" si="0"/>
        <v>0.66434091299226994</v>
      </c>
      <c r="D15" s="64">
        <f>IF(E15-'input own m.p.'!$K$12*'choose m.p.'!H14&gt;0,E15-'input own m.p.'!$K$12*'choose m.p.'!H14,0.1)</f>
        <v>728.6183686685564</v>
      </c>
      <c r="E15" s="79">
        <f>IF(controls!$B$40=3,IF(controls!$B$47="temporary",$T$3,$T$5),IF(controls!$B$40=1,'choose m.p.'!$T$3+SUM($E$27:E38)+D14*M15,E14+D14*(M15+F15/100)))</f>
        <v>51.5</v>
      </c>
      <c r="G15" s="62">
        <f>IF(ABS('input own m.p.'!$K$14*G14+(1-'input own m.p.'!$K$14)*('input own m.p.'!$K$16/100)*100+'input own m.p.'!$K$10*(D15-B15)-G14)&lt;0.0000001,G14,'input own m.p.'!$K$14*G14+(1-'input own m.p.'!$K$14)*('input own m.p.'!$K$16/100)*100+'input own m.p.'!$K$10*(D15-B15))</f>
        <v>1581.4428602266316</v>
      </c>
      <c r="H15" s="376">
        <f t="shared" si="1"/>
        <v>-1581.4428602266316</v>
      </c>
      <c r="I15"/>
      <c r="J15" s="81">
        <f>IF(controls!$B$40=1,(E16-B16)/'input own m.p.'!$K$12,(E16-B16)/'input own m.p.'!$K$12)</f>
        <v>2</v>
      </c>
      <c r="K15" s="97">
        <f>IF(controls!$B$40=1,'choose m.p.'!$W$5+G15,J14+G15)</f>
        <v>1583.4428602266316</v>
      </c>
      <c r="L15" s="36">
        <v>-0.03</v>
      </c>
      <c r="M15" s="36">
        <v>-7.0000000000000007E-2</v>
      </c>
      <c r="N15" s="36">
        <v>0.04</v>
      </c>
      <c r="P15" s="44">
        <v>-0.02</v>
      </c>
      <c r="Q15" s="44">
        <v>-0.05</v>
      </c>
      <c r="R15" s="44">
        <v>-0.03</v>
      </c>
      <c r="U15" s="43">
        <v>0.03</v>
      </c>
      <c r="V15" s="43">
        <v>0.09</v>
      </c>
      <c r="W15" s="43">
        <v>-7.0000000000000007E-2</v>
      </c>
      <c r="Y15" s="36"/>
      <c r="Z15" s="36"/>
    </row>
    <row r="16" spans="1:27">
      <c r="A16" s="43">
        <v>14</v>
      </c>
      <c r="B16" s="79">
        <f>IF(controls!$B$40=3,IF(controls!$B$48="temporary",$W$3,$AA$3),IF(controls!$B$40=1,'choose m.p.'!$W$3*(1+L16),B15*(1+L16)))</f>
        <v>50</v>
      </c>
      <c r="C16" s="67">
        <f t="shared" si="0"/>
        <v>0.69853272767673191</v>
      </c>
      <c r="D16" s="64">
        <f>IF(E16-'input own m.p.'!$K$12*'choose m.p.'!H15&gt;0,E16-'input own m.p.'!$K$12*'choose m.p.'!H15,0.1)</f>
        <v>1237.5821451699737</v>
      </c>
      <c r="E16" s="79">
        <f>IF(controls!$B$40=3,IF(controls!$B$47="temporary",$T$3,$T$5),IF(controls!$B$40=1,'choose m.p.'!$T$3+SUM($E$27:E39)+D15*M16,E15+D15*(M16+F16/100)))</f>
        <v>51.5</v>
      </c>
      <c r="G16" s="62">
        <f>IF(ABS('input own m.p.'!$K$14*G15+(1-'input own m.p.'!$K$14)*('input own m.p.'!$K$16/100)*100+'input own m.p.'!$K$10*(D16-B16)-G15)&lt;0.0000001,G15,'input own m.p.'!$K$14*G15+(1-'input own m.p.'!$K$14)*('input own m.p.'!$K$16/100)*100+'input own m.p.'!$K$10*(D16-B16))</f>
        <v>2769.0250053966056</v>
      </c>
      <c r="H16" s="376">
        <f t="shared" si="1"/>
        <v>-2769.0250053966056</v>
      </c>
      <c r="I16"/>
      <c r="J16" s="81">
        <f>IF(controls!$B$40=1,(E17-B17)/'input own m.p.'!$K$12,(E17-B17)/'input own m.p.'!$K$12)</f>
        <v>2</v>
      </c>
      <c r="K16" s="97">
        <f>IF(controls!$B$40=1,'choose m.p.'!$W$5+G16,J15+G16)</f>
        <v>2771.0250053966056</v>
      </c>
      <c r="L16" s="36"/>
      <c r="M16" s="36"/>
      <c r="N16" s="36">
        <v>-0.04</v>
      </c>
      <c r="P16" s="44">
        <v>-0.02</v>
      </c>
      <c r="Q16" s="44">
        <v>-0.05</v>
      </c>
      <c r="R16" s="44">
        <v>-0.03</v>
      </c>
      <c r="U16" s="43">
        <v>0.03</v>
      </c>
      <c r="V16" s="43">
        <v>0.09</v>
      </c>
      <c r="W16" s="43">
        <v>-7.0000000000000007E-2</v>
      </c>
      <c r="Y16" s="36"/>
      <c r="Z16" s="36"/>
    </row>
    <row r="17" spans="1:26">
      <c r="A17" s="43">
        <v>15</v>
      </c>
      <c r="B17" s="79">
        <f>IF(controls!$B$40=3,IF(controls!$B$48="temporary",$W$3,$AA$3),IF(controls!$B$40=1,'choose m.p.'!$W$3*(1+L17),B16*(1+L17)))</f>
        <v>50</v>
      </c>
      <c r="C17" s="67">
        <f t="shared" si="0"/>
        <v>0.71969898107664676</v>
      </c>
      <c r="D17" s="64">
        <f>IF(E17-'input own m.p.'!$K$12*'choose m.p.'!H16&gt;0,E17-'input own m.p.'!$K$12*'choose m.p.'!H16,0.1)</f>
        <v>2128.2687540474544</v>
      </c>
      <c r="E17" s="79">
        <f>IF(controls!$B$40=3,IF(controls!$B$47="temporary",$T$3,$T$5),IF(controls!$B$40=1,'choose m.p.'!$T$3+SUM($E$27:E40)+D16*M17,E16+D16*(M17+F17/100)))</f>
        <v>51.5</v>
      </c>
      <c r="G17" s="62">
        <f>IF(ABS('input own m.p.'!$K$14*G16+(1-'input own m.p.'!$K$14)*('input own m.p.'!$K$16/100)*100+'input own m.p.'!$K$10*(D17-B17)-G16)&lt;0.0000001,G16,'input own m.p.'!$K$14*G16+(1-'input own m.p.'!$K$14)*('input own m.p.'!$K$16/100)*100+'input own m.p.'!$K$10*(D17-B17))</f>
        <v>4847.29375944406</v>
      </c>
      <c r="H17" s="376">
        <f t="shared" si="1"/>
        <v>-4847.29375944406</v>
      </c>
      <c r="I17"/>
      <c r="J17" s="81">
        <f>IF(controls!$B$40=1,(E18-B18)/'input own m.p.'!$K$12,(E18-B18)/'input own m.p.'!$K$12)</f>
        <v>2</v>
      </c>
      <c r="K17" s="97">
        <f>IF(controls!$B$40=1,'choose m.p.'!$W$5+G17,J16+G17)</f>
        <v>4849.29375944406</v>
      </c>
      <c r="L17" s="36"/>
      <c r="M17" s="36"/>
      <c r="N17" s="36">
        <v>0.03</v>
      </c>
      <c r="P17" s="44">
        <v>-0.02</v>
      </c>
      <c r="Q17" s="44">
        <v>-0.05</v>
      </c>
      <c r="R17" s="44">
        <v>-0.03</v>
      </c>
      <c r="U17" s="43">
        <v>0.03</v>
      </c>
      <c r="V17" s="43">
        <v>0.09</v>
      </c>
      <c r="W17" s="43">
        <v>-7.0000000000000007E-2</v>
      </c>
      <c r="Y17" s="36"/>
      <c r="Z17" s="36"/>
    </row>
    <row r="18" spans="1:26">
      <c r="A18" s="43">
        <v>16</v>
      </c>
      <c r="B18" s="79">
        <f>IF(controls!$B$40=3,IF(controls!$B$48="temporary",$W$3,$AA$3),IF(controls!$B$40=1,'choose m.p.'!$W$3*(1+L18),B17*(1+L18)))</f>
        <v>50</v>
      </c>
      <c r="C18" s="67">
        <f t="shared" si="0"/>
        <v>0.7323800448469282</v>
      </c>
      <c r="D18" s="64">
        <f>IF(E18-'input own m.p.'!$K$12*'choose m.p.'!H17&gt;0,E18-'input own m.p.'!$K$12*'choose m.p.'!H17,0.1)</f>
        <v>3686.9703195830452</v>
      </c>
      <c r="E18" s="79">
        <f>IF(controls!$B$40=3,IF(controls!$B$47="temporary",$T$3,$T$5),IF(controls!$B$40=1,'choose m.p.'!$T$3+SUM($E$27:E41)+D17*M18,E17+D17*(M18+F18/100)))</f>
        <v>51.5</v>
      </c>
      <c r="G18" s="62">
        <f>IF(ABS('input own m.p.'!$K$14*G17+(1-'input own m.p.'!$K$14)*('input own m.p.'!$K$16/100)*100+'input own m.p.'!$K$10*(D18-B18)-G17)&lt;0.0000001,G17,'input own m.p.'!$K$14*G17+(1-'input own m.p.'!$K$14)*('input own m.p.'!$K$16/100)*100+'input own m.p.'!$K$10*(D18-B18))</f>
        <v>8484.2640790271053</v>
      </c>
      <c r="H18" s="376">
        <f t="shared" si="1"/>
        <v>-8484.2640790271053</v>
      </c>
      <c r="I18"/>
      <c r="J18" s="81">
        <f>IF(controls!$B$40=1,(E19-B19)/'input own m.p.'!$K$12,(E19-B19)/'input own m.p.'!$K$12)</f>
        <v>2</v>
      </c>
      <c r="K18" s="97">
        <f>IF(controls!$B$40=1,'choose m.p.'!$W$5+G18,J17+G18)</f>
        <v>8486.2640790271053</v>
      </c>
      <c r="L18" s="36"/>
      <c r="M18" s="36"/>
      <c r="N18" s="36">
        <v>-0.03</v>
      </c>
      <c r="P18" s="44">
        <v>-0.02</v>
      </c>
      <c r="Q18" s="44">
        <v>-0.05</v>
      </c>
      <c r="R18" s="44">
        <v>-0.03</v>
      </c>
      <c r="S18" s="43">
        <v>0.03</v>
      </c>
      <c r="U18" s="43">
        <v>0.03</v>
      </c>
      <c r="V18" s="43">
        <v>0.09</v>
      </c>
      <c r="W18" s="43">
        <v>-7.0000000000000007E-2</v>
      </c>
      <c r="X18" s="43">
        <v>-0.01</v>
      </c>
      <c r="Y18" s="36"/>
      <c r="Z18" s="36"/>
    </row>
    <row r="19" spans="1:26">
      <c r="A19" s="43">
        <v>17</v>
      </c>
      <c r="B19" s="79">
        <f>IF(controls!$B$40=3,IF(controls!$B$48="temporary",$W$3,$AA$3),IF(controls!$B$40=1,'choose m.p.'!$W$3*(1+L19),B18*(1+L19)))</f>
        <v>50</v>
      </c>
      <c r="C19" s="67">
        <f t="shared" si="0"/>
        <v>0.73982904749712208</v>
      </c>
      <c r="D19" s="64">
        <f>IF(E19-'input own m.p.'!$K$12*'choose m.p.'!H18&gt;0,E19-'input own m.p.'!$K$12*'choose m.p.'!H18,0.1)</f>
        <v>6414.6980592703294</v>
      </c>
      <c r="E19" s="79">
        <f>IF(controls!$B$40=3,IF(controls!$B$47="temporary",$T$3,$T$5),IF(controls!$B$40=1,'choose m.p.'!$T$3+SUM($E$27:E42)+D18*M19,E18+D18*(M19+F19/100)))</f>
        <v>51.5</v>
      </c>
      <c r="G19" s="62">
        <f>IF(ABS('input own m.p.'!$K$14*G18+(1-'input own m.p.'!$K$14)*('input own m.p.'!$K$16/100)*100+'input own m.p.'!$K$10*(D19-B19)-G18)&lt;0.0000001,G18,'input own m.p.'!$K$14*G18+(1-'input own m.p.'!$K$14)*('input own m.p.'!$K$16/100)*100+'input own m.p.'!$K$10*(D19-B19))</f>
        <v>14848.962138297435</v>
      </c>
      <c r="H19" s="376">
        <f t="shared" si="1"/>
        <v>-14848.962138297435</v>
      </c>
      <c r="I19"/>
      <c r="J19" s="81">
        <f>IF(controls!$B$40=1,(E20-B20)/'input own m.p.'!$K$12,(E20-B20)/'input own m.p.'!$K$12)</f>
        <v>2</v>
      </c>
      <c r="K19" s="97">
        <f>IF(controls!$B$40=1,'choose m.p.'!$W$5+G19,J18+G19)</f>
        <v>14850.962138297435</v>
      </c>
      <c r="L19" s="36"/>
      <c r="M19" s="36"/>
      <c r="N19" s="36">
        <v>0.02</v>
      </c>
      <c r="P19" s="44">
        <v>-0.02</v>
      </c>
      <c r="Q19" s="44">
        <v>-0.05</v>
      </c>
      <c r="R19" s="44">
        <v>-0.03</v>
      </c>
      <c r="S19" s="43">
        <v>0.03</v>
      </c>
      <c r="U19" s="43">
        <v>0.03</v>
      </c>
      <c r="V19" s="43">
        <v>0.09</v>
      </c>
      <c r="W19" s="43">
        <v>-7.0000000000000007E-2</v>
      </c>
      <c r="X19" s="43">
        <v>-0.08</v>
      </c>
      <c r="Y19" s="36"/>
      <c r="Z19" s="36"/>
    </row>
    <row r="20" spans="1:26">
      <c r="A20" s="43">
        <v>18</v>
      </c>
      <c r="B20" s="79">
        <f>IF(controls!$B$40=3,IF(controls!$B$48="temporary",$W$3,$AA$3),IF(controls!$B$40=1,'choose m.p.'!$W$3*(1+L20),B19*(1+L20)))</f>
        <v>50</v>
      </c>
      <c r="C20" s="67">
        <f t="shared" si="0"/>
        <v>0.74415405064221107</v>
      </c>
      <c r="D20" s="64">
        <f>IF(E20-'input own m.p.'!$K$12*'choose m.p.'!H19&gt;0,E20-'input own m.p.'!$K$12*'choose m.p.'!H19,0.1)</f>
        <v>11188.221603723076</v>
      </c>
      <c r="E20" s="79">
        <f>IF(controls!$B$40=3,IF(controls!$B$47="temporary",$T$3,$T$5),IF(controls!$B$40=1,'choose m.p.'!$T$3+SUM($E$27:E43)+D19*M20,E19+D19*(M20+F20/100)))</f>
        <v>51.5</v>
      </c>
      <c r="G20" s="62">
        <f>IF(ABS('input own m.p.'!$K$14*G19+(1-'input own m.p.'!$K$14)*('input own m.p.'!$K$16/100)*100+'input own m.p.'!$K$10*(D20-B20)-G19)&lt;0.0000001,G19,'input own m.p.'!$K$14*G19+(1-'input own m.p.'!$K$14)*('input own m.p.'!$K$16/100)*100+'input own m.p.'!$K$10*(D20-B20))</f>
        <v>25987.183742020512</v>
      </c>
      <c r="H20" s="376">
        <f t="shared" si="1"/>
        <v>-25987.183742020512</v>
      </c>
      <c r="I20"/>
      <c r="J20" s="81">
        <f>IF(controls!$B$40=1,(E21-B21)/'input own m.p.'!$K$12,(E21-B21)/'input own m.p.'!$K$12)</f>
        <v>2</v>
      </c>
      <c r="K20" s="97">
        <f>IF(controls!$B$40=1,'choose m.p.'!$W$5+G20,J19+G20)</f>
        <v>25989.183742020512</v>
      </c>
      <c r="L20" s="36"/>
      <c r="M20" s="36">
        <v>-0.02</v>
      </c>
      <c r="N20" s="36">
        <v>-0.02</v>
      </c>
      <c r="P20" s="44">
        <v>-0.02</v>
      </c>
      <c r="Q20" s="44">
        <v>-0.05</v>
      </c>
      <c r="R20" s="44">
        <v>-0.03</v>
      </c>
      <c r="S20" s="43">
        <v>0.03</v>
      </c>
      <c r="U20" s="43">
        <v>0.03</v>
      </c>
      <c r="V20" s="43">
        <v>0.09</v>
      </c>
      <c r="W20" s="43">
        <v>-7.0000000000000007E-2</v>
      </c>
      <c r="X20" s="43">
        <v>-0.02</v>
      </c>
      <c r="Y20" s="36"/>
      <c r="Z20" s="36"/>
    </row>
    <row r="21" spans="1:26">
      <c r="A21" s="43">
        <v>19</v>
      </c>
      <c r="B21" s="79">
        <f>IF(controls!$B$40=3,IF(controls!$B$48="temporary",$W$3,$AA$3),IF(controls!$B$40=1,'choose m.p.'!$W$3*(1+L21),B20*(1+L21)))</f>
        <v>50</v>
      </c>
      <c r="C21" s="89">
        <f t="shared" si="0"/>
        <v>0.7466482608828986</v>
      </c>
      <c r="D21" s="64">
        <f>IF(E21-'input own m.p.'!$K$12*'choose m.p.'!H20&gt;0,E21-'input own m.p.'!$K$12*'choose m.p.'!H20,0.1)</f>
        <v>19541.887806515384</v>
      </c>
      <c r="E21" s="79">
        <f>IF(controls!$B$40=3,IF(controls!$B$47="temporary",$T$3,$T$5),IF(controls!$B$40=1,'choose m.p.'!$T$3+SUM($E$27:E44)+D20*M21,E20+D20*(M21+F21/100)))</f>
        <v>51.5</v>
      </c>
      <c r="F21" s="90"/>
      <c r="G21" s="62">
        <f>IF(ABS('input own m.p.'!$K$14*G20+(1-'input own m.p.'!$K$14)*('input own m.p.'!$K$16/100)*100+'input own m.p.'!$K$10*(D21-B21)-G20)&lt;0.0000001,G20,'input own m.p.'!$K$14*G20+(1-'input own m.p.'!$K$14)*('input own m.p.'!$K$16/100)*100+'input own m.p.'!$K$10*(D21-B21))</f>
        <v>45479.071548535896</v>
      </c>
      <c r="H21" s="376">
        <f t="shared" si="1"/>
        <v>-45479.071548535896</v>
      </c>
      <c r="I21" s="378"/>
      <c r="J21" s="81">
        <f>IF(controls!$B$40=1,(E22-B22)/'input own m.p.'!$K$12,(E22-B22)/'input own m.p.'!$K$12)</f>
        <v>2</v>
      </c>
      <c r="K21" s="97">
        <f>IF(controls!$B$40=1,'choose m.p.'!$W$5+G21,J20+G21)</f>
        <v>45481.071548535896</v>
      </c>
      <c r="L21" s="36">
        <v>-0.08</v>
      </c>
      <c r="M21" s="36"/>
      <c r="N21" s="36">
        <v>0.01</v>
      </c>
      <c r="P21" s="44">
        <v>-0.02</v>
      </c>
      <c r="Q21" s="44">
        <v>-0.05</v>
      </c>
      <c r="R21" s="44">
        <v>-0.03</v>
      </c>
      <c r="S21" s="43">
        <v>-0.08</v>
      </c>
      <c r="U21" s="43">
        <v>0.03</v>
      </c>
      <c r="V21" s="43">
        <v>0.09</v>
      </c>
      <c r="W21" s="43">
        <v>-7.0000000000000007E-2</v>
      </c>
      <c r="X21" s="43">
        <v>-0.02</v>
      </c>
      <c r="Y21" s="36"/>
      <c r="Z21" s="36"/>
    </row>
    <row r="22" spans="1:26" s="63" customFormat="1">
      <c r="A22" s="63">
        <v>20</v>
      </c>
      <c r="B22" s="79">
        <f>IF(controls!$B$40=3,IF(controls!$B$48="temporary",$W$3,$AA$3),IF(controls!$B$40=1,'choose m.p.'!$W$3*(1+L22),B21*(1+L22)))</f>
        <v>50</v>
      </c>
      <c r="C22" s="67">
        <f t="shared" si="0"/>
        <v>0.748081045169674</v>
      </c>
      <c r="D22" s="64">
        <f>IF(E22-'input own m.p.'!$K$12*'choose m.p.'!H21&gt;0,E22-'input own m.p.'!$K$12*'choose m.p.'!H21,0.1)</f>
        <v>34160.803661401922</v>
      </c>
      <c r="E22" s="79">
        <f>IF(controls!$B$40=3,IF(controls!$B$47="temporary",$T$3,$T$5),IF(controls!$B$40=1,'choose m.p.'!$T$3+SUM($E$27:E45)+D21*M22,E21+D21*(M22+F22/100)))</f>
        <v>51.5</v>
      </c>
      <c r="F22" s="79"/>
      <c r="G22" s="62">
        <f>IF(ABS('input own m.p.'!$K$14*G21+(1-'input own m.p.'!$K$14)*('input own m.p.'!$K$16/100)*100+'input own m.p.'!$K$10*(D22-B22)-G21)&lt;0.0000001,G21,'input own m.p.'!$K$14*G21+(1-'input own m.p.'!$K$14)*('input own m.p.'!$K$16/100)*100+'input own m.p.'!$K$10*(D22-B22))</f>
        <v>79589.875209937818</v>
      </c>
      <c r="H22" s="376">
        <f t="shared" si="1"/>
        <v>-79589.875209937818</v>
      </c>
      <c r="I22" s="378"/>
      <c r="J22" s="81">
        <f>IF(controls!$B$40=1,(E23-B23)/'input own m.p.'!$K$12,(E23-B23)/'input own m.p.'!$K$12)</f>
        <v>2</v>
      </c>
      <c r="K22" s="97">
        <f>IF(controls!$B$40=1,'choose m.p.'!$W$5+G22,J21+G22)</f>
        <v>79591.875209937818</v>
      </c>
      <c r="L22" s="67"/>
      <c r="M22" s="67"/>
      <c r="N22" s="36">
        <v>-0.01</v>
      </c>
      <c r="O22" s="44"/>
      <c r="P22" s="57">
        <v>-0.02</v>
      </c>
      <c r="Q22" s="57">
        <v>-0.05</v>
      </c>
      <c r="R22" s="57">
        <v>-0.03</v>
      </c>
      <c r="S22" s="63">
        <v>-0.08</v>
      </c>
      <c r="U22" s="63">
        <v>0.03</v>
      </c>
      <c r="V22" s="63">
        <v>0.09</v>
      </c>
      <c r="W22" s="63">
        <v>-7.0000000000000007E-2</v>
      </c>
      <c r="X22" s="63">
        <v>-0.02</v>
      </c>
      <c r="Y22" s="67"/>
      <c r="Z22" s="67"/>
    </row>
    <row r="23" spans="1:26">
      <c r="A23" s="92"/>
      <c r="B23" s="79">
        <f>IF(controls!$B$40=3,IF(controls!$B$48="temporary",$W$3,$AA$3),IF(controls!$B$40=1,'choose m.p.'!$W$3*(1+L23),B22*(1+L23)))</f>
        <v>50</v>
      </c>
      <c r="C23" s="67">
        <f t="shared" si="0"/>
        <v>0.74890225065043281</v>
      </c>
      <c r="D23" s="64">
        <f>IF(E23-'input own m.p.'!$K$12*'choose m.p.'!H22&gt;0,E23-'input own m.p.'!$K$12*'choose m.p.'!H22,0.1)</f>
        <v>59743.906407453367</v>
      </c>
      <c r="E23" s="79">
        <f>IF(controls!$B$40=3,IF(controls!$B$47="temporary",$T$3,$T$5),IF(controls!$B$40=1,'choose m.p.'!$T$3+SUM($E$27:E46)+D22*M23,E22+D22*(M23+F23/100)))</f>
        <v>51.5</v>
      </c>
      <c r="F23" s="79">
        <v>0</v>
      </c>
      <c r="G23" s="62">
        <f>IF(ABS('input own m.p.'!$K$14*G22+(1-'input own m.p.'!$K$14)*('input own m.p.'!$K$16/100)*100+'input own m.p.'!$K$10*(D23-B23)-G22)&lt;0.0000001,G22,'input own m.p.'!$K$14*G22+(1-'input own m.p.'!$K$14)*('input own m.p.'!$K$16/100)*100+'input own m.p.'!$K$10*(D23-B23))</f>
        <v>139283.78161739119</v>
      </c>
      <c r="H23" s="376">
        <f t="shared" si="1"/>
        <v>-139283.78161739119</v>
      </c>
      <c r="I23" s="379"/>
      <c r="J23" s="81">
        <f>IF(controls!$B$40=1,(E24-B24)/'main page'!$K$27,(E24-B24)/'main page'!$K$27)</f>
        <v>0</v>
      </c>
      <c r="K23" s="74"/>
      <c r="L23" s="67"/>
      <c r="M23" s="67"/>
      <c r="N23" s="36">
        <v>0.05</v>
      </c>
      <c r="O23" s="57">
        <f>IF(controls!$B$33=1,D23-(#REF!-'main page'!$K$27*2)*(1+('main page'!$K$35/100))^A22,D23-$W$4)</f>
        <v>59693.906407453367</v>
      </c>
      <c r="P23" s="57">
        <f>ABS(G23-(controls!$B$9/100)*100)</f>
        <v>139281.78161739119</v>
      </c>
      <c r="Y23" s="36"/>
      <c r="Z23" s="36"/>
    </row>
    <row r="24" spans="1:26">
      <c r="B24" s="80"/>
      <c r="C24" s="36"/>
      <c r="D24" s="91"/>
      <c r="E24" s="80"/>
      <c r="F24" s="80"/>
      <c r="G24" s="91"/>
      <c r="H24" s="91"/>
      <c r="I24" s="81"/>
      <c r="J24" s="81"/>
      <c r="L24" s="36"/>
      <c r="M24" s="36"/>
      <c r="N24" s="36">
        <v>-0.05</v>
      </c>
      <c r="Y24" s="36"/>
      <c r="Z24" s="36"/>
    </row>
    <row r="25" spans="1:26">
      <c r="B25" s="80"/>
      <c r="C25" s="36"/>
      <c r="D25" s="91"/>
      <c r="E25" s="80"/>
      <c r="F25" s="80">
        <f>COUNTIF(F7:F23,F26)</f>
        <v>0</v>
      </c>
      <c r="G25" s="91"/>
      <c r="H25" s="91"/>
      <c r="I25" s="81"/>
      <c r="J25" s="81"/>
      <c r="L25" s="36"/>
      <c r="M25" s="36"/>
      <c r="N25" s="36">
        <v>0.04</v>
      </c>
      <c r="Y25" s="36"/>
      <c r="Z25" s="36"/>
    </row>
    <row r="26" spans="1:26">
      <c r="B26" s="80"/>
      <c r="C26" s="36"/>
      <c r="D26" s="91"/>
      <c r="E26" s="80"/>
      <c r="F26" s="80" t="s">
        <v>208</v>
      </c>
      <c r="G26" s="91"/>
      <c r="H26" s="91"/>
      <c r="I26" s="81"/>
      <c r="J26" s="81"/>
      <c r="L26" s="36"/>
      <c r="M26" s="36"/>
      <c r="N26" s="36">
        <v>-0.04</v>
      </c>
      <c r="Y26" s="36"/>
      <c r="Z26" s="36"/>
    </row>
    <row r="27" spans="1:26">
      <c r="B27" s="80"/>
      <c r="C27" s="36"/>
      <c r="D27" s="91"/>
      <c r="E27" s="80">
        <f>D3*F4/100</f>
        <v>0</v>
      </c>
      <c r="F27" s="80"/>
      <c r="G27" s="91"/>
      <c r="H27" s="91"/>
      <c r="I27" s="81"/>
      <c r="J27" s="81"/>
      <c r="L27" s="36"/>
      <c r="M27" s="36"/>
      <c r="N27" s="36">
        <v>0.03</v>
      </c>
      <c r="Y27" s="36"/>
      <c r="Z27" s="36"/>
    </row>
    <row r="28" spans="1:26">
      <c r="B28" s="80"/>
      <c r="C28" s="36"/>
      <c r="D28" s="91"/>
      <c r="E28" s="80">
        <f t="shared" ref="E28:E45" si="2">D4*F5/100</f>
        <v>0</v>
      </c>
      <c r="F28" s="80"/>
      <c r="G28" s="91"/>
      <c r="H28" s="91"/>
      <c r="I28" s="81"/>
      <c r="J28" s="81"/>
      <c r="L28" s="36"/>
      <c r="M28" s="36"/>
      <c r="N28" s="36">
        <v>-0.03</v>
      </c>
      <c r="Y28" s="36"/>
      <c r="Z28" s="36"/>
    </row>
    <row r="29" spans="1:26">
      <c r="B29" s="80"/>
      <c r="C29" s="36"/>
      <c r="D29" s="91"/>
      <c r="E29" s="80">
        <f t="shared" si="2"/>
        <v>0</v>
      </c>
      <c r="F29" s="80"/>
      <c r="G29" s="91"/>
      <c r="H29" s="91"/>
      <c r="I29" s="43"/>
      <c r="J29" s="81"/>
      <c r="L29" s="36"/>
      <c r="M29" s="36"/>
      <c r="N29" s="36">
        <v>0.02</v>
      </c>
      <c r="Y29" s="36"/>
      <c r="Z29" s="36"/>
    </row>
    <row r="30" spans="1:26">
      <c r="B30" s="80"/>
      <c r="C30" s="36"/>
      <c r="D30" s="91"/>
      <c r="E30" s="80">
        <f t="shared" si="2"/>
        <v>0</v>
      </c>
      <c r="F30" s="80"/>
      <c r="G30" s="91"/>
      <c r="H30" s="91"/>
      <c r="I30" s="43"/>
      <c r="J30" s="81"/>
      <c r="L30" s="36"/>
      <c r="M30" s="36"/>
      <c r="N30" s="36">
        <v>-0.02</v>
      </c>
      <c r="Y30" s="36"/>
      <c r="Z30" s="36"/>
    </row>
    <row r="31" spans="1:26">
      <c r="B31" s="80"/>
      <c r="C31" s="36"/>
      <c r="D31" s="91"/>
      <c r="E31" s="80">
        <f t="shared" si="2"/>
        <v>0</v>
      </c>
      <c r="F31" s="80"/>
      <c r="G31" s="91"/>
      <c r="H31" s="91"/>
      <c r="I31" s="43"/>
      <c r="J31" s="81"/>
      <c r="L31" s="36"/>
      <c r="M31" s="36"/>
      <c r="N31" s="36">
        <v>0.01</v>
      </c>
      <c r="Y31" s="36"/>
      <c r="Z31" s="36"/>
    </row>
    <row r="32" spans="1:26">
      <c r="B32" s="80"/>
      <c r="C32" s="36"/>
      <c r="D32" s="91"/>
      <c r="E32" s="80">
        <f t="shared" si="2"/>
        <v>0</v>
      </c>
      <c r="F32" s="80"/>
      <c r="G32" s="91"/>
      <c r="H32" s="91"/>
      <c r="I32" s="43"/>
      <c r="J32" s="81"/>
      <c r="L32" s="36"/>
      <c r="M32" s="36"/>
      <c r="N32" s="36">
        <v>-0.01</v>
      </c>
      <c r="Y32" s="36"/>
      <c r="Z32" s="36"/>
    </row>
    <row r="33" spans="1:26">
      <c r="B33" s="80"/>
      <c r="C33" s="36"/>
      <c r="D33" s="91"/>
      <c r="E33" s="80">
        <f t="shared" si="2"/>
        <v>0</v>
      </c>
      <c r="F33" s="80"/>
      <c r="G33" s="91"/>
      <c r="H33" s="91"/>
      <c r="I33" s="43"/>
      <c r="J33" s="81"/>
      <c r="L33" s="36"/>
      <c r="M33" s="36"/>
      <c r="N33" s="36"/>
      <c r="Y33" s="36"/>
      <c r="Z33" s="36"/>
    </row>
    <row r="34" spans="1:26">
      <c r="B34" s="80"/>
      <c r="C34" s="36"/>
      <c r="D34" s="91"/>
      <c r="E34" s="80">
        <f t="shared" si="2"/>
        <v>0</v>
      </c>
      <c r="F34" s="80"/>
      <c r="G34" s="91"/>
      <c r="H34" s="91"/>
      <c r="I34" s="43"/>
      <c r="J34" s="81"/>
      <c r="L34" s="36"/>
      <c r="M34" s="36"/>
      <c r="N34" s="36"/>
      <c r="Y34" s="36"/>
      <c r="Z34" s="36"/>
    </row>
    <row r="35" spans="1:26">
      <c r="B35" s="80"/>
      <c r="C35" s="36"/>
      <c r="D35" s="91"/>
      <c r="E35" s="80">
        <f t="shared" si="2"/>
        <v>0</v>
      </c>
      <c r="F35" s="80"/>
      <c r="G35" s="91"/>
      <c r="H35" s="91"/>
      <c r="I35" s="43"/>
      <c r="J35" s="81"/>
      <c r="L35" s="36"/>
      <c r="M35" s="36"/>
      <c r="N35" s="36"/>
      <c r="Y35" s="36"/>
      <c r="Z35" s="36"/>
    </row>
    <row r="36" spans="1:26">
      <c r="B36" s="80"/>
      <c r="C36" s="36"/>
      <c r="D36" s="91"/>
      <c r="E36" s="80">
        <f t="shared" si="2"/>
        <v>0</v>
      </c>
      <c r="F36" s="80"/>
      <c r="G36" s="91"/>
      <c r="H36" s="91"/>
      <c r="I36" s="43"/>
      <c r="J36" s="81"/>
      <c r="L36" s="36"/>
      <c r="M36" s="36"/>
      <c r="N36" s="36"/>
      <c r="Y36" s="36"/>
      <c r="Z36" s="36"/>
    </row>
    <row r="37" spans="1:26">
      <c r="B37" s="80"/>
      <c r="C37" s="36"/>
      <c r="D37" s="91"/>
      <c r="E37" s="80">
        <f t="shared" si="2"/>
        <v>0</v>
      </c>
      <c r="F37" s="80"/>
      <c r="G37" s="91"/>
      <c r="H37" s="91"/>
      <c r="I37" s="43"/>
      <c r="J37" s="81"/>
      <c r="L37" s="36"/>
      <c r="M37" s="36"/>
      <c r="N37" s="36"/>
      <c r="Y37" s="36"/>
      <c r="Z37" s="36"/>
    </row>
    <row r="38" spans="1:26">
      <c r="B38" s="80"/>
      <c r="C38" s="36"/>
      <c r="D38" s="91"/>
      <c r="E38" s="80">
        <f t="shared" si="2"/>
        <v>0</v>
      </c>
      <c r="F38" s="80"/>
      <c r="G38" s="91"/>
      <c r="H38" s="91"/>
      <c r="I38" s="43"/>
      <c r="J38" s="81"/>
      <c r="L38" s="36"/>
      <c r="M38" s="36"/>
      <c r="N38" s="36"/>
      <c r="Y38" s="36"/>
      <c r="Z38" s="36"/>
    </row>
    <row r="39" spans="1:26">
      <c r="B39" s="80"/>
      <c r="C39" s="36"/>
      <c r="D39" s="91"/>
      <c r="E39" s="80">
        <f t="shared" si="2"/>
        <v>0</v>
      </c>
      <c r="F39" s="80"/>
      <c r="G39" s="91"/>
      <c r="H39" s="91"/>
      <c r="I39" s="81"/>
      <c r="J39" s="81"/>
      <c r="L39" s="36"/>
      <c r="M39" s="36"/>
      <c r="N39" s="36"/>
      <c r="Y39" s="36"/>
      <c r="Z39" s="36"/>
    </row>
    <row r="40" spans="1:26">
      <c r="B40" s="80"/>
      <c r="C40" s="36"/>
      <c r="D40" s="91"/>
      <c r="E40" s="80">
        <f t="shared" si="2"/>
        <v>0</v>
      </c>
      <c r="F40" s="80"/>
      <c r="G40" s="91"/>
      <c r="H40" s="91"/>
      <c r="I40" s="81"/>
      <c r="J40" s="81"/>
      <c r="L40" s="36"/>
      <c r="M40" s="36"/>
      <c r="N40" s="36"/>
      <c r="Y40" s="36"/>
      <c r="Z40" s="36"/>
    </row>
    <row r="41" spans="1:26">
      <c r="B41" s="80"/>
      <c r="C41" s="36"/>
      <c r="D41" s="91"/>
      <c r="E41" s="80">
        <f t="shared" si="2"/>
        <v>0</v>
      </c>
      <c r="F41" s="80"/>
      <c r="G41" s="91"/>
      <c r="H41" s="91"/>
      <c r="I41" s="81"/>
      <c r="J41" s="81"/>
      <c r="L41" s="36"/>
      <c r="M41" s="36"/>
      <c r="N41" s="36"/>
      <c r="Y41" s="36"/>
      <c r="Z41" s="36"/>
    </row>
    <row r="42" spans="1:26">
      <c r="B42" s="80"/>
      <c r="C42" s="36"/>
      <c r="D42" s="91"/>
      <c r="E42" s="80">
        <f t="shared" si="2"/>
        <v>0</v>
      </c>
      <c r="F42" s="80"/>
      <c r="G42" s="91"/>
      <c r="H42" s="91"/>
      <c r="I42" s="81"/>
      <c r="J42" s="81"/>
      <c r="L42" s="36"/>
      <c r="M42" s="36"/>
      <c r="N42" s="36"/>
      <c r="Y42" s="36"/>
      <c r="Z42" s="36"/>
    </row>
    <row r="43" spans="1:26">
      <c r="B43" s="80"/>
      <c r="C43" s="36"/>
      <c r="D43" s="91"/>
      <c r="E43" s="80">
        <f t="shared" si="2"/>
        <v>0</v>
      </c>
      <c r="F43" s="80"/>
      <c r="G43" s="91"/>
      <c r="H43" s="91"/>
      <c r="I43" s="81"/>
      <c r="J43" s="81"/>
      <c r="L43" s="36"/>
      <c r="M43" s="36"/>
      <c r="N43" s="36"/>
      <c r="Y43" s="36"/>
      <c r="Z43" s="36"/>
    </row>
    <row r="44" spans="1:26">
      <c r="B44" s="80"/>
      <c r="C44" s="36"/>
      <c r="D44" s="91"/>
      <c r="E44" s="80">
        <f t="shared" si="2"/>
        <v>0</v>
      </c>
      <c r="F44" s="80"/>
      <c r="G44" s="91"/>
      <c r="H44" s="91"/>
      <c r="I44" s="81"/>
      <c r="J44" s="81"/>
      <c r="L44" s="36"/>
      <c r="M44" s="36"/>
      <c r="N44" s="36"/>
      <c r="Y44" s="36"/>
      <c r="Z44" s="36"/>
    </row>
    <row r="45" spans="1:26">
      <c r="A45" s="63"/>
      <c r="B45" s="80"/>
      <c r="C45" s="36"/>
      <c r="D45" s="91"/>
      <c r="E45" s="80">
        <f t="shared" si="2"/>
        <v>0</v>
      </c>
      <c r="F45" s="80"/>
      <c r="G45" s="91"/>
      <c r="H45" s="91"/>
      <c r="I45" s="81"/>
      <c r="J45" s="81"/>
      <c r="L45" s="36"/>
      <c r="M45" s="36"/>
      <c r="N45" s="36"/>
      <c r="Y45" s="36"/>
      <c r="Z45" s="36"/>
    </row>
    <row r="46" spans="1:26">
      <c r="B46" s="80"/>
      <c r="C46" s="36"/>
      <c r="D46" s="91"/>
      <c r="E46" s="80"/>
      <c r="F46" s="80"/>
      <c r="G46" s="91"/>
      <c r="H46" s="91"/>
      <c r="I46" s="81"/>
      <c r="J46" s="81"/>
      <c r="L46" s="36"/>
      <c r="M46" s="36"/>
      <c r="N46" s="36"/>
      <c r="Y46" s="36"/>
      <c r="Z46" s="36"/>
    </row>
    <row r="47" spans="1:26">
      <c r="B47" s="80"/>
      <c r="C47" s="36"/>
      <c r="D47" s="91"/>
      <c r="E47" s="80"/>
      <c r="F47" s="80"/>
      <c r="G47" s="91"/>
      <c r="H47" s="91"/>
      <c r="I47" s="81"/>
      <c r="J47" s="81"/>
      <c r="L47" s="36"/>
      <c r="M47" s="36"/>
      <c r="N47" s="36"/>
      <c r="Y47" s="36"/>
      <c r="Z47" s="36"/>
    </row>
    <row r="48" spans="1:26">
      <c r="B48" s="80"/>
      <c r="C48" s="36"/>
      <c r="D48" s="91"/>
      <c r="E48" s="80"/>
      <c r="F48" s="80"/>
      <c r="G48" s="91"/>
      <c r="H48" s="91"/>
      <c r="I48" s="81"/>
      <c r="J48" s="81"/>
      <c r="L48" s="36"/>
      <c r="M48" s="36"/>
      <c r="N48" s="36"/>
      <c r="Y48" s="36"/>
      <c r="Z48" s="36"/>
    </row>
    <row r="49" spans="2:26">
      <c r="B49" s="80"/>
      <c r="C49" s="36"/>
      <c r="D49" s="91"/>
      <c r="E49" s="80"/>
      <c r="F49" s="80"/>
      <c r="G49" s="91"/>
      <c r="H49" s="91"/>
      <c r="I49" s="81"/>
      <c r="J49" s="81"/>
      <c r="L49" s="36"/>
      <c r="M49" s="36"/>
      <c r="N49" s="36"/>
      <c r="Y49" s="36"/>
      <c r="Z49" s="36"/>
    </row>
    <row r="50" spans="2:26">
      <c r="B50" s="80"/>
      <c r="C50" s="36"/>
      <c r="D50" s="91"/>
      <c r="E50" s="80"/>
      <c r="F50" s="80"/>
      <c r="G50" s="91"/>
      <c r="H50" s="91"/>
      <c r="I50" s="81"/>
      <c r="J50" s="81"/>
      <c r="L50" s="36"/>
      <c r="M50" s="36"/>
      <c r="N50" s="36"/>
      <c r="Y50" s="36"/>
      <c r="Z50" s="36"/>
    </row>
    <row r="51" spans="2:26">
      <c r="B51" s="80"/>
      <c r="C51" s="36"/>
      <c r="D51" s="91"/>
      <c r="E51" s="80"/>
      <c r="F51" s="80"/>
      <c r="G51" s="91"/>
      <c r="H51" s="91"/>
      <c r="I51" s="81"/>
      <c r="J51" s="81"/>
      <c r="L51" s="36"/>
      <c r="M51" s="36"/>
      <c r="N51" s="36"/>
      <c r="Y51" s="36"/>
      <c r="Z51" s="36"/>
    </row>
    <row r="52" spans="2:26">
      <c r="B52" s="80"/>
      <c r="C52" s="36"/>
      <c r="D52" s="91"/>
      <c r="E52" s="80"/>
      <c r="F52" s="80"/>
      <c r="G52" s="91"/>
      <c r="H52" s="91"/>
      <c r="I52" s="81"/>
      <c r="J52" s="81"/>
      <c r="L52" s="36"/>
      <c r="M52" s="36"/>
      <c r="N52" s="36"/>
      <c r="Y52" s="36"/>
      <c r="Z52" s="36"/>
    </row>
    <row r="53" spans="2:26">
      <c r="B53" s="80"/>
      <c r="C53" s="36"/>
      <c r="D53" s="91"/>
      <c r="E53" s="80"/>
      <c r="F53" s="80"/>
      <c r="G53" s="91"/>
      <c r="H53" s="91"/>
      <c r="I53" s="81"/>
      <c r="J53" s="81"/>
      <c r="L53" s="36"/>
      <c r="M53" s="36"/>
      <c r="N53" s="36"/>
      <c r="Y53" s="36"/>
      <c r="Z53" s="36"/>
    </row>
    <row r="54" spans="2:26">
      <c r="B54" s="80"/>
      <c r="C54" s="36"/>
      <c r="D54" s="91"/>
      <c r="E54" s="80"/>
      <c r="F54" s="80"/>
      <c r="G54" s="91"/>
      <c r="H54" s="91"/>
      <c r="I54" s="81"/>
      <c r="J54" s="81"/>
      <c r="L54" s="36"/>
      <c r="M54" s="36"/>
      <c r="N54" s="36"/>
      <c r="Y54" s="36"/>
      <c r="Z54" s="36"/>
    </row>
    <row r="55" spans="2:26">
      <c r="B55" s="80"/>
      <c r="C55" s="36"/>
      <c r="D55" s="91"/>
      <c r="E55" s="80"/>
      <c r="F55" s="80"/>
      <c r="G55" s="91"/>
      <c r="H55" s="91"/>
      <c r="I55" s="81"/>
      <c r="J55" s="81"/>
      <c r="L55" s="36"/>
      <c r="M55" s="36"/>
      <c r="N55" s="36"/>
      <c r="Y55" s="36"/>
      <c r="Z55" s="36"/>
    </row>
    <row r="56" spans="2:26">
      <c r="B56" s="80"/>
      <c r="C56" s="36"/>
      <c r="D56" s="91"/>
      <c r="E56" s="80"/>
      <c r="F56" s="80"/>
      <c r="G56" s="91"/>
      <c r="H56" s="91"/>
      <c r="I56" s="81"/>
      <c r="J56" s="81"/>
      <c r="L56" s="36"/>
      <c r="M56" s="36"/>
      <c r="N56" s="36"/>
      <c r="Y56" s="36"/>
      <c r="Z56" s="36"/>
    </row>
    <row r="57" spans="2:26">
      <c r="B57" s="80"/>
      <c r="C57" s="36"/>
      <c r="D57" s="91"/>
      <c r="E57" s="80"/>
      <c r="F57" s="80"/>
      <c r="G57" s="91"/>
      <c r="H57" s="91"/>
      <c r="I57" s="81"/>
      <c r="J57" s="81"/>
      <c r="L57" s="36"/>
      <c r="M57" s="36"/>
      <c r="N57" s="36"/>
      <c r="Y57" s="36"/>
      <c r="Z57" s="36"/>
    </row>
    <row r="58" spans="2:26">
      <c r="B58" s="80"/>
      <c r="C58" s="36"/>
      <c r="D58" s="91"/>
      <c r="E58" s="80"/>
      <c r="F58" s="80"/>
      <c r="G58" s="91"/>
      <c r="H58" s="91"/>
      <c r="I58" s="81"/>
      <c r="J58" s="81"/>
      <c r="L58" s="36"/>
      <c r="M58" s="36"/>
      <c r="N58" s="36"/>
      <c r="Y58" s="36"/>
      <c r="Z58" s="36"/>
    </row>
    <row r="59" spans="2:26">
      <c r="B59" s="80"/>
      <c r="C59" s="36"/>
      <c r="D59" s="91"/>
      <c r="E59" s="80"/>
      <c r="F59" s="80"/>
      <c r="G59" s="91"/>
      <c r="H59" s="91"/>
      <c r="I59" s="81"/>
      <c r="J59" s="81"/>
      <c r="L59" s="36"/>
      <c r="M59" s="36"/>
      <c r="N59" s="36"/>
      <c r="Y59" s="36"/>
      <c r="Z59" s="36"/>
    </row>
    <row r="60" spans="2:26">
      <c r="B60" s="80"/>
      <c r="C60" s="36"/>
      <c r="D60" s="91"/>
      <c r="E60" s="80"/>
      <c r="F60" s="80"/>
      <c r="G60" s="91"/>
      <c r="H60" s="91"/>
      <c r="I60" s="81"/>
      <c r="J60" s="81"/>
      <c r="L60" s="36"/>
      <c r="M60" s="36"/>
      <c r="N60" s="36"/>
      <c r="Y60" s="36"/>
      <c r="Z60" s="36"/>
    </row>
    <row r="61" spans="2:26">
      <c r="B61" s="80"/>
      <c r="C61" s="36"/>
      <c r="D61" s="91"/>
      <c r="E61" s="80"/>
      <c r="F61" s="80"/>
      <c r="G61" s="91"/>
      <c r="H61" s="91"/>
      <c r="I61" s="81"/>
      <c r="J61" s="81"/>
      <c r="L61" s="36"/>
      <c r="M61" s="36"/>
      <c r="N61" s="36"/>
      <c r="Y61" s="36"/>
      <c r="Z61" s="36"/>
    </row>
    <row r="62" spans="2:26">
      <c r="B62" s="80"/>
      <c r="C62" s="36"/>
      <c r="D62" s="91"/>
      <c r="E62" s="80"/>
      <c r="F62" s="80"/>
      <c r="G62" s="91"/>
      <c r="H62" s="91"/>
      <c r="I62" s="81"/>
      <c r="J62" s="81"/>
      <c r="L62" s="36"/>
      <c r="M62" s="36"/>
      <c r="N62" s="36"/>
      <c r="Y62" s="36"/>
      <c r="Z62" s="36"/>
    </row>
    <row r="63" spans="2:26">
      <c r="B63" s="80"/>
      <c r="C63" s="36"/>
      <c r="D63" s="91"/>
      <c r="E63" s="80"/>
      <c r="F63" s="80"/>
      <c r="G63" s="91"/>
      <c r="H63" s="91"/>
      <c r="I63" s="81"/>
      <c r="J63" s="81"/>
      <c r="L63" s="36"/>
      <c r="M63" s="36"/>
      <c r="N63" s="36"/>
      <c r="Y63" s="36"/>
      <c r="Z63" s="36"/>
    </row>
    <row r="64" spans="2:26">
      <c r="B64" s="80"/>
      <c r="C64" s="36"/>
      <c r="D64" s="91"/>
      <c r="E64" s="80"/>
      <c r="F64" s="80"/>
      <c r="G64" s="91"/>
      <c r="H64" s="91"/>
      <c r="I64" s="81"/>
      <c r="J64" s="81"/>
      <c r="L64" s="36"/>
      <c r="M64" s="36"/>
      <c r="N64" s="36"/>
      <c r="Y64" s="36"/>
      <c r="Z64" s="36"/>
    </row>
    <row r="65" spans="2:26">
      <c r="B65" s="80"/>
      <c r="C65" s="36"/>
      <c r="D65" s="91"/>
      <c r="E65" s="80"/>
      <c r="F65" s="80"/>
      <c r="G65" s="91"/>
      <c r="H65" s="91"/>
      <c r="I65" s="81"/>
      <c r="J65" s="81"/>
      <c r="L65" s="36"/>
      <c r="M65" s="36"/>
      <c r="N65" s="36"/>
      <c r="Y65" s="36"/>
      <c r="Z65" s="36"/>
    </row>
    <row r="66" spans="2:26">
      <c r="B66" s="80"/>
      <c r="C66" s="36"/>
      <c r="D66" s="91"/>
      <c r="E66" s="80"/>
      <c r="F66" s="80"/>
      <c r="G66" s="91"/>
      <c r="H66" s="91"/>
      <c r="I66" s="81"/>
      <c r="J66" s="81"/>
      <c r="L66" s="36"/>
      <c r="M66" s="36"/>
      <c r="N66" s="36"/>
      <c r="Y66" s="36"/>
      <c r="Z66" s="36"/>
    </row>
    <row r="67" spans="2:26">
      <c r="B67" s="80"/>
      <c r="C67" s="36"/>
      <c r="D67" s="91"/>
      <c r="E67" s="80"/>
      <c r="F67" s="80"/>
      <c r="G67" s="91"/>
      <c r="H67" s="91"/>
      <c r="I67" s="81"/>
      <c r="J67" s="81"/>
      <c r="L67" s="36"/>
      <c r="M67" s="36"/>
      <c r="N67" s="36"/>
      <c r="Y67" s="36"/>
      <c r="Z67" s="36"/>
    </row>
    <row r="68" spans="2:26">
      <c r="B68" s="80"/>
      <c r="C68" s="36"/>
      <c r="D68" s="91"/>
      <c r="E68" s="80"/>
      <c r="F68" s="80"/>
      <c r="G68" s="91"/>
      <c r="H68" s="91"/>
      <c r="I68" s="81"/>
      <c r="J68" s="81"/>
      <c r="L68" s="36"/>
      <c r="M68" s="36"/>
      <c r="N68" s="36"/>
      <c r="Y68" s="36"/>
      <c r="Z68" s="36"/>
    </row>
    <row r="69" spans="2:26">
      <c r="B69" s="80"/>
      <c r="C69" s="36"/>
      <c r="D69" s="91"/>
      <c r="E69" s="80"/>
      <c r="F69" s="80"/>
      <c r="G69" s="91"/>
      <c r="H69" s="91"/>
      <c r="I69" s="81"/>
      <c r="J69" s="81"/>
      <c r="L69" s="36"/>
      <c r="M69" s="36"/>
      <c r="N69" s="36"/>
      <c r="Y69" s="36"/>
      <c r="Z69" s="36"/>
    </row>
    <row r="70" spans="2:26">
      <c r="B70" s="80"/>
      <c r="C70" s="36"/>
      <c r="D70" s="91"/>
      <c r="E70" s="80"/>
      <c r="F70" s="80"/>
      <c r="G70" s="91"/>
      <c r="H70" s="91"/>
      <c r="I70" s="81"/>
      <c r="J70" s="81"/>
      <c r="L70" s="36"/>
      <c r="M70" s="36"/>
      <c r="N70" s="36"/>
      <c r="Y70" s="36"/>
      <c r="Z70" s="36"/>
    </row>
    <row r="71" spans="2:26">
      <c r="B71" s="80"/>
      <c r="C71" s="36"/>
      <c r="D71" s="91"/>
      <c r="E71" s="80"/>
      <c r="F71" s="80"/>
      <c r="G71" s="91"/>
      <c r="H71" s="91"/>
      <c r="I71" s="81"/>
      <c r="J71" s="81"/>
      <c r="L71" s="36"/>
      <c r="M71" s="36"/>
      <c r="N71" s="36"/>
      <c r="Y71" s="36"/>
      <c r="Z71" s="36"/>
    </row>
    <row r="72" spans="2:26">
      <c r="B72" s="80"/>
      <c r="C72" s="36"/>
      <c r="D72" s="91"/>
      <c r="E72" s="80"/>
      <c r="F72" s="80"/>
      <c r="G72" s="91"/>
      <c r="H72" s="91"/>
      <c r="I72" s="81"/>
      <c r="J72" s="81"/>
      <c r="L72" s="36"/>
      <c r="M72" s="36"/>
      <c r="N72" s="36"/>
      <c r="Y72" s="36"/>
      <c r="Z72" s="36"/>
    </row>
    <row r="73" spans="2:26">
      <c r="B73" s="80"/>
      <c r="C73" s="36"/>
      <c r="D73" s="91"/>
      <c r="E73" s="80"/>
      <c r="F73" s="80"/>
      <c r="G73" s="91"/>
      <c r="H73" s="91"/>
      <c r="I73" s="81"/>
      <c r="J73" s="81"/>
      <c r="L73" s="36"/>
      <c r="M73" s="36"/>
      <c r="N73" s="36"/>
      <c r="Y73" s="36"/>
      <c r="Z73" s="36"/>
    </row>
    <row r="74" spans="2:26">
      <c r="B74" s="80"/>
      <c r="C74" s="36"/>
      <c r="D74" s="91"/>
      <c r="E74" s="80"/>
      <c r="F74" s="80"/>
      <c r="G74" s="91"/>
      <c r="H74" s="91"/>
      <c r="I74" s="81"/>
      <c r="J74" s="81"/>
      <c r="L74" s="36"/>
      <c r="M74" s="36"/>
      <c r="N74" s="36"/>
      <c r="Y74" s="36"/>
      <c r="Z74" s="36"/>
    </row>
    <row r="75" spans="2:26">
      <c r="B75" s="80"/>
      <c r="C75" s="36"/>
      <c r="D75" s="91"/>
      <c r="E75" s="80"/>
      <c r="F75" s="80"/>
      <c r="G75" s="91"/>
      <c r="H75" s="91"/>
      <c r="I75" s="81"/>
      <c r="J75" s="81"/>
      <c r="L75" s="36"/>
      <c r="M75" s="36"/>
      <c r="N75" s="36"/>
      <c r="Y75" s="36"/>
      <c r="Z75" s="36"/>
    </row>
    <row r="76" spans="2:26">
      <c r="B76" s="80"/>
      <c r="C76" s="36"/>
      <c r="D76" s="91"/>
      <c r="E76" s="80"/>
      <c r="F76" s="80"/>
      <c r="G76" s="91"/>
      <c r="H76" s="91"/>
      <c r="I76" s="81"/>
      <c r="J76" s="81"/>
      <c r="L76" s="36"/>
      <c r="M76" s="36"/>
      <c r="N76" s="36"/>
      <c r="Y76" s="36"/>
      <c r="Z76" s="36"/>
    </row>
    <row r="77" spans="2:26">
      <c r="B77" s="80"/>
      <c r="C77" s="36"/>
      <c r="D77" s="91"/>
      <c r="E77" s="80"/>
      <c r="F77" s="80"/>
      <c r="G77" s="91"/>
      <c r="H77" s="91"/>
      <c r="I77" s="81"/>
      <c r="J77" s="81"/>
      <c r="L77" s="36"/>
      <c r="M77" s="36"/>
      <c r="N77" s="36"/>
      <c r="Y77" s="36"/>
      <c r="Z77" s="36"/>
    </row>
    <row r="78" spans="2:26">
      <c r="B78" s="80"/>
      <c r="C78" s="36"/>
      <c r="D78" s="91"/>
      <c r="E78" s="80"/>
      <c r="F78" s="80"/>
      <c r="G78" s="91"/>
      <c r="H78" s="91"/>
      <c r="I78" s="81"/>
      <c r="J78" s="81"/>
      <c r="L78" s="36"/>
      <c r="M78" s="36"/>
      <c r="N78" s="36"/>
      <c r="Y78" s="36"/>
      <c r="Z78" s="36"/>
    </row>
    <row r="79" spans="2:26">
      <c r="B79" s="80"/>
      <c r="C79" s="36"/>
      <c r="D79" s="91"/>
      <c r="E79" s="80"/>
      <c r="F79" s="80"/>
      <c r="G79" s="91"/>
      <c r="H79" s="91"/>
      <c r="I79" s="81"/>
      <c r="J79" s="81"/>
      <c r="L79" s="36"/>
      <c r="M79" s="36"/>
      <c r="N79" s="36"/>
      <c r="Y79" s="36"/>
      <c r="Z79" s="36"/>
    </row>
    <row r="80" spans="2:26">
      <c r="B80" s="80"/>
      <c r="C80" s="36"/>
      <c r="D80" s="91"/>
      <c r="E80" s="80"/>
      <c r="F80" s="80"/>
      <c r="G80" s="91"/>
      <c r="H80" s="91"/>
      <c r="I80" s="81"/>
      <c r="J80" s="81"/>
      <c r="L80" s="36"/>
      <c r="M80" s="36"/>
      <c r="N80" s="36"/>
      <c r="Y80" s="36"/>
      <c r="Z80" s="36"/>
    </row>
    <row r="81" spans="2:26">
      <c r="B81" s="80"/>
      <c r="C81" s="36"/>
      <c r="D81" s="91"/>
      <c r="E81" s="80"/>
      <c r="F81" s="80"/>
      <c r="G81" s="91"/>
      <c r="H81" s="91"/>
      <c r="I81" s="81"/>
      <c r="J81" s="81"/>
      <c r="L81" s="36"/>
      <c r="M81" s="36"/>
      <c r="N81" s="36"/>
      <c r="Y81" s="36"/>
      <c r="Z81" s="36"/>
    </row>
    <row r="82" spans="2:26">
      <c r="B82" s="80"/>
      <c r="C82" s="36"/>
      <c r="D82" s="91"/>
      <c r="E82" s="80"/>
      <c r="F82" s="80"/>
      <c r="G82" s="91"/>
      <c r="H82" s="91"/>
      <c r="I82" s="81"/>
      <c r="J82" s="81"/>
      <c r="L82" s="36"/>
      <c r="M82" s="36"/>
      <c r="N82" s="36"/>
      <c r="Y82" s="36"/>
      <c r="Z82" s="36"/>
    </row>
    <row r="83" spans="2:26">
      <c r="B83" s="80"/>
      <c r="C83" s="36"/>
      <c r="D83" s="91"/>
      <c r="E83" s="80"/>
      <c r="F83" s="80"/>
      <c r="G83" s="91"/>
      <c r="H83" s="91"/>
      <c r="I83" s="81"/>
      <c r="J83" s="81"/>
      <c r="L83" s="36"/>
      <c r="M83" s="36"/>
      <c r="N83" s="36"/>
      <c r="Y83" s="36"/>
      <c r="Z83" s="36"/>
    </row>
    <row r="84" spans="2:26">
      <c r="B84" s="80"/>
      <c r="C84" s="36"/>
      <c r="D84" s="91"/>
      <c r="E84" s="80"/>
      <c r="F84" s="80"/>
      <c r="G84" s="91"/>
      <c r="H84" s="91"/>
      <c r="I84" s="81"/>
      <c r="J84" s="81"/>
      <c r="L84" s="36"/>
      <c r="M84" s="36"/>
      <c r="N84" s="36"/>
      <c r="Y84" s="36"/>
      <c r="Z84" s="36"/>
    </row>
    <row r="85" spans="2:26">
      <c r="B85" s="80"/>
      <c r="C85" s="36"/>
      <c r="D85" s="91"/>
      <c r="E85" s="80"/>
      <c r="F85" s="80"/>
      <c r="G85" s="91"/>
      <c r="H85" s="91"/>
      <c r="I85" s="81"/>
      <c r="J85" s="81"/>
      <c r="L85" s="36"/>
      <c r="M85" s="36"/>
      <c r="N85" s="36"/>
      <c r="Y85" s="36"/>
      <c r="Z85" s="36"/>
    </row>
    <row r="86" spans="2:26">
      <c r="B86" s="80"/>
      <c r="C86" s="36"/>
      <c r="D86" s="91"/>
      <c r="E86" s="80"/>
      <c r="F86" s="80"/>
      <c r="G86" s="91"/>
      <c r="H86" s="91"/>
      <c r="I86" s="81"/>
      <c r="J86" s="81"/>
      <c r="L86" s="36"/>
      <c r="M86" s="36"/>
      <c r="N86" s="36"/>
      <c r="Y86" s="36"/>
      <c r="Z86" s="36"/>
    </row>
    <row r="87" spans="2:26">
      <c r="B87" s="80"/>
      <c r="C87" s="36"/>
      <c r="D87" s="91"/>
      <c r="E87" s="80"/>
      <c r="F87" s="80"/>
      <c r="G87" s="91"/>
      <c r="H87" s="91"/>
      <c r="I87" s="81"/>
      <c r="J87" s="81"/>
      <c r="L87" s="36"/>
      <c r="M87" s="36"/>
      <c r="N87" s="36"/>
      <c r="Y87" s="36"/>
      <c r="Z87" s="36"/>
    </row>
    <row r="88" spans="2:26">
      <c r="B88" s="80"/>
      <c r="C88" s="36"/>
      <c r="D88" s="91"/>
      <c r="E88" s="80"/>
      <c r="F88" s="80"/>
      <c r="G88" s="91"/>
      <c r="H88" s="91"/>
      <c r="I88" s="81"/>
      <c r="J88" s="81"/>
      <c r="L88" s="36"/>
      <c r="M88" s="36"/>
      <c r="N88" s="36"/>
      <c r="Y88" s="36"/>
      <c r="Z88" s="36"/>
    </row>
    <row r="89" spans="2:26">
      <c r="B89" s="80"/>
      <c r="C89" s="36"/>
      <c r="D89" s="91"/>
      <c r="E89" s="80"/>
      <c r="F89" s="80"/>
      <c r="G89" s="91"/>
      <c r="H89" s="91"/>
      <c r="I89" s="81"/>
      <c r="J89" s="81"/>
      <c r="L89" s="36"/>
      <c r="M89" s="36"/>
      <c r="N89" s="36"/>
      <c r="Y89" s="36"/>
      <c r="Z89" s="36"/>
    </row>
    <row r="90" spans="2:26">
      <c r="B90" s="80"/>
      <c r="C90" s="36"/>
      <c r="D90" s="91"/>
      <c r="E90" s="80"/>
      <c r="F90" s="80"/>
      <c r="G90" s="91"/>
      <c r="H90" s="91"/>
      <c r="I90" s="81"/>
      <c r="J90" s="81"/>
      <c r="L90" s="36"/>
      <c r="M90" s="36"/>
      <c r="N90" s="36"/>
      <c r="Y90" s="36"/>
      <c r="Z90" s="36"/>
    </row>
    <row r="91" spans="2:26">
      <c r="B91" s="80"/>
      <c r="C91" s="36"/>
      <c r="D91" s="91"/>
      <c r="E91" s="80"/>
      <c r="F91" s="80"/>
      <c r="G91" s="91"/>
      <c r="H91" s="91"/>
      <c r="I91" s="81"/>
      <c r="J91" s="81"/>
      <c r="L91" s="36"/>
      <c r="M91" s="36"/>
      <c r="N91" s="36"/>
      <c r="Y91" s="36"/>
      <c r="Z91" s="36"/>
    </row>
    <row r="92" spans="2:26">
      <c r="B92" s="80"/>
      <c r="C92" s="36"/>
      <c r="D92" s="91"/>
      <c r="E92" s="80"/>
      <c r="F92" s="80"/>
      <c r="G92" s="91"/>
      <c r="H92" s="91"/>
      <c r="I92" s="81"/>
      <c r="J92" s="81"/>
      <c r="L92" s="36"/>
      <c r="M92" s="36"/>
      <c r="N92" s="36"/>
      <c r="Y92" s="36"/>
      <c r="Z92" s="36"/>
    </row>
    <row r="93" spans="2:26">
      <c r="B93" s="80"/>
      <c r="C93" s="36"/>
      <c r="D93" s="91"/>
      <c r="E93" s="80"/>
      <c r="F93" s="80"/>
      <c r="G93" s="91"/>
      <c r="H93" s="91"/>
      <c r="I93" s="81"/>
      <c r="J93" s="81"/>
      <c r="L93" s="36"/>
      <c r="M93" s="36"/>
      <c r="N93" s="36"/>
      <c r="Y93" s="36"/>
      <c r="Z93" s="36"/>
    </row>
    <row r="94" spans="2:26">
      <c r="B94" s="80"/>
      <c r="C94" s="36"/>
      <c r="D94" s="91"/>
      <c r="E94" s="80"/>
      <c r="F94" s="80"/>
      <c r="G94" s="91"/>
      <c r="H94" s="91"/>
      <c r="I94" s="81"/>
      <c r="J94" s="81"/>
      <c r="L94" s="36"/>
      <c r="M94" s="36"/>
      <c r="N94" s="36"/>
      <c r="Y94" s="36"/>
      <c r="Z94" s="36"/>
    </row>
    <row r="95" spans="2:26">
      <c r="B95" s="80"/>
      <c r="C95" s="36"/>
      <c r="D95" s="91"/>
      <c r="E95" s="80"/>
      <c r="F95" s="80"/>
      <c r="G95" s="91"/>
      <c r="H95" s="91"/>
      <c r="I95" s="81"/>
      <c r="J95" s="81"/>
      <c r="L95" s="36"/>
      <c r="M95" s="36"/>
      <c r="N95" s="36"/>
      <c r="Y95" s="36"/>
      <c r="Z95" s="36"/>
    </row>
    <row r="96" spans="2:26">
      <c r="B96" s="80"/>
      <c r="C96" s="36"/>
      <c r="D96" s="91"/>
      <c r="E96" s="80"/>
      <c r="F96" s="80"/>
      <c r="G96" s="91"/>
      <c r="H96" s="91"/>
      <c r="I96" s="81"/>
      <c r="J96" s="81"/>
      <c r="L96" s="36"/>
      <c r="M96" s="36"/>
      <c r="N96" s="36"/>
      <c r="Y96" s="36"/>
      <c r="Z96" s="36"/>
    </row>
    <row r="97" spans="2:26">
      <c r="B97" s="80"/>
      <c r="C97" s="36"/>
      <c r="D97" s="91"/>
      <c r="E97" s="80"/>
      <c r="F97" s="80"/>
      <c r="G97" s="91"/>
      <c r="H97" s="91"/>
      <c r="I97" s="81"/>
      <c r="J97" s="81"/>
      <c r="L97" s="36"/>
      <c r="M97" s="36"/>
      <c r="N97" s="36"/>
      <c r="Y97" s="36"/>
      <c r="Z97" s="36"/>
    </row>
    <row r="98" spans="2:26">
      <c r="B98" s="80"/>
      <c r="C98" s="36"/>
      <c r="D98" s="91"/>
      <c r="E98" s="80"/>
      <c r="F98" s="80"/>
      <c r="G98" s="91"/>
      <c r="H98" s="91"/>
      <c r="I98" s="81"/>
      <c r="J98" s="81"/>
      <c r="L98" s="36"/>
      <c r="M98" s="36"/>
      <c r="N98" s="36"/>
      <c r="Y98" s="36"/>
      <c r="Z98" s="36"/>
    </row>
    <row r="99" spans="2:26">
      <c r="B99" s="80"/>
      <c r="C99" s="36"/>
      <c r="D99" s="91"/>
      <c r="E99" s="80"/>
      <c r="F99" s="80"/>
      <c r="G99" s="91"/>
      <c r="H99" s="91"/>
      <c r="I99" s="81"/>
      <c r="J99" s="81"/>
      <c r="L99" s="36"/>
      <c r="M99" s="36"/>
      <c r="N99" s="36"/>
      <c r="Y99" s="36"/>
      <c r="Z99" s="36"/>
    </row>
    <row r="100" spans="2:26">
      <c r="B100" s="80"/>
      <c r="C100" s="36"/>
      <c r="D100" s="91"/>
      <c r="E100" s="80"/>
      <c r="F100" s="80"/>
      <c r="G100" s="91"/>
      <c r="H100" s="91"/>
      <c r="I100" s="81"/>
      <c r="J100" s="81"/>
      <c r="L100" s="36"/>
      <c r="M100" s="36"/>
      <c r="N100" s="36"/>
      <c r="Y100" s="36"/>
      <c r="Z100" s="36"/>
    </row>
    <row r="101" spans="2:26">
      <c r="B101" s="80"/>
      <c r="C101" s="36"/>
      <c r="D101" s="91"/>
      <c r="E101" s="80"/>
      <c r="F101" s="80"/>
      <c r="G101" s="91"/>
      <c r="H101" s="91"/>
      <c r="I101" s="81"/>
      <c r="J101" s="81"/>
      <c r="L101" s="36"/>
      <c r="M101" s="36"/>
      <c r="N101" s="36"/>
      <c r="Y101" s="36"/>
      <c r="Z101" s="36"/>
    </row>
    <row r="102" spans="2:26">
      <c r="B102" s="80"/>
      <c r="C102" s="36"/>
      <c r="D102" s="91"/>
      <c r="E102" s="80"/>
      <c r="F102" s="80"/>
      <c r="G102" s="91"/>
      <c r="H102" s="91"/>
      <c r="I102" s="81"/>
      <c r="J102" s="81"/>
      <c r="L102" s="36"/>
      <c r="M102" s="36"/>
      <c r="N102" s="36"/>
      <c r="Y102" s="36"/>
      <c r="Z102" s="36"/>
    </row>
    <row r="103" spans="2:26">
      <c r="B103" s="80"/>
      <c r="C103" s="36"/>
      <c r="D103" s="91"/>
      <c r="E103" s="80"/>
      <c r="F103" s="80"/>
      <c r="G103" s="91"/>
      <c r="H103" s="91"/>
      <c r="I103" s="81"/>
      <c r="J103" s="81"/>
      <c r="L103" s="36"/>
      <c r="M103" s="36"/>
      <c r="N103" s="36"/>
      <c r="Y103" s="36"/>
      <c r="Z103" s="36"/>
    </row>
    <row r="104" spans="2:26">
      <c r="B104" s="80"/>
      <c r="C104" s="36"/>
      <c r="D104" s="91"/>
      <c r="E104" s="80"/>
      <c r="F104" s="80"/>
      <c r="G104" s="91"/>
      <c r="H104" s="91"/>
      <c r="I104" s="81"/>
      <c r="J104" s="81"/>
      <c r="L104" s="36"/>
      <c r="M104" s="36"/>
      <c r="N104" s="36"/>
      <c r="Y104" s="36"/>
      <c r="Z104" s="36"/>
    </row>
    <row r="105" spans="2:26">
      <c r="B105" s="80"/>
      <c r="C105" s="36"/>
      <c r="D105" s="91"/>
      <c r="E105" s="80"/>
      <c r="F105" s="80"/>
      <c r="G105" s="91"/>
      <c r="H105" s="91"/>
      <c r="I105" s="81"/>
      <c r="J105" s="81"/>
      <c r="L105" s="36"/>
      <c r="M105" s="36"/>
      <c r="N105" s="36"/>
      <c r="Y105" s="36"/>
      <c r="Z105" s="36"/>
    </row>
    <row r="106" spans="2:26">
      <c r="B106" s="80"/>
      <c r="C106" s="36"/>
      <c r="D106" s="91"/>
      <c r="E106" s="80"/>
      <c r="F106" s="80"/>
      <c r="G106" s="91"/>
      <c r="H106" s="91"/>
      <c r="I106" s="81"/>
      <c r="J106" s="81"/>
      <c r="L106" s="36"/>
      <c r="M106" s="36"/>
      <c r="N106" s="36"/>
      <c r="Y106" s="36"/>
      <c r="Z106" s="36"/>
    </row>
    <row r="107" spans="2:26">
      <c r="B107" s="80"/>
      <c r="C107" s="36"/>
      <c r="D107" s="91"/>
      <c r="E107" s="80"/>
      <c r="F107" s="80"/>
      <c r="G107" s="91"/>
      <c r="H107" s="91"/>
      <c r="I107" s="81"/>
      <c r="J107" s="81"/>
      <c r="L107" s="36"/>
      <c r="M107" s="36"/>
      <c r="N107" s="36"/>
      <c r="Y107" s="36"/>
      <c r="Z107" s="36"/>
    </row>
    <row r="108" spans="2:26">
      <c r="B108" s="80"/>
      <c r="C108" s="36"/>
      <c r="D108" s="91"/>
      <c r="E108" s="80"/>
      <c r="F108" s="80"/>
      <c r="G108" s="91"/>
      <c r="H108" s="91"/>
      <c r="I108" s="81"/>
      <c r="J108" s="81"/>
      <c r="L108" s="36"/>
      <c r="M108" s="36"/>
      <c r="N108" s="36"/>
      <c r="Y108" s="36"/>
      <c r="Z108" s="36"/>
    </row>
    <row r="109" spans="2:26">
      <c r="B109" s="80"/>
      <c r="C109" s="36"/>
      <c r="D109" s="91"/>
      <c r="E109" s="80"/>
      <c r="F109" s="80"/>
      <c r="G109" s="91"/>
      <c r="H109" s="91"/>
      <c r="I109" s="81"/>
      <c r="J109" s="81"/>
      <c r="L109" s="36"/>
      <c r="M109" s="36"/>
      <c r="N109" s="36"/>
      <c r="Y109" s="36"/>
      <c r="Z109" s="36"/>
    </row>
    <row r="110" spans="2:26">
      <c r="B110" s="80"/>
      <c r="C110" s="36"/>
      <c r="D110" s="91"/>
      <c r="E110" s="80"/>
      <c r="F110" s="80"/>
      <c r="G110" s="91"/>
      <c r="H110" s="91"/>
      <c r="I110" s="81"/>
      <c r="J110" s="81"/>
      <c r="L110" s="36"/>
      <c r="M110" s="36"/>
      <c r="N110" s="36"/>
      <c r="Y110" s="36"/>
      <c r="Z110" s="36"/>
    </row>
    <row r="111" spans="2:26">
      <c r="B111" s="80"/>
      <c r="C111" s="36"/>
      <c r="D111" s="91"/>
      <c r="E111" s="80"/>
      <c r="F111" s="80"/>
      <c r="G111" s="91"/>
      <c r="H111" s="91"/>
      <c r="I111" s="81"/>
      <c r="J111" s="81"/>
      <c r="L111" s="36"/>
      <c r="M111" s="36"/>
      <c r="N111" s="36"/>
      <c r="Y111" s="36"/>
      <c r="Z111" s="36"/>
    </row>
    <row r="112" spans="2:26">
      <c r="B112" s="80"/>
      <c r="C112" s="36"/>
      <c r="D112" s="91"/>
      <c r="E112" s="80"/>
      <c r="F112" s="80"/>
      <c r="G112" s="91"/>
      <c r="H112" s="91"/>
      <c r="I112" s="81"/>
      <c r="J112" s="81"/>
      <c r="L112" s="36"/>
      <c r="M112" s="36"/>
      <c r="N112" s="36"/>
      <c r="Y112" s="36"/>
      <c r="Z112" s="36"/>
    </row>
    <row r="113" spans="2:26">
      <c r="B113" s="80"/>
      <c r="C113" s="36"/>
      <c r="D113" s="91"/>
      <c r="E113" s="80"/>
      <c r="F113" s="80"/>
      <c r="G113" s="91"/>
      <c r="H113" s="91"/>
      <c r="I113" s="81"/>
      <c r="J113" s="81"/>
      <c r="L113" s="36"/>
      <c r="M113" s="36"/>
      <c r="N113" s="36"/>
      <c r="Y113" s="36"/>
      <c r="Z113" s="36"/>
    </row>
    <row r="114" spans="2:26">
      <c r="B114" s="80"/>
      <c r="C114" s="36"/>
      <c r="D114" s="91"/>
      <c r="E114" s="80"/>
      <c r="F114" s="80"/>
      <c r="G114" s="91"/>
      <c r="H114" s="91"/>
      <c r="I114" s="81"/>
      <c r="J114" s="81"/>
      <c r="L114" s="36"/>
      <c r="M114" s="36"/>
      <c r="N114" s="36"/>
      <c r="Y114" s="36"/>
      <c r="Z114" s="36"/>
    </row>
    <row r="115" spans="2:26">
      <c r="B115" s="80"/>
      <c r="C115" s="36"/>
      <c r="D115" s="91"/>
      <c r="E115" s="80"/>
      <c r="F115" s="80"/>
      <c r="G115" s="91"/>
      <c r="H115" s="91"/>
      <c r="I115" s="81"/>
      <c r="J115" s="81"/>
      <c r="L115" s="36"/>
      <c r="M115" s="36"/>
      <c r="N115" s="36"/>
      <c r="Y115" s="36"/>
      <c r="Z115" s="36"/>
    </row>
    <row r="116" spans="2:26">
      <c r="B116" s="80"/>
      <c r="C116" s="36"/>
      <c r="D116" s="91"/>
      <c r="E116" s="80"/>
      <c r="F116" s="80"/>
      <c r="G116" s="91"/>
      <c r="H116" s="91"/>
      <c r="I116" s="81"/>
      <c r="J116" s="81"/>
      <c r="L116" s="36"/>
      <c r="M116" s="36"/>
      <c r="N116" s="36"/>
      <c r="Y116" s="36"/>
      <c r="Z116" s="36"/>
    </row>
    <row r="117" spans="2:26">
      <c r="B117" s="80"/>
      <c r="C117" s="36"/>
      <c r="D117" s="91"/>
      <c r="E117" s="80"/>
      <c r="F117" s="80"/>
      <c r="G117" s="91"/>
      <c r="H117" s="91"/>
      <c r="I117" s="81"/>
      <c r="J117" s="81"/>
      <c r="L117" s="36"/>
      <c r="M117" s="36"/>
      <c r="N117" s="36"/>
      <c r="Y117" s="36"/>
      <c r="Z117" s="36"/>
    </row>
    <row r="118" spans="2:26">
      <c r="B118" s="80"/>
      <c r="C118" s="36"/>
      <c r="D118" s="91"/>
      <c r="E118" s="80"/>
      <c r="F118" s="80"/>
      <c r="G118" s="91"/>
      <c r="H118" s="91"/>
      <c r="I118" s="81"/>
      <c r="J118" s="81"/>
      <c r="L118" s="36"/>
      <c r="M118" s="36"/>
      <c r="N118" s="36"/>
      <c r="Y118" s="36"/>
      <c r="Z118" s="36"/>
    </row>
    <row r="119" spans="2:26">
      <c r="B119" s="80"/>
      <c r="C119" s="36"/>
      <c r="D119" s="91"/>
      <c r="E119" s="80"/>
      <c r="F119" s="80"/>
      <c r="G119" s="91"/>
      <c r="H119" s="91"/>
      <c r="I119" s="81"/>
      <c r="J119" s="81"/>
      <c r="L119" s="36"/>
      <c r="M119" s="36"/>
      <c r="N119" s="36"/>
      <c r="Y119" s="36"/>
      <c r="Z119" s="36"/>
    </row>
    <row r="120" spans="2:26">
      <c r="B120" s="80"/>
      <c r="C120" s="36"/>
      <c r="D120" s="91"/>
      <c r="E120" s="80"/>
      <c r="F120" s="80"/>
      <c r="G120" s="91"/>
      <c r="H120" s="91"/>
      <c r="I120" s="81"/>
      <c r="J120" s="81"/>
      <c r="L120" s="36"/>
      <c r="M120" s="36"/>
      <c r="N120" s="36"/>
      <c r="Y120" s="36"/>
      <c r="Z120" s="36"/>
    </row>
    <row r="121" spans="2:26">
      <c r="B121" s="80"/>
      <c r="C121" s="36"/>
      <c r="D121" s="91"/>
      <c r="E121" s="80"/>
      <c r="F121" s="80"/>
      <c r="G121" s="91"/>
      <c r="H121" s="91"/>
      <c r="I121" s="81"/>
      <c r="J121" s="81"/>
      <c r="L121" s="36"/>
      <c r="M121" s="36"/>
      <c r="N121" s="36"/>
      <c r="Y121" s="36"/>
      <c r="Z121" s="36"/>
    </row>
    <row r="122" spans="2:26">
      <c r="B122" s="80"/>
      <c r="C122" s="36"/>
      <c r="D122" s="91"/>
      <c r="E122" s="80"/>
      <c r="F122" s="80"/>
      <c r="G122" s="91"/>
      <c r="H122" s="91"/>
      <c r="I122" s="81"/>
      <c r="J122" s="81"/>
      <c r="L122" s="36"/>
      <c r="M122" s="36"/>
      <c r="N122" s="36"/>
      <c r="Y122" s="36"/>
      <c r="Z122" s="36"/>
    </row>
    <row r="123" spans="2:26">
      <c r="B123" s="80"/>
      <c r="C123" s="36"/>
      <c r="D123" s="91"/>
      <c r="E123" s="80"/>
      <c r="F123" s="80"/>
      <c r="G123" s="91"/>
      <c r="H123" s="91"/>
      <c r="I123" s="81"/>
      <c r="J123" s="81"/>
      <c r="L123" s="36"/>
      <c r="M123" s="36"/>
      <c r="N123" s="36"/>
      <c r="Y123" s="36"/>
      <c r="Z123" s="36"/>
    </row>
    <row r="124" spans="2:26">
      <c r="B124" s="80"/>
      <c r="C124" s="36"/>
      <c r="D124" s="91"/>
      <c r="E124" s="80"/>
      <c r="F124" s="80"/>
      <c r="G124" s="91"/>
      <c r="H124" s="91"/>
      <c r="I124" s="81"/>
      <c r="J124" s="81"/>
      <c r="L124" s="36"/>
      <c r="M124" s="36"/>
      <c r="N124" s="36"/>
      <c r="Y124" s="36"/>
      <c r="Z124" s="36"/>
    </row>
    <row r="125" spans="2:26">
      <c r="B125" s="80"/>
      <c r="C125" s="36"/>
      <c r="D125" s="91"/>
      <c r="E125" s="80"/>
      <c r="F125" s="80"/>
      <c r="G125" s="91"/>
      <c r="H125" s="91"/>
      <c r="I125" s="81"/>
      <c r="J125" s="81"/>
      <c r="L125" s="36"/>
      <c r="M125" s="36"/>
      <c r="N125" s="36"/>
      <c r="Y125" s="36"/>
      <c r="Z125" s="36"/>
    </row>
    <row r="126" spans="2:26">
      <c r="B126" s="80"/>
      <c r="C126" s="36"/>
      <c r="D126" s="91"/>
      <c r="E126" s="80"/>
      <c r="F126" s="80"/>
      <c r="G126" s="91"/>
      <c r="H126" s="91"/>
      <c r="I126" s="81"/>
      <c r="J126" s="81"/>
      <c r="L126" s="36"/>
      <c r="M126" s="36"/>
      <c r="N126" s="36"/>
      <c r="Y126" s="36"/>
      <c r="Z126" s="36"/>
    </row>
    <row r="127" spans="2:26">
      <c r="B127" s="80"/>
      <c r="C127" s="36"/>
      <c r="D127" s="91"/>
      <c r="E127" s="80"/>
      <c r="F127" s="80"/>
      <c r="G127" s="91"/>
      <c r="H127" s="91"/>
      <c r="I127" s="81"/>
      <c r="J127" s="81"/>
      <c r="L127" s="36"/>
      <c r="M127" s="36"/>
      <c r="N127" s="36"/>
      <c r="Y127" s="36"/>
      <c r="Z127" s="36"/>
    </row>
    <row r="128" spans="2:26">
      <c r="B128" s="80"/>
      <c r="C128" s="36"/>
      <c r="D128" s="91"/>
      <c r="E128" s="80"/>
      <c r="F128" s="80"/>
      <c r="G128" s="91"/>
      <c r="H128" s="91"/>
      <c r="I128" s="81"/>
      <c r="J128" s="81"/>
      <c r="L128" s="36"/>
      <c r="M128" s="36"/>
      <c r="N128" s="36"/>
      <c r="Y128" s="36"/>
      <c r="Z128" s="36"/>
    </row>
    <row r="129" spans="2:26">
      <c r="B129" s="80"/>
      <c r="C129" s="36"/>
      <c r="D129" s="91"/>
      <c r="E129" s="80"/>
      <c r="F129" s="80"/>
      <c r="G129" s="91"/>
      <c r="H129" s="91"/>
      <c r="I129" s="81"/>
      <c r="J129" s="81"/>
      <c r="L129" s="36"/>
      <c r="M129" s="36"/>
      <c r="N129" s="36"/>
      <c r="Y129" s="36"/>
      <c r="Z129" s="36"/>
    </row>
    <row r="130" spans="2:26">
      <c r="B130" s="80"/>
      <c r="C130" s="36"/>
      <c r="D130" s="91"/>
      <c r="E130" s="80"/>
      <c r="F130" s="80"/>
      <c r="G130" s="91"/>
      <c r="H130" s="91"/>
      <c r="I130" s="81"/>
      <c r="J130" s="81"/>
      <c r="L130" s="36"/>
      <c r="M130" s="36"/>
      <c r="N130" s="36"/>
      <c r="Y130" s="36"/>
      <c r="Z130" s="36"/>
    </row>
    <row r="131" spans="2:26">
      <c r="B131" s="80"/>
      <c r="C131" s="36"/>
      <c r="D131" s="91"/>
      <c r="E131" s="80"/>
      <c r="F131" s="80"/>
      <c r="G131" s="91"/>
      <c r="H131" s="91"/>
      <c r="I131" s="81"/>
      <c r="J131" s="81"/>
      <c r="L131" s="36"/>
      <c r="M131" s="36"/>
      <c r="N131" s="36"/>
      <c r="Y131" s="36"/>
      <c r="Z131" s="36"/>
    </row>
    <row r="132" spans="2:26">
      <c r="B132" s="80"/>
      <c r="C132" s="36"/>
      <c r="D132" s="91"/>
      <c r="E132" s="80"/>
      <c r="F132" s="80"/>
      <c r="G132" s="91"/>
      <c r="H132" s="91"/>
      <c r="I132" s="81"/>
      <c r="J132" s="81"/>
      <c r="L132" s="36"/>
      <c r="M132" s="36"/>
      <c r="N132" s="36"/>
      <c r="Y132" s="36"/>
      <c r="Z132" s="36"/>
    </row>
    <row r="133" spans="2:26">
      <c r="B133" s="80"/>
      <c r="C133" s="36"/>
      <c r="D133" s="91"/>
      <c r="E133" s="80"/>
      <c r="F133" s="80"/>
      <c r="G133" s="91"/>
      <c r="H133" s="91"/>
      <c r="I133" s="81"/>
      <c r="J133" s="81"/>
      <c r="L133" s="36"/>
      <c r="M133" s="36"/>
      <c r="N133" s="36"/>
      <c r="Y133" s="36"/>
      <c r="Z133" s="36"/>
    </row>
    <row r="134" spans="2:26">
      <c r="B134" s="80"/>
      <c r="C134" s="36"/>
      <c r="D134" s="91"/>
      <c r="E134" s="80"/>
      <c r="F134" s="80"/>
      <c r="G134" s="91"/>
      <c r="H134" s="91"/>
      <c r="I134" s="81"/>
      <c r="J134" s="81"/>
      <c r="L134" s="36"/>
      <c r="M134" s="36"/>
      <c r="N134" s="36"/>
      <c r="Y134" s="36"/>
      <c r="Z134" s="36"/>
    </row>
    <row r="135" spans="2:26">
      <c r="B135" s="80"/>
      <c r="C135" s="36"/>
      <c r="D135" s="91"/>
      <c r="E135" s="80"/>
      <c r="F135" s="80"/>
      <c r="G135" s="91"/>
      <c r="H135" s="91"/>
      <c r="I135" s="81"/>
      <c r="J135" s="81"/>
      <c r="L135" s="36"/>
      <c r="M135" s="36"/>
      <c r="N135" s="36"/>
      <c r="Y135" s="36"/>
      <c r="Z135" s="36"/>
    </row>
    <row r="136" spans="2:26">
      <c r="B136" s="80"/>
      <c r="C136" s="36"/>
      <c r="D136" s="91"/>
      <c r="E136" s="80"/>
      <c r="F136" s="80"/>
      <c r="G136" s="91"/>
      <c r="H136" s="91"/>
      <c r="I136" s="81"/>
      <c r="J136" s="81"/>
      <c r="L136" s="36"/>
      <c r="M136" s="36"/>
      <c r="N136" s="36"/>
      <c r="Y136" s="36"/>
      <c r="Z136" s="36"/>
    </row>
    <row r="137" spans="2:26">
      <c r="B137" s="80"/>
      <c r="C137" s="36"/>
      <c r="D137" s="91"/>
      <c r="E137" s="80"/>
      <c r="F137" s="80"/>
      <c r="G137" s="91"/>
      <c r="H137" s="91"/>
      <c r="I137" s="81"/>
      <c r="J137" s="81"/>
      <c r="L137" s="36"/>
      <c r="M137" s="36"/>
      <c r="N137" s="36"/>
      <c r="Y137" s="36"/>
      <c r="Z137" s="36"/>
    </row>
    <row r="138" spans="2:26">
      <c r="B138" s="80"/>
      <c r="C138" s="36"/>
      <c r="D138" s="91"/>
      <c r="E138" s="80"/>
      <c r="F138" s="80"/>
      <c r="G138" s="91"/>
      <c r="H138" s="91"/>
      <c r="I138" s="81"/>
      <c r="J138" s="81"/>
      <c r="L138" s="36"/>
      <c r="M138" s="36"/>
      <c r="N138" s="36"/>
      <c r="Y138" s="36"/>
      <c r="Z138" s="36"/>
    </row>
    <row r="139" spans="2:26">
      <c r="B139" s="80"/>
      <c r="C139" s="36"/>
      <c r="D139" s="91"/>
      <c r="E139" s="80"/>
      <c r="F139" s="80"/>
      <c r="G139" s="91"/>
      <c r="H139" s="91"/>
      <c r="I139" s="81"/>
      <c r="J139" s="81"/>
      <c r="L139" s="36"/>
      <c r="M139" s="36"/>
      <c r="N139" s="36"/>
      <c r="Y139" s="36"/>
      <c r="Z139" s="36"/>
    </row>
    <row r="140" spans="2:26">
      <c r="B140" s="80"/>
      <c r="C140" s="36"/>
      <c r="D140" s="91"/>
      <c r="E140" s="80"/>
      <c r="F140" s="80"/>
      <c r="G140" s="91"/>
      <c r="H140" s="91"/>
      <c r="I140" s="81"/>
      <c r="J140" s="81"/>
      <c r="L140" s="36"/>
      <c r="M140" s="36"/>
      <c r="N140" s="36"/>
      <c r="Y140" s="36"/>
      <c r="Z140" s="36"/>
    </row>
    <row r="141" spans="2:26">
      <c r="B141" s="80"/>
      <c r="C141" s="36"/>
      <c r="D141" s="91"/>
      <c r="E141" s="80"/>
      <c r="F141" s="80"/>
      <c r="G141" s="91"/>
      <c r="H141" s="91"/>
      <c r="I141" s="81"/>
      <c r="J141" s="81"/>
      <c r="L141" s="36"/>
      <c r="M141" s="36"/>
      <c r="N141" s="36"/>
      <c r="Y141" s="36"/>
      <c r="Z141" s="36"/>
    </row>
    <row r="142" spans="2:26">
      <c r="B142" s="80"/>
      <c r="C142" s="36"/>
      <c r="D142" s="91"/>
      <c r="E142" s="80"/>
      <c r="F142" s="80"/>
      <c r="G142" s="91"/>
      <c r="H142" s="91"/>
      <c r="I142" s="81"/>
      <c r="J142" s="81"/>
      <c r="L142" s="36"/>
      <c r="M142" s="36"/>
      <c r="N142" s="36"/>
      <c r="Y142" s="36"/>
      <c r="Z142" s="36"/>
    </row>
    <row r="143" spans="2:26">
      <c r="B143" s="80"/>
      <c r="C143" s="36"/>
      <c r="D143" s="91"/>
      <c r="E143" s="80"/>
      <c r="F143" s="80"/>
      <c r="G143" s="91"/>
      <c r="H143" s="91"/>
      <c r="I143" s="81"/>
      <c r="J143" s="81"/>
      <c r="L143" s="36"/>
      <c r="M143" s="36"/>
      <c r="N143" s="36"/>
      <c r="Y143" s="36"/>
      <c r="Z143" s="36"/>
    </row>
    <row r="144" spans="2:26">
      <c r="B144" s="80"/>
      <c r="C144" s="36"/>
      <c r="D144" s="91"/>
      <c r="E144" s="80"/>
      <c r="F144" s="80"/>
      <c r="G144" s="91"/>
      <c r="H144" s="91"/>
      <c r="I144" s="81"/>
      <c r="J144" s="81"/>
      <c r="L144" s="36"/>
      <c r="M144" s="36"/>
      <c r="N144" s="36"/>
      <c r="Y144" s="36"/>
      <c r="Z144" s="36"/>
    </row>
    <row r="145" spans="2:26">
      <c r="B145" s="80"/>
      <c r="C145" s="36"/>
      <c r="D145" s="91"/>
      <c r="E145" s="80"/>
      <c r="F145" s="80"/>
      <c r="G145" s="91"/>
      <c r="H145" s="91"/>
      <c r="I145" s="81"/>
      <c r="J145" s="81"/>
      <c r="L145" s="36"/>
      <c r="M145" s="36"/>
      <c r="N145" s="36"/>
      <c r="Y145" s="36"/>
      <c r="Z145" s="36"/>
    </row>
    <row r="146" spans="2:26">
      <c r="B146" s="80"/>
      <c r="C146" s="36"/>
      <c r="D146" s="91"/>
      <c r="E146" s="80"/>
      <c r="F146" s="80"/>
      <c r="G146" s="91"/>
      <c r="H146" s="91"/>
      <c r="I146" s="81"/>
      <c r="J146" s="81"/>
      <c r="L146" s="36"/>
      <c r="M146" s="36"/>
      <c r="N146" s="36"/>
      <c r="Y146" s="36"/>
      <c r="Z146" s="36"/>
    </row>
    <row r="147" spans="2:26">
      <c r="B147" s="80"/>
      <c r="C147" s="36"/>
      <c r="D147" s="91"/>
      <c r="E147" s="80"/>
      <c r="F147" s="80"/>
      <c r="G147" s="91"/>
      <c r="H147" s="91"/>
      <c r="I147" s="81"/>
      <c r="J147" s="81"/>
      <c r="L147" s="36"/>
      <c r="M147" s="36"/>
      <c r="N147" s="36"/>
      <c r="Y147" s="36"/>
      <c r="Z147" s="36"/>
    </row>
    <row r="148" spans="2:26">
      <c r="B148" s="80"/>
      <c r="C148" s="36"/>
      <c r="D148" s="91"/>
      <c r="E148" s="80"/>
      <c r="F148" s="80"/>
      <c r="G148" s="91"/>
      <c r="H148" s="91"/>
      <c r="I148" s="81"/>
      <c r="J148" s="81"/>
      <c r="L148" s="36"/>
      <c r="M148" s="36"/>
      <c r="N148" s="36"/>
      <c r="Y148" s="36"/>
      <c r="Z148" s="36"/>
    </row>
    <row r="149" spans="2:26">
      <c r="B149" s="80"/>
      <c r="C149" s="36"/>
      <c r="D149" s="91"/>
      <c r="E149" s="80"/>
      <c r="F149" s="80"/>
      <c r="G149" s="91"/>
      <c r="H149" s="91"/>
      <c r="I149" s="81"/>
      <c r="J149" s="81"/>
      <c r="L149" s="36"/>
      <c r="M149" s="36"/>
      <c r="N149" s="36"/>
      <c r="Y149" s="36"/>
      <c r="Z149" s="36"/>
    </row>
    <row r="150" spans="2:26">
      <c r="B150" s="80"/>
      <c r="C150" s="36"/>
      <c r="D150" s="91"/>
      <c r="E150" s="80"/>
      <c r="F150" s="80"/>
      <c r="G150" s="91"/>
      <c r="H150" s="91"/>
      <c r="I150" s="81"/>
      <c r="J150" s="81"/>
      <c r="L150" s="36"/>
      <c r="M150" s="36"/>
      <c r="N150" s="36"/>
      <c r="Y150" s="36"/>
      <c r="Z150" s="36"/>
    </row>
    <row r="151" spans="2:26">
      <c r="B151" s="80"/>
      <c r="C151" s="36"/>
      <c r="D151" s="91"/>
      <c r="E151" s="80"/>
      <c r="F151" s="80"/>
      <c r="G151" s="91"/>
      <c r="H151" s="91"/>
      <c r="I151" s="81"/>
      <c r="J151" s="81"/>
      <c r="L151" s="36"/>
      <c r="M151" s="36"/>
      <c r="N151" s="36"/>
      <c r="Y151" s="36"/>
      <c r="Z151" s="36"/>
    </row>
    <row r="152" spans="2:26">
      <c r="B152" s="80"/>
      <c r="C152" s="36"/>
      <c r="D152" s="91"/>
      <c r="E152" s="80"/>
      <c r="F152" s="80"/>
      <c r="G152" s="91"/>
      <c r="H152" s="91"/>
      <c r="I152" s="81"/>
      <c r="J152" s="81"/>
      <c r="L152" s="36"/>
      <c r="M152" s="36"/>
      <c r="N152" s="36"/>
      <c r="Y152" s="36"/>
      <c r="Z152" s="36"/>
    </row>
    <row r="153" spans="2:26">
      <c r="B153" s="80"/>
      <c r="C153" s="36"/>
      <c r="D153" s="91"/>
      <c r="E153" s="80"/>
      <c r="F153" s="80"/>
      <c r="G153" s="91"/>
      <c r="H153" s="91"/>
      <c r="I153" s="81"/>
      <c r="J153" s="81"/>
      <c r="L153" s="36"/>
      <c r="M153" s="36"/>
      <c r="N153" s="36"/>
      <c r="Y153" s="36"/>
      <c r="Z153" s="36"/>
    </row>
    <row r="154" spans="2:26">
      <c r="B154" s="80"/>
      <c r="C154" s="36"/>
      <c r="D154" s="91"/>
      <c r="E154" s="80"/>
      <c r="F154" s="80"/>
      <c r="G154" s="91"/>
      <c r="H154" s="91"/>
      <c r="I154" s="81"/>
      <c r="J154" s="81"/>
      <c r="L154" s="36"/>
      <c r="M154" s="36"/>
      <c r="N154" s="36"/>
      <c r="Y154" s="36"/>
      <c r="Z154" s="36"/>
    </row>
    <row r="155" spans="2:26">
      <c r="B155" s="80"/>
      <c r="C155" s="36"/>
      <c r="D155" s="91"/>
      <c r="E155" s="80"/>
      <c r="F155" s="80"/>
      <c r="G155" s="91"/>
      <c r="H155" s="91"/>
      <c r="I155" s="81"/>
      <c r="J155" s="81"/>
      <c r="L155" s="36"/>
      <c r="M155" s="36"/>
      <c r="N155" s="36"/>
      <c r="Y155" s="36"/>
      <c r="Z155" s="36"/>
    </row>
    <row r="156" spans="2:26">
      <c r="B156" s="80"/>
      <c r="C156" s="36"/>
      <c r="D156" s="91"/>
      <c r="E156" s="80"/>
      <c r="F156" s="80"/>
      <c r="G156" s="91"/>
      <c r="H156" s="91"/>
      <c r="I156" s="81"/>
      <c r="J156" s="81"/>
      <c r="L156" s="36"/>
      <c r="M156" s="36"/>
      <c r="N156" s="36"/>
      <c r="Y156" s="36"/>
      <c r="Z156" s="36"/>
    </row>
    <row r="157" spans="2:26">
      <c r="B157" s="80"/>
      <c r="C157" s="36"/>
      <c r="D157" s="91"/>
      <c r="E157" s="80"/>
      <c r="F157" s="80"/>
      <c r="G157" s="91"/>
      <c r="H157" s="91"/>
      <c r="I157" s="81"/>
      <c r="J157" s="81"/>
      <c r="L157" s="36"/>
      <c r="M157" s="36"/>
      <c r="N157" s="36"/>
      <c r="Y157" s="36"/>
      <c r="Z157" s="36"/>
    </row>
    <row r="158" spans="2:26">
      <c r="B158" s="80"/>
      <c r="C158" s="36"/>
      <c r="D158" s="91"/>
      <c r="E158" s="80"/>
      <c r="F158" s="80"/>
      <c r="G158" s="91"/>
      <c r="H158" s="91"/>
      <c r="I158" s="81"/>
      <c r="J158" s="81"/>
      <c r="L158" s="36"/>
      <c r="M158" s="36"/>
      <c r="N158" s="36"/>
      <c r="Y158" s="36"/>
      <c r="Z158" s="36"/>
    </row>
    <row r="159" spans="2:26">
      <c r="B159" s="80"/>
      <c r="C159" s="36"/>
      <c r="D159" s="91"/>
      <c r="E159" s="80"/>
      <c r="F159" s="80"/>
      <c r="G159" s="91"/>
      <c r="H159" s="91"/>
      <c r="I159" s="81"/>
      <c r="J159" s="81"/>
      <c r="L159" s="36"/>
      <c r="M159" s="36"/>
      <c r="N159" s="36"/>
      <c r="Y159" s="36"/>
      <c r="Z159" s="36"/>
    </row>
    <row r="160" spans="2:26">
      <c r="B160" s="80"/>
      <c r="C160" s="36"/>
      <c r="D160" s="91"/>
      <c r="E160" s="80"/>
      <c r="F160" s="80"/>
      <c r="G160" s="91"/>
      <c r="H160" s="91"/>
      <c r="I160" s="81"/>
      <c r="J160" s="81"/>
      <c r="L160" s="36"/>
      <c r="M160" s="36"/>
      <c r="N160" s="36"/>
      <c r="Y160" s="36"/>
      <c r="Z160" s="36"/>
    </row>
    <row r="161" spans="2:26">
      <c r="B161" s="80"/>
      <c r="C161" s="36"/>
      <c r="D161" s="91"/>
      <c r="E161" s="80"/>
      <c r="F161" s="80"/>
      <c r="G161" s="91"/>
      <c r="H161" s="91"/>
      <c r="I161" s="81"/>
      <c r="J161" s="81"/>
      <c r="L161" s="36"/>
      <c r="M161" s="36"/>
      <c r="N161" s="36"/>
      <c r="Y161" s="36"/>
      <c r="Z161" s="36"/>
    </row>
    <row r="162" spans="2:26">
      <c r="B162" s="80"/>
      <c r="C162" s="36"/>
      <c r="D162" s="91"/>
      <c r="E162" s="80"/>
      <c r="F162" s="80"/>
      <c r="G162" s="91"/>
      <c r="H162" s="91"/>
      <c r="I162" s="81"/>
      <c r="J162" s="81"/>
      <c r="L162" s="36"/>
      <c r="M162" s="36"/>
      <c r="N162" s="36"/>
      <c r="Y162" s="36"/>
      <c r="Z162" s="36"/>
    </row>
    <row r="163" spans="2:26">
      <c r="B163" s="80"/>
      <c r="C163" s="36"/>
      <c r="D163" s="91"/>
      <c r="E163" s="80"/>
      <c r="F163" s="80"/>
      <c r="G163" s="91"/>
      <c r="H163" s="91"/>
      <c r="I163" s="81"/>
      <c r="J163" s="81"/>
      <c r="L163" s="36"/>
      <c r="M163" s="36"/>
      <c r="N163" s="36"/>
      <c r="Y163" s="36"/>
      <c r="Z163" s="36"/>
    </row>
    <row r="164" spans="2:26">
      <c r="B164" s="80"/>
      <c r="C164" s="36"/>
      <c r="D164" s="91"/>
      <c r="E164" s="80"/>
      <c r="F164" s="80"/>
      <c r="G164" s="91"/>
      <c r="H164" s="91"/>
      <c r="I164" s="81"/>
      <c r="J164" s="81"/>
      <c r="L164" s="36"/>
      <c r="M164" s="36"/>
      <c r="N164" s="36"/>
      <c r="Y164" s="36"/>
      <c r="Z164" s="36"/>
    </row>
    <row r="165" spans="2:26">
      <c r="B165" s="80"/>
      <c r="C165" s="36"/>
      <c r="D165" s="91"/>
      <c r="E165" s="80"/>
      <c r="F165" s="80"/>
      <c r="G165" s="91"/>
      <c r="H165" s="91"/>
      <c r="I165" s="81"/>
      <c r="J165" s="81"/>
      <c r="L165" s="36"/>
      <c r="M165" s="36"/>
      <c r="N165" s="36"/>
      <c r="Y165" s="36"/>
      <c r="Z165" s="36"/>
    </row>
    <row r="166" spans="2:26">
      <c r="B166" s="80"/>
      <c r="C166" s="36"/>
      <c r="D166" s="91"/>
      <c r="E166" s="80"/>
      <c r="F166" s="80"/>
      <c r="G166" s="91"/>
      <c r="H166" s="91"/>
      <c r="I166" s="81"/>
      <c r="J166" s="81"/>
      <c r="L166" s="36"/>
      <c r="M166" s="36"/>
      <c r="N166" s="36"/>
      <c r="Y166" s="36"/>
      <c r="Z166" s="36"/>
    </row>
    <row r="167" spans="2:26">
      <c r="B167" s="80"/>
      <c r="C167" s="36"/>
      <c r="D167" s="91"/>
      <c r="E167" s="80"/>
      <c r="F167" s="80"/>
      <c r="G167" s="91"/>
      <c r="H167" s="91"/>
      <c r="I167" s="81"/>
      <c r="J167" s="81"/>
      <c r="L167" s="36"/>
      <c r="M167" s="36"/>
      <c r="N167" s="36"/>
      <c r="Y167" s="36"/>
      <c r="Z167" s="36"/>
    </row>
    <row r="168" spans="2:26">
      <c r="B168" s="80"/>
      <c r="C168" s="36"/>
      <c r="D168" s="91"/>
      <c r="E168" s="80"/>
      <c r="F168" s="80"/>
      <c r="G168" s="91"/>
      <c r="H168" s="91"/>
      <c r="I168" s="81"/>
      <c r="J168" s="81"/>
      <c r="L168" s="36"/>
      <c r="M168" s="36"/>
      <c r="N168" s="36"/>
      <c r="Y168" s="36"/>
      <c r="Z168" s="36"/>
    </row>
    <row r="169" spans="2:26">
      <c r="B169" s="80"/>
      <c r="C169" s="36"/>
      <c r="D169" s="91"/>
      <c r="E169" s="80"/>
      <c r="F169" s="80"/>
      <c r="G169" s="91"/>
      <c r="H169" s="91"/>
      <c r="I169" s="81"/>
      <c r="J169" s="81"/>
      <c r="L169" s="36"/>
      <c r="M169" s="36"/>
      <c r="N169" s="36"/>
      <c r="Y169" s="36"/>
      <c r="Z169" s="36"/>
    </row>
    <row r="170" spans="2:26">
      <c r="B170" s="80"/>
      <c r="C170" s="36"/>
      <c r="D170" s="91"/>
      <c r="E170" s="80"/>
      <c r="F170" s="80"/>
      <c r="G170" s="91"/>
      <c r="H170" s="91"/>
      <c r="I170" s="81"/>
      <c r="J170" s="81"/>
      <c r="L170" s="36"/>
      <c r="M170" s="36"/>
      <c r="N170" s="36"/>
      <c r="Y170" s="36"/>
      <c r="Z170" s="36"/>
    </row>
    <row r="171" spans="2:26">
      <c r="B171" s="80"/>
      <c r="C171" s="36"/>
      <c r="D171" s="91"/>
      <c r="E171" s="80"/>
      <c r="F171" s="80"/>
      <c r="G171" s="91"/>
      <c r="H171" s="91"/>
      <c r="I171" s="81"/>
      <c r="J171" s="81"/>
      <c r="L171" s="36"/>
      <c r="M171" s="36"/>
      <c r="N171" s="36"/>
      <c r="Y171" s="36"/>
      <c r="Z171" s="36"/>
    </row>
    <row r="172" spans="2:26">
      <c r="B172" s="80"/>
      <c r="C172" s="36"/>
      <c r="D172" s="91"/>
      <c r="E172" s="80"/>
      <c r="F172" s="80"/>
      <c r="G172" s="91"/>
      <c r="H172" s="91"/>
      <c r="I172" s="81"/>
      <c r="J172" s="81"/>
      <c r="L172" s="36"/>
      <c r="M172" s="36"/>
      <c r="N172" s="36"/>
      <c r="Y172" s="36"/>
      <c r="Z172" s="36"/>
    </row>
    <row r="173" spans="2:26">
      <c r="B173" s="80"/>
      <c r="C173" s="36"/>
      <c r="D173" s="91"/>
      <c r="E173" s="80"/>
      <c r="F173" s="80"/>
      <c r="G173" s="91"/>
      <c r="H173" s="91"/>
      <c r="I173" s="81"/>
      <c r="J173" s="81"/>
      <c r="L173" s="36"/>
      <c r="M173" s="36"/>
      <c r="N173" s="36"/>
      <c r="Y173" s="36"/>
      <c r="Z173" s="36"/>
    </row>
    <row r="174" spans="2:26">
      <c r="B174" s="80"/>
      <c r="C174" s="36"/>
      <c r="D174" s="91"/>
      <c r="E174" s="80"/>
      <c r="F174" s="80"/>
      <c r="G174" s="91"/>
      <c r="H174" s="91"/>
      <c r="I174" s="81"/>
      <c r="J174" s="81"/>
      <c r="L174" s="36"/>
      <c r="M174" s="36"/>
      <c r="N174" s="36"/>
      <c r="Y174" s="36"/>
      <c r="Z174" s="36"/>
    </row>
    <row r="175" spans="2:26">
      <c r="B175" s="80"/>
      <c r="C175" s="36"/>
      <c r="D175" s="91"/>
      <c r="E175" s="80"/>
      <c r="F175" s="80"/>
      <c r="G175" s="91"/>
      <c r="H175" s="91"/>
      <c r="I175" s="81"/>
      <c r="J175" s="81"/>
      <c r="L175" s="36"/>
      <c r="M175" s="36"/>
      <c r="N175" s="36"/>
      <c r="Y175" s="36"/>
      <c r="Z175" s="36"/>
    </row>
    <row r="176" spans="2:26">
      <c r="B176" s="80"/>
      <c r="C176" s="36"/>
      <c r="D176" s="91"/>
      <c r="E176" s="80"/>
      <c r="F176" s="80"/>
      <c r="G176" s="91"/>
      <c r="H176" s="91"/>
      <c r="I176" s="81"/>
      <c r="J176" s="81"/>
      <c r="L176" s="36"/>
      <c r="M176" s="36"/>
      <c r="N176" s="36"/>
      <c r="Y176" s="36"/>
      <c r="Z176" s="36"/>
    </row>
    <row r="177" spans="2:26">
      <c r="B177" s="80"/>
      <c r="C177" s="36"/>
      <c r="D177" s="91"/>
      <c r="E177" s="80"/>
      <c r="F177" s="80"/>
      <c r="G177" s="91"/>
      <c r="H177" s="91"/>
      <c r="I177" s="81"/>
      <c r="J177" s="81"/>
      <c r="L177" s="36"/>
      <c r="M177" s="36"/>
      <c r="N177" s="36"/>
      <c r="Y177" s="36"/>
      <c r="Z177" s="36"/>
    </row>
    <row r="178" spans="2:26">
      <c r="B178" s="80"/>
      <c r="C178" s="36"/>
      <c r="D178" s="91"/>
      <c r="E178" s="80"/>
      <c r="F178" s="80"/>
      <c r="G178" s="91"/>
      <c r="H178" s="91"/>
      <c r="I178" s="81"/>
      <c r="J178" s="81"/>
      <c r="L178" s="36"/>
      <c r="M178" s="36"/>
      <c r="N178" s="36"/>
      <c r="Y178" s="36"/>
      <c r="Z178" s="36"/>
    </row>
    <row r="179" spans="2:26">
      <c r="B179" s="80"/>
      <c r="C179" s="36"/>
      <c r="D179" s="91"/>
      <c r="E179" s="80"/>
      <c r="F179" s="80"/>
      <c r="G179" s="91"/>
      <c r="H179" s="91"/>
      <c r="I179" s="81"/>
      <c r="J179" s="81"/>
      <c r="L179" s="36"/>
      <c r="M179" s="36"/>
      <c r="N179" s="36"/>
      <c r="Y179" s="36"/>
      <c r="Z179" s="36"/>
    </row>
    <row r="180" spans="2:26">
      <c r="B180" s="80"/>
      <c r="C180" s="36"/>
      <c r="D180" s="91"/>
      <c r="E180" s="80"/>
      <c r="F180" s="80"/>
      <c r="G180" s="91"/>
      <c r="H180" s="91"/>
      <c r="I180" s="81"/>
      <c r="J180" s="81"/>
      <c r="L180" s="36"/>
      <c r="M180" s="36"/>
      <c r="N180" s="36"/>
      <c r="Y180" s="36"/>
      <c r="Z180" s="36"/>
    </row>
    <row r="181" spans="2:26">
      <c r="B181" s="80"/>
      <c r="C181" s="36"/>
      <c r="D181" s="91"/>
      <c r="E181" s="80"/>
      <c r="F181" s="80"/>
      <c r="G181" s="91"/>
      <c r="H181" s="91"/>
      <c r="I181" s="81"/>
      <c r="J181" s="81"/>
      <c r="L181" s="36"/>
      <c r="M181" s="36"/>
      <c r="N181" s="36"/>
      <c r="Y181" s="36"/>
      <c r="Z181" s="36"/>
    </row>
    <row r="182" spans="2:26">
      <c r="B182" s="80"/>
      <c r="C182" s="36"/>
      <c r="D182" s="91"/>
      <c r="E182" s="80"/>
      <c r="F182" s="80"/>
      <c r="G182" s="91"/>
      <c r="H182" s="91"/>
      <c r="I182" s="81"/>
      <c r="J182" s="81"/>
      <c r="L182" s="36"/>
      <c r="M182" s="36"/>
      <c r="N182" s="36"/>
      <c r="Y182" s="36"/>
      <c r="Z182" s="36"/>
    </row>
    <row r="183" spans="2:26">
      <c r="B183" s="80"/>
      <c r="C183" s="36"/>
      <c r="D183" s="91"/>
      <c r="E183" s="80"/>
      <c r="F183" s="80"/>
      <c r="G183" s="91"/>
      <c r="H183" s="91"/>
      <c r="I183" s="81"/>
      <c r="J183" s="81"/>
      <c r="L183" s="36"/>
      <c r="M183" s="36"/>
      <c r="N183" s="36"/>
      <c r="Y183" s="36"/>
      <c r="Z183" s="36"/>
    </row>
    <row r="184" spans="2:26">
      <c r="B184" s="80"/>
      <c r="C184" s="36"/>
      <c r="D184" s="91"/>
      <c r="E184" s="80"/>
      <c r="F184" s="80"/>
      <c r="G184" s="91"/>
      <c r="H184" s="91"/>
      <c r="I184" s="81"/>
      <c r="J184" s="81"/>
      <c r="L184" s="36"/>
      <c r="M184" s="36"/>
      <c r="N184" s="36"/>
      <c r="Y184" s="36"/>
      <c r="Z184" s="36"/>
    </row>
    <row r="185" spans="2:26">
      <c r="B185" s="80"/>
      <c r="C185" s="36"/>
      <c r="D185" s="91"/>
      <c r="E185" s="80"/>
      <c r="F185" s="80"/>
      <c r="G185" s="91"/>
      <c r="H185" s="91"/>
      <c r="I185" s="81"/>
      <c r="J185" s="81"/>
      <c r="L185" s="36"/>
      <c r="M185" s="36"/>
      <c r="N185" s="36"/>
      <c r="Y185" s="36"/>
      <c r="Z185" s="36"/>
    </row>
    <row r="186" spans="2:26">
      <c r="B186" s="80"/>
      <c r="C186" s="36"/>
      <c r="D186" s="91"/>
      <c r="E186" s="80"/>
      <c r="F186" s="80"/>
      <c r="G186" s="91"/>
      <c r="H186" s="91"/>
      <c r="I186" s="81"/>
      <c r="J186" s="81"/>
      <c r="L186" s="36"/>
      <c r="M186" s="36"/>
      <c r="N186" s="36"/>
      <c r="Y186" s="36"/>
      <c r="Z186" s="36"/>
    </row>
    <row r="187" spans="2:26">
      <c r="B187" s="80"/>
      <c r="C187" s="36"/>
      <c r="D187" s="91"/>
      <c r="E187" s="80"/>
      <c r="F187" s="80"/>
      <c r="G187" s="91"/>
      <c r="H187" s="91"/>
      <c r="I187" s="81"/>
      <c r="J187" s="81"/>
      <c r="L187" s="36"/>
      <c r="M187" s="36"/>
      <c r="N187" s="36"/>
      <c r="Y187" s="36"/>
      <c r="Z187" s="36"/>
    </row>
    <row r="188" spans="2:26">
      <c r="B188" s="80"/>
      <c r="C188" s="36"/>
      <c r="D188" s="91"/>
      <c r="E188" s="80"/>
      <c r="F188" s="80"/>
      <c r="G188" s="91"/>
      <c r="H188" s="91"/>
      <c r="I188" s="81"/>
      <c r="J188" s="81"/>
      <c r="L188" s="36"/>
      <c r="M188" s="36"/>
      <c r="N188" s="36"/>
      <c r="Y188" s="36"/>
      <c r="Z188" s="36"/>
    </row>
    <row r="189" spans="2:26">
      <c r="B189" s="80"/>
      <c r="C189" s="36"/>
      <c r="D189" s="91"/>
      <c r="E189" s="80"/>
      <c r="F189" s="80"/>
      <c r="G189" s="91"/>
      <c r="H189" s="91"/>
      <c r="I189" s="81"/>
      <c r="J189" s="81"/>
      <c r="L189" s="36"/>
      <c r="M189" s="36"/>
      <c r="N189" s="36"/>
      <c r="Y189" s="36"/>
      <c r="Z189" s="36"/>
    </row>
    <row r="190" spans="2:26">
      <c r="B190" s="80"/>
      <c r="C190" s="36"/>
      <c r="D190" s="91"/>
      <c r="E190" s="80"/>
      <c r="F190" s="80"/>
      <c r="G190" s="91"/>
      <c r="H190" s="91"/>
      <c r="I190" s="81"/>
      <c r="J190" s="81"/>
      <c r="L190" s="36"/>
      <c r="M190" s="36"/>
      <c r="N190" s="36"/>
      <c r="Y190" s="36"/>
      <c r="Z190" s="36"/>
    </row>
    <row r="191" spans="2:26">
      <c r="B191" s="80"/>
      <c r="C191" s="36"/>
      <c r="D191" s="91"/>
      <c r="E191" s="80"/>
      <c r="F191" s="80"/>
      <c r="G191" s="91"/>
      <c r="H191" s="91"/>
      <c r="I191" s="81"/>
      <c r="J191" s="81"/>
      <c r="L191" s="36"/>
      <c r="M191" s="36"/>
      <c r="N191" s="36"/>
      <c r="Y191" s="36"/>
      <c r="Z191" s="36"/>
    </row>
    <row r="192" spans="2:26">
      <c r="B192" s="80"/>
      <c r="C192" s="36"/>
      <c r="D192" s="91"/>
      <c r="E192" s="80"/>
      <c r="F192" s="80"/>
      <c r="G192" s="91"/>
      <c r="H192" s="91"/>
      <c r="I192" s="81"/>
      <c r="J192" s="81"/>
      <c r="L192" s="36"/>
      <c r="M192" s="36"/>
      <c r="N192" s="36"/>
      <c r="Y192" s="36"/>
      <c r="Z192" s="36"/>
    </row>
    <row r="193" spans="2:26">
      <c r="B193" s="80"/>
      <c r="C193" s="36"/>
      <c r="D193" s="91"/>
      <c r="E193" s="80"/>
      <c r="F193" s="80"/>
      <c r="G193" s="91"/>
      <c r="H193" s="91"/>
      <c r="I193" s="81"/>
      <c r="J193" s="81"/>
      <c r="L193" s="36"/>
      <c r="M193" s="36"/>
      <c r="N193" s="36"/>
      <c r="Y193" s="36"/>
      <c r="Z193" s="36"/>
    </row>
    <row r="194" spans="2:26">
      <c r="B194" s="80"/>
      <c r="C194" s="36"/>
      <c r="D194" s="91"/>
      <c r="E194" s="80"/>
      <c r="F194" s="80"/>
      <c r="G194" s="91"/>
      <c r="H194" s="91"/>
      <c r="I194" s="81"/>
      <c r="J194" s="81"/>
      <c r="L194" s="36"/>
      <c r="M194" s="36"/>
      <c r="N194" s="36"/>
      <c r="Y194" s="36"/>
      <c r="Z194" s="36"/>
    </row>
    <row r="195" spans="2:26">
      <c r="B195" s="80"/>
      <c r="C195" s="36"/>
      <c r="D195" s="91"/>
      <c r="E195" s="80"/>
      <c r="F195" s="80"/>
      <c r="G195" s="91"/>
      <c r="H195" s="91"/>
      <c r="I195" s="81"/>
      <c r="J195" s="81"/>
      <c r="L195" s="36"/>
      <c r="M195" s="36"/>
      <c r="N195" s="36"/>
      <c r="Y195" s="36"/>
      <c r="Z195" s="36"/>
    </row>
    <row r="196" spans="2:26">
      <c r="B196" s="80"/>
      <c r="C196" s="36"/>
      <c r="D196" s="91"/>
      <c r="E196" s="80"/>
      <c r="F196" s="80"/>
      <c r="G196" s="91"/>
      <c r="H196" s="91"/>
      <c r="I196" s="81"/>
      <c r="J196" s="81"/>
      <c r="L196" s="36"/>
      <c r="M196" s="36"/>
      <c r="N196" s="36"/>
      <c r="Y196" s="36"/>
      <c r="Z196" s="36"/>
    </row>
    <row r="197" spans="2:26">
      <c r="B197" s="80"/>
      <c r="C197" s="36"/>
      <c r="D197" s="91"/>
      <c r="E197" s="80"/>
      <c r="F197" s="80"/>
      <c r="G197" s="91"/>
      <c r="H197" s="91"/>
      <c r="I197" s="81"/>
      <c r="J197" s="81"/>
      <c r="L197" s="36"/>
      <c r="M197" s="36"/>
      <c r="N197" s="36"/>
      <c r="Y197" s="36"/>
      <c r="Z197" s="36"/>
    </row>
    <row r="198" spans="2:26">
      <c r="B198" s="80"/>
      <c r="C198" s="36"/>
      <c r="D198" s="91"/>
      <c r="E198" s="80"/>
      <c r="F198" s="80"/>
      <c r="G198" s="91"/>
      <c r="H198" s="91"/>
      <c r="I198" s="81"/>
      <c r="J198" s="81"/>
      <c r="L198" s="36"/>
      <c r="M198" s="36"/>
      <c r="N198" s="36"/>
      <c r="Y198" s="36"/>
      <c r="Z198" s="36"/>
    </row>
    <row r="199" spans="2:26">
      <c r="B199" s="80"/>
      <c r="C199" s="36"/>
      <c r="D199" s="91"/>
      <c r="E199" s="80"/>
      <c r="F199" s="80"/>
      <c r="G199" s="91"/>
      <c r="H199" s="91"/>
      <c r="I199" s="81"/>
      <c r="J199" s="81"/>
      <c r="L199" s="36"/>
      <c r="M199" s="36"/>
      <c r="N199" s="36"/>
      <c r="Y199" s="36"/>
      <c r="Z199" s="36"/>
    </row>
    <row r="200" spans="2:26">
      <c r="B200" s="80"/>
      <c r="C200" s="36"/>
      <c r="D200" s="91"/>
      <c r="E200" s="80"/>
      <c r="F200" s="80"/>
      <c r="G200" s="91"/>
      <c r="H200" s="91"/>
      <c r="I200" s="81"/>
      <c r="J200" s="81"/>
      <c r="L200" s="36"/>
      <c r="M200" s="36"/>
      <c r="N200" s="36"/>
      <c r="Y200" s="36"/>
      <c r="Z200" s="36"/>
    </row>
    <row r="201" spans="2:26">
      <c r="B201" s="80"/>
      <c r="C201" s="36"/>
      <c r="D201" s="91"/>
      <c r="E201" s="80"/>
      <c r="F201" s="80"/>
      <c r="G201" s="91"/>
      <c r="H201" s="91"/>
      <c r="I201" s="81"/>
      <c r="J201" s="81"/>
      <c r="L201" s="36"/>
      <c r="M201" s="36"/>
      <c r="N201" s="36"/>
      <c r="Y201" s="36"/>
      <c r="Z201" s="36"/>
    </row>
    <row r="202" spans="2:26">
      <c r="B202" s="80"/>
      <c r="C202" s="36"/>
      <c r="D202" s="91"/>
      <c r="E202" s="80"/>
      <c r="F202" s="80"/>
      <c r="G202" s="91"/>
      <c r="H202" s="91"/>
      <c r="I202" s="81"/>
      <c r="J202" s="81"/>
      <c r="L202" s="36"/>
      <c r="M202" s="36"/>
      <c r="N202" s="36"/>
      <c r="Y202" s="36"/>
      <c r="Z202" s="36"/>
    </row>
    <row r="203" spans="2:26">
      <c r="B203" s="80"/>
      <c r="C203" s="36"/>
      <c r="D203" s="91"/>
      <c r="E203" s="80"/>
      <c r="F203" s="80"/>
      <c r="G203" s="91"/>
      <c r="H203" s="91"/>
      <c r="I203" s="81"/>
      <c r="J203" s="81"/>
      <c r="L203" s="36"/>
      <c r="M203" s="36"/>
      <c r="N203" s="36"/>
      <c r="Y203" s="36"/>
      <c r="Z203" s="36"/>
    </row>
    <row r="204" spans="2:26">
      <c r="B204" s="80"/>
      <c r="C204" s="36"/>
      <c r="D204" s="91"/>
      <c r="E204" s="80"/>
      <c r="F204" s="80"/>
      <c r="G204" s="91"/>
      <c r="H204" s="91"/>
      <c r="I204" s="81"/>
      <c r="J204" s="81"/>
      <c r="L204" s="36"/>
      <c r="M204" s="36"/>
      <c r="N204" s="36"/>
      <c r="Y204" s="36"/>
      <c r="Z204" s="36"/>
    </row>
    <row r="205" spans="2:26">
      <c r="B205" s="80"/>
      <c r="C205" s="36"/>
      <c r="D205" s="91"/>
      <c r="E205" s="80"/>
      <c r="F205" s="80"/>
      <c r="G205" s="91"/>
      <c r="H205" s="91"/>
      <c r="I205" s="81"/>
      <c r="J205" s="81"/>
      <c r="L205" s="36"/>
      <c r="M205" s="36"/>
      <c r="N205" s="36"/>
      <c r="Y205" s="36"/>
      <c r="Z205" s="36"/>
    </row>
    <row r="206" spans="2:26">
      <c r="B206" s="80"/>
      <c r="C206" s="36"/>
      <c r="D206" s="91"/>
      <c r="E206" s="80"/>
      <c r="F206" s="80"/>
      <c r="G206" s="91"/>
      <c r="H206" s="91"/>
      <c r="I206" s="81"/>
      <c r="J206" s="81"/>
      <c r="L206" s="36"/>
      <c r="M206" s="36"/>
      <c r="N206" s="36"/>
      <c r="Y206" s="36"/>
      <c r="Z206" s="36"/>
    </row>
    <row r="207" spans="2:26">
      <c r="B207" s="80"/>
      <c r="C207" s="36"/>
      <c r="D207" s="91"/>
      <c r="E207" s="80"/>
      <c r="F207" s="80"/>
      <c r="G207" s="91"/>
      <c r="H207" s="91"/>
      <c r="I207" s="81"/>
      <c r="J207" s="81"/>
      <c r="L207" s="36"/>
      <c r="M207" s="36"/>
      <c r="N207" s="36"/>
      <c r="Y207" s="36"/>
      <c r="Z207" s="36"/>
    </row>
    <row r="208" spans="2:26">
      <c r="B208" s="80"/>
      <c r="C208" s="36"/>
      <c r="D208" s="91"/>
      <c r="E208" s="80"/>
      <c r="F208" s="80"/>
      <c r="G208" s="91"/>
      <c r="H208" s="91"/>
      <c r="I208" s="81"/>
      <c r="J208" s="81"/>
      <c r="L208" s="36"/>
      <c r="M208" s="36"/>
      <c r="N208" s="36"/>
      <c r="Y208" s="36"/>
      <c r="Z208" s="36"/>
    </row>
    <row r="209" spans="2:26">
      <c r="B209" s="80"/>
      <c r="C209" s="36"/>
      <c r="D209" s="91"/>
      <c r="E209" s="80"/>
      <c r="F209" s="80"/>
      <c r="G209" s="91"/>
      <c r="H209" s="91"/>
      <c r="I209" s="81"/>
      <c r="J209" s="81"/>
      <c r="L209" s="36"/>
      <c r="M209" s="36"/>
      <c r="N209" s="36"/>
      <c r="Y209" s="36"/>
      <c r="Z209" s="36"/>
    </row>
    <row r="210" spans="2:26">
      <c r="B210" s="80"/>
      <c r="C210" s="36"/>
      <c r="D210" s="91"/>
      <c r="E210" s="80"/>
      <c r="F210" s="80"/>
      <c r="G210" s="91"/>
      <c r="H210" s="91"/>
      <c r="I210" s="81"/>
      <c r="J210" s="81"/>
      <c r="L210" s="36"/>
      <c r="M210" s="36"/>
      <c r="N210" s="36"/>
      <c r="Y210" s="36"/>
      <c r="Z210" s="36"/>
    </row>
    <row r="211" spans="2:26">
      <c r="B211" s="80"/>
      <c r="C211" s="36"/>
      <c r="D211" s="91"/>
      <c r="E211" s="80"/>
      <c r="F211" s="80"/>
      <c r="G211" s="91"/>
      <c r="H211" s="91"/>
      <c r="I211" s="81"/>
      <c r="J211" s="81"/>
      <c r="L211" s="36"/>
      <c r="M211" s="36"/>
      <c r="N211" s="36"/>
      <c r="Y211" s="36"/>
      <c r="Z211" s="36"/>
    </row>
    <row r="212" spans="2:26">
      <c r="B212" s="80"/>
      <c r="C212" s="36"/>
      <c r="D212" s="91"/>
      <c r="E212" s="80"/>
      <c r="F212" s="80"/>
      <c r="G212" s="91"/>
      <c r="H212" s="91"/>
      <c r="I212" s="81"/>
      <c r="J212" s="81"/>
      <c r="L212" s="36"/>
      <c r="M212" s="36"/>
      <c r="N212" s="36"/>
      <c r="Y212" s="36"/>
      <c r="Z212" s="36"/>
    </row>
    <row r="213" spans="2:26">
      <c r="B213" s="80"/>
      <c r="C213" s="36"/>
      <c r="D213" s="91"/>
      <c r="E213" s="80"/>
      <c r="F213" s="80"/>
      <c r="G213" s="91"/>
      <c r="H213" s="91"/>
      <c r="I213" s="81"/>
      <c r="J213" s="81"/>
      <c r="L213" s="36"/>
      <c r="M213" s="36"/>
      <c r="N213" s="36"/>
      <c r="Y213" s="36"/>
      <c r="Z213" s="36"/>
    </row>
    <row r="214" spans="2:26">
      <c r="B214" s="80"/>
      <c r="C214" s="36"/>
      <c r="D214" s="91"/>
      <c r="E214" s="80"/>
      <c r="F214" s="80"/>
      <c r="G214" s="91"/>
      <c r="H214" s="91"/>
      <c r="I214" s="81"/>
      <c r="J214" s="81"/>
      <c r="L214" s="36"/>
      <c r="M214" s="36"/>
      <c r="N214" s="36"/>
      <c r="Y214" s="36"/>
      <c r="Z214" s="36"/>
    </row>
    <row r="215" spans="2:26">
      <c r="B215" s="80"/>
      <c r="C215" s="36"/>
      <c r="D215" s="91"/>
      <c r="E215" s="80"/>
      <c r="F215" s="80"/>
      <c r="G215" s="91"/>
      <c r="H215" s="91"/>
      <c r="I215" s="81"/>
      <c r="J215" s="81"/>
      <c r="L215" s="36"/>
      <c r="M215" s="36"/>
      <c r="N215" s="36"/>
      <c r="Y215" s="36"/>
      <c r="Z215" s="36"/>
    </row>
    <row r="216" spans="2:26">
      <c r="B216" s="80"/>
      <c r="C216" s="36"/>
      <c r="D216" s="91"/>
      <c r="E216" s="80"/>
      <c r="F216" s="80"/>
      <c r="G216" s="91"/>
      <c r="H216" s="91"/>
      <c r="I216" s="81"/>
      <c r="J216" s="81"/>
      <c r="L216" s="36"/>
      <c r="M216" s="36"/>
      <c r="N216" s="36"/>
      <c r="Y216" s="36"/>
      <c r="Z216" s="36"/>
    </row>
    <row r="217" spans="2:26">
      <c r="B217" s="80"/>
      <c r="C217" s="36"/>
      <c r="D217" s="91"/>
      <c r="E217" s="80"/>
      <c r="F217" s="80"/>
      <c r="G217" s="91"/>
      <c r="H217" s="91"/>
      <c r="I217" s="81"/>
      <c r="J217" s="81"/>
      <c r="L217" s="36"/>
      <c r="M217" s="36"/>
      <c r="N217" s="36"/>
      <c r="Y217" s="36"/>
      <c r="Z217" s="36"/>
    </row>
    <row r="218" spans="2:26">
      <c r="B218" s="80"/>
      <c r="C218" s="36"/>
      <c r="D218" s="91"/>
      <c r="E218" s="80"/>
      <c r="F218" s="80"/>
      <c r="G218" s="91"/>
      <c r="H218" s="91"/>
      <c r="I218" s="81"/>
      <c r="J218" s="81"/>
      <c r="L218" s="36"/>
      <c r="M218" s="36"/>
      <c r="N218" s="36"/>
      <c r="Y218" s="36"/>
      <c r="Z218" s="36"/>
    </row>
    <row r="219" spans="2:26">
      <c r="B219" s="80"/>
      <c r="C219" s="36"/>
      <c r="D219" s="91"/>
      <c r="E219" s="80"/>
      <c r="F219" s="80"/>
      <c r="G219" s="91"/>
      <c r="H219" s="91"/>
      <c r="I219" s="81"/>
      <c r="J219" s="81"/>
      <c r="L219" s="36"/>
      <c r="M219" s="36"/>
      <c r="N219" s="36"/>
      <c r="Y219" s="36"/>
      <c r="Z219" s="36"/>
    </row>
    <row r="220" spans="2:26">
      <c r="B220" s="80"/>
      <c r="C220" s="36"/>
      <c r="D220" s="91"/>
      <c r="E220" s="80"/>
      <c r="F220" s="80"/>
      <c r="G220" s="91"/>
      <c r="H220" s="91"/>
      <c r="I220" s="81"/>
      <c r="J220" s="81"/>
      <c r="L220" s="36"/>
      <c r="M220" s="36"/>
      <c r="N220" s="36"/>
      <c r="Y220" s="36"/>
      <c r="Z220" s="36"/>
    </row>
    <row r="221" spans="2:26">
      <c r="B221" s="80"/>
      <c r="C221" s="36"/>
      <c r="D221" s="91"/>
      <c r="E221" s="80"/>
      <c r="F221" s="80"/>
      <c r="G221" s="91"/>
      <c r="H221" s="91"/>
      <c r="I221" s="81"/>
      <c r="J221" s="81"/>
      <c r="L221" s="36"/>
      <c r="M221" s="36"/>
      <c r="N221" s="36"/>
      <c r="Y221" s="36"/>
      <c r="Z221" s="36"/>
    </row>
    <row r="222" spans="2:26">
      <c r="B222" s="80"/>
      <c r="C222" s="36"/>
      <c r="D222" s="91"/>
      <c r="E222" s="80"/>
      <c r="F222" s="80"/>
      <c r="G222" s="91"/>
      <c r="H222" s="91"/>
      <c r="I222" s="81"/>
      <c r="J222" s="81"/>
      <c r="L222" s="36"/>
      <c r="M222" s="36"/>
      <c r="N222" s="36"/>
      <c r="Y222" s="36"/>
      <c r="Z222" s="36"/>
    </row>
    <row r="223" spans="2:26">
      <c r="B223" s="80"/>
      <c r="C223" s="36"/>
      <c r="D223" s="91"/>
      <c r="E223" s="80"/>
      <c r="F223" s="80"/>
      <c r="G223" s="91"/>
      <c r="H223" s="91"/>
      <c r="I223" s="81"/>
      <c r="J223" s="81"/>
      <c r="L223" s="36"/>
      <c r="M223" s="36"/>
      <c r="N223" s="36"/>
      <c r="Y223" s="36"/>
      <c r="Z223" s="36"/>
    </row>
    <row r="224" spans="2:26">
      <c r="B224" s="80"/>
      <c r="C224" s="36"/>
      <c r="D224" s="91"/>
      <c r="E224" s="80"/>
      <c r="F224" s="80"/>
      <c r="G224" s="91"/>
      <c r="H224" s="91"/>
      <c r="I224" s="81"/>
      <c r="J224" s="81"/>
      <c r="L224" s="36"/>
      <c r="M224" s="36"/>
      <c r="N224" s="36"/>
      <c r="Y224" s="36"/>
      <c r="Z224" s="36"/>
    </row>
    <row r="225" spans="2:26">
      <c r="B225" s="80"/>
      <c r="C225" s="36"/>
      <c r="D225" s="91"/>
      <c r="E225" s="80"/>
      <c r="F225" s="80"/>
      <c r="G225" s="91"/>
      <c r="H225" s="91"/>
      <c r="I225" s="81"/>
      <c r="J225" s="81"/>
      <c r="L225" s="36"/>
      <c r="M225" s="36"/>
      <c r="N225" s="36"/>
      <c r="Y225" s="36"/>
      <c r="Z225" s="36"/>
    </row>
    <row r="226" spans="2:26">
      <c r="B226" s="80"/>
      <c r="C226" s="36"/>
      <c r="D226" s="91"/>
      <c r="E226" s="80"/>
      <c r="F226" s="80"/>
      <c r="G226" s="91"/>
      <c r="H226" s="91"/>
      <c r="I226" s="81"/>
      <c r="J226" s="81"/>
      <c r="L226" s="36"/>
      <c r="M226" s="36"/>
      <c r="N226" s="36"/>
      <c r="Y226" s="36"/>
      <c r="Z226" s="36"/>
    </row>
    <row r="227" spans="2:26">
      <c r="B227" s="80"/>
      <c r="C227" s="36"/>
      <c r="D227" s="91"/>
      <c r="E227" s="80"/>
      <c r="F227" s="80"/>
      <c r="G227" s="91"/>
      <c r="H227" s="91"/>
      <c r="I227" s="81"/>
      <c r="J227" s="81"/>
      <c r="L227" s="36"/>
      <c r="M227" s="36"/>
      <c r="N227" s="36"/>
      <c r="Y227" s="36"/>
      <c r="Z227" s="36"/>
    </row>
    <row r="228" spans="2:26">
      <c r="B228" s="80"/>
      <c r="C228" s="36"/>
      <c r="D228" s="91"/>
      <c r="E228" s="80"/>
      <c r="F228" s="80"/>
      <c r="G228" s="91"/>
      <c r="H228" s="91"/>
      <c r="I228" s="81"/>
      <c r="J228" s="81"/>
      <c r="L228" s="36"/>
      <c r="M228" s="36"/>
      <c r="N228" s="36"/>
      <c r="Y228" s="36"/>
      <c r="Z228" s="36"/>
    </row>
    <row r="229" spans="2:26">
      <c r="B229" s="80"/>
      <c r="C229" s="36"/>
      <c r="D229" s="91"/>
      <c r="E229" s="80"/>
      <c r="F229" s="80"/>
      <c r="G229" s="91"/>
      <c r="H229" s="91"/>
      <c r="I229" s="81"/>
      <c r="J229" s="81"/>
      <c r="L229" s="36"/>
      <c r="M229" s="36"/>
      <c r="N229" s="36"/>
      <c r="Y229" s="36"/>
      <c r="Z229" s="36"/>
    </row>
    <row r="230" spans="2:26">
      <c r="B230" s="80"/>
      <c r="C230" s="36"/>
      <c r="D230" s="91"/>
      <c r="E230" s="80"/>
      <c r="F230" s="80"/>
      <c r="G230" s="91"/>
      <c r="H230" s="91"/>
      <c r="I230" s="81"/>
      <c r="J230" s="81"/>
      <c r="L230" s="36"/>
      <c r="M230" s="36"/>
      <c r="N230" s="36"/>
      <c r="Y230" s="36"/>
      <c r="Z230" s="36"/>
    </row>
    <row r="231" spans="2:26">
      <c r="B231" s="80"/>
      <c r="C231" s="36"/>
      <c r="D231" s="91"/>
      <c r="E231" s="80"/>
      <c r="F231" s="80"/>
      <c r="G231" s="91"/>
      <c r="H231" s="91"/>
      <c r="I231" s="81"/>
      <c r="J231" s="81"/>
      <c r="L231" s="36"/>
      <c r="M231" s="36"/>
      <c r="N231" s="36"/>
      <c r="Y231" s="36"/>
      <c r="Z231" s="36"/>
    </row>
    <row r="232" spans="2:26">
      <c r="B232" s="80"/>
      <c r="C232" s="36"/>
      <c r="D232" s="91"/>
      <c r="E232" s="80"/>
      <c r="F232" s="80"/>
      <c r="G232" s="91"/>
      <c r="H232" s="91"/>
      <c r="I232" s="81"/>
      <c r="J232" s="81"/>
      <c r="L232" s="36"/>
      <c r="M232" s="36"/>
      <c r="N232" s="36"/>
      <c r="Y232" s="36"/>
      <c r="Z232" s="36"/>
    </row>
    <row r="233" spans="2:26">
      <c r="B233" s="80"/>
      <c r="C233" s="36"/>
      <c r="D233" s="91"/>
      <c r="E233" s="80"/>
      <c r="F233" s="80"/>
      <c r="G233" s="91"/>
      <c r="H233" s="91"/>
      <c r="I233" s="81"/>
      <c r="J233" s="81"/>
      <c r="L233" s="36"/>
      <c r="M233" s="36"/>
      <c r="N233" s="36"/>
      <c r="Y233" s="36"/>
      <c r="Z233" s="36"/>
    </row>
    <row r="234" spans="2:26">
      <c r="B234" s="80"/>
      <c r="C234" s="36"/>
      <c r="D234" s="91"/>
      <c r="E234" s="80"/>
      <c r="F234" s="80"/>
      <c r="G234" s="91"/>
      <c r="H234" s="91"/>
      <c r="I234" s="81"/>
      <c r="J234" s="81"/>
      <c r="L234" s="36"/>
      <c r="M234" s="36"/>
      <c r="N234" s="36"/>
      <c r="Y234" s="36"/>
      <c r="Z234" s="36"/>
    </row>
    <row r="235" spans="2:26">
      <c r="B235" s="80"/>
      <c r="C235" s="36"/>
      <c r="D235" s="91"/>
      <c r="E235" s="80"/>
      <c r="F235" s="80"/>
      <c r="G235" s="91"/>
      <c r="H235" s="91"/>
      <c r="I235" s="81"/>
      <c r="J235" s="81"/>
      <c r="L235" s="36"/>
      <c r="M235" s="36"/>
      <c r="N235" s="36"/>
      <c r="Y235" s="36"/>
      <c r="Z235" s="36"/>
    </row>
    <row r="236" spans="2:26">
      <c r="B236" s="80"/>
      <c r="C236" s="36"/>
      <c r="D236" s="91"/>
      <c r="E236" s="80"/>
      <c r="F236" s="80"/>
      <c r="G236" s="91"/>
      <c r="H236" s="91"/>
      <c r="I236" s="81"/>
      <c r="J236" s="81"/>
      <c r="L236" s="36"/>
      <c r="M236" s="36"/>
      <c r="N236" s="36"/>
      <c r="Y236" s="36"/>
      <c r="Z236" s="36"/>
    </row>
    <row r="237" spans="2:26">
      <c r="B237" s="80"/>
      <c r="C237" s="36"/>
      <c r="D237" s="91"/>
      <c r="E237" s="80"/>
      <c r="F237" s="80"/>
      <c r="G237" s="91"/>
      <c r="H237" s="91"/>
      <c r="I237" s="81"/>
      <c r="J237" s="81"/>
      <c r="L237" s="36"/>
      <c r="M237" s="36"/>
      <c r="N237" s="36"/>
      <c r="Y237" s="36"/>
      <c r="Z237" s="36"/>
    </row>
    <row r="238" spans="2:26">
      <c r="B238" s="80"/>
      <c r="C238" s="36"/>
      <c r="D238" s="91"/>
      <c r="E238" s="80"/>
      <c r="F238" s="80"/>
      <c r="G238" s="91"/>
      <c r="H238" s="91"/>
      <c r="I238" s="81"/>
      <c r="J238" s="81"/>
      <c r="L238" s="36"/>
      <c r="M238" s="36"/>
      <c r="N238" s="36"/>
      <c r="Y238" s="36"/>
      <c r="Z238" s="36"/>
    </row>
    <row r="239" spans="2:26">
      <c r="B239" s="80"/>
      <c r="C239" s="36"/>
      <c r="D239" s="91"/>
      <c r="E239" s="80"/>
      <c r="F239" s="80"/>
      <c r="G239" s="91"/>
      <c r="H239" s="91"/>
      <c r="I239" s="81"/>
      <c r="J239" s="81"/>
      <c r="L239" s="36"/>
      <c r="M239" s="36"/>
      <c r="N239" s="36"/>
      <c r="Y239" s="36"/>
      <c r="Z239" s="36"/>
    </row>
    <row r="240" spans="2:26">
      <c r="B240" s="80"/>
      <c r="C240" s="36"/>
      <c r="D240" s="91"/>
      <c r="E240" s="80"/>
      <c r="F240" s="80"/>
      <c r="G240" s="91"/>
      <c r="H240" s="91"/>
      <c r="I240" s="81"/>
      <c r="J240" s="81"/>
      <c r="L240" s="36"/>
      <c r="M240" s="36"/>
      <c r="N240" s="36"/>
      <c r="Y240" s="36"/>
      <c r="Z240" s="36"/>
    </row>
    <row r="241" spans="2:26">
      <c r="B241" s="80"/>
      <c r="C241" s="36"/>
      <c r="D241" s="91"/>
      <c r="E241" s="80"/>
      <c r="F241" s="80"/>
      <c r="G241" s="91"/>
      <c r="H241" s="91"/>
      <c r="I241" s="81"/>
      <c r="J241" s="81"/>
      <c r="L241" s="36"/>
      <c r="M241" s="36"/>
      <c r="N241" s="36"/>
      <c r="Y241" s="36"/>
      <c r="Z241" s="36"/>
    </row>
    <row r="242" spans="2:26">
      <c r="B242" s="80"/>
      <c r="C242" s="36"/>
      <c r="D242" s="91"/>
      <c r="E242" s="80"/>
      <c r="F242" s="80"/>
      <c r="G242" s="91"/>
      <c r="H242" s="91"/>
      <c r="I242" s="81"/>
      <c r="J242" s="81"/>
      <c r="L242" s="36"/>
      <c r="M242" s="36"/>
      <c r="N242" s="36"/>
      <c r="Y242" s="36"/>
      <c r="Z242" s="36"/>
    </row>
    <row r="243" spans="2:26">
      <c r="B243" s="80"/>
      <c r="C243" s="36"/>
      <c r="D243" s="91"/>
      <c r="E243" s="80"/>
      <c r="F243" s="80"/>
      <c r="G243" s="91"/>
      <c r="H243" s="91"/>
      <c r="I243" s="81"/>
      <c r="J243" s="81"/>
      <c r="L243" s="36"/>
      <c r="M243" s="36"/>
      <c r="N243" s="36"/>
      <c r="Y243" s="36"/>
      <c r="Z243" s="36"/>
    </row>
    <row r="244" spans="2:26">
      <c r="B244" s="80"/>
      <c r="C244" s="36"/>
      <c r="D244" s="91"/>
      <c r="E244" s="80"/>
      <c r="F244" s="80"/>
      <c r="G244" s="91"/>
      <c r="H244" s="91"/>
      <c r="I244" s="81"/>
      <c r="J244" s="81"/>
      <c r="L244" s="36"/>
      <c r="M244" s="36"/>
      <c r="N244" s="36"/>
      <c r="Y244" s="36"/>
      <c r="Z244" s="36"/>
    </row>
    <row r="245" spans="2:26">
      <c r="B245" s="80"/>
      <c r="C245" s="36"/>
      <c r="D245" s="91"/>
      <c r="E245" s="80"/>
      <c r="F245" s="80"/>
      <c r="G245" s="91"/>
      <c r="H245" s="91"/>
      <c r="I245" s="81"/>
      <c r="J245" s="81"/>
      <c r="L245" s="36"/>
      <c r="M245" s="36"/>
      <c r="N245" s="36"/>
      <c r="Y245" s="36"/>
      <c r="Z245" s="36"/>
    </row>
    <row r="246" spans="2:26">
      <c r="B246" s="80"/>
      <c r="C246" s="36"/>
      <c r="D246" s="91"/>
      <c r="E246" s="80"/>
      <c r="F246" s="80"/>
      <c r="G246" s="91"/>
      <c r="H246" s="91"/>
      <c r="I246" s="81"/>
      <c r="J246" s="81"/>
      <c r="L246" s="36"/>
      <c r="M246" s="36"/>
      <c r="N246" s="36"/>
      <c r="Y246" s="36"/>
      <c r="Z246" s="36"/>
    </row>
    <row r="247" spans="2:26">
      <c r="B247" s="80"/>
      <c r="C247" s="36"/>
      <c r="D247" s="91"/>
      <c r="E247" s="80"/>
      <c r="F247" s="80"/>
      <c r="G247" s="91"/>
      <c r="H247" s="91"/>
      <c r="I247" s="81"/>
      <c r="J247" s="81"/>
      <c r="L247" s="36"/>
      <c r="M247" s="36"/>
      <c r="N247" s="36"/>
      <c r="Y247" s="36"/>
      <c r="Z247" s="36"/>
    </row>
    <row r="248" spans="2:26">
      <c r="B248" s="80"/>
      <c r="C248" s="36"/>
      <c r="D248" s="91"/>
      <c r="E248" s="80"/>
      <c r="F248" s="80"/>
      <c r="G248" s="91"/>
      <c r="H248" s="91"/>
      <c r="I248" s="81"/>
      <c r="J248" s="81"/>
      <c r="L248" s="36"/>
      <c r="M248" s="36"/>
      <c r="N248" s="36"/>
      <c r="Y248" s="36"/>
      <c r="Z248" s="36"/>
    </row>
    <row r="249" spans="2:26">
      <c r="B249" s="80"/>
      <c r="C249" s="36"/>
      <c r="D249" s="91"/>
      <c r="E249" s="80"/>
      <c r="F249" s="80"/>
      <c r="G249" s="91"/>
      <c r="H249" s="91"/>
      <c r="I249" s="81"/>
      <c r="J249" s="81"/>
      <c r="L249" s="36"/>
      <c r="M249" s="36"/>
      <c r="N249" s="36"/>
      <c r="Y249" s="36"/>
      <c r="Z249" s="36"/>
    </row>
    <row r="250" spans="2:26">
      <c r="B250" s="80"/>
      <c r="C250" s="36"/>
      <c r="D250" s="91"/>
      <c r="E250" s="80"/>
      <c r="F250" s="80"/>
      <c r="G250" s="91"/>
      <c r="H250" s="91"/>
      <c r="I250" s="81"/>
      <c r="J250" s="81"/>
      <c r="L250" s="36"/>
      <c r="M250" s="36"/>
      <c r="N250" s="36"/>
      <c r="Y250" s="36"/>
      <c r="Z250" s="36"/>
    </row>
    <row r="251" spans="2:26">
      <c r="B251" s="80"/>
      <c r="C251" s="36"/>
      <c r="D251" s="91"/>
      <c r="E251" s="80"/>
      <c r="F251" s="80"/>
      <c r="G251" s="91"/>
      <c r="H251" s="91"/>
      <c r="I251" s="81"/>
      <c r="J251" s="81"/>
      <c r="L251" s="36"/>
      <c r="M251" s="36"/>
      <c r="N251" s="36"/>
      <c r="Y251" s="36"/>
      <c r="Z251" s="36"/>
    </row>
    <row r="252" spans="2:26">
      <c r="B252" s="80"/>
      <c r="C252" s="36"/>
      <c r="D252" s="91"/>
      <c r="E252" s="80"/>
      <c r="F252" s="80"/>
      <c r="G252" s="91"/>
      <c r="H252" s="91"/>
      <c r="I252" s="81"/>
      <c r="J252" s="81"/>
      <c r="L252" s="36"/>
      <c r="M252" s="36"/>
      <c r="N252" s="36"/>
      <c r="Y252" s="36"/>
      <c r="Z252" s="36"/>
    </row>
    <row r="253" spans="2:26">
      <c r="B253" s="80"/>
      <c r="C253" s="36"/>
      <c r="D253" s="91"/>
      <c r="E253" s="80"/>
      <c r="F253" s="80"/>
      <c r="G253" s="91"/>
      <c r="H253" s="91"/>
      <c r="I253" s="81"/>
      <c r="J253" s="81"/>
      <c r="L253" s="36"/>
      <c r="M253" s="36"/>
      <c r="N253" s="36"/>
      <c r="Y253" s="36"/>
      <c r="Z253" s="36"/>
    </row>
    <row r="254" spans="2:26">
      <c r="B254" s="80"/>
      <c r="C254" s="36"/>
      <c r="D254" s="91"/>
      <c r="E254" s="80"/>
      <c r="F254" s="80"/>
      <c r="G254" s="91"/>
      <c r="H254" s="91"/>
      <c r="I254" s="81"/>
      <c r="J254" s="81"/>
      <c r="L254" s="36"/>
      <c r="M254" s="36"/>
      <c r="N254" s="36"/>
      <c r="Y254" s="36"/>
      <c r="Z254" s="36"/>
    </row>
    <row r="255" spans="2:26">
      <c r="B255" s="80"/>
      <c r="C255" s="36"/>
      <c r="D255" s="91"/>
      <c r="E255" s="80"/>
      <c r="F255" s="80"/>
      <c r="G255" s="91"/>
      <c r="H255" s="91"/>
      <c r="I255" s="81"/>
      <c r="J255" s="81"/>
      <c r="L255" s="36"/>
      <c r="M255" s="36"/>
      <c r="N255" s="36"/>
      <c r="Y255" s="36"/>
      <c r="Z255" s="36"/>
    </row>
    <row r="256" spans="2:26">
      <c r="B256" s="80"/>
      <c r="C256" s="36"/>
      <c r="D256" s="91"/>
      <c r="E256" s="80"/>
      <c r="F256" s="80"/>
      <c r="G256" s="91"/>
      <c r="H256" s="91"/>
      <c r="I256" s="81"/>
      <c r="J256" s="81"/>
      <c r="L256" s="36"/>
      <c r="M256" s="36"/>
      <c r="N256" s="36"/>
      <c r="Y256" s="36"/>
      <c r="Z256" s="36"/>
    </row>
    <row r="257" spans="2:26">
      <c r="B257" s="80"/>
      <c r="C257" s="36"/>
      <c r="D257" s="91"/>
      <c r="E257" s="80"/>
      <c r="F257" s="80"/>
      <c r="G257" s="91"/>
      <c r="H257" s="91"/>
      <c r="I257" s="81"/>
      <c r="J257" s="81"/>
      <c r="L257" s="36"/>
      <c r="M257" s="36"/>
      <c r="N257" s="36"/>
      <c r="Y257" s="36"/>
      <c r="Z257" s="36"/>
    </row>
    <row r="258" spans="2:26">
      <c r="B258" s="80"/>
      <c r="C258" s="36"/>
      <c r="D258" s="91"/>
      <c r="E258" s="80"/>
      <c r="F258" s="80"/>
      <c r="G258" s="91"/>
      <c r="H258" s="91"/>
      <c r="I258" s="81"/>
      <c r="J258" s="81"/>
      <c r="L258" s="36"/>
      <c r="M258" s="36"/>
      <c r="N258" s="36"/>
      <c r="Y258" s="36"/>
      <c r="Z258" s="36"/>
    </row>
    <row r="259" spans="2:26">
      <c r="B259" s="80"/>
      <c r="C259" s="36"/>
      <c r="D259" s="91"/>
      <c r="E259" s="80"/>
      <c r="F259" s="80"/>
      <c r="G259" s="91"/>
      <c r="H259" s="91"/>
      <c r="I259" s="81"/>
      <c r="J259" s="81"/>
      <c r="L259" s="36"/>
      <c r="M259" s="36"/>
      <c r="N259" s="36"/>
      <c r="Y259" s="36"/>
      <c r="Z259" s="36"/>
    </row>
    <row r="260" spans="2:26">
      <c r="B260" s="80"/>
      <c r="C260" s="36"/>
      <c r="D260" s="91"/>
      <c r="E260" s="80"/>
      <c r="F260" s="80"/>
      <c r="G260" s="91"/>
      <c r="H260" s="91"/>
      <c r="I260" s="81"/>
      <c r="J260" s="81"/>
      <c r="L260" s="36"/>
      <c r="M260" s="36"/>
      <c r="N260" s="36"/>
      <c r="Y260" s="36"/>
      <c r="Z260" s="36"/>
    </row>
    <row r="261" spans="2:26">
      <c r="B261" s="80"/>
      <c r="C261" s="36"/>
      <c r="D261" s="91"/>
      <c r="E261" s="80"/>
      <c r="F261" s="80"/>
      <c r="G261" s="91"/>
      <c r="H261" s="91"/>
      <c r="I261" s="81"/>
      <c r="J261" s="81"/>
      <c r="L261" s="36"/>
      <c r="M261" s="36"/>
      <c r="N261" s="36"/>
      <c r="Y261" s="36"/>
      <c r="Z261" s="36"/>
    </row>
    <row r="262" spans="2:26">
      <c r="B262" s="80"/>
      <c r="C262" s="36"/>
      <c r="D262" s="91"/>
      <c r="E262" s="80"/>
      <c r="F262" s="80"/>
      <c r="G262" s="91"/>
      <c r="H262" s="91"/>
      <c r="I262" s="81"/>
      <c r="J262" s="81"/>
      <c r="L262" s="36"/>
      <c r="M262" s="36"/>
      <c r="N262" s="36"/>
      <c r="Y262" s="36"/>
      <c r="Z262" s="36"/>
    </row>
    <row r="263" spans="2:26">
      <c r="B263" s="80"/>
      <c r="C263" s="36"/>
      <c r="D263" s="91"/>
      <c r="E263" s="80"/>
      <c r="F263" s="80"/>
      <c r="G263" s="91"/>
      <c r="H263" s="91"/>
      <c r="I263" s="81"/>
      <c r="J263" s="81"/>
      <c r="L263" s="36"/>
      <c r="M263" s="36"/>
      <c r="N263" s="36"/>
      <c r="Y263" s="36"/>
      <c r="Z263" s="36"/>
    </row>
    <row r="264" spans="2:26">
      <c r="B264" s="80"/>
      <c r="C264" s="36"/>
      <c r="D264" s="91"/>
      <c r="E264" s="80"/>
      <c r="F264" s="80"/>
      <c r="G264" s="91"/>
      <c r="H264" s="91"/>
      <c r="I264" s="81"/>
      <c r="J264" s="81"/>
      <c r="L264" s="36"/>
      <c r="M264" s="36"/>
      <c r="N264" s="36"/>
      <c r="Y264" s="36"/>
      <c r="Z264" s="36"/>
    </row>
    <row r="265" spans="2:26">
      <c r="B265" s="80"/>
      <c r="C265" s="36"/>
      <c r="D265" s="91"/>
      <c r="E265" s="80"/>
      <c r="F265" s="80"/>
      <c r="G265" s="91"/>
      <c r="H265" s="91"/>
      <c r="I265" s="81"/>
      <c r="J265" s="81"/>
      <c r="L265" s="36"/>
      <c r="M265" s="36"/>
      <c r="N265" s="36"/>
      <c r="Y265" s="36"/>
      <c r="Z265" s="36"/>
    </row>
    <row r="266" spans="2:26">
      <c r="B266" s="80"/>
      <c r="C266" s="36"/>
      <c r="D266" s="91"/>
      <c r="E266" s="80"/>
      <c r="F266" s="80"/>
      <c r="G266" s="91"/>
      <c r="H266" s="91"/>
      <c r="I266" s="81"/>
      <c r="J266" s="81"/>
      <c r="L266" s="36"/>
      <c r="M266" s="36"/>
      <c r="N266" s="36"/>
      <c r="Y266" s="36"/>
      <c r="Z266" s="36"/>
    </row>
    <row r="267" spans="2:26">
      <c r="B267" s="80"/>
      <c r="C267" s="36"/>
      <c r="D267" s="91"/>
      <c r="E267" s="80"/>
      <c r="F267" s="80"/>
      <c r="G267" s="91"/>
      <c r="H267" s="91"/>
      <c r="I267" s="81"/>
      <c r="J267" s="81"/>
      <c r="L267" s="36"/>
      <c r="M267" s="36"/>
      <c r="N267" s="36"/>
      <c r="Y267" s="36"/>
      <c r="Z267" s="36"/>
    </row>
    <row r="268" spans="2:26">
      <c r="B268" s="80"/>
      <c r="C268" s="36"/>
      <c r="D268" s="91"/>
      <c r="E268" s="80"/>
      <c r="F268" s="80"/>
      <c r="G268" s="91"/>
      <c r="H268" s="91"/>
      <c r="I268" s="81"/>
      <c r="J268" s="81"/>
      <c r="L268" s="36"/>
      <c r="M268" s="36"/>
      <c r="N268" s="36"/>
      <c r="Y268" s="36"/>
      <c r="Z268" s="36"/>
    </row>
    <row r="269" spans="2:26">
      <c r="B269" s="80"/>
      <c r="C269" s="36"/>
      <c r="D269" s="91"/>
      <c r="E269" s="80"/>
      <c r="F269" s="80"/>
      <c r="G269" s="91"/>
      <c r="H269" s="91"/>
      <c r="I269" s="81"/>
      <c r="J269" s="81"/>
      <c r="L269" s="36"/>
      <c r="M269" s="36"/>
      <c r="N269" s="36"/>
      <c r="Y269" s="36"/>
      <c r="Z269" s="36"/>
    </row>
    <row r="270" spans="2:26">
      <c r="B270" s="80"/>
      <c r="C270" s="36"/>
      <c r="D270" s="91"/>
      <c r="E270" s="80"/>
      <c r="F270" s="80"/>
      <c r="G270" s="91"/>
      <c r="H270" s="91"/>
      <c r="I270" s="81"/>
      <c r="J270" s="81"/>
      <c r="L270" s="36"/>
      <c r="M270" s="36"/>
      <c r="N270" s="36"/>
      <c r="Y270" s="36"/>
      <c r="Z270" s="36"/>
    </row>
    <row r="271" spans="2:26">
      <c r="B271" s="80"/>
      <c r="C271" s="36"/>
      <c r="D271" s="91"/>
      <c r="E271" s="80"/>
      <c r="F271" s="80"/>
      <c r="G271" s="91"/>
      <c r="H271" s="91"/>
      <c r="I271" s="81"/>
      <c r="J271" s="81"/>
      <c r="L271" s="36"/>
      <c r="M271" s="36"/>
      <c r="N271" s="36"/>
      <c r="Y271" s="36"/>
      <c r="Z271" s="36"/>
    </row>
    <row r="272" spans="2:26">
      <c r="B272" s="80"/>
      <c r="C272" s="36"/>
      <c r="D272" s="91"/>
      <c r="E272" s="80"/>
      <c r="F272" s="80"/>
      <c r="G272" s="91"/>
      <c r="H272" s="91"/>
      <c r="I272" s="81"/>
      <c r="J272" s="81"/>
      <c r="L272" s="36"/>
      <c r="M272" s="36"/>
      <c r="N272" s="36"/>
      <c r="Y272" s="36"/>
      <c r="Z272" s="36"/>
    </row>
    <row r="273" spans="2:26">
      <c r="B273" s="80"/>
      <c r="C273" s="36"/>
      <c r="D273" s="91"/>
      <c r="E273" s="80"/>
      <c r="F273" s="80"/>
      <c r="G273" s="91"/>
      <c r="H273" s="91"/>
      <c r="I273" s="81"/>
      <c r="J273" s="81"/>
      <c r="L273" s="36"/>
      <c r="M273" s="36"/>
      <c r="N273" s="36"/>
      <c r="Y273" s="36"/>
      <c r="Z273" s="36"/>
    </row>
    <row r="274" spans="2:26">
      <c r="B274" s="80"/>
      <c r="C274" s="36"/>
      <c r="D274" s="91"/>
      <c r="E274" s="80"/>
      <c r="F274" s="80"/>
      <c r="G274" s="91"/>
      <c r="H274" s="91"/>
      <c r="I274" s="81"/>
      <c r="J274" s="81"/>
      <c r="L274" s="36"/>
      <c r="M274" s="36"/>
      <c r="N274" s="36"/>
      <c r="Y274" s="36"/>
      <c r="Z274" s="36"/>
    </row>
    <row r="275" spans="2:26">
      <c r="B275" s="80"/>
      <c r="C275" s="36"/>
      <c r="D275" s="91"/>
      <c r="E275" s="80"/>
      <c r="F275" s="80"/>
      <c r="G275" s="91"/>
      <c r="H275" s="91"/>
      <c r="I275" s="81"/>
      <c r="J275" s="81"/>
      <c r="L275" s="36"/>
      <c r="M275" s="36"/>
      <c r="N275" s="36"/>
      <c r="Y275" s="36"/>
      <c r="Z275" s="36"/>
    </row>
    <row r="276" spans="2:26">
      <c r="B276" s="80"/>
      <c r="C276" s="36"/>
      <c r="D276" s="91"/>
      <c r="E276" s="80"/>
      <c r="F276" s="80"/>
      <c r="G276" s="91"/>
      <c r="H276" s="91"/>
      <c r="I276" s="81"/>
      <c r="J276" s="81"/>
      <c r="L276" s="36"/>
      <c r="M276" s="36"/>
      <c r="N276" s="36"/>
      <c r="Y276" s="36"/>
      <c r="Z276" s="36"/>
    </row>
    <row r="277" spans="2:26">
      <c r="B277" s="80"/>
      <c r="C277" s="36"/>
      <c r="D277" s="91"/>
      <c r="E277" s="80"/>
      <c r="F277" s="80"/>
      <c r="G277" s="91"/>
      <c r="H277" s="91"/>
      <c r="I277" s="81"/>
      <c r="J277" s="81"/>
      <c r="L277" s="36"/>
      <c r="M277" s="36"/>
      <c r="N277" s="36"/>
      <c r="Y277" s="36"/>
      <c r="Z277" s="36"/>
    </row>
    <row r="278" spans="2:26">
      <c r="B278" s="80"/>
      <c r="C278" s="36"/>
      <c r="D278" s="91"/>
      <c r="E278" s="80"/>
      <c r="F278" s="80"/>
      <c r="G278" s="91"/>
      <c r="H278" s="91"/>
      <c r="I278" s="81"/>
      <c r="J278" s="81"/>
      <c r="L278" s="36"/>
      <c r="M278" s="36"/>
      <c r="N278" s="36"/>
      <c r="Y278" s="36"/>
      <c r="Z278" s="36"/>
    </row>
    <row r="279" spans="2:26">
      <c r="B279" s="80"/>
      <c r="C279" s="36"/>
      <c r="D279" s="91"/>
      <c r="E279" s="80"/>
      <c r="F279" s="80"/>
      <c r="G279" s="91"/>
      <c r="H279" s="91"/>
      <c r="I279" s="81"/>
      <c r="J279" s="81"/>
      <c r="L279" s="36"/>
      <c r="M279" s="36"/>
      <c r="N279" s="36"/>
      <c r="Y279" s="36"/>
      <c r="Z279" s="36"/>
    </row>
    <row r="280" spans="2:26">
      <c r="B280" s="80"/>
      <c r="C280" s="36"/>
      <c r="D280" s="91"/>
      <c r="E280" s="80"/>
      <c r="F280" s="80"/>
      <c r="G280" s="91"/>
      <c r="H280" s="91"/>
      <c r="I280" s="81"/>
      <c r="J280" s="81"/>
      <c r="L280" s="36"/>
      <c r="M280" s="36"/>
      <c r="N280" s="36"/>
      <c r="Y280" s="36"/>
      <c r="Z280" s="36"/>
    </row>
    <row r="281" spans="2:26">
      <c r="B281" s="80"/>
      <c r="C281" s="36"/>
      <c r="D281" s="91"/>
      <c r="E281" s="80"/>
      <c r="F281" s="80"/>
      <c r="G281" s="91"/>
      <c r="H281" s="91"/>
      <c r="I281" s="81"/>
      <c r="J281" s="81"/>
      <c r="L281" s="36"/>
      <c r="M281" s="36"/>
      <c r="N281" s="36"/>
      <c r="Y281" s="36"/>
      <c r="Z281" s="36"/>
    </row>
    <row r="282" spans="2:26">
      <c r="B282" s="80"/>
      <c r="C282" s="36"/>
      <c r="D282" s="91"/>
      <c r="E282" s="80"/>
      <c r="F282" s="80"/>
      <c r="G282" s="91"/>
      <c r="H282" s="91"/>
      <c r="I282" s="81"/>
      <c r="J282" s="81"/>
      <c r="L282" s="36"/>
      <c r="M282" s="36"/>
      <c r="N282" s="36"/>
      <c r="Y282" s="36"/>
      <c r="Z282" s="36"/>
    </row>
    <row r="283" spans="2:26">
      <c r="B283" s="80"/>
      <c r="C283" s="36"/>
      <c r="D283" s="91"/>
      <c r="E283" s="80"/>
      <c r="F283" s="80"/>
      <c r="G283" s="91"/>
      <c r="H283" s="91"/>
      <c r="I283" s="81"/>
      <c r="J283" s="81"/>
      <c r="L283" s="36"/>
      <c r="M283" s="36"/>
      <c r="N283" s="36"/>
      <c r="Y283" s="36"/>
      <c r="Z283" s="36"/>
    </row>
    <row r="284" spans="2:26">
      <c r="B284" s="80"/>
      <c r="C284" s="36"/>
      <c r="D284" s="91"/>
      <c r="E284" s="80"/>
      <c r="F284" s="80"/>
      <c r="G284" s="91"/>
      <c r="H284" s="91"/>
      <c r="I284" s="81"/>
      <c r="J284" s="81"/>
      <c r="L284" s="36"/>
      <c r="M284" s="36"/>
      <c r="N284" s="36"/>
      <c r="Y284" s="36"/>
      <c r="Z284" s="36"/>
    </row>
    <row r="285" spans="2:26">
      <c r="B285" s="80"/>
      <c r="C285" s="36"/>
      <c r="D285" s="91"/>
      <c r="E285" s="80"/>
      <c r="F285" s="80"/>
      <c r="G285" s="91"/>
      <c r="H285" s="91"/>
      <c r="I285" s="81"/>
      <c r="J285" s="81"/>
      <c r="L285" s="36"/>
      <c r="M285" s="36"/>
      <c r="N285" s="36"/>
      <c r="Y285" s="36"/>
      <c r="Z285" s="36"/>
    </row>
    <row r="286" spans="2:26">
      <c r="B286" s="80"/>
      <c r="C286" s="36"/>
      <c r="D286" s="91"/>
      <c r="E286" s="80"/>
      <c r="F286" s="80"/>
      <c r="G286" s="91"/>
      <c r="H286" s="91"/>
      <c r="I286" s="81"/>
      <c r="J286" s="81"/>
      <c r="L286" s="36"/>
      <c r="M286" s="36"/>
      <c r="N286" s="36"/>
      <c r="Y286" s="36"/>
      <c r="Z286" s="36"/>
    </row>
    <row r="287" spans="2:26">
      <c r="B287" s="80"/>
      <c r="C287" s="36"/>
      <c r="D287" s="91"/>
      <c r="E287" s="80"/>
      <c r="F287" s="80"/>
      <c r="G287" s="91"/>
      <c r="H287" s="91"/>
      <c r="I287" s="81"/>
      <c r="J287" s="81"/>
      <c r="L287" s="36"/>
      <c r="M287" s="36"/>
      <c r="N287" s="36"/>
      <c r="Y287" s="36"/>
      <c r="Z287" s="36"/>
    </row>
    <row r="288" spans="2:26">
      <c r="B288" s="80"/>
      <c r="C288" s="36"/>
      <c r="D288" s="91"/>
      <c r="E288" s="80"/>
      <c r="F288" s="80"/>
      <c r="G288" s="91"/>
      <c r="H288" s="91"/>
      <c r="I288" s="81"/>
      <c r="J288" s="81"/>
      <c r="L288" s="36"/>
      <c r="M288" s="36"/>
      <c r="N288" s="36"/>
      <c r="Y288" s="36"/>
      <c r="Z288" s="36"/>
    </row>
    <row r="289" spans="2:26">
      <c r="B289" s="80"/>
      <c r="C289" s="36"/>
      <c r="D289" s="91"/>
      <c r="E289" s="80"/>
      <c r="F289" s="80"/>
      <c r="G289" s="91"/>
      <c r="H289" s="91"/>
      <c r="I289" s="81"/>
      <c r="J289" s="81"/>
      <c r="L289" s="36"/>
      <c r="M289" s="36"/>
      <c r="N289" s="36"/>
      <c r="Y289" s="36"/>
      <c r="Z289" s="36"/>
    </row>
    <row r="290" spans="2:26">
      <c r="B290" s="80"/>
      <c r="C290" s="36"/>
      <c r="D290" s="91"/>
      <c r="E290" s="80"/>
      <c r="F290" s="80"/>
      <c r="G290" s="91"/>
      <c r="H290" s="91"/>
      <c r="I290" s="81"/>
      <c r="J290" s="81"/>
      <c r="L290" s="36"/>
      <c r="M290" s="36"/>
      <c r="N290" s="36"/>
      <c r="Y290" s="36"/>
      <c r="Z290" s="36"/>
    </row>
    <row r="291" spans="2:26">
      <c r="B291" s="80"/>
      <c r="C291" s="36"/>
      <c r="D291" s="91"/>
      <c r="E291" s="80"/>
      <c r="F291" s="80"/>
      <c r="G291" s="91"/>
      <c r="H291" s="91"/>
      <c r="I291" s="81"/>
      <c r="J291" s="81"/>
      <c r="L291" s="36"/>
      <c r="M291" s="36"/>
      <c r="N291" s="36"/>
      <c r="Y291" s="36"/>
      <c r="Z291" s="36"/>
    </row>
    <row r="292" spans="2:26">
      <c r="B292" s="80"/>
      <c r="C292" s="36"/>
      <c r="D292" s="91"/>
      <c r="E292" s="80"/>
      <c r="F292" s="80"/>
      <c r="G292" s="91"/>
      <c r="H292" s="91"/>
      <c r="I292" s="81"/>
      <c r="J292" s="81"/>
      <c r="L292" s="36"/>
      <c r="M292" s="36"/>
      <c r="N292" s="36"/>
      <c r="Y292" s="36"/>
      <c r="Z292" s="36"/>
    </row>
    <row r="293" spans="2:26">
      <c r="B293" s="80"/>
      <c r="C293" s="36"/>
      <c r="D293" s="91"/>
      <c r="E293" s="80"/>
      <c r="F293" s="80"/>
      <c r="G293" s="91"/>
      <c r="H293" s="91"/>
      <c r="I293" s="81"/>
      <c r="J293" s="81"/>
      <c r="L293" s="36"/>
      <c r="M293" s="36"/>
      <c r="N293" s="36"/>
      <c r="Y293" s="36"/>
      <c r="Z293" s="36"/>
    </row>
    <row r="294" spans="2:26">
      <c r="B294" s="80"/>
      <c r="C294" s="36"/>
      <c r="D294" s="91"/>
      <c r="E294" s="80"/>
      <c r="F294" s="80"/>
      <c r="G294" s="91"/>
      <c r="H294" s="91"/>
      <c r="I294" s="81"/>
      <c r="J294" s="81"/>
      <c r="L294" s="36"/>
      <c r="M294" s="36"/>
      <c r="N294" s="36"/>
      <c r="Y294" s="36"/>
      <c r="Z294" s="36"/>
    </row>
    <row r="295" spans="2:26">
      <c r="B295" s="80"/>
      <c r="C295" s="36"/>
      <c r="D295" s="91"/>
      <c r="E295" s="80"/>
      <c r="F295" s="80"/>
      <c r="G295" s="91"/>
      <c r="H295" s="91"/>
      <c r="I295" s="81"/>
      <c r="J295" s="81"/>
      <c r="L295" s="36"/>
      <c r="M295" s="36"/>
      <c r="N295" s="36"/>
      <c r="Y295" s="36"/>
      <c r="Z295" s="36"/>
    </row>
    <row r="296" spans="2:26">
      <c r="B296" s="80"/>
      <c r="C296" s="36"/>
      <c r="D296" s="91"/>
      <c r="E296" s="80"/>
      <c r="F296" s="80"/>
      <c r="G296" s="91"/>
      <c r="H296" s="91"/>
      <c r="I296" s="81"/>
      <c r="J296" s="81"/>
      <c r="L296" s="36"/>
      <c r="M296" s="36"/>
      <c r="N296" s="36"/>
      <c r="Y296" s="36"/>
      <c r="Z296" s="36"/>
    </row>
    <row r="297" spans="2:26">
      <c r="B297" s="80"/>
      <c r="C297" s="36"/>
      <c r="D297" s="91"/>
      <c r="E297" s="80"/>
      <c r="F297" s="80"/>
      <c r="G297" s="91"/>
      <c r="H297" s="91"/>
      <c r="I297" s="81"/>
      <c r="J297" s="81"/>
      <c r="L297" s="36"/>
      <c r="M297" s="36"/>
      <c r="N297" s="36"/>
      <c r="Y297" s="36"/>
      <c r="Z297" s="36"/>
    </row>
    <row r="298" spans="2:26">
      <c r="B298" s="80"/>
      <c r="C298" s="36"/>
      <c r="D298" s="91"/>
      <c r="E298" s="80"/>
      <c r="F298" s="80"/>
      <c r="G298" s="91"/>
      <c r="H298" s="91"/>
      <c r="I298" s="81"/>
      <c r="J298" s="81"/>
      <c r="L298" s="36"/>
      <c r="M298" s="36"/>
      <c r="N298" s="36"/>
      <c r="Y298" s="36"/>
      <c r="Z298" s="36"/>
    </row>
    <row r="299" spans="2:26">
      <c r="B299" s="80"/>
      <c r="C299" s="36"/>
      <c r="D299" s="91"/>
      <c r="E299" s="80"/>
      <c r="F299" s="80"/>
      <c r="G299" s="91"/>
      <c r="H299" s="91"/>
      <c r="I299" s="81"/>
      <c r="J299" s="81"/>
      <c r="L299" s="36"/>
      <c r="M299" s="36"/>
      <c r="N299" s="36"/>
      <c r="Y299" s="36"/>
      <c r="Z299" s="36"/>
    </row>
    <row r="300" spans="2:26">
      <c r="B300" s="80"/>
      <c r="C300" s="36"/>
      <c r="D300" s="91"/>
      <c r="E300" s="80"/>
      <c r="F300" s="80"/>
      <c r="G300" s="91"/>
      <c r="H300" s="91"/>
      <c r="I300" s="81"/>
      <c r="J300" s="81"/>
      <c r="L300" s="36"/>
      <c r="M300" s="36"/>
      <c r="N300" s="36"/>
      <c r="Y300" s="36"/>
      <c r="Z300" s="36"/>
    </row>
    <row r="301" spans="2:26">
      <c r="B301" s="80"/>
      <c r="C301" s="36"/>
      <c r="D301" s="91"/>
      <c r="E301" s="80"/>
      <c r="F301" s="80"/>
      <c r="G301" s="91"/>
      <c r="H301" s="91"/>
      <c r="I301" s="81"/>
      <c r="J301" s="81"/>
      <c r="L301" s="36"/>
      <c r="M301" s="36"/>
      <c r="N301" s="36"/>
      <c r="Y301" s="36"/>
      <c r="Z301" s="36"/>
    </row>
    <row r="302" spans="2:26">
      <c r="B302" s="80"/>
      <c r="C302" s="36"/>
      <c r="D302" s="91"/>
      <c r="E302" s="80"/>
      <c r="F302" s="80"/>
      <c r="G302" s="91"/>
      <c r="H302" s="91"/>
      <c r="I302" s="81"/>
      <c r="J302" s="81"/>
      <c r="L302" s="36"/>
      <c r="M302" s="36"/>
      <c r="N302" s="36"/>
      <c r="Y302" s="36"/>
      <c r="Z302" s="36"/>
    </row>
    <row r="303" spans="2:26">
      <c r="B303" s="80"/>
      <c r="C303" s="36"/>
      <c r="D303" s="91"/>
      <c r="E303" s="80"/>
      <c r="F303" s="80"/>
      <c r="G303" s="91"/>
      <c r="H303" s="91"/>
      <c r="I303" s="81"/>
      <c r="J303" s="81"/>
      <c r="L303" s="36"/>
      <c r="M303" s="36"/>
      <c r="N303" s="36"/>
      <c r="Y303" s="36"/>
      <c r="Z303" s="36"/>
    </row>
    <row r="304" spans="2:26">
      <c r="B304" s="80"/>
      <c r="C304" s="36"/>
      <c r="D304" s="91"/>
      <c r="E304" s="80"/>
      <c r="F304" s="80"/>
      <c r="G304" s="91"/>
      <c r="H304" s="91"/>
      <c r="I304" s="81"/>
      <c r="J304" s="81"/>
      <c r="L304" s="36"/>
      <c r="M304" s="36"/>
      <c r="N304" s="36"/>
      <c r="Y304" s="36"/>
      <c r="Z304" s="36"/>
    </row>
    <row r="305" spans="2:26">
      <c r="B305" s="80"/>
      <c r="C305" s="36"/>
      <c r="D305" s="91"/>
      <c r="E305" s="80"/>
      <c r="F305" s="80"/>
      <c r="G305" s="91"/>
      <c r="H305" s="91"/>
      <c r="I305" s="81"/>
      <c r="J305" s="81"/>
      <c r="L305" s="36"/>
      <c r="M305" s="36"/>
      <c r="N305" s="36"/>
      <c r="Y305" s="36"/>
      <c r="Z305" s="36"/>
    </row>
    <row r="306" spans="2:26">
      <c r="B306" s="80"/>
      <c r="C306" s="36"/>
      <c r="D306" s="91"/>
      <c r="E306" s="80"/>
      <c r="F306" s="80"/>
      <c r="G306" s="91"/>
      <c r="H306" s="91"/>
      <c r="I306" s="81"/>
      <c r="J306" s="81"/>
      <c r="L306" s="36"/>
      <c r="M306" s="36"/>
      <c r="N306" s="36"/>
      <c r="Y306" s="36"/>
      <c r="Z306" s="36"/>
    </row>
    <row r="307" spans="2:26">
      <c r="B307" s="80"/>
      <c r="C307" s="36"/>
      <c r="D307" s="91"/>
      <c r="E307" s="80"/>
      <c r="F307" s="80"/>
      <c r="G307" s="91"/>
      <c r="H307" s="91"/>
      <c r="I307" s="81"/>
      <c r="J307" s="81"/>
      <c r="L307" s="36"/>
      <c r="M307" s="36"/>
      <c r="N307" s="36"/>
      <c r="Y307" s="36"/>
      <c r="Z307" s="36"/>
    </row>
    <row r="308" spans="2:26">
      <c r="B308" s="80"/>
      <c r="C308" s="36"/>
      <c r="D308" s="91"/>
      <c r="E308" s="80"/>
      <c r="F308" s="80"/>
      <c r="G308" s="91"/>
      <c r="H308" s="91"/>
      <c r="I308" s="81"/>
      <c r="J308" s="81"/>
      <c r="L308" s="36"/>
      <c r="M308" s="36"/>
      <c r="N308" s="36"/>
      <c r="Y308" s="36"/>
      <c r="Z308" s="36"/>
    </row>
    <row r="309" spans="2:26">
      <c r="B309" s="80"/>
      <c r="C309" s="36"/>
      <c r="D309" s="91"/>
      <c r="E309" s="80"/>
      <c r="F309" s="80"/>
      <c r="G309" s="91"/>
      <c r="H309" s="91"/>
      <c r="I309" s="81"/>
      <c r="J309" s="81"/>
      <c r="L309" s="36"/>
      <c r="M309" s="36"/>
      <c r="N309" s="36"/>
      <c r="Y309" s="36"/>
      <c r="Z309" s="36"/>
    </row>
    <row r="310" spans="2:26">
      <c r="B310" s="80"/>
      <c r="C310" s="36"/>
      <c r="D310" s="91"/>
      <c r="E310" s="80"/>
      <c r="F310" s="80"/>
      <c r="G310" s="91"/>
      <c r="H310" s="91"/>
      <c r="I310" s="81"/>
      <c r="J310" s="81"/>
      <c r="L310" s="36"/>
      <c r="M310" s="36"/>
      <c r="N310" s="36"/>
      <c r="Y310" s="36"/>
      <c r="Z310" s="36"/>
    </row>
    <row r="311" spans="2:26">
      <c r="B311" s="80"/>
      <c r="C311" s="36"/>
      <c r="D311" s="91"/>
      <c r="E311" s="80"/>
      <c r="F311" s="80"/>
      <c r="G311" s="91"/>
      <c r="H311" s="91"/>
      <c r="I311" s="81"/>
      <c r="J311" s="81"/>
      <c r="L311" s="36"/>
      <c r="M311" s="36"/>
      <c r="N311" s="36"/>
      <c r="Y311" s="36"/>
      <c r="Z311" s="36"/>
    </row>
    <row r="312" spans="2:26">
      <c r="B312" s="80"/>
      <c r="C312" s="36"/>
      <c r="D312" s="91"/>
      <c r="E312" s="80"/>
      <c r="F312" s="80"/>
      <c r="G312" s="91"/>
      <c r="H312" s="91"/>
      <c r="I312" s="81"/>
      <c r="J312" s="81"/>
      <c r="L312" s="36"/>
      <c r="M312" s="36"/>
      <c r="N312" s="36"/>
      <c r="Y312" s="36"/>
      <c r="Z312" s="36"/>
    </row>
    <row r="313" spans="2:26">
      <c r="B313" s="80"/>
      <c r="C313" s="36"/>
      <c r="D313" s="91"/>
      <c r="E313" s="80"/>
      <c r="F313" s="80"/>
      <c r="G313" s="91"/>
      <c r="H313" s="91"/>
      <c r="I313" s="81"/>
      <c r="J313" s="81"/>
      <c r="L313" s="36"/>
      <c r="M313" s="36"/>
      <c r="N313" s="36"/>
      <c r="Y313" s="36"/>
      <c r="Z313" s="36"/>
    </row>
    <row r="314" spans="2:26">
      <c r="B314" s="80"/>
      <c r="C314" s="36"/>
      <c r="D314" s="91"/>
      <c r="E314" s="80"/>
      <c r="F314" s="80"/>
      <c r="G314" s="91"/>
      <c r="H314" s="91"/>
      <c r="I314" s="81"/>
      <c r="J314" s="81"/>
      <c r="L314" s="36"/>
      <c r="M314" s="36"/>
      <c r="N314" s="36"/>
      <c r="Y314" s="36"/>
      <c r="Z314" s="36"/>
    </row>
    <row r="315" spans="2:26">
      <c r="B315" s="80"/>
      <c r="C315" s="36"/>
      <c r="D315" s="91"/>
      <c r="E315" s="80"/>
      <c r="F315" s="80"/>
      <c r="G315" s="91"/>
      <c r="H315" s="91"/>
      <c r="I315" s="81"/>
      <c r="J315" s="81"/>
      <c r="L315" s="36"/>
      <c r="M315" s="36"/>
      <c r="N315" s="36"/>
      <c r="Y315" s="36"/>
      <c r="Z315" s="36"/>
    </row>
    <row r="316" spans="2:26">
      <c r="B316" s="80"/>
      <c r="C316" s="36"/>
      <c r="D316" s="91"/>
      <c r="E316" s="80"/>
      <c r="F316" s="80"/>
      <c r="G316" s="91"/>
      <c r="H316" s="91"/>
      <c r="I316" s="81"/>
      <c r="J316" s="81"/>
      <c r="L316" s="36"/>
      <c r="M316" s="36"/>
      <c r="N316" s="36"/>
      <c r="Y316" s="36"/>
      <c r="Z316" s="36"/>
    </row>
    <row r="317" spans="2:26">
      <c r="B317" s="80"/>
      <c r="C317" s="36"/>
      <c r="D317" s="91"/>
      <c r="E317" s="80"/>
      <c r="F317" s="80"/>
      <c r="G317" s="91"/>
      <c r="H317" s="91"/>
      <c r="I317" s="81"/>
      <c r="J317" s="81"/>
      <c r="L317" s="36"/>
      <c r="M317" s="36"/>
      <c r="N317" s="36"/>
      <c r="Y317" s="36"/>
      <c r="Z317" s="36"/>
    </row>
    <row r="318" spans="2:26">
      <c r="B318" s="80"/>
      <c r="C318" s="36"/>
      <c r="D318" s="91"/>
      <c r="E318" s="80"/>
      <c r="F318" s="80"/>
      <c r="G318" s="91"/>
      <c r="H318" s="91"/>
      <c r="I318" s="81"/>
      <c r="J318" s="81"/>
      <c r="L318" s="36"/>
      <c r="M318" s="36"/>
      <c r="N318" s="36"/>
      <c r="Y318" s="36"/>
      <c r="Z318" s="36"/>
    </row>
    <row r="319" spans="2:26">
      <c r="B319" s="80"/>
      <c r="C319" s="36"/>
      <c r="D319" s="91"/>
      <c r="E319" s="80"/>
      <c r="F319" s="80"/>
      <c r="G319" s="91"/>
      <c r="H319" s="91"/>
      <c r="I319" s="81"/>
      <c r="J319" s="81"/>
      <c r="L319" s="36"/>
      <c r="M319" s="36"/>
      <c r="N319" s="36"/>
      <c r="Y319" s="36"/>
      <c r="Z319" s="36"/>
    </row>
    <row r="320" spans="2:26">
      <c r="B320" s="80"/>
      <c r="C320" s="36"/>
      <c r="D320" s="91"/>
      <c r="E320" s="80"/>
      <c r="F320" s="80"/>
      <c r="G320" s="91"/>
      <c r="H320" s="91"/>
      <c r="I320" s="81"/>
      <c r="J320" s="81"/>
      <c r="L320" s="36"/>
      <c r="M320" s="36"/>
      <c r="N320" s="36"/>
      <c r="Y320" s="36"/>
      <c r="Z320" s="36"/>
    </row>
    <row r="321" spans="2:26">
      <c r="B321" s="80"/>
      <c r="C321" s="36"/>
      <c r="D321" s="91"/>
      <c r="E321" s="80"/>
      <c r="F321" s="80"/>
      <c r="G321" s="91"/>
      <c r="H321" s="91"/>
      <c r="I321" s="81"/>
      <c r="J321" s="81"/>
      <c r="L321" s="36"/>
      <c r="M321" s="36"/>
      <c r="N321" s="36"/>
      <c r="Y321" s="36"/>
      <c r="Z321" s="36"/>
    </row>
    <row r="322" spans="2:26">
      <c r="B322" s="80"/>
      <c r="C322" s="36"/>
      <c r="D322" s="91"/>
      <c r="E322" s="80"/>
      <c r="F322" s="80"/>
      <c r="G322" s="91"/>
      <c r="H322" s="91"/>
      <c r="I322" s="81"/>
      <c r="J322" s="81"/>
      <c r="L322" s="36"/>
      <c r="M322" s="36"/>
      <c r="N322" s="36"/>
      <c r="Y322" s="36"/>
      <c r="Z322" s="36"/>
    </row>
    <row r="323" spans="2:26">
      <c r="B323" s="80"/>
      <c r="C323" s="36"/>
      <c r="D323" s="91"/>
      <c r="E323" s="80"/>
      <c r="F323" s="80"/>
      <c r="G323" s="91"/>
      <c r="H323" s="91"/>
      <c r="I323" s="81"/>
      <c r="J323" s="81"/>
      <c r="L323" s="36"/>
      <c r="M323" s="36"/>
      <c r="N323" s="36"/>
      <c r="Y323" s="36"/>
      <c r="Z323" s="36"/>
    </row>
    <row r="324" spans="2:26">
      <c r="B324" s="80"/>
      <c r="C324" s="36"/>
      <c r="D324" s="91"/>
      <c r="E324" s="80"/>
      <c r="F324" s="80"/>
      <c r="G324" s="91"/>
      <c r="H324" s="91"/>
      <c r="I324" s="81"/>
      <c r="J324" s="81"/>
      <c r="L324" s="36"/>
      <c r="M324" s="36"/>
      <c r="N324" s="36"/>
      <c r="Y324" s="36"/>
      <c r="Z324" s="36"/>
    </row>
    <row r="325" spans="2:26">
      <c r="B325" s="80"/>
      <c r="C325" s="36"/>
      <c r="D325" s="91"/>
      <c r="E325" s="80"/>
      <c r="F325" s="80"/>
      <c r="G325" s="91"/>
      <c r="H325" s="91"/>
      <c r="I325" s="81"/>
      <c r="J325" s="81"/>
      <c r="L325" s="36"/>
      <c r="M325" s="36"/>
      <c r="N325" s="36"/>
      <c r="Y325" s="36"/>
      <c r="Z325" s="36"/>
    </row>
    <row r="326" spans="2:26">
      <c r="B326" s="80"/>
      <c r="C326" s="36"/>
      <c r="D326" s="91"/>
      <c r="E326" s="80"/>
      <c r="F326" s="80"/>
      <c r="G326" s="91"/>
      <c r="H326" s="91"/>
      <c r="I326" s="81"/>
      <c r="J326" s="81"/>
      <c r="L326" s="36"/>
      <c r="M326" s="36"/>
      <c r="N326" s="36"/>
      <c r="Y326" s="36"/>
      <c r="Z326" s="36"/>
    </row>
    <row r="327" spans="2:26">
      <c r="B327" s="80"/>
      <c r="C327" s="36"/>
      <c r="D327" s="91"/>
      <c r="E327" s="80"/>
      <c r="F327" s="80"/>
      <c r="G327" s="91"/>
      <c r="H327" s="91"/>
      <c r="I327" s="81"/>
      <c r="J327" s="81"/>
      <c r="L327" s="36"/>
      <c r="M327" s="36"/>
      <c r="N327" s="36"/>
      <c r="Y327" s="36"/>
      <c r="Z327" s="36"/>
    </row>
    <row r="328" spans="2:26">
      <c r="B328" s="80"/>
      <c r="C328" s="36"/>
      <c r="D328" s="91"/>
      <c r="E328" s="80"/>
      <c r="F328" s="80"/>
      <c r="G328" s="91"/>
      <c r="H328" s="91"/>
      <c r="I328" s="81"/>
      <c r="J328" s="81"/>
      <c r="L328" s="36"/>
      <c r="M328" s="36"/>
      <c r="N328" s="36"/>
      <c r="Y328" s="36"/>
      <c r="Z328" s="36"/>
    </row>
    <row r="329" spans="2:26">
      <c r="B329" s="80"/>
      <c r="C329" s="36"/>
      <c r="D329" s="91"/>
      <c r="E329" s="80"/>
      <c r="F329" s="80"/>
      <c r="G329" s="91"/>
      <c r="H329" s="91"/>
      <c r="I329" s="81"/>
      <c r="J329" s="81"/>
      <c r="L329" s="36"/>
      <c r="M329" s="36"/>
      <c r="N329" s="36"/>
      <c r="Y329" s="36"/>
      <c r="Z329" s="36"/>
    </row>
    <row r="330" spans="2:26">
      <c r="B330" s="80"/>
      <c r="C330" s="36"/>
      <c r="D330" s="91"/>
      <c r="E330" s="80"/>
      <c r="F330" s="80"/>
      <c r="G330" s="91"/>
      <c r="H330" s="91"/>
      <c r="I330" s="81"/>
      <c r="J330" s="81"/>
      <c r="L330" s="36"/>
      <c r="M330" s="36"/>
      <c r="N330" s="36"/>
      <c r="Y330" s="36"/>
      <c r="Z330" s="36"/>
    </row>
    <row r="331" spans="2:26">
      <c r="B331" s="80"/>
      <c r="C331" s="36"/>
      <c r="D331" s="91"/>
      <c r="E331" s="80"/>
      <c r="F331" s="80"/>
      <c r="G331" s="91"/>
      <c r="H331" s="91"/>
      <c r="I331" s="81"/>
      <c r="J331" s="81"/>
      <c r="L331" s="36"/>
      <c r="M331" s="36"/>
      <c r="N331" s="36"/>
      <c r="Y331" s="36"/>
      <c r="Z331" s="36"/>
    </row>
    <row r="332" spans="2:26">
      <c r="B332" s="80"/>
      <c r="C332" s="36"/>
      <c r="D332" s="91"/>
      <c r="E332" s="80"/>
      <c r="F332" s="80"/>
      <c r="G332" s="91"/>
      <c r="H332" s="91"/>
      <c r="I332" s="81"/>
      <c r="J332" s="81"/>
      <c r="L332" s="36"/>
      <c r="M332" s="36"/>
      <c r="N332" s="36"/>
      <c r="Y332" s="36"/>
      <c r="Z332" s="36"/>
    </row>
    <row r="333" spans="2:26">
      <c r="B333" s="80"/>
      <c r="C333" s="36"/>
      <c r="D333" s="91"/>
      <c r="E333" s="80"/>
      <c r="F333" s="80"/>
      <c r="G333" s="91"/>
      <c r="H333" s="91"/>
      <c r="I333" s="81"/>
      <c r="J333" s="81"/>
      <c r="L333" s="36"/>
      <c r="M333" s="36"/>
      <c r="N333" s="36"/>
      <c r="Y333" s="36"/>
      <c r="Z333" s="36"/>
    </row>
    <row r="334" spans="2:26">
      <c r="B334" s="80"/>
      <c r="C334" s="36"/>
      <c r="D334" s="91"/>
      <c r="E334" s="80"/>
      <c r="F334" s="80"/>
      <c r="G334" s="91"/>
      <c r="H334" s="91"/>
      <c r="I334" s="81"/>
      <c r="J334" s="81"/>
      <c r="L334" s="36"/>
      <c r="M334" s="36"/>
      <c r="N334" s="36"/>
      <c r="Y334" s="36"/>
      <c r="Z334" s="36"/>
    </row>
    <row r="335" spans="2:26">
      <c r="B335" s="80"/>
      <c r="C335" s="36"/>
      <c r="D335" s="91"/>
      <c r="E335" s="80"/>
      <c r="F335" s="80"/>
      <c r="G335" s="91"/>
      <c r="H335" s="91"/>
      <c r="I335" s="81"/>
      <c r="J335" s="81"/>
      <c r="L335" s="36"/>
      <c r="M335" s="36"/>
      <c r="N335" s="36"/>
      <c r="Y335" s="36"/>
      <c r="Z335" s="36"/>
    </row>
    <row r="336" spans="2:26">
      <c r="B336" s="80"/>
      <c r="C336" s="36"/>
      <c r="D336" s="91"/>
      <c r="E336" s="80"/>
      <c r="F336" s="80"/>
      <c r="G336" s="91"/>
      <c r="H336" s="91"/>
      <c r="I336" s="81"/>
      <c r="J336" s="81"/>
      <c r="L336" s="36"/>
      <c r="M336" s="36"/>
      <c r="N336" s="36"/>
      <c r="Y336" s="36"/>
      <c r="Z336" s="36"/>
    </row>
    <row r="337" spans="2:26">
      <c r="B337" s="80"/>
      <c r="C337" s="36"/>
      <c r="D337" s="91"/>
      <c r="E337" s="80"/>
      <c r="F337" s="80"/>
      <c r="G337" s="91"/>
      <c r="H337" s="91"/>
      <c r="I337" s="81"/>
      <c r="J337" s="81"/>
      <c r="L337" s="36"/>
      <c r="M337" s="36"/>
      <c r="N337" s="36"/>
      <c r="Y337" s="36"/>
      <c r="Z337" s="36"/>
    </row>
    <row r="338" spans="2:26">
      <c r="B338" s="80"/>
      <c r="C338" s="36"/>
      <c r="D338" s="91"/>
      <c r="E338" s="80"/>
      <c r="F338" s="80"/>
      <c r="G338" s="91"/>
      <c r="H338" s="91"/>
      <c r="I338" s="81"/>
      <c r="J338" s="81"/>
      <c r="L338" s="36"/>
      <c r="M338" s="36"/>
      <c r="N338" s="36"/>
      <c r="Y338" s="36"/>
      <c r="Z338" s="36"/>
    </row>
    <row r="339" spans="2:26">
      <c r="B339" s="80"/>
      <c r="C339" s="36"/>
      <c r="D339" s="91"/>
      <c r="E339" s="80"/>
      <c r="F339" s="80"/>
      <c r="G339" s="91"/>
      <c r="H339" s="91"/>
      <c r="I339" s="81"/>
      <c r="J339" s="81"/>
      <c r="L339" s="36"/>
      <c r="M339" s="36"/>
      <c r="N339" s="36"/>
      <c r="Y339" s="36"/>
      <c r="Z339" s="36"/>
    </row>
    <row r="340" spans="2:26">
      <c r="B340" s="80"/>
      <c r="C340" s="36"/>
      <c r="D340" s="91"/>
      <c r="E340" s="80"/>
      <c r="F340" s="80"/>
      <c r="G340" s="91"/>
      <c r="H340" s="91"/>
      <c r="I340" s="81"/>
      <c r="J340" s="81"/>
      <c r="L340" s="36"/>
      <c r="M340" s="36"/>
      <c r="N340" s="36"/>
      <c r="Y340" s="36"/>
      <c r="Z340" s="36"/>
    </row>
    <row r="341" spans="2:26">
      <c r="B341" s="80"/>
      <c r="C341" s="36"/>
      <c r="D341" s="91"/>
      <c r="E341" s="80"/>
      <c r="F341" s="80"/>
      <c r="G341" s="91"/>
      <c r="H341" s="91"/>
      <c r="I341" s="81"/>
      <c r="J341" s="81"/>
      <c r="L341" s="36"/>
      <c r="M341" s="36"/>
      <c r="N341" s="36"/>
      <c r="Y341" s="36"/>
      <c r="Z341" s="36"/>
    </row>
    <row r="342" spans="2:26">
      <c r="B342" s="80"/>
      <c r="C342" s="36"/>
      <c r="D342" s="91"/>
      <c r="E342" s="80"/>
      <c r="F342" s="80"/>
      <c r="G342" s="91"/>
      <c r="H342" s="91"/>
      <c r="I342" s="81"/>
      <c r="J342" s="81"/>
      <c r="L342" s="36"/>
      <c r="M342" s="36"/>
      <c r="N342" s="36"/>
      <c r="Y342" s="36"/>
      <c r="Z342" s="36"/>
    </row>
    <row r="343" spans="2:26">
      <c r="B343" s="80"/>
      <c r="C343" s="36"/>
      <c r="D343" s="91"/>
      <c r="E343" s="80"/>
      <c r="F343" s="80"/>
      <c r="G343" s="91"/>
      <c r="H343" s="91"/>
      <c r="I343" s="81"/>
      <c r="J343" s="81"/>
      <c r="L343" s="36"/>
      <c r="M343" s="36"/>
      <c r="N343" s="36"/>
      <c r="Y343" s="36"/>
      <c r="Z343" s="36"/>
    </row>
    <row r="344" spans="2:26">
      <c r="B344" s="80"/>
      <c r="C344" s="36"/>
      <c r="D344" s="91"/>
      <c r="E344" s="80"/>
      <c r="F344" s="80"/>
      <c r="G344" s="91"/>
      <c r="H344" s="91"/>
      <c r="I344" s="81"/>
      <c r="J344" s="81"/>
      <c r="L344" s="36"/>
      <c r="M344" s="36"/>
      <c r="N344" s="36"/>
      <c r="Y344" s="36"/>
      <c r="Z344" s="36"/>
    </row>
    <row r="345" spans="2:26">
      <c r="B345" s="80"/>
      <c r="C345" s="36"/>
      <c r="D345" s="91"/>
      <c r="E345" s="80"/>
      <c r="F345" s="80"/>
      <c r="G345" s="91"/>
      <c r="H345" s="91"/>
      <c r="I345" s="81"/>
      <c r="J345" s="81"/>
      <c r="L345" s="36"/>
      <c r="M345" s="36"/>
      <c r="N345" s="36"/>
      <c r="Y345" s="36"/>
      <c r="Z345" s="36"/>
    </row>
    <row r="346" spans="2:26">
      <c r="B346" s="80"/>
      <c r="C346" s="36"/>
      <c r="D346" s="91"/>
      <c r="E346" s="80"/>
      <c r="F346" s="80"/>
      <c r="G346" s="91"/>
      <c r="H346" s="91"/>
      <c r="I346" s="81"/>
      <c r="J346" s="81"/>
      <c r="L346" s="36"/>
      <c r="M346" s="36"/>
      <c r="N346" s="36"/>
      <c r="Y346" s="36"/>
      <c r="Z346" s="36"/>
    </row>
    <row r="347" spans="2:26">
      <c r="B347" s="80"/>
      <c r="C347" s="36"/>
      <c r="D347" s="91"/>
      <c r="E347" s="80"/>
      <c r="F347" s="80"/>
      <c r="G347" s="91"/>
      <c r="H347" s="91"/>
      <c r="I347" s="81"/>
      <c r="J347" s="81"/>
      <c r="L347" s="36"/>
      <c r="M347" s="36"/>
      <c r="N347" s="36"/>
      <c r="Y347" s="36"/>
      <c r="Z347" s="36"/>
    </row>
    <row r="348" spans="2:26">
      <c r="B348" s="80"/>
      <c r="C348" s="36"/>
      <c r="D348" s="91"/>
      <c r="E348" s="80"/>
      <c r="F348" s="80"/>
      <c r="G348" s="91"/>
      <c r="H348" s="91"/>
      <c r="I348" s="81"/>
      <c r="J348" s="81"/>
      <c r="L348" s="36"/>
      <c r="M348" s="36"/>
      <c r="N348" s="36"/>
      <c r="Y348" s="36"/>
      <c r="Z348" s="36"/>
    </row>
    <row r="349" spans="2:26">
      <c r="B349" s="80"/>
      <c r="C349" s="36"/>
      <c r="D349" s="91"/>
      <c r="E349" s="80"/>
      <c r="F349" s="80"/>
      <c r="G349" s="91"/>
      <c r="H349" s="91"/>
      <c r="I349" s="81"/>
      <c r="J349" s="81"/>
      <c r="L349" s="36"/>
      <c r="M349" s="36"/>
      <c r="N349" s="36"/>
      <c r="Y349" s="36"/>
      <c r="Z349" s="36"/>
    </row>
    <row r="350" spans="2:26">
      <c r="B350" s="80"/>
      <c r="C350" s="36"/>
      <c r="D350" s="91"/>
      <c r="E350" s="80"/>
      <c r="F350" s="80"/>
      <c r="G350" s="91"/>
      <c r="H350" s="91"/>
      <c r="I350" s="81"/>
      <c r="J350" s="81"/>
      <c r="L350" s="36"/>
      <c r="M350" s="36"/>
      <c r="N350" s="36"/>
      <c r="Y350" s="36"/>
      <c r="Z350" s="36"/>
    </row>
    <row r="351" spans="2:26">
      <c r="B351" s="80"/>
      <c r="C351" s="36"/>
      <c r="D351" s="91"/>
      <c r="E351" s="80"/>
      <c r="F351" s="80"/>
      <c r="G351" s="91"/>
      <c r="H351" s="91"/>
      <c r="I351" s="81"/>
      <c r="J351" s="81"/>
      <c r="L351" s="36"/>
      <c r="M351" s="36"/>
      <c r="N351" s="36"/>
      <c r="Y351" s="36"/>
      <c r="Z351" s="36"/>
    </row>
    <row r="352" spans="2:26">
      <c r="B352" s="80"/>
      <c r="C352" s="36"/>
      <c r="D352" s="91"/>
      <c r="E352" s="80"/>
      <c r="F352" s="80"/>
      <c r="G352" s="91"/>
      <c r="H352" s="91"/>
      <c r="I352" s="81"/>
      <c r="J352" s="81"/>
      <c r="L352" s="36"/>
      <c r="M352" s="36"/>
      <c r="N352" s="36"/>
      <c r="Y352" s="36"/>
      <c r="Z352" s="36"/>
    </row>
    <row r="353" spans="2:26">
      <c r="B353" s="80"/>
      <c r="C353" s="36"/>
      <c r="D353" s="91"/>
      <c r="E353" s="80"/>
      <c r="F353" s="80"/>
      <c r="G353" s="91"/>
      <c r="H353" s="91"/>
      <c r="I353" s="81"/>
      <c r="J353" s="81"/>
      <c r="L353" s="36"/>
      <c r="M353" s="36"/>
      <c r="N353" s="36"/>
      <c r="Y353" s="36"/>
      <c r="Z353" s="36"/>
    </row>
    <row r="354" spans="2:26">
      <c r="B354" s="80"/>
      <c r="C354" s="36"/>
      <c r="D354" s="91"/>
      <c r="E354" s="80"/>
      <c r="F354" s="80"/>
      <c r="G354" s="91"/>
      <c r="H354" s="91"/>
      <c r="I354" s="81"/>
      <c r="J354" s="81"/>
      <c r="L354" s="36"/>
      <c r="M354" s="36"/>
      <c r="N354" s="36"/>
      <c r="Y354" s="36"/>
      <c r="Z354" s="36"/>
    </row>
    <row r="355" spans="2:26">
      <c r="B355" s="80"/>
      <c r="C355" s="36"/>
      <c r="D355" s="91"/>
      <c r="E355" s="80"/>
      <c r="F355" s="80"/>
      <c r="G355" s="91"/>
      <c r="H355" s="91"/>
      <c r="I355" s="81"/>
      <c r="J355" s="81"/>
      <c r="L355" s="36"/>
      <c r="M355" s="36"/>
      <c r="N355" s="36"/>
      <c r="Y355" s="36"/>
      <c r="Z355" s="36"/>
    </row>
    <row r="356" spans="2:26">
      <c r="B356" s="80"/>
      <c r="C356" s="36"/>
      <c r="D356" s="91"/>
      <c r="E356" s="80"/>
      <c r="F356" s="80"/>
      <c r="G356" s="91"/>
      <c r="H356" s="91"/>
      <c r="I356" s="81"/>
      <c r="J356" s="81"/>
      <c r="L356" s="36"/>
      <c r="M356" s="36"/>
      <c r="N356" s="36"/>
      <c r="Y356" s="36"/>
      <c r="Z356" s="36"/>
    </row>
    <row r="357" spans="2:26">
      <c r="B357" s="80"/>
      <c r="C357" s="36"/>
      <c r="D357" s="91"/>
      <c r="E357" s="80"/>
      <c r="F357" s="80"/>
      <c r="G357" s="91"/>
      <c r="H357" s="91"/>
      <c r="I357" s="81"/>
      <c r="J357" s="81"/>
      <c r="L357" s="36"/>
      <c r="M357" s="36"/>
      <c r="N357" s="36"/>
      <c r="Y357" s="36"/>
      <c r="Z357" s="36"/>
    </row>
    <row r="358" spans="2:26">
      <c r="B358" s="80"/>
      <c r="C358" s="36"/>
      <c r="D358" s="91"/>
      <c r="E358" s="80"/>
      <c r="F358" s="80"/>
      <c r="G358" s="91"/>
      <c r="H358" s="91"/>
      <c r="I358" s="81"/>
      <c r="J358" s="81"/>
      <c r="L358" s="36"/>
      <c r="M358" s="36"/>
      <c r="N358" s="36"/>
      <c r="Y358" s="36"/>
      <c r="Z358" s="36"/>
    </row>
    <row r="359" spans="2:26">
      <c r="B359" s="80"/>
      <c r="C359" s="36"/>
      <c r="D359" s="91"/>
      <c r="E359" s="80"/>
      <c r="F359" s="80"/>
      <c r="G359" s="91"/>
      <c r="H359" s="91"/>
      <c r="I359" s="81"/>
      <c r="J359" s="81"/>
      <c r="L359" s="36"/>
      <c r="M359" s="36"/>
      <c r="N359" s="36"/>
      <c r="Y359" s="36"/>
      <c r="Z359" s="36"/>
    </row>
    <row r="360" spans="2:26">
      <c r="B360" s="80"/>
      <c r="C360" s="36"/>
      <c r="D360" s="91"/>
      <c r="E360" s="80"/>
      <c r="F360" s="80"/>
      <c r="G360" s="91"/>
      <c r="H360" s="91"/>
      <c r="I360" s="81"/>
      <c r="J360" s="81"/>
      <c r="L360" s="36"/>
      <c r="M360" s="36"/>
      <c r="N360" s="36"/>
      <c r="Y360" s="36"/>
      <c r="Z360" s="36"/>
    </row>
    <row r="361" spans="2:26">
      <c r="B361" s="80"/>
      <c r="C361" s="36"/>
      <c r="D361" s="91"/>
      <c r="E361" s="80"/>
      <c r="F361" s="80"/>
      <c r="G361" s="91"/>
      <c r="H361" s="91"/>
      <c r="I361" s="81"/>
      <c r="J361" s="81"/>
      <c r="L361" s="36"/>
      <c r="M361" s="36"/>
      <c r="N361" s="36"/>
      <c r="Y361" s="36"/>
      <c r="Z361" s="36"/>
    </row>
    <row r="362" spans="2:26">
      <c r="B362" s="80"/>
      <c r="C362" s="36"/>
      <c r="D362" s="91"/>
      <c r="E362" s="80"/>
      <c r="F362" s="80"/>
      <c r="G362" s="91"/>
      <c r="H362" s="91"/>
      <c r="I362" s="81"/>
      <c r="J362" s="81"/>
      <c r="L362" s="36"/>
      <c r="M362" s="36"/>
      <c r="N362" s="36"/>
      <c r="Y362" s="36"/>
      <c r="Z362" s="36"/>
    </row>
    <row r="363" spans="2:26">
      <c r="B363" s="80"/>
      <c r="C363" s="36"/>
      <c r="D363" s="91"/>
      <c r="E363" s="80"/>
      <c r="F363" s="80"/>
      <c r="G363" s="91"/>
      <c r="H363" s="91"/>
      <c r="I363" s="81"/>
      <c r="J363" s="81"/>
      <c r="L363" s="36"/>
      <c r="M363" s="36"/>
      <c r="N363" s="36"/>
      <c r="Y363" s="36"/>
      <c r="Z363" s="36"/>
    </row>
    <row r="364" spans="2:26">
      <c r="B364" s="80"/>
      <c r="C364" s="36"/>
      <c r="D364" s="91"/>
      <c r="E364" s="80"/>
      <c r="F364" s="80"/>
      <c r="G364" s="91"/>
      <c r="H364" s="91"/>
      <c r="I364" s="81"/>
      <c r="J364" s="81"/>
      <c r="L364" s="36"/>
      <c r="M364" s="36"/>
      <c r="N364" s="36"/>
      <c r="Y364" s="36"/>
      <c r="Z364" s="36"/>
    </row>
    <row r="365" spans="2:26">
      <c r="B365" s="80"/>
      <c r="C365" s="36"/>
      <c r="D365" s="91"/>
      <c r="E365" s="80"/>
      <c r="F365" s="80"/>
      <c r="G365" s="91"/>
      <c r="H365" s="91"/>
      <c r="I365" s="81"/>
      <c r="J365" s="81"/>
      <c r="L365" s="36"/>
      <c r="M365" s="36"/>
      <c r="N365" s="36"/>
      <c r="Y365" s="36"/>
      <c r="Z365" s="36"/>
    </row>
    <row r="366" spans="2:26">
      <c r="B366" s="80"/>
      <c r="C366" s="36"/>
      <c r="D366" s="91"/>
      <c r="E366" s="80"/>
      <c r="F366" s="80"/>
      <c r="G366" s="91"/>
      <c r="H366" s="91"/>
      <c r="I366" s="81"/>
      <c r="J366" s="81"/>
      <c r="L366" s="36"/>
      <c r="M366" s="36"/>
      <c r="N366" s="36"/>
      <c r="Y366" s="36"/>
      <c r="Z366" s="36"/>
    </row>
    <row r="367" spans="2:26">
      <c r="B367" s="80"/>
      <c r="C367" s="36"/>
      <c r="D367" s="91"/>
      <c r="E367" s="80"/>
      <c r="F367" s="80"/>
      <c r="G367" s="91"/>
      <c r="H367" s="91"/>
      <c r="I367" s="81"/>
      <c r="J367" s="81"/>
      <c r="L367" s="36"/>
      <c r="M367" s="36"/>
      <c r="N367" s="36"/>
      <c r="Y367" s="36"/>
      <c r="Z367" s="36"/>
    </row>
    <row r="368" spans="2:26">
      <c r="B368" s="80"/>
      <c r="C368" s="36"/>
      <c r="D368" s="91"/>
      <c r="E368" s="80"/>
      <c r="F368" s="80"/>
      <c r="G368" s="91"/>
      <c r="H368" s="91"/>
      <c r="I368" s="81"/>
      <c r="J368" s="81"/>
      <c r="L368" s="36"/>
      <c r="M368" s="36"/>
      <c r="N368" s="36"/>
      <c r="Y368" s="36"/>
      <c r="Z368" s="36"/>
    </row>
    <row r="369" spans="2:26">
      <c r="B369" s="80"/>
      <c r="C369" s="36"/>
      <c r="D369" s="91"/>
      <c r="E369" s="80"/>
      <c r="F369" s="80"/>
      <c r="G369" s="91"/>
      <c r="H369" s="91"/>
      <c r="I369" s="81"/>
      <c r="J369" s="81"/>
      <c r="L369" s="36"/>
      <c r="M369" s="36"/>
      <c r="N369" s="36"/>
      <c r="Y369" s="36"/>
      <c r="Z369" s="36"/>
    </row>
    <row r="370" spans="2:26">
      <c r="B370" s="80"/>
      <c r="C370" s="36"/>
      <c r="D370" s="91"/>
      <c r="E370" s="80"/>
      <c r="F370" s="80"/>
      <c r="G370" s="91"/>
      <c r="H370" s="91"/>
      <c r="I370" s="81"/>
      <c r="J370" s="81"/>
      <c r="L370" s="36"/>
      <c r="M370" s="36"/>
      <c r="N370" s="36"/>
      <c r="Y370" s="36"/>
      <c r="Z370" s="36"/>
    </row>
    <row r="371" spans="2:26">
      <c r="B371" s="80"/>
      <c r="C371" s="36"/>
      <c r="D371" s="91"/>
      <c r="E371" s="80"/>
      <c r="F371" s="80"/>
      <c r="G371" s="91"/>
      <c r="H371" s="91"/>
      <c r="I371" s="81"/>
      <c r="J371" s="81"/>
      <c r="L371" s="36"/>
      <c r="M371" s="36"/>
      <c r="N371" s="36"/>
      <c r="Y371" s="36"/>
      <c r="Z371" s="36"/>
    </row>
    <row r="372" spans="2:26">
      <c r="B372" s="80"/>
      <c r="C372" s="36"/>
      <c r="D372" s="91"/>
      <c r="E372" s="80"/>
      <c r="F372" s="80"/>
      <c r="G372" s="91"/>
      <c r="H372" s="91"/>
      <c r="I372" s="81"/>
      <c r="J372" s="81"/>
      <c r="L372" s="36"/>
      <c r="M372" s="36"/>
      <c r="N372" s="36"/>
      <c r="Y372" s="36"/>
      <c r="Z372" s="36"/>
    </row>
    <row r="373" spans="2:26">
      <c r="B373" s="80"/>
      <c r="C373" s="36"/>
      <c r="D373" s="91"/>
      <c r="E373" s="80"/>
      <c r="F373" s="80"/>
      <c r="G373" s="91"/>
      <c r="H373" s="91"/>
      <c r="I373" s="81"/>
      <c r="J373" s="81"/>
      <c r="L373" s="36"/>
      <c r="M373" s="36"/>
      <c r="N373" s="36"/>
      <c r="Y373" s="36"/>
      <c r="Z373" s="36"/>
    </row>
    <row r="374" spans="2:26">
      <c r="B374" s="80"/>
      <c r="C374" s="36"/>
      <c r="D374" s="91"/>
      <c r="E374" s="80"/>
      <c r="F374" s="80"/>
      <c r="G374" s="91"/>
      <c r="H374" s="91"/>
      <c r="I374" s="81"/>
      <c r="J374" s="81"/>
      <c r="L374" s="36"/>
      <c r="M374" s="36"/>
      <c r="N374" s="36"/>
      <c r="Y374" s="36"/>
      <c r="Z374" s="36"/>
    </row>
    <row r="375" spans="2:26">
      <c r="B375" s="80"/>
      <c r="C375" s="36"/>
      <c r="D375" s="91"/>
      <c r="E375" s="80"/>
      <c r="F375" s="80"/>
      <c r="G375" s="91"/>
      <c r="H375" s="91"/>
      <c r="I375" s="81"/>
      <c r="J375" s="81"/>
      <c r="L375" s="36"/>
      <c r="M375" s="36"/>
      <c r="N375" s="36"/>
      <c r="Y375" s="36"/>
      <c r="Z375" s="36"/>
    </row>
    <row r="376" spans="2:26">
      <c r="B376" s="80"/>
      <c r="C376" s="36"/>
      <c r="D376" s="91"/>
      <c r="E376" s="80"/>
      <c r="F376" s="80"/>
      <c r="G376" s="91"/>
      <c r="H376" s="91"/>
      <c r="I376" s="81"/>
      <c r="J376" s="81"/>
      <c r="L376" s="36"/>
      <c r="M376" s="36"/>
      <c r="N376" s="36"/>
      <c r="Y376" s="36"/>
      <c r="Z376" s="36"/>
    </row>
    <row r="377" spans="2:26">
      <c r="B377" s="80"/>
      <c r="C377" s="36"/>
      <c r="D377" s="91"/>
      <c r="E377" s="80"/>
      <c r="F377" s="80"/>
      <c r="G377" s="91"/>
      <c r="H377" s="91"/>
      <c r="I377" s="81"/>
      <c r="J377" s="81"/>
      <c r="L377" s="36"/>
      <c r="M377" s="36"/>
      <c r="N377" s="36"/>
      <c r="Y377" s="36"/>
      <c r="Z377" s="36"/>
    </row>
    <row r="378" spans="2:26">
      <c r="B378" s="80"/>
      <c r="C378" s="36"/>
      <c r="D378" s="91"/>
      <c r="E378" s="80"/>
      <c r="F378" s="80"/>
      <c r="G378" s="91"/>
      <c r="H378" s="91"/>
      <c r="I378" s="81"/>
      <c r="J378" s="81"/>
      <c r="L378" s="36"/>
      <c r="M378" s="36"/>
      <c r="N378" s="36"/>
      <c r="Y378" s="36"/>
      <c r="Z378" s="36"/>
    </row>
    <row r="379" spans="2:26">
      <c r="B379" s="80"/>
      <c r="C379" s="36"/>
      <c r="D379" s="91"/>
      <c r="E379" s="80"/>
      <c r="F379" s="80"/>
      <c r="G379" s="91"/>
      <c r="H379" s="91"/>
      <c r="I379" s="81"/>
      <c r="J379" s="81"/>
      <c r="L379" s="36"/>
      <c r="M379" s="36"/>
      <c r="N379" s="36"/>
      <c r="Y379" s="36"/>
      <c r="Z379" s="36"/>
    </row>
    <row r="380" spans="2:26">
      <c r="B380" s="80"/>
      <c r="C380" s="36"/>
      <c r="D380" s="91"/>
      <c r="E380" s="80"/>
      <c r="F380" s="80"/>
      <c r="G380" s="91"/>
      <c r="H380" s="91"/>
      <c r="I380" s="81"/>
      <c r="J380" s="81"/>
      <c r="L380" s="36"/>
      <c r="M380" s="36"/>
      <c r="N380" s="36"/>
      <c r="Y380" s="36"/>
      <c r="Z380" s="36"/>
    </row>
    <row r="381" spans="2:26">
      <c r="B381" s="80"/>
      <c r="C381" s="36"/>
      <c r="D381" s="91"/>
      <c r="E381" s="80"/>
      <c r="F381" s="80"/>
      <c r="G381" s="91"/>
      <c r="H381" s="91"/>
      <c r="I381" s="81"/>
      <c r="J381" s="81"/>
      <c r="L381" s="36"/>
      <c r="M381" s="36"/>
      <c r="N381" s="36"/>
      <c r="Y381" s="36"/>
      <c r="Z381" s="36"/>
    </row>
    <row r="382" spans="2:26">
      <c r="B382" s="80"/>
      <c r="C382" s="36"/>
      <c r="D382" s="91"/>
      <c r="E382" s="80"/>
      <c r="F382" s="80"/>
      <c r="G382" s="91"/>
      <c r="H382" s="91"/>
      <c r="I382" s="81"/>
      <c r="J382" s="81"/>
      <c r="L382" s="36"/>
      <c r="M382" s="36"/>
      <c r="N382" s="36"/>
      <c r="Y382" s="36"/>
      <c r="Z382" s="36"/>
    </row>
    <row r="383" spans="2:26">
      <c r="B383" s="80"/>
      <c r="C383" s="36"/>
      <c r="D383" s="91"/>
      <c r="E383" s="80"/>
      <c r="F383" s="80"/>
      <c r="G383" s="91"/>
      <c r="H383" s="91"/>
      <c r="I383" s="81"/>
      <c r="J383" s="81"/>
      <c r="L383" s="36"/>
      <c r="M383" s="36"/>
      <c r="N383" s="36"/>
      <c r="Y383" s="36"/>
      <c r="Z383" s="36"/>
    </row>
    <row r="384" spans="2:26">
      <c r="B384" s="80"/>
      <c r="C384" s="36"/>
      <c r="D384" s="91"/>
      <c r="E384" s="80"/>
      <c r="F384" s="80"/>
      <c r="G384" s="91"/>
      <c r="H384" s="91"/>
      <c r="I384" s="81"/>
      <c r="J384" s="81"/>
      <c r="L384" s="36"/>
      <c r="M384" s="36"/>
      <c r="N384" s="36"/>
      <c r="Y384" s="36"/>
      <c r="Z384" s="36"/>
    </row>
    <row r="385" spans="2:26">
      <c r="B385" s="80"/>
      <c r="C385" s="36"/>
      <c r="D385" s="91"/>
      <c r="E385" s="80"/>
      <c r="F385" s="80"/>
      <c r="G385" s="91"/>
      <c r="H385" s="91"/>
      <c r="I385" s="81"/>
      <c r="J385" s="81"/>
      <c r="L385" s="36"/>
      <c r="M385" s="36"/>
      <c r="N385" s="36"/>
      <c r="Y385" s="36"/>
      <c r="Z385" s="36"/>
    </row>
    <row r="386" spans="2:26">
      <c r="B386" s="80"/>
      <c r="C386" s="36"/>
      <c r="D386" s="91"/>
      <c r="E386" s="80"/>
      <c r="F386" s="80"/>
      <c r="G386" s="91"/>
      <c r="H386" s="91"/>
      <c r="I386" s="81"/>
      <c r="J386" s="81"/>
      <c r="L386" s="36"/>
      <c r="M386" s="36"/>
      <c r="N386" s="36"/>
      <c r="Y386" s="36"/>
      <c r="Z386" s="36"/>
    </row>
    <row r="387" spans="2:26">
      <c r="B387" s="80"/>
      <c r="C387" s="36"/>
      <c r="D387" s="91"/>
      <c r="E387" s="80"/>
      <c r="F387" s="80"/>
      <c r="G387" s="91"/>
      <c r="H387" s="91"/>
      <c r="I387" s="81"/>
      <c r="J387" s="81"/>
      <c r="L387" s="36"/>
      <c r="M387" s="36"/>
      <c r="N387" s="36"/>
      <c r="Y387" s="36"/>
      <c r="Z387" s="36"/>
    </row>
    <row r="388" spans="2:26">
      <c r="B388" s="80"/>
      <c r="C388" s="36"/>
      <c r="D388" s="91"/>
      <c r="E388" s="80"/>
      <c r="F388" s="80"/>
      <c r="G388" s="91"/>
      <c r="H388" s="91"/>
      <c r="I388" s="81"/>
      <c r="J388" s="81"/>
      <c r="L388" s="36"/>
      <c r="M388" s="36"/>
      <c r="N388" s="36"/>
      <c r="Y388" s="36"/>
      <c r="Z388" s="36"/>
    </row>
    <row r="389" spans="2:26">
      <c r="B389" s="80"/>
      <c r="C389" s="36"/>
      <c r="D389" s="91"/>
      <c r="E389" s="80"/>
      <c r="F389" s="80"/>
      <c r="G389" s="91"/>
      <c r="H389" s="91"/>
      <c r="I389" s="81"/>
      <c r="J389" s="81"/>
      <c r="L389" s="36"/>
      <c r="M389" s="36"/>
      <c r="N389" s="36"/>
      <c r="Y389" s="36"/>
      <c r="Z389" s="36"/>
    </row>
    <row r="390" spans="2:26">
      <c r="B390" s="80"/>
      <c r="C390" s="36"/>
      <c r="D390" s="91"/>
      <c r="E390" s="80"/>
      <c r="F390" s="80"/>
      <c r="G390" s="91"/>
      <c r="H390" s="91"/>
      <c r="I390" s="81"/>
      <c r="J390" s="81"/>
      <c r="L390" s="36"/>
      <c r="M390" s="36"/>
      <c r="N390" s="36"/>
      <c r="Y390" s="36"/>
      <c r="Z390" s="36"/>
    </row>
    <row r="391" spans="2:26">
      <c r="B391" s="80"/>
      <c r="C391" s="36"/>
      <c r="D391" s="91"/>
      <c r="E391" s="80"/>
      <c r="F391" s="80"/>
      <c r="G391" s="91"/>
      <c r="H391" s="91"/>
      <c r="I391" s="81"/>
      <c r="J391" s="81"/>
      <c r="L391" s="36"/>
      <c r="M391" s="36"/>
      <c r="N391" s="36"/>
      <c r="Y391" s="36"/>
      <c r="Z391" s="36"/>
    </row>
    <row r="392" spans="2:26">
      <c r="B392" s="80"/>
      <c r="C392" s="36"/>
      <c r="D392" s="91"/>
      <c r="E392" s="80"/>
      <c r="F392" s="80"/>
      <c r="G392" s="91"/>
      <c r="H392" s="91"/>
      <c r="I392" s="81"/>
      <c r="J392" s="81"/>
      <c r="L392" s="36"/>
      <c r="M392" s="36"/>
      <c r="N392" s="36"/>
      <c r="Y392" s="36"/>
      <c r="Z392" s="36"/>
    </row>
    <row r="393" spans="2:26">
      <c r="B393" s="80"/>
      <c r="C393" s="36"/>
      <c r="D393" s="91"/>
      <c r="E393" s="80"/>
      <c r="F393" s="80"/>
      <c r="G393" s="91"/>
      <c r="H393" s="91"/>
      <c r="I393" s="81"/>
      <c r="J393" s="81"/>
      <c r="L393" s="36"/>
      <c r="M393" s="36"/>
      <c r="N393" s="36"/>
      <c r="Y393" s="36"/>
      <c r="Z393" s="36"/>
    </row>
    <row r="394" spans="2:26">
      <c r="B394" s="80"/>
      <c r="C394" s="36"/>
      <c r="D394" s="91"/>
      <c r="E394" s="80"/>
      <c r="F394" s="80"/>
      <c r="G394" s="91"/>
      <c r="H394" s="91"/>
      <c r="I394" s="81"/>
      <c r="J394" s="81"/>
      <c r="L394" s="36"/>
      <c r="M394" s="36"/>
      <c r="N394" s="36"/>
      <c r="Y394" s="36"/>
      <c r="Z394" s="36"/>
    </row>
    <row r="395" spans="2:26">
      <c r="B395" s="80"/>
      <c r="C395" s="36"/>
      <c r="D395" s="91"/>
      <c r="E395" s="80"/>
      <c r="F395" s="80"/>
      <c r="G395" s="91"/>
      <c r="H395" s="91"/>
      <c r="I395" s="81"/>
      <c r="J395" s="81"/>
      <c r="L395" s="36"/>
      <c r="M395" s="36"/>
      <c r="N395" s="36"/>
      <c r="Y395" s="36"/>
      <c r="Z395" s="36"/>
    </row>
    <row r="396" spans="2:26">
      <c r="B396" s="80"/>
      <c r="C396" s="36"/>
      <c r="D396" s="91"/>
      <c r="E396" s="80"/>
      <c r="F396" s="80"/>
      <c r="G396" s="91"/>
      <c r="H396" s="91"/>
      <c r="I396" s="81"/>
      <c r="J396" s="81"/>
      <c r="L396" s="36"/>
      <c r="M396" s="36"/>
      <c r="N396" s="36"/>
      <c r="Y396" s="36"/>
      <c r="Z396" s="36"/>
    </row>
    <row r="397" spans="2:26">
      <c r="B397" s="80"/>
      <c r="C397" s="36"/>
      <c r="D397" s="91"/>
      <c r="E397" s="80"/>
      <c r="F397" s="80"/>
      <c r="G397" s="91"/>
      <c r="H397" s="91"/>
      <c r="I397" s="81"/>
      <c r="J397" s="81"/>
      <c r="L397" s="36"/>
      <c r="M397" s="36"/>
      <c r="N397" s="36"/>
      <c r="Y397" s="36"/>
      <c r="Z397" s="36"/>
    </row>
    <row r="398" spans="2:26">
      <c r="B398" s="80"/>
      <c r="C398" s="36"/>
      <c r="D398" s="91"/>
      <c r="E398" s="80"/>
      <c r="F398" s="80"/>
      <c r="G398" s="91"/>
      <c r="H398" s="91"/>
      <c r="I398" s="81"/>
      <c r="J398" s="81"/>
      <c r="L398" s="36"/>
      <c r="M398" s="36"/>
      <c r="N398" s="36"/>
      <c r="Y398" s="36"/>
      <c r="Z398" s="36"/>
    </row>
    <row r="399" spans="2:26">
      <c r="B399" s="80"/>
      <c r="C399" s="36"/>
      <c r="D399" s="91"/>
      <c r="E399" s="80"/>
      <c r="F399" s="80"/>
      <c r="G399" s="91"/>
      <c r="H399" s="91"/>
      <c r="I399" s="81"/>
      <c r="J399" s="81"/>
      <c r="L399" s="36"/>
      <c r="M399" s="36"/>
      <c r="N399" s="36"/>
      <c r="Y399" s="36"/>
      <c r="Z399" s="36"/>
    </row>
    <row r="400" spans="2:26">
      <c r="B400" s="80"/>
      <c r="C400" s="36"/>
      <c r="D400" s="91"/>
      <c r="E400" s="80"/>
      <c r="F400" s="80"/>
      <c r="G400" s="91"/>
      <c r="H400" s="91"/>
      <c r="I400" s="81"/>
      <c r="J400" s="81"/>
      <c r="L400" s="36"/>
      <c r="M400" s="36"/>
      <c r="N400" s="36"/>
      <c r="Y400" s="36"/>
      <c r="Z400" s="36"/>
    </row>
    <row r="401" spans="2:26">
      <c r="B401" s="80"/>
      <c r="C401" s="36"/>
      <c r="D401" s="91"/>
      <c r="E401" s="80"/>
      <c r="F401" s="80"/>
      <c r="G401" s="91"/>
      <c r="H401" s="91"/>
      <c r="I401" s="81"/>
      <c r="J401" s="81"/>
      <c r="L401" s="36"/>
      <c r="M401" s="36"/>
      <c r="N401" s="36"/>
      <c r="Y401" s="36"/>
      <c r="Z401" s="36"/>
    </row>
    <row r="402" spans="2:26">
      <c r="B402" s="80"/>
      <c r="C402" s="36"/>
      <c r="D402" s="91"/>
      <c r="E402" s="80"/>
      <c r="F402" s="80"/>
      <c r="G402" s="91"/>
      <c r="H402" s="91"/>
      <c r="I402" s="81"/>
      <c r="J402" s="81"/>
      <c r="L402" s="36"/>
      <c r="M402" s="36"/>
      <c r="N402" s="36"/>
      <c r="Y402" s="36"/>
      <c r="Z402" s="36"/>
    </row>
    <row r="403" spans="2:26">
      <c r="B403" s="80"/>
      <c r="C403" s="36"/>
      <c r="D403" s="91"/>
      <c r="E403" s="80"/>
      <c r="F403" s="80"/>
      <c r="G403" s="91"/>
      <c r="H403" s="91"/>
      <c r="I403" s="81"/>
      <c r="J403" s="81"/>
      <c r="L403" s="36"/>
      <c r="M403" s="36"/>
      <c r="N403" s="36"/>
      <c r="Y403" s="36"/>
      <c r="Z403" s="36"/>
    </row>
    <row r="404" spans="2:26">
      <c r="B404" s="80"/>
      <c r="C404" s="36"/>
      <c r="D404" s="91"/>
      <c r="E404" s="80"/>
      <c r="F404" s="80"/>
      <c r="G404" s="91"/>
      <c r="H404" s="91"/>
      <c r="I404" s="81"/>
      <c r="J404" s="81"/>
      <c r="L404" s="36"/>
      <c r="M404" s="36"/>
      <c r="N404" s="36"/>
      <c r="Y404" s="36"/>
      <c r="Z404" s="36"/>
    </row>
    <row r="405" spans="2:26">
      <c r="B405" s="80"/>
      <c r="C405" s="36"/>
      <c r="D405" s="91"/>
      <c r="E405" s="80"/>
      <c r="F405" s="80"/>
      <c r="G405" s="91"/>
      <c r="H405" s="91"/>
      <c r="I405" s="81"/>
      <c r="J405" s="81"/>
      <c r="L405" s="36"/>
      <c r="M405" s="36"/>
      <c r="N405" s="36"/>
      <c r="Y405" s="36"/>
      <c r="Z405" s="36"/>
    </row>
    <row r="406" spans="2:26">
      <c r="B406" s="80"/>
      <c r="C406" s="36"/>
      <c r="D406" s="91"/>
      <c r="E406" s="80"/>
      <c r="F406" s="80"/>
      <c r="G406" s="91"/>
      <c r="H406" s="91"/>
      <c r="I406" s="81"/>
      <c r="J406" s="81"/>
      <c r="L406" s="36"/>
      <c r="M406" s="36"/>
      <c r="N406" s="36"/>
      <c r="Y406" s="36"/>
      <c r="Z406" s="36"/>
    </row>
    <row r="407" spans="2:26">
      <c r="B407" s="80"/>
      <c r="C407" s="36"/>
      <c r="D407" s="91"/>
      <c r="E407" s="80"/>
      <c r="F407" s="80"/>
      <c r="G407" s="91"/>
      <c r="H407" s="91"/>
      <c r="I407" s="81"/>
      <c r="J407" s="81"/>
      <c r="L407" s="36"/>
      <c r="M407" s="36"/>
      <c r="N407" s="36"/>
      <c r="Y407" s="36"/>
      <c r="Z407" s="36"/>
    </row>
    <row r="408" spans="2:26">
      <c r="B408" s="80"/>
      <c r="C408" s="36"/>
      <c r="D408" s="91"/>
      <c r="E408" s="80"/>
      <c r="F408" s="80"/>
      <c r="G408" s="91"/>
      <c r="H408" s="91"/>
      <c r="I408" s="81"/>
      <c r="J408" s="81"/>
      <c r="L408" s="36"/>
      <c r="M408" s="36"/>
      <c r="N408" s="36"/>
      <c r="Y408" s="36"/>
      <c r="Z408" s="36"/>
    </row>
    <row r="409" spans="2:26">
      <c r="B409" s="80"/>
      <c r="C409" s="36"/>
      <c r="D409" s="91"/>
      <c r="E409" s="80"/>
      <c r="F409" s="80"/>
      <c r="G409" s="91"/>
      <c r="H409" s="91"/>
      <c r="I409" s="81"/>
      <c r="J409" s="81"/>
      <c r="L409" s="36"/>
      <c r="M409" s="36"/>
      <c r="N409" s="36"/>
      <c r="Y409" s="36"/>
      <c r="Z409" s="36"/>
    </row>
    <row r="410" spans="2:26">
      <c r="B410" s="80"/>
      <c r="C410" s="36"/>
      <c r="D410" s="91"/>
      <c r="E410" s="80"/>
      <c r="F410" s="80"/>
      <c r="G410" s="91"/>
      <c r="H410" s="91"/>
      <c r="I410" s="81"/>
      <c r="J410" s="81"/>
      <c r="L410" s="36"/>
      <c r="M410" s="36"/>
      <c r="N410" s="36"/>
      <c r="Y410" s="36"/>
      <c r="Z410" s="36"/>
    </row>
    <row r="411" spans="2:26">
      <c r="B411" s="80"/>
      <c r="C411" s="36"/>
      <c r="D411" s="91"/>
      <c r="E411" s="80"/>
      <c r="F411" s="80"/>
      <c r="G411" s="91"/>
      <c r="H411" s="91"/>
      <c r="I411" s="81"/>
      <c r="J411" s="81"/>
      <c r="L411" s="36"/>
      <c r="M411" s="36"/>
      <c r="N411" s="36"/>
      <c r="Y411" s="36"/>
      <c r="Z411" s="36"/>
    </row>
    <row r="412" spans="2:26">
      <c r="B412" s="80"/>
      <c r="C412" s="36"/>
      <c r="D412" s="91"/>
      <c r="E412" s="80"/>
      <c r="F412" s="80"/>
      <c r="G412" s="91"/>
      <c r="H412" s="91"/>
      <c r="I412" s="81"/>
      <c r="J412" s="81"/>
      <c r="L412" s="36"/>
      <c r="M412" s="36"/>
      <c r="N412" s="36"/>
      <c r="Y412" s="36"/>
      <c r="Z412" s="36"/>
    </row>
    <row r="413" spans="2:26">
      <c r="B413" s="80"/>
      <c r="C413" s="36"/>
      <c r="D413" s="91"/>
      <c r="E413" s="80"/>
      <c r="F413" s="80"/>
      <c r="G413" s="91"/>
      <c r="H413" s="91"/>
      <c r="I413" s="81"/>
      <c r="J413" s="81"/>
      <c r="L413" s="36"/>
      <c r="M413" s="36"/>
      <c r="N413" s="36"/>
      <c r="Y413" s="36"/>
      <c r="Z413" s="36"/>
    </row>
    <row r="414" spans="2:26">
      <c r="B414" s="80"/>
      <c r="C414" s="36"/>
      <c r="D414" s="91"/>
      <c r="E414" s="80"/>
      <c r="F414" s="80"/>
      <c r="G414" s="91"/>
      <c r="H414" s="91"/>
      <c r="I414" s="81"/>
      <c r="J414" s="81"/>
      <c r="L414" s="36"/>
      <c r="M414" s="36"/>
      <c r="N414" s="36"/>
      <c r="Y414" s="36"/>
      <c r="Z414" s="36"/>
    </row>
    <row r="415" spans="2:26">
      <c r="B415" s="80"/>
      <c r="C415" s="36"/>
      <c r="D415" s="91"/>
      <c r="E415" s="80"/>
      <c r="F415" s="80"/>
      <c r="G415" s="91"/>
      <c r="H415" s="91"/>
      <c r="I415" s="81"/>
      <c r="J415" s="81"/>
      <c r="L415" s="36"/>
      <c r="M415" s="36"/>
      <c r="N415" s="36"/>
      <c r="Y415" s="36"/>
      <c r="Z415" s="36"/>
    </row>
    <row r="416" spans="2:26">
      <c r="B416" s="80"/>
      <c r="C416" s="36"/>
      <c r="D416" s="91"/>
      <c r="E416" s="80"/>
      <c r="F416" s="80"/>
      <c r="G416" s="91"/>
      <c r="H416" s="91"/>
      <c r="I416" s="81"/>
      <c r="J416" s="81"/>
      <c r="L416" s="36"/>
      <c r="M416" s="36"/>
      <c r="N416" s="36"/>
      <c r="Y416" s="36"/>
      <c r="Z416" s="36"/>
    </row>
    <row r="417" spans="2:26">
      <c r="B417" s="80"/>
      <c r="C417" s="36"/>
      <c r="D417" s="91"/>
      <c r="E417" s="80"/>
      <c r="F417" s="80"/>
      <c r="G417" s="91"/>
      <c r="H417" s="91"/>
      <c r="I417" s="81"/>
      <c r="J417" s="81"/>
      <c r="L417" s="36"/>
      <c r="M417" s="36"/>
      <c r="N417" s="36"/>
      <c r="Y417" s="36"/>
      <c r="Z417" s="36"/>
    </row>
    <row r="418" spans="2:26">
      <c r="B418" s="80"/>
      <c r="C418" s="36"/>
      <c r="D418" s="91"/>
      <c r="E418" s="80"/>
      <c r="F418" s="80"/>
      <c r="G418" s="91"/>
      <c r="H418" s="91"/>
      <c r="I418" s="81"/>
      <c r="J418" s="81"/>
      <c r="L418" s="36"/>
      <c r="M418" s="36"/>
      <c r="N418" s="36"/>
      <c r="Y418" s="36"/>
      <c r="Z418" s="36"/>
    </row>
    <row r="419" spans="2:26">
      <c r="B419" s="80"/>
      <c r="C419" s="36"/>
      <c r="D419" s="91"/>
      <c r="E419" s="80"/>
      <c r="F419" s="80"/>
      <c r="G419" s="91"/>
      <c r="H419" s="91"/>
      <c r="I419" s="81"/>
      <c r="J419" s="81"/>
      <c r="L419" s="36"/>
      <c r="M419" s="36"/>
      <c r="N419" s="36"/>
      <c r="Y419" s="36"/>
      <c r="Z419" s="36"/>
    </row>
    <row r="420" spans="2:26">
      <c r="B420" s="80"/>
      <c r="C420" s="36"/>
      <c r="D420" s="91"/>
      <c r="E420" s="80"/>
      <c r="F420" s="80"/>
      <c r="G420" s="91"/>
      <c r="H420" s="91"/>
      <c r="I420" s="81"/>
      <c r="J420" s="81"/>
      <c r="L420" s="36"/>
      <c r="M420" s="36"/>
      <c r="N420" s="36"/>
      <c r="Y420" s="36"/>
      <c r="Z420" s="36"/>
    </row>
    <row r="421" spans="2:26">
      <c r="B421" s="80"/>
      <c r="C421" s="36"/>
      <c r="D421" s="91"/>
      <c r="E421" s="80"/>
      <c r="F421" s="80"/>
      <c r="G421" s="91"/>
      <c r="H421" s="91"/>
      <c r="I421" s="81"/>
      <c r="J421" s="81"/>
      <c r="L421" s="36"/>
      <c r="M421" s="36"/>
      <c r="N421" s="36"/>
      <c r="Y421" s="36"/>
      <c r="Z421" s="36"/>
    </row>
    <row r="422" spans="2:26">
      <c r="B422" s="80"/>
      <c r="C422" s="36"/>
      <c r="D422" s="91"/>
      <c r="E422" s="80"/>
      <c r="F422" s="80"/>
      <c r="G422" s="91"/>
      <c r="H422" s="91"/>
      <c r="I422" s="81"/>
      <c r="J422" s="81"/>
      <c r="L422" s="36"/>
      <c r="M422" s="36"/>
      <c r="N422" s="36"/>
      <c r="Y422" s="36"/>
      <c r="Z422" s="36"/>
    </row>
    <row r="423" spans="2:26">
      <c r="B423" s="80"/>
      <c r="C423" s="36"/>
      <c r="D423" s="91"/>
      <c r="E423" s="80"/>
      <c r="F423" s="80"/>
      <c r="G423" s="91"/>
      <c r="H423" s="91"/>
      <c r="I423" s="81"/>
      <c r="J423" s="81"/>
      <c r="L423" s="36"/>
      <c r="M423" s="36"/>
      <c r="N423" s="36"/>
      <c r="Y423" s="36"/>
      <c r="Z423" s="36"/>
    </row>
    <row r="424" spans="2:26">
      <c r="B424" s="80"/>
      <c r="C424" s="36"/>
      <c r="D424" s="91"/>
      <c r="E424" s="80"/>
      <c r="F424" s="80"/>
      <c r="G424" s="91"/>
      <c r="H424" s="91"/>
      <c r="I424" s="81"/>
      <c r="J424" s="81"/>
      <c r="L424" s="36"/>
      <c r="M424" s="36"/>
      <c r="N424" s="36"/>
      <c r="Y424" s="36"/>
      <c r="Z424" s="36"/>
    </row>
    <row r="425" spans="2:26">
      <c r="B425" s="80"/>
      <c r="C425" s="36"/>
      <c r="D425" s="91"/>
      <c r="E425" s="80"/>
      <c r="F425" s="80"/>
      <c r="G425" s="91"/>
      <c r="H425" s="91"/>
      <c r="I425" s="81"/>
      <c r="J425" s="81"/>
      <c r="L425" s="36"/>
      <c r="M425" s="36"/>
      <c r="N425" s="36"/>
      <c r="Y425" s="36"/>
      <c r="Z425" s="36"/>
    </row>
    <row r="426" spans="2:26">
      <c r="B426" s="80"/>
      <c r="C426" s="36"/>
      <c r="D426" s="91"/>
      <c r="E426" s="80"/>
      <c r="F426" s="80"/>
      <c r="G426" s="91"/>
      <c r="H426" s="91"/>
      <c r="I426" s="81"/>
      <c r="J426" s="81"/>
      <c r="L426" s="36"/>
      <c r="M426" s="36"/>
      <c r="N426" s="36"/>
      <c r="Y426" s="36"/>
      <c r="Z426" s="36"/>
    </row>
    <row r="427" spans="2:26">
      <c r="B427" s="80"/>
      <c r="C427" s="36"/>
      <c r="D427" s="91"/>
      <c r="E427" s="80"/>
      <c r="F427" s="80"/>
      <c r="G427" s="91"/>
      <c r="H427" s="91"/>
      <c r="I427" s="81"/>
      <c r="J427" s="81"/>
      <c r="L427" s="36"/>
      <c r="M427" s="36"/>
      <c r="N427" s="36"/>
      <c r="Y427" s="36"/>
      <c r="Z427" s="36"/>
    </row>
    <row r="428" spans="2:26">
      <c r="B428" s="80"/>
      <c r="C428" s="36"/>
      <c r="D428" s="91"/>
      <c r="E428" s="80"/>
      <c r="F428" s="80"/>
      <c r="G428" s="91"/>
      <c r="H428" s="91"/>
      <c r="I428" s="81"/>
      <c r="J428" s="81"/>
      <c r="L428" s="36"/>
      <c r="M428" s="36"/>
      <c r="N428" s="36"/>
      <c r="Y428" s="36"/>
      <c r="Z428" s="36"/>
    </row>
    <row r="429" spans="2:26">
      <c r="B429" s="80"/>
      <c r="C429" s="36"/>
      <c r="D429" s="91"/>
      <c r="E429" s="80"/>
      <c r="F429" s="80"/>
      <c r="G429" s="91"/>
      <c r="H429" s="91"/>
      <c r="I429" s="81"/>
      <c r="J429" s="81"/>
      <c r="L429" s="36"/>
      <c r="M429" s="36"/>
      <c r="N429" s="36"/>
      <c r="Y429" s="36"/>
      <c r="Z429" s="36"/>
    </row>
    <row r="430" spans="2:26">
      <c r="B430" s="80"/>
      <c r="C430" s="36"/>
      <c r="D430" s="91"/>
      <c r="E430" s="80"/>
      <c r="F430" s="80"/>
      <c r="G430" s="91"/>
      <c r="H430" s="91"/>
      <c r="I430" s="81"/>
      <c r="J430" s="81"/>
      <c r="L430" s="36"/>
      <c r="M430" s="36"/>
      <c r="N430" s="36"/>
      <c r="Y430" s="36"/>
      <c r="Z430" s="36"/>
    </row>
    <row r="431" spans="2:26">
      <c r="B431" s="80"/>
      <c r="C431" s="36"/>
      <c r="D431" s="91"/>
      <c r="E431" s="80"/>
      <c r="F431" s="80"/>
      <c r="G431" s="91"/>
      <c r="H431" s="91"/>
      <c r="I431" s="81"/>
      <c r="J431" s="81"/>
      <c r="L431" s="36"/>
      <c r="M431" s="36"/>
      <c r="N431" s="36"/>
      <c r="Y431" s="36"/>
      <c r="Z431" s="36"/>
    </row>
    <row r="432" spans="2:26">
      <c r="B432" s="80"/>
      <c r="C432" s="36"/>
      <c r="D432" s="91"/>
      <c r="E432" s="80"/>
      <c r="F432" s="80"/>
      <c r="G432" s="91"/>
      <c r="H432" s="91"/>
      <c r="I432" s="81"/>
      <c r="J432" s="81"/>
      <c r="L432" s="36"/>
      <c r="M432" s="36"/>
      <c r="N432" s="36"/>
      <c r="Y432" s="36"/>
      <c r="Z432" s="36"/>
    </row>
    <row r="433" spans="2:26">
      <c r="B433" s="80"/>
      <c r="C433" s="36"/>
      <c r="D433" s="91"/>
      <c r="E433" s="80"/>
      <c r="F433" s="80"/>
      <c r="G433" s="91"/>
      <c r="H433" s="91"/>
      <c r="I433" s="81"/>
      <c r="J433" s="81"/>
      <c r="L433" s="36"/>
      <c r="M433" s="36"/>
      <c r="N433" s="36"/>
      <c r="Y433" s="36"/>
      <c r="Z433" s="36"/>
    </row>
    <row r="434" spans="2:26">
      <c r="B434" s="80"/>
      <c r="C434" s="36"/>
      <c r="D434" s="91"/>
      <c r="E434" s="80"/>
      <c r="F434" s="80"/>
      <c r="G434" s="91"/>
      <c r="H434" s="91"/>
      <c r="I434" s="81"/>
      <c r="J434" s="81"/>
      <c r="L434" s="36"/>
      <c r="M434" s="36"/>
      <c r="N434" s="36"/>
      <c r="Y434" s="36"/>
      <c r="Z434" s="36"/>
    </row>
    <row r="435" spans="2:26">
      <c r="B435" s="80"/>
      <c r="C435" s="36"/>
      <c r="D435" s="91"/>
      <c r="E435" s="80"/>
      <c r="F435" s="80"/>
      <c r="G435" s="91"/>
      <c r="H435" s="91"/>
      <c r="I435" s="81"/>
      <c r="J435" s="81"/>
      <c r="L435" s="36"/>
      <c r="M435" s="36"/>
      <c r="N435" s="36"/>
      <c r="Y435" s="36"/>
      <c r="Z435" s="36"/>
    </row>
    <row r="436" spans="2:26">
      <c r="B436" s="80"/>
      <c r="C436" s="36"/>
      <c r="D436" s="91"/>
      <c r="E436" s="80"/>
      <c r="F436" s="80"/>
      <c r="G436" s="91"/>
      <c r="H436" s="91"/>
      <c r="I436" s="81"/>
      <c r="J436" s="81"/>
      <c r="L436" s="36"/>
      <c r="M436" s="36"/>
      <c r="N436" s="36"/>
      <c r="Y436" s="36"/>
      <c r="Z436" s="36"/>
    </row>
    <row r="437" spans="2:26">
      <c r="B437" s="80"/>
      <c r="C437" s="36"/>
      <c r="D437" s="91"/>
      <c r="E437" s="80"/>
      <c r="F437" s="80"/>
      <c r="G437" s="91"/>
      <c r="H437" s="91"/>
      <c r="I437" s="81"/>
      <c r="J437" s="81"/>
      <c r="L437" s="36"/>
      <c r="M437" s="36"/>
      <c r="N437" s="36"/>
      <c r="Y437" s="36"/>
      <c r="Z437" s="36"/>
    </row>
    <row r="438" spans="2:26">
      <c r="B438" s="80"/>
      <c r="C438" s="36"/>
      <c r="D438" s="91"/>
      <c r="E438" s="80"/>
      <c r="F438" s="80"/>
      <c r="G438" s="91"/>
      <c r="H438" s="91"/>
      <c r="I438" s="81"/>
      <c r="J438" s="81"/>
      <c r="L438" s="36"/>
      <c r="M438" s="36"/>
      <c r="N438" s="36"/>
      <c r="Y438" s="36"/>
      <c r="Z438" s="36"/>
    </row>
    <row r="439" spans="2:26">
      <c r="B439" s="80"/>
      <c r="C439" s="36"/>
      <c r="D439" s="91"/>
      <c r="E439" s="80"/>
      <c r="F439" s="80"/>
      <c r="G439" s="91"/>
      <c r="H439" s="91"/>
      <c r="I439" s="81"/>
      <c r="J439" s="81"/>
      <c r="L439" s="36"/>
      <c r="M439" s="36"/>
      <c r="N439" s="36"/>
      <c r="Y439" s="36"/>
      <c r="Z439" s="36"/>
    </row>
    <row r="440" spans="2:26">
      <c r="B440" s="80"/>
      <c r="C440" s="36"/>
      <c r="D440" s="91"/>
      <c r="E440" s="80"/>
      <c r="F440" s="80"/>
      <c r="G440" s="91"/>
      <c r="H440" s="91"/>
      <c r="I440" s="81"/>
      <c r="J440" s="81"/>
      <c r="L440" s="36"/>
      <c r="M440" s="36"/>
      <c r="N440" s="36"/>
      <c r="Y440" s="36"/>
      <c r="Z440" s="36"/>
    </row>
    <row r="441" spans="2:26">
      <c r="B441" s="80"/>
      <c r="C441" s="36"/>
      <c r="D441" s="91"/>
      <c r="E441" s="80"/>
      <c r="F441" s="80"/>
      <c r="G441" s="91"/>
      <c r="H441" s="91"/>
      <c r="I441" s="81"/>
      <c r="J441" s="81"/>
      <c r="L441" s="36"/>
      <c r="M441" s="36"/>
      <c r="N441" s="36"/>
      <c r="Y441" s="36"/>
      <c r="Z441" s="36"/>
    </row>
    <row r="442" spans="2:26">
      <c r="B442" s="80"/>
      <c r="C442" s="36"/>
      <c r="D442" s="91"/>
      <c r="E442" s="80"/>
      <c r="F442" s="80"/>
      <c r="G442" s="91"/>
      <c r="H442" s="91"/>
      <c r="I442" s="81"/>
      <c r="J442" s="81"/>
      <c r="L442" s="36"/>
      <c r="M442" s="36"/>
      <c r="N442" s="36"/>
      <c r="Y442" s="36"/>
      <c r="Z442" s="36"/>
    </row>
    <row r="443" spans="2:26">
      <c r="B443" s="80"/>
      <c r="C443" s="36"/>
      <c r="D443" s="91"/>
      <c r="E443" s="80"/>
      <c r="F443" s="80"/>
      <c r="G443" s="91"/>
      <c r="H443" s="91"/>
      <c r="I443" s="81"/>
      <c r="J443" s="81"/>
      <c r="L443" s="36"/>
      <c r="M443" s="36"/>
      <c r="N443" s="36"/>
      <c r="Y443" s="36"/>
      <c r="Z443" s="36"/>
    </row>
    <row r="444" spans="2:26">
      <c r="B444" s="80"/>
      <c r="C444" s="36"/>
      <c r="D444" s="91"/>
      <c r="E444" s="80"/>
      <c r="F444" s="80"/>
      <c r="G444" s="91"/>
      <c r="H444" s="91"/>
      <c r="I444" s="81"/>
      <c r="J444" s="81"/>
      <c r="L444" s="36"/>
      <c r="M444" s="36"/>
      <c r="N444" s="36"/>
      <c r="Y444" s="36"/>
      <c r="Z444" s="36"/>
    </row>
    <row r="445" spans="2:26">
      <c r="B445" s="80"/>
      <c r="C445" s="36"/>
      <c r="D445" s="91"/>
      <c r="E445" s="80"/>
      <c r="F445" s="80"/>
      <c r="G445" s="91"/>
      <c r="H445" s="91"/>
      <c r="I445" s="81"/>
      <c r="J445" s="81"/>
      <c r="L445" s="36"/>
      <c r="M445" s="36"/>
      <c r="N445" s="36"/>
      <c r="Y445" s="36"/>
      <c r="Z445" s="36"/>
    </row>
    <row r="446" spans="2:26">
      <c r="B446" s="80"/>
      <c r="C446" s="36"/>
      <c r="D446" s="91"/>
      <c r="E446" s="80"/>
      <c r="F446" s="80"/>
      <c r="G446" s="91"/>
      <c r="H446" s="91"/>
      <c r="I446" s="81"/>
      <c r="J446" s="81"/>
      <c r="L446" s="36"/>
      <c r="M446" s="36"/>
      <c r="N446" s="36"/>
      <c r="Y446" s="36"/>
      <c r="Z446" s="36"/>
    </row>
    <row r="447" spans="2:26">
      <c r="B447" s="80"/>
      <c r="C447" s="36"/>
      <c r="D447" s="91"/>
      <c r="E447" s="80"/>
      <c r="F447" s="80"/>
      <c r="G447" s="91"/>
      <c r="H447" s="91"/>
      <c r="I447" s="81"/>
      <c r="J447" s="81"/>
      <c r="L447" s="36"/>
      <c r="M447" s="36"/>
      <c r="N447" s="36"/>
      <c r="Y447" s="36"/>
      <c r="Z447" s="36"/>
    </row>
    <row r="448" spans="2:26">
      <c r="B448" s="80"/>
      <c r="C448" s="36"/>
      <c r="D448" s="91"/>
      <c r="E448" s="80"/>
      <c r="F448" s="80"/>
      <c r="G448" s="91"/>
      <c r="H448" s="91"/>
      <c r="I448" s="81"/>
      <c r="J448" s="81"/>
      <c r="L448" s="36"/>
      <c r="M448" s="36"/>
      <c r="N448" s="36"/>
      <c r="Y448" s="36"/>
      <c r="Z448" s="36"/>
    </row>
    <row r="449" spans="2:26">
      <c r="B449" s="80"/>
      <c r="C449" s="36"/>
      <c r="D449" s="91"/>
      <c r="E449" s="80"/>
      <c r="F449" s="80"/>
      <c r="G449" s="91"/>
      <c r="H449" s="91"/>
      <c r="I449" s="81"/>
      <c r="J449" s="81"/>
      <c r="L449" s="36"/>
      <c r="M449" s="36"/>
      <c r="N449" s="36"/>
      <c r="Y449" s="36"/>
      <c r="Z449" s="36"/>
    </row>
    <row r="450" spans="2:26">
      <c r="B450" s="80"/>
      <c r="C450" s="36"/>
      <c r="D450" s="91"/>
      <c r="E450" s="80"/>
      <c r="F450" s="80"/>
      <c r="G450" s="91"/>
      <c r="H450" s="91"/>
      <c r="I450" s="81"/>
      <c r="J450" s="81"/>
      <c r="L450" s="36"/>
      <c r="M450" s="36"/>
      <c r="N450" s="36"/>
      <c r="Y450" s="36"/>
      <c r="Z450" s="36"/>
    </row>
    <row r="451" spans="2:26">
      <c r="B451" s="80"/>
      <c r="C451" s="36"/>
      <c r="D451" s="91"/>
      <c r="E451" s="80"/>
      <c r="F451" s="80"/>
      <c r="G451" s="91"/>
      <c r="H451" s="91"/>
      <c r="I451" s="81"/>
      <c r="J451" s="81"/>
      <c r="L451" s="36"/>
      <c r="M451" s="36"/>
      <c r="N451" s="36"/>
      <c r="Y451" s="36"/>
      <c r="Z451" s="36"/>
    </row>
    <row r="452" spans="2:26">
      <c r="B452" s="80"/>
      <c r="C452" s="36"/>
      <c r="D452" s="91"/>
      <c r="E452" s="80"/>
      <c r="F452" s="80"/>
      <c r="G452" s="91"/>
      <c r="H452" s="91"/>
      <c r="I452" s="81"/>
      <c r="J452" s="81"/>
      <c r="L452" s="36"/>
      <c r="M452" s="36"/>
      <c r="N452" s="36"/>
      <c r="Y452" s="36"/>
      <c r="Z452" s="36"/>
    </row>
    <row r="453" spans="2:26">
      <c r="B453" s="80"/>
      <c r="C453" s="36"/>
      <c r="D453" s="91"/>
      <c r="E453" s="80"/>
      <c r="F453" s="80"/>
      <c r="G453" s="91"/>
      <c r="H453" s="91"/>
      <c r="I453" s="81"/>
      <c r="J453" s="81"/>
      <c r="L453" s="36"/>
      <c r="M453" s="36"/>
      <c r="N453" s="36"/>
      <c r="Y453" s="36"/>
      <c r="Z453" s="36"/>
    </row>
    <row r="454" spans="2:26">
      <c r="B454" s="80"/>
      <c r="C454" s="36"/>
      <c r="D454" s="91"/>
      <c r="E454" s="80"/>
      <c r="F454" s="80"/>
      <c r="G454" s="91"/>
      <c r="H454" s="91"/>
      <c r="I454" s="81"/>
      <c r="J454" s="81"/>
      <c r="L454" s="36"/>
      <c r="M454" s="36"/>
      <c r="N454" s="36"/>
      <c r="Y454" s="36"/>
      <c r="Z454" s="36"/>
    </row>
    <row r="455" spans="2:26">
      <c r="B455" s="80"/>
      <c r="C455" s="36"/>
      <c r="D455" s="91"/>
      <c r="E455" s="80"/>
      <c r="F455" s="80"/>
      <c r="G455" s="91"/>
      <c r="H455" s="91"/>
      <c r="I455" s="81"/>
      <c r="J455" s="81"/>
      <c r="L455" s="36"/>
      <c r="M455" s="36"/>
      <c r="N455" s="36"/>
      <c r="Y455" s="36"/>
      <c r="Z455" s="36"/>
    </row>
    <row r="456" spans="2:26">
      <c r="B456" s="80"/>
      <c r="C456" s="36"/>
      <c r="D456" s="91"/>
      <c r="E456" s="80"/>
      <c r="F456" s="80"/>
      <c r="G456" s="91"/>
      <c r="H456" s="91"/>
      <c r="I456" s="81"/>
      <c r="J456" s="81"/>
      <c r="L456" s="36"/>
      <c r="M456" s="36"/>
      <c r="N456" s="36"/>
      <c r="Y456" s="36"/>
      <c r="Z456" s="36"/>
    </row>
    <row r="457" spans="2:26">
      <c r="B457" s="80"/>
      <c r="C457" s="36"/>
      <c r="D457" s="91"/>
      <c r="E457" s="80"/>
      <c r="F457" s="80"/>
      <c r="G457" s="91"/>
      <c r="H457" s="91"/>
      <c r="I457" s="81"/>
      <c r="J457" s="81"/>
      <c r="L457" s="36"/>
      <c r="M457" s="36"/>
      <c r="N457" s="36"/>
      <c r="Y457" s="36"/>
      <c r="Z457" s="36"/>
    </row>
    <row r="458" spans="2:26">
      <c r="B458" s="80"/>
      <c r="C458" s="36"/>
      <c r="D458" s="91"/>
      <c r="E458" s="80"/>
      <c r="F458" s="80"/>
      <c r="G458" s="91"/>
      <c r="H458" s="91"/>
      <c r="I458" s="81"/>
      <c r="J458" s="81"/>
      <c r="L458" s="36"/>
      <c r="M458" s="36"/>
      <c r="N458" s="36"/>
      <c r="Y458" s="36"/>
      <c r="Z458" s="36"/>
    </row>
    <row r="459" spans="2:26">
      <c r="B459" s="80"/>
      <c r="C459" s="36"/>
      <c r="D459" s="91"/>
      <c r="E459" s="80"/>
      <c r="F459" s="80"/>
      <c r="G459" s="91"/>
      <c r="H459" s="91"/>
      <c r="I459" s="81"/>
      <c r="J459" s="81"/>
      <c r="L459" s="36"/>
      <c r="M459" s="36"/>
      <c r="N459" s="36"/>
      <c r="Y459" s="36"/>
      <c r="Z459" s="36"/>
    </row>
    <row r="460" spans="2:26">
      <c r="B460" s="80"/>
      <c r="C460" s="36"/>
      <c r="D460" s="91"/>
      <c r="E460" s="80"/>
      <c r="F460" s="80"/>
      <c r="G460" s="91"/>
      <c r="H460" s="91"/>
      <c r="I460" s="81"/>
      <c r="J460" s="81"/>
      <c r="L460" s="36"/>
      <c r="M460" s="36"/>
      <c r="N460" s="36"/>
      <c r="Y460" s="36"/>
      <c r="Z460" s="36"/>
    </row>
    <row r="461" spans="2:26">
      <c r="B461" s="80"/>
      <c r="C461" s="36"/>
      <c r="D461" s="91"/>
      <c r="E461" s="80"/>
      <c r="F461" s="80"/>
      <c r="G461" s="91"/>
      <c r="H461" s="91"/>
      <c r="I461" s="81"/>
      <c r="J461" s="81"/>
      <c r="L461" s="36"/>
      <c r="M461" s="36"/>
      <c r="N461" s="36"/>
      <c r="Y461" s="36"/>
      <c r="Z461" s="36"/>
    </row>
    <row r="462" spans="2:26">
      <c r="B462" s="80"/>
      <c r="C462" s="36"/>
      <c r="D462" s="91"/>
      <c r="E462" s="80"/>
      <c r="F462" s="80"/>
      <c r="G462" s="91"/>
      <c r="H462" s="91"/>
      <c r="I462" s="81"/>
      <c r="J462" s="81"/>
      <c r="L462" s="36"/>
      <c r="M462" s="36"/>
      <c r="N462" s="36"/>
      <c r="Y462" s="36"/>
      <c r="Z462" s="36"/>
    </row>
    <row r="463" spans="2:26">
      <c r="B463" s="80"/>
      <c r="C463" s="36"/>
      <c r="D463" s="91"/>
      <c r="E463" s="80"/>
      <c r="F463" s="80"/>
      <c r="G463" s="91"/>
      <c r="H463" s="91"/>
      <c r="I463" s="81"/>
      <c r="J463" s="81"/>
      <c r="L463" s="36"/>
      <c r="M463" s="36"/>
      <c r="N463" s="36"/>
      <c r="Y463" s="36"/>
      <c r="Z463" s="36"/>
    </row>
    <row r="464" spans="2:26">
      <c r="B464" s="80"/>
      <c r="C464" s="36"/>
      <c r="D464" s="91"/>
      <c r="E464" s="80"/>
      <c r="F464" s="80"/>
      <c r="G464" s="91"/>
      <c r="H464" s="91"/>
      <c r="I464" s="81"/>
      <c r="J464" s="81"/>
      <c r="L464" s="36"/>
      <c r="M464" s="36"/>
      <c r="N464" s="36"/>
      <c r="Y464" s="36"/>
      <c r="Z464" s="36"/>
    </row>
    <row r="465" spans="2:26">
      <c r="B465" s="80"/>
      <c r="C465" s="36"/>
      <c r="D465" s="91"/>
      <c r="E465" s="80"/>
      <c r="F465" s="80"/>
      <c r="G465" s="91"/>
      <c r="H465" s="91"/>
      <c r="I465" s="81"/>
      <c r="J465" s="81"/>
      <c r="L465" s="36"/>
      <c r="M465" s="36"/>
      <c r="N465" s="36"/>
      <c r="Y465" s="36"/>
      <c r="Z465" s="36"/>
    </row>
    <row r="466" spans="2:26">
      <c r="B466" s="80"/>
      <c r="C466" s="36"/>
      <c r="D466" s="91"/>
      <c r="E466" s="80"/>
      <c r="F466" s="80"/>
      <c r="G466" s="91"/>
      <c r="H466" s="91"/>
      <c r="I466" s="81"/>
      <c r="J466" s="81"/>
      <c r="L466" s="36"/>
      <c r="M466" s="36"/>
      <c r="N466" s="36"/>
      <c r="Y466" s="36"/>
      <c r="Z466" s="36"/>
    </row>
    <row r="467" spans="2:26">
      <c r="B467" s="80"/>
      <c r="C467" s="36"/>
      <c r="D467" s="91"/>
      <c r="E467" s="80"/>
      <c r="F467" s="80"/>
      <c r="G467" s="91"/>
      <c r="H467" s="91"/>
      <c r="I467" s="81"/>
      <c r="J467" s="81"/>
      <c r="L467" s="36"/>
      <c r="M467" s="36"/>
      <c r="N467" s="36"/>
      <c r="Y467" s="36"/>
      <c r="Z467" s="36"/>
    </row>
    <row r="468" spans="2:26">
      <c r="B468" s="80"/>
      <c r="C468" s="36"/>
      <c r="D468" s="91"/>
      <c r="E468" s="80"/>
      <c r="F468" s="80"/>
      <c r="G468" s="91"/>
      <c r="H468" s="91"/>
      <c r="I468" s="81"/>
      <c r="J468" s="81"/>
      <c r="L468" s="36"/>
      <c r="M468" s="36"/>
      <c r="N468" s="36"/>
      <c r="Y468" s="36"/>
      <c r="Z468" s="36"/>
    </row>
    <row r="469" spans="2:26">
      <c r="B469" s="80"/>
      <c r="C469" s="36"/>
      <c r="D469" s="91"/>
      <c r="E469" s="80"/>
      <c r="F469" s="80"/>
      <c r="G469" s="91"/>
      <c r="H469" s="91"/>
      <c r="I469" s="81"/>
      <c r="J469" s="81"/>
      <c r="L469" s="36"/>
      <c r="M469" s="36"/>
      <c r="N469" s="36"/>
      <c r="Y469" s="36"/>
      <c r="Z469" s="36"/>
    </row>
    <row r="470" spans="2:26">
      <c r="B470" s="80"/>
      <c r="C470" s="36"/>
      <c r="D470" s="91"/>
      <c r="E470" s="80"/>
      <c r="F470" s="80"/>
      <c r="G470" s="91"/>
      <c r="H470" s="91"/>
      <c r="I470" s="81"/>
      <c r="J470" s="81"/>
      <c r="L470" s="36"/>
      <c r="M470" s="36"/>
      <c r="N470" s="36"/>
      <c r="Y470" s="36"/>
      <c r="Z470" s="36"/>
    </row>
    <row r="471" spans="2:26">
      <c r="B471" s="80"/>
      <c r="C471" s="36"/>
      <c r="D471" s="91"/>
      <c r="E471" s="80"/>
      <c r="F471" s="80"/>
      <c r="G471" s="91"/>
      <c r="H471" s="91"/>
      <c r="I471" s="81"/>
      <c r="J471" s="81"/>
      <c r="L471" s="36"/>
      <c r="M471" s="36"/>
      <c r="N471" s="36"/>
      <c r="Y471" s="36"/>
      <c r="Z471" s="36"/>
    </row>
    <row r="472" spans="2:26">
      <c r="B472" s="80"/>
      <c r="C472" s="36"/>
      <c r="D472" s="91"/>
      <c r="E472" s="80"/>
      <c r="F472" s="80"/>
      <c r="G472" s="91"/>
      <c r="H472" s="91"/>
      <c r="I472" s="81"/>
      <c r="J472" s="81"/>
      <c r="L472" s="36"/>
      <c r="M472" s="36"/>
      <c r="N472" s="36"/>
      <c r="Y472" s="36"/>
      <c r="Z472" s="36"/>
    </row>
    <row r="473" spans="2:26">
      <c r="B473" s="80"/>
      <c r="C473" s="36"/>
      <c r="D473" s="91"/>
      <c r="E473" s="80"/>
      <c r="F473" s="80"/>
      <c r="G473" s="91"/>
      <c r="H473" s="91"/>
      <c r="I473" s="81"/>
      <c r="J473" s="81"/>
      <c r="L473" s="36"/>
      <c r="M473" s="36"/>
      <c r="N473" s="36"/>
      <c r="Y473" s="36"/>
      <c r="Z473" s="36"/>
    </row>
    <row r="474" spans="2:26">
      <c r="B474" s="80"/>
      <c r="C474" s="36"/>
      <c r="D474" s="91"/>
      <c r="E474" s="80"/>
      <c r="F474" s="80"/>
      <c r="G474" s="91"/>
      <c r="H474" s="91"/>
      <c r="I474" s="81"/>
      <c r="J474" s="81"/>
      <c r="L474" s="36"/>
      <c r="M474" s="36"/>
      <c r="N474" s="36"/>
      <c r="Y474" s="36"/>
      <c r="Z474" s="36"/>
    </row>
    <row r="475" spans="2:26">
      <c r="B475" s="80"/>
      <c r="C475" s="36"/>
      <c r="D475" s="91"/>
      <c r="E475" s="80"/>
      <c r="F475" s="80"/>
      <c r="G475" s="91"/>
      <c r="H475" s="91"/>
      <c r="I475" s="81"/>
      <c r="J475" s="81"/>
      <c r="L475" s="36"/>
      <c r="M475" s="36"/>
      <c r="N475" s="36"/>
      <c r="Y475" s="36"/>
      <c r="Z475" s="36"/>
    </row>
    <row r="476" spans="2:26">
      <c r="B476" s="80"/>
      <c r="C476" s="36"/>
      <c r="D476" s="91"/>
      <c r="E476" s="80"/>
      <c r="F476" s="80"/>
      <c r="G476" s="91"/>
      <c r="H476" s="91"/>
      <c r="I476" s="81"/>
      <c r="J476" s="81"/>
      <c r="L476" s="36"/>
      <c r="M476" s="36"/>
      <c r="N476" s="36"/>
      <c r="Y476" s="36"/>
      <c r="Z476" s="36"/>
    </row>
    <row r="477" spans="2:26">
      <c r="B477" s="80"/>
      <c r="C477" s="36"/>
      <c r="D477" s="91"/>
      <c r="E477" s="80"/>
      <c r="F477" s="80"/>
      <c r="G477" s="91"/>
      <c r="H477" s="91"/>
      <c r="I477" s="81"/>
      <c r="J477" s="81"/>
      <c r="L477" s="36"/>
      <c r="M477" s="36"/>
      <c r="N477" s="36"/>
      <c r="Y477" s="36"/>
      <c r="Z477" s="36"/>
    </row>
    <row r="478" spans="2:26">
      <c r="B478" s="80"/>
      <c r="C478" s="36"/>
      <c r="D478" s="91"/>
      <c r="E478" s="80"/>
      <c r="F478" s="80"/>
      <c r="G478" s="91"/>
      <c r="H478" s="91"/>
      <c r="I478" s="81"/>
      <c r="J478" s="81"/>
      <c r="L478" s="36"/>
      <c r="M478" s="36"/>
      <c r="N478" s="36"/>
      <c r="Y478" s="36"/>
      <c r="Z478" s="36"/>
    </row>
    <row r="479" spans="2:26">
      <c r="B479" s="80"/>
      <c r="C479" s="36"/>
      <c r="D479" s="91"/>
      <c r="E479" s="80"/>
      <c r="F479" s="80"/>
      <c r="G479" s="91"/>
      <c r="H479" s="91"/>
      <c r="I479" s="81"/>
      <c r="J479" s="81"/>
      <c r="L479" s="36"/>
      <c r="M479" s="36"/>
      <c r="N479" s="36"/>
      <c r="Y479" s="36"/>
      <c r="Z479" s="36"/>
    </row>
    <row r="480" spans="2:26">
      <c r="B480" s="80"/>
      <c r="C480" s="36"/>
      <c r="D480" s="91"/>
      <c r="E480" s="80"/>
      <c r="F480" s="80"/>
      <c r="G480" s="91"/>
      <c r="H480" s="91"/>
      <c r="I480" s="81"/>
      <c r="J480" s="81"/>
      <c r="L480" s="36"/>
      <c r="M480" s="36"/>
      <c r="N480" s="36"/>
      <c r="Y480" s="36"/>
      <c r="Z480" s="36"/>
    </row>
    <row r="481" spans="2:26">
      <c r="B481" s="80"/>
      <c r="C481" s="36"/>
      <c r="D481" s="91"/>
      <c r="E481" s="80"/>
      <c r="F481" s="80"/>
      <c r="G481" s="91"/>
      <c r="H481" s="91"/>
      <c r="I481" s="81"/>
      <c r="J481" s="81"/>
      <c r="L481" s="36"/>
      <c r="M481" s="36"/>
      <c r="N481" s="36"/>
      <c r="Y481" s="36"/>
      <c r="Z481" s="36"/>
    </row>
    <row r="482" spans="2:26">
      <c r="B482" s="80"/>
      <c r="C482" s="36"/>
      <c r="D482" s="91"/>
      <c r="E482" s="80"/>
      <c r="F482" s="80"/>
      <c r="G482" s="91"/>
      <c r="H482" s="91"/>
      <c r="I482" s="81"/>
      <c r="J482" s="81"/>
      <c r="L482" s="36"/>
      <c r="M482" s="36"/>
      <c r="N482" s="36"/>
      <c r="Y482" s="36"/>
      <c r="Z482" s="36"/>
    </row>
    <row r="483" spans="2:26">
      <c r="B483" s="80"/>
      <c r="C483" s="36"/>
      <c r="D483" s="91"/>
      <c r="E483" s="80"/>
      <c r="F483" s="80"/>
      <c r="G483" s="91"/>
      <c r="H483" s="91"/>
      <c r="I483" s="81"/>
      <c r="J483" s="81"/>
      <c r="L483" s="36"/>
      <c r="M483" s="36"/>
      <c r="N483" s="36"/>
      <c r="Y483" s="36"/>
      <c r="Z483" s="36"/>
    </row>
    <row r="484" spans="2:26">
      <c r="B484" s="80"/>
      <c r="C484" s="36"/>
      <c r="D484" s="91"/>
      <c r="E484" s="80"/>
      <c r="F484" s="80"/>
      <c r="G484" s="91"/>
      <c r="H484" s="91"/>
      <c r="I484" s="81"/>
      <c r="J484" s="81"/>
      <c r="L484" s="36"/>
      <c r="M484" s="36"/>
      <c r="N484" s="36"/>
      <c r="Y484" s="36"/>
      <c r="Z484" s="36"/>
    </row>
    <row r="485" spans="2:26">
      <c r="B485" s="80"/>
      <c r="C485" s="36"/>
      <c r="D485" s="91"/>
      <c r="E485" s="80"/>
      <c r="F485" s="80"/>
      <c r="G485" s="91"/>
      <c r="H485" s="91"/>
      <c r="I485" s="81"/>
      <c r="J485" s="81"/>
      <c r="L485" s="36"/>
      <c r="M485" s="36"/>
      <c r="N485" s="36"/>
      <c r="Y485" s="36"/>
      <c r="Z485" s="36"/>
    </row>
    <row r="486" spans="2:26">
      <c r="B486" s="80"/>
      <c r="C486" s="36"/>
      <c r="D486" s="91"/>
      <c r="E486" s="80"/>
      <c r="F486" s="80"/>
      <c r="G486" s="91"/>
      <c r="H486" s="91"/>
      <c r="I486" s="81"/>
      <c r="J486" s="81"/>
      <c r="L486" s="36"/>
      <c r="M486" s="36"/>
      <c r="N486" s="36"/>
      <c r="Y486" s="36"/>
      <c r="Z486" s="36"/>
    </row>
    <row r="487" spans="2:26">
      <c r="B487" s="80"/>
      <c r="C487" s="36"/>
      <c r="D487" s="91"/>
      <c r="E487" s="80"/>
      <c r="F487" s="80"/>
      <c r="G487" s="91"/>
      <c r="H487" s="91"/>
      <c r="I487" s="81"/>
      <c r="J487" s="81"/>
      <c r="L487" s="36"/>
      <c r="M487" s="36"/>
      <c r="N487" s="36"/>
      <c r="Y487" s="36"/>
      <c r="Z487" s="36"/>
    </row>
    <row r="488" spans="2:26">
      <c r="B488" s="80"/>
      <c r="C488" s="36"/>
      <c r="D488" s="91"/>
      <c r="E488" s="80"/>
      <c r="F488" s="80"/>
      <c r="G488" s="91"/>
      <c r="H488" s="91"/>
      <c r="I488" s="81"/>
      <c r="J488" s="81"/>
      <c r="L488" s="36"/>
      <c r="M488" s="36"/>
      <c r="N488" s="36"/>
      <c r="Y488" s="36"/>
      <c r="Z488" s="36"/>
    </row>
    <row r="489" spans="2:26">
      <c r="B489" s="80"/>
      <c r="C489" s="36"/>
      <c r="D489" s="91"/>
      <c r="E489" s="80"/>
      <c r="F489" s="80"/>
      <c r="G489" s="91"/>
      <c r="H489" s="91"/>
      <c r="I489" s="81"/>
      <c r="J489" s="81"/>
      <c r="L489" s="36"/>
      <c r="M489" s="36"/>
      <c r="N489" s="36"/>
      <c r="Y489" s="36"/>
      <c r="Z489" s="36"/>
    </row>
    <row r="490" spans="2:26">
      <c r="B490" s="80"/>
      <c r="C490" s="36"/>
      <c r="D490" s="91"/>
      <c r="E490" s="80"/>
      <c r="F490" s="80"/>
      <c r="G490" s="91"/>
      <c r="H490" s="91"/>
      <c r="I490" s="81"/>
      <c r="J490" s="81"/>
      <c r="L490" s="36"/>
      <c r="M490" s="36"/>
      <c r="N490" s="36"/>
      <c r="Y490" s="36"/>
      <c r="Z490" s="36"/>
    </row>
    <row r="491" spans="2:26">
      <c r="B491" s="80"/>
      <c r="C491" s="36"/>
      <c r="D491" s="91"/>
      <c r="E491" s="80"/>
      <c r="F491" s="80"/>
      <c r="G491" s="91"/>
      <c r="H491" s="91"/>
      <c r="I491" s="81"/>
      <c r="J491" s="81"/>
      <c r="L491" s="36"/>
      <c r="M491" s="36"/>
      <c r="N491" s="36"/>
      <c r="Y491" s="36"/>
      <c r="Z491" s="36"/>
    </row>
    <row r="492" spans="2:26">
      <c r="B492" s="80"/>
      <c r="C492" s="36"/>
      <c r="D492" s="91"/>
      <c r="E492" s="80"/>
      <c r="F492" s="80"/>
      <c r="G492" s="91"/>
      <c r="H492" s="91"/>
      <c r="I492" s="81"/>
      <c r="J492" s="81"/>
      <c r="L492" s="36"/>
      <c r="M492" s="36"/>
      <c r="N492" s="36"/>
      <c r="Y492" s="36"/>
      <c r="Z492" s="36"/>
    </row>
    <row r="493" spans="2:26">
      <c r="B493" s="80"/>
      <c r="C493" s="36"/>
      <c r="D493" s="91"/>
      <c r="E493" s="80"/>
      <c r="F493" s="80"/>
      <c r="G493" s="91"/>
      <c r="H493" s="91"/>
      <c r="I493" s="81"/>
      <c r="J493" s="81"/>
      <c r="L493" s="36"/>
      <c r="M493" s="36"/>
      <c r="N493" s="36"/>
      <c r="Y493" s="36"/>
      <c r="Z493" s="36"/>
    </row>
    <row r="494" spans="2:26">
      <c r="B494" s="80"/>
      <c r="C494" s="36"/>
      <c r="D494" s="91"/>
      <c r="E494" s="80"/>
      <c r="F494" s="80"/>
      <c r="G494" s="91"/>
      <c r="H494" s="91"/>
      <c r="I494" s="81"/>
      <c r="J494" s="81"/>
      <c r="L494" s="36"/>
      <c r="M494" s="36"/>
      <c r="N494" s="36"/>
      <c r="Y494" s="36"/>
      <c r="Z494" s="36"/>
    </row>
    <row r="495" spans="2:26">
      <c r="B495" s="80"/>
      <c r="C495" s="36"/>
      <c r="D495" s="91"/>
      <c r="E495" s="80"/>
      <c r="F495" s="80"/>
      <c r="G495" s="91"/>
      <c r="H495" s="91"/>
      <c r="I495" s="81"/>
      <c r="J495" s="81"/>
      <c r="L495" s="36"/>
      <c r="M495" s="36"/>
      <c r="N495" s="36"/>
      <c r="Y495" s="36"/>
      <c r="Z495" s="36"/>
    </row>
    <row r="496" spans="2:26">
      <c r="B496" s="80"/>
      <c r="C496" s="36"/>
      <c r="D496" s="91"/>
      <c r="E496" s="80"/>
      <c r="F496" s="80"/>
      <c r="G496" s="91"/>
      <c r="H496" s="91"/>
      <c r="I496" s="81"/>
      <c r="J496" s="81"/>
      <c r="L496" s="36"/>
      <c r="M496" s="36"/>
      <c r="N496" s="36"/>
      <c r="Y496" s="36"/>
      <c r="Z496" s="36"/>
    </row>
    <row r="497" spans="2:26">
      <c r="B497" s="80"/>
      <c r="C497" s="36"/>
      <c r="D497" s="91"/>
      <c r="E497" s="80"/>
      <c r="F497" s="80"/>
      <c r="G497" s="91"/>
      <c r="H497" s="91"/>
      <c r="I497" s="81"/>
      <c r="J497" s="81"/>
      <c r="L497" s="36"/>
      <c r="M497" s="36"/>
      <c r="N497" s="36"/>
      <c r="Y497" s="36"/>
      <c r="Z497" s="36"/>
    </row>
    <row r="498" spans="2:26">
      <c r="B498" s="80"/>
      <c r="C498" s="36"/>
      <c r="D498" s="91"/>
      <c r="E498" s="80"/>
      <c r="F498" s="80"/>
      <c r="G498" s="91"/>
      <c r="H498" s="91"/>
      <c r="I498" s="81"/>
      <c r="J498" s="81"/>
      <c r="L498" s="36"/>
      <c r="M498" s="36"/>
      <c r="N498" s="36"/>
      <c r="Y498" s="36"/>
      <c r="Z498" s="36"/>
    </row>
    <row r="499" spans="2:26">
      <c r="B499" s="80"/>
      <c r="C499" s="36"/>
      <c r="D499" s="91"/>
      <c r="E499" s="80"/>
      <c r="F499" s="80"/>
      <c r="G499" s="91"/>
      <c r="H499" s="91"/>
      <c r="I499" s="81"/>
      <c r="J499" s="81"/>
      <c r="L499" s="36"/>
      <c r="M499" s="36"/>
      <c r="N499" s="36"/>
      <c r="Y499" s="36"/>
      <c r="Z499" s="36"/>
    </row>
    <row r="500" spans="2:26">
      <c r="B500" s="80"/>
      <c r="C500" s="36"/>
      <c r="D500" s="91"/>
      <c r="E500" s="80"/>
      <c r="F500" s="80"/>
      <c r="G500" s="91"/>
      <c r="H500" s="91"/>
      <c r="I500" s="81"/>
      <c r="J500" s="81"/>
      <c r="L500" s="36"/>
      <c r="M500" s="36"/>
      <c r="N500" s="36"/>
      <c r="Y500" s="36"/>
      <c r="Z500" s="36"/>
    </row>
    <row r="501" spans="2:26">
      <c r="B501" s="80"/>
      <c r="C501" s="36"/>
      <c r="D501" s="91"/>
      <c r="E501" s="80"/>
      <c r="F501" s="80"/>
      <c r="G501" s="91"/>
      <c r="H501" s="91"/>
      <c r="I501" s="81"/>
      <c r="J501" s="81"/>
      <c r="L501" s="36"/>
      <c r="M501" s="36"/>
      <c r="N501" s="36"/>
      <c r="Y501" s="36"/>
      <c r="Z501" s="36"/>
    </row>
    <row r="502" spans="2:26">
      <c r="B502" s="80"/>
      <c r="C502" s="36"/>
      <c r="D502" s="91"/>
      <c r="E502" s="80"/>
      <c r="F502" s="80"/>
      <c r="G502" s="91"/>
      <c r="H502" s="91"/>
      <c r="I502" s="81"/>
      <c r="J502" s="81"/>
      <c r="L502" s="36"/>
      <c r="M502" s="36"/>
      <c r="N502" s="36"/>
      <c r="Y502" s="36"/>
      <c r="Z502" s="36"/>
    </row>
    <row r="503" spans="2:26">
      <c r="B503" s="80"/>
      <c r="C503" s="36"/>
      <c r="D503" s="91"/>
      <c r="E503" s="80"/>
      <c r="F503" s="80"/>
      <c r="G503" s="91"/>
      <c r="H503" s="91"/>
      <c r="N503" s="36"/>
    </row>
    <row r="504" spans="2:26">
      <c r="B504" s="80"/>
      <c r="C504" s="36"/>
      <c r="D504" s="91"/>
      <c r="E504" s="80"/>
      <c r="F504" s="80"/>
      <c r="G504" s="91"/>
      <c r="H504" s="91"/>
    </row>
    <row r="505" spans="2:26">
      <c r="B505" s="80"/>
      <c r="C505" s="36"/>
      <c r="D505" s="91"/>
      <c r="E505" s="80"/>
      <c r="F505" s="80"/>
      <c r="G505" s="91"/>
      <c r="H505" s="91"/>
    </row>
    <row r="506" spans="2:26">
      <c r="B506" s="80"/>
      <c r="C506" s="36"/>
      <c r="D506" s="91"/>
      <c r="E506" s="80"/>
      <c r="F506" s="80"/>
      <c r="G506" s="91"/>
      <c r="H506" s="91"/>
    </row>
    <row r="507" spans="2:26">
      <c r="B507" s="80"/>
      <c r="C507" s="36"/>
      <c r="D507" s="91"/>
      <c r="E507" s="80"/>
      <c r="F507" s="80"/>
      <c r="G507" s="91"/>
      <c r="H507" s="91"/>
    </row>
    <row r="508" spans="2:26">
      <c r="B508" s="80"/>
      <c r="C508" s="36"/>
      <c r="D508" s="91"/>
      <c r="E508" s="80"/>
      <c r="F508" s="80"/>
      <c r="G508" s="91"/>
      <c r="H508" s="91"/>
    </row>
    <row r="509" spans="2:26">
      <c r="B509" s="80"/>
      <c r="C509" s="36"/>
      <c r="D509" s="91"/>
      <c r="E509" s="80"/>
      <c r="F509" s="80"/>
      <c r="G509" s="91"/>
      <c r="H509" s="91"/>
    </row>
    <row r="510" spans="2:26">
      <c r="B510" s="80"/>
      <c r="C510" s="36"/>
      <c r="D510" s="91"/>
      <c r="E510" s="80"/>
      <c r="F510" s="80"/>
      <c r="G510" s="91"/>
      <c r="H510" s="91"/>
    </row>
    <row r="511" spans="2:26">
      <c r="B511" s="80"/>
      <c r="C511" s="36"/>
      <c r="D511" s="91"/>
      <c r="E511" s="80"/>
      <c r="F511" s="80"/>
      <c r="G511" s="91"/>
      <c r="H511" s="91"/>
    </row>
    <row r="512" spans="2:26">
      <c r="B512" s="80"/>
      <c r="C512" s="36"/>
      <c r="D512" s="91"/>
      <c r="E512" s="80"/>
      <c r="F512" s="80"/>
      <c r="G512" s="91"/>
      <c r="H512" s="91"/>
    </row>
    <row r="513" spans="2:8">
      <c r="B513" s="80"/>
      <c r="C513" s="36"/>
      <c r="D513" s="91"/>
      <c r="E513" s="80"/>
      <c r="F513" s="80"/>
      <c r="G513" s="91"/>
      <c r="H513" s="91"/>
    </row>
    <row r="514" spans="2:8">
      <c r="B514" s="80"/>
      <c r="C514" s="36"/>
      <c r="D514" s="91"/>
      <c r="E514" s="80"/>
      <c r="F514" s="80"/>
      <c r="G514" s="91"/>
      <c r="H514" s="91"/>
    </row>
    <row r="515" spans="2:8">
      <c r="B515" s="80"/>
      <c r="C515" s="36"/>
      <c r="D515" s="91"/>
      <c r="E515" s="80"/>
      <c r="F515" s="80"/>
      <c r="G515" s="91"/>
      <c r="H515" s="91"/>
    </row>
    <row r="516" spans="2:8">
      <c r="B516" s="80"/>
      <c r="C516" s="36"/>
      <c r="D516" s="91"/>
      <c r="E516" s="80"/>
      <c r="F516" s="80"/>
      <c r="G516" s="91"/>
      <c r="H516" s="91"/>
    </row>
    <row r="517" spans="2:8">
      <c r="B517" s="80"/>
      <c r="C517" s="36"/>
      <c r="D517" s="91"/>
      <c r="E517" s="80"/>
      <c r="F517" s="80"/>
      <c r="G517" s="91"/>
      <c r="H517" s="91"/>
    </row>
    <row r="518" spans="2:8">
      <c r="B518" s="80"/>
      <c r="C518" s="36"/>
      <c r="D518" s="91"/>
      <c r="E518" s="80"/>
      <c r="F518" s="80"/>
      <c r="G518" s="91"/>
      <c r="H518" s="91"/>
    </row>
    <row r="519" spans="2:8">
      <c r="B519" s="80"/>
      <c r="C519" s="36"/>
      <c r="D519" s="91"/>
      <c r="E519" s="80"/>
      <c r="F519" s="80"/>
      <c r="G519" s="91"/>
      <c r="H519" s="91"/>
    </row>
    <row r="520" spans="2:8">
      <c r="B520" s="80"/>
      <c r="C520" s="36"/>
      <c r="D520" s="91"/>
      <c r="E520" s="80"/>
      <c r="F520" s="80"/>
      <c r="G520" s="91"/>
      <c r="H520" s="91"/>
    </row>
    <row r="521" spans="2:8">
      <c r="B521" s="80"/>
      <c r="C521" s="36"/>
      <c r="D521" s="91"/>
      <c r="E521" s="80"/>
      <c r="F521" s="80"/>
      <c r="G521" s="91"/>
      <c r="H521" s="91"/>
    </row>
    <row r="522" spans="2:8">
      <c r="B522" s="80"/>
      <c r="C522" s="36"/>
      <c r="D522" s="91"/>
      <c r="E522" s="80"/>
      <c r="F522" s="80"/>
      <c r="G522" s="91"/>
      <c r="H522" s="91"/>
    </row>
    <row r="523" spans="2:8">
      <c r="B523" s="80"/>
      <c r="C523" s="36"/>
      <c r="D523" s="91"/>
      <c r="E523" s="80"/>
      <c r="F523" s="80"/>
      <c r="G523" s="91"/>
      <c r="H523" s="91"/>
    </row>
    <row r="524" spans="2:8">
      <c r="B524" s="80"/>
      <c r="C524" s="36"/>
      <c r="D524" s="91"/>
      <c r="E524" s="80"/>
      <c r="F524" s="80"/>
      <c r="G524" s="91"/>
      <c r="H524" s="91"/>
    </row>
    <row r="525" spans="2:8">
      <c r="B525" s="80"/>
      <c r="C525" s="36"/>
      <c r="D525" s="91"/>
      <c r="E525" s="80"/>
      <c r="F525" s="80"/>
      <c r="G525" s="91"/>
      <c r="H525" s="91"/>
    </row>
    <row r="526" spans="2:8">
      <c r="B526" s="80"/>
      <c r="C526" s="36"/>
      <c r="D526" s="91"/>
      <c r="E526" s="80"/>
      <c r="F526" s="80"/>
      <c r="G526" s="91"/>
      <c r="H526" s="91"/>
    </row>
    <row r="527" spans="2:8">
      <c r="B527" s="80"/>
      <c r="C527" s="36"/>
      <c r="D527" s="91"/>
      <c r="E527" s="80"/>
      <c r="F527" s="80"/>
      <c r="G527" s="91"/>
      <c r="H527" s="91"/>
    </row>
    <row r="528" spans="2:8">
      <c r="B528" s="80"/>
      <c r="C528" s="36"/>
      <c r="D528" s="91"/>
      <c r="E528" s="80"/>
      <c r="F528" s="80"/>
      <c r="G528" s="91"/>
      <c r="H528" s="91"/>
    </row>
    <row r="529" spans="2:8">
      <c r="B529" s="80"/>
      <c r="C529" s="36"/>
      <c r="D529" s="91"/>
      <c r="E529" s="80"/>
      <c r="F529" s="80"/>
      <c r="G529" s="91"/>
      <c r="H529" s="91"/>
    </row>
    <row r="530" spans="2:8">
      <c r="B530" s="80"/>
      <c r="C530" s="36"/>
      <c r="D530" s="91"/>
      <c r="E530" s="80"/>
      <c r="F530" s="80"/>
      <c r="G530" s="91"/>
      <c r="H530" s="91"/>
    </row>
    <row r="531" spans="2:8">
      <c r="B531" s="80"/>
      <c r="C531" s="36"/>
      <c r="D531" s="91"/>
      <c r="E531" s="80"/>
      <c r="F531" s="80"/>
      <c r="G531" s="91"/>
      <c r="H531" s="91"/>
    </row>
    <row r="532" spans="2:8">
      <c r="B532" s="80"/>
      <c r="C532" s="36"/>
      <c r="D532" s="91"/>
      <c r="E532" s="80"/>
      <c r="F532" s="80"/>
      <c r="G532" s="91"/>
      <c r="H532" s="91"/>
    </row>
    <row r="533" spans="2:8">
      <c r="B533" s="80"/>
      <c r="C533" s="36"/>
      <c r="D533" s="91"/>
      <c r="E533" s="80"/>
      <c r="F533" s="80"/>
      <c r="G533" s="91"/>
      <c r="H533" s="91"/>
    </row>
    <row r="534" spans="2:8">
      <c r="B534" s="80"/>
      <c r="C534" s="36"/>
      <c r="D534" s="91"/>
      <c r="E534" s="80"/>
      <c r="F534" s="80"/>
      <c r="G534" s="91"/>
      <c r="H534" s="91"/>
    </row>
    <row r="535" spans="2:8">
      <c r="B535" s="80"/>
      <c r="C535" s="36"/>
      <c r="D535" s="91"/>
      <c r="E535" s="80"/>
      <c r="F535" s="80"/>
      <c r="G535" s="91"/>
      <c r="H535" s="91"/>
    </row>
    <row r="536" spans="2:8">
      <c r="B536" s="80"/>
      <c r="C536" s="36"/>
      <c r="D536" s="91"/>
      <c r="E536" s="80"/>
      <c r="F536" s="80"/>
      <c r="G536" s="91"/>
      <c r="H536" s="91"/>
    </row>
    <row r="537" spans="2:8">
      <c r="B537" s="80"/>
      <c r="C537" s="36"/>
      <c r="D537" s="91"/>
      <c r="E537" s="80"/>
      <c r="F537" s="80"/>
      <c r="G537" s="91"/>
      <c r="H537" s="91"/>
    </row>
    <row r="538" spans="2:8">
      <c r="B538" s="80"/>
      <c r="C538" s="36"/>
      <c r="D538" s="91"/>
      <c r="E538" s="80"/>
      <c r="F538" s="80"/>
      <c r="G538" s="91"/>
      <c r="H538" s="91"/>
    </row>
    <row r="539" spans="2:8">
      <c r="B539" s="80"/>
      <c r="C539" s="36"/>
      <c r="D539" s="91"/>
      <c r="E539" s="80"/>
      <c r="F539" s="80"/>
      <c r="G539" s="91"/>
      <c r="H539" s="91"/>
    </row>
    <row r="540" spans="2:8">
      <c r="B540" s="80"/>
      <c r="C540" s="36"/>
      <c r="D540" s="91"/>
      <c r="E540" s="80"/>
      <c r="F540" s="80"/>
      <c r="G540" s="91"/>
      <c r="H540" s="91"/>
    </row>
    <row r="541" spans="2:8">
      <c r="B541" s="80"/>
      <c r="C541" s="36"/>
      <c r="D541" s="91"/>
      <c r="E541" s="80"/>
      <c r="F541" s="80"/>
      <c r="G541" s="91"/>
      <c r="H541" s="91"/>
    </row>
    <row r="542" spans="2:8">
      <c r="B542" s="80"/>
      <c r="C542" s="36"/>
      <c r="D542" s="91"/>
      <c r="E542" s="80"/>
      <c r="F542" s="80"/>
      <c r="G542" s="91"/>
      <c r="H542" s="91"/>
    </row>
    <row r="543" spans="2:8">
      <c r="B543" s="80"/>
      <c r="C543" s="36"/>
      <c r="D543" s="91"/>
      <c r="E543" s="80"/>
      <c r="F543" s="80"/>
      <c r="G543" s="91"/>
      <c r="H543" s="91"/>
    </row>
    <row r="544" spans="2:8">
      <c r="B544" s="80"/>
      <c r="C544" s="36"/>
      <c r="D544" s="91"/>
      <c r="E544" s="80"/>
      <c r="F544" s="80"/>
      <c r="G544" s="91"/>
      <c r="H544" s="91"/>
    </row>
    <row r="545" spans="2:8">
      <c r="B545" s="80"/>
      <c r="C545" s="36"/>
      <c r="D545" s="91"/>
      <c r="E545" s="80"/>
      <c r="F545" s="80"/>
      <c r="G545" s="91"/>
      <c r="H545" s="91"/>
    </row>
    <row r="546" spans="2:8">
      <c r="B546" s="80"/>
      <c r="C546" s="36"/>
      <c r="D546" s="91"/>
      <c r="E546" s="80"/>
      <c r="F546" s="80"/>
      <c r="G546" s="91"/>
      <c r="H546" s="91"/>
    </row>
    <row r="547" spans="2:8">
      <c r="B547" s="80"/>
      <c r="C547" s="36"/>
      <c r="D547" s="91"/>
      <c r="E547" s="80"/>
      <c r="F547" s="80"/>
      <c r="G547" s="91"/>
      <c r="H547" s="91"/>
    </row>
    <row r="548" spans="2:8">
      <c r="B548" s="80"/>
      <c r="C548" s="36"/>
      <c r="D548" s="91"/>
      <c r="E548" s="80"/>
      <c r="F548" s="80"/>
      <c r="G548" s="91"/>
      <c r="H548" s="91"/>
    </row>
    <row r="549" spans="2:8">
      <c r="B549" s="80"/>
      <c r="C549" s="36"/>
      <c r="D549" s="91"/>
      <c r="E549" s="80"/>
      <c r="F549" s="80"/>
      <c r="G549" s="91"/>
      <c r="H549" s="91"/>
    </row>
    <row r="550" spans="2:8">
      <c r="B550" s="80"/>
      <c r="C550" s="36"/>
      <c r="D550" s="91"/>
      <c r="E550" s="80"/>
      <c r="F550" s="80"/>
      <c r="G550" s="91"/>
      <c r="H550" s="91"/>
    </row>
    <row r="551" spans="2:8">
      <c r="B551" s="80"/>
      <c r="C551" s="36"/>
      <c r="D551" s="91"/>
      <c r="E551" s="80"/>
      <c r="F551" s="80"/>
      <c r="G551" s="91"/>
      <c r="H551" s="91"/>
    </row>
    <row r="552" spans="2:8">
      <c r="B552" s="80"/>
      <c r="C552" s="36"/>
      <c r="D552" s="91"/>
      <c r="E552" s="80"/>
      <c r="F552" s="80"/>
      <c r="G552" s="91"/>
      <c r="H552" s="91"/>
    </row>
    <row r="553" spans="2:8">
      <c r="B553" s="80"/>
      <c r="C553" s="36"/>
      <c r="D553" s="91"/>
      <c r="E553" s="80"/>
      <c r="F553" s="80"/>
      <c r="G553" s="91"/>
      <c r="H553" s="91"/>
    </row>
    <row r="554" spans="2:8">
      <c r="B554" s="80"/>
      <c r="C554" s="36"/>
      <c r="D554" s="91"/>
      <c r="E554" s="80"/>
      <c r="F554" s="80"/>
      <c r="G554" s="91"/>
      <c r="H554" s="91"/>
    </row>
    <row r="555" spans="2:8">
      <c r="B555" s="80"/>
      <c r="C555" s="36"/>
      <c r="D555" s="91"/>
      <c r="E555" s="80"/>
      <c r="F555" s="80"/>
      <c r="G555" s="91"/>
      <c r="H555" s="91"/>
    </row>
    <row r="556" spans="2:8">
      <c r="B556" s="80"/>
      <c r="C556" s="36"/>
      <c r="D556" s="91"/>
      <c r="E556" s="80"/>
      <c r="F556" s="80"/>
      <c r="G556" s="91"/>
      <c r="H556" s="91"/>
    </row>
    <row r="557" spans="2:8">
      <c r="B557" s="80"/>
      <c r="C557" s="36"/>
      <c r="D557" s="91"/>
      <c r="E557" s="80"/>
      <c r="F557" s="80"/>
      <c r="G557" s="91"/>
      <c r="H557" s="91"/>
    </row>
    <row r="558" spans="2:8">
      <c r="B558" s="80"/>
      <c r="C558" s="36"/>
      <c r="D558" s="91"/>
      <c r="E558" s="80"/>
      <c r="F558" s="80"/>
      <c r="G558" s="91"/>
      <c r="H558" s="91"/>
    </row>
    <row r="559" spans="2:8">
      <c r="B559" s="80"/>
      <c r="C559" s="36"/>
      <c r="D559" s="91"/>
      <c r="E559" s="80"/>
      <c r="F559" s="80"/>
      <c r="G559" s="91"/>
      <c r="H559" s="91"/>
    </row>
    <row r="560" spans="2:8">
      <c r="B560" s="80"/>
      <c r="C560" s="36"/>
      <c r="D560" s="91"/>
      <c r="E560" s="80"/>
      <c r="F560" s="80"/>
      <c r="G560" s="91"/>
      <c r="H560" s="91"/>
    </row>
    <row r="561" spans="2:8">
      <c r="B561" s="80"/>
      <c r="C561" s="36"/>
      <c r="D561" s="91"/>
      <c r="E561" s="80"/>
      <c r="F561" s="80"/>
      <c r="G561" s="91"/>
      <c r="H561" s="91"/>
    </row>
    <row r="562" spans="2:8">
      <c r="B562" s="80"/>
      <c r="C562" s="36"/>
      <c r="D562" s="91"/>
      <c r="E562" s="80"/>
      <c r="F562" s="80"/>
      <c r="G562" s="91"/>
      <c r="H562" s="91"/>
    </row>
    <row r="563" spans="2:8">
      <c r="B563" s="80"/>
      <c r="C563" s="36"/>
      <c r="D563" s="91"/>
      <c r="E563" s="80"/>
      <c r="F563" s="80"/>
      <c r="G563" s="91"/>
      <c r="H563" s="91"/>
    </row>
    <row r="564" spans="2:8">
      <c r="B564" s="80"/>
      <c r="C564" s="36"/>
      <c r="D564" s="91"/>
      <c r="E564" s="80"/>
      <c r="F564" s="80"/>
      <c r="G564" s="91"/>
      <c r="H564" s="91"/>
    </row>
    <row r="565" spans="2:8">
      <c r="B565" s="80"/>
      <c r="C565" s="36"/>
      <c r="D565" s="91"/>
      <c r="E565" s="80"/>
      <c r="F565" s="80"/>
      <c r="G565" s="91"/>
      <c r="H565" s="91"/>
    </row>
    <row r="566" spans="2:8">
      <c r="B566" s="80"/>
      <c r="C566" s="36"/>
      <c r="D566" s="91"/>
      <c r="E566" s="80"/>
      <c r="F566" s="80"/>
      <c r="G566" s="91"/>
      <c r="H566" s="91"/>
    </row>
    <row r="567" spans="2:8">
      <c r="B567" s="80"/>
      <c r="C567" s="36"/>
      <c r="D567" s="91"/>
      <c r="E567" s="80"/>
      <c r="F567" s="80"/>
      <c r="G567" s="91"/>
      <c r="H567" s="91"/>
    </row>
    <row r="568" spans="2:8">
      <c r="B568" s="80"/>
      <c r="C568" s="36"/>
      <c r="D568" s="91"/>
      <c r="E568" s="80"/>
      <c r="F568" s="80"/>
      <c r="G568" s="91"/>
      <c r="H568" s="91"/>
    </row>
    <row r="569" spans="2:8">
      <c r="B569" s="80"/>
      <c r="C569" s="36"/>
      <c r="D569" s="91"/>
      <c r="E569" s="80"/>
      <c r="F569" s="80"/>
      <c r="G569" s="91"/>
      <c r="H569" s="91"/>
    </row>
    <row r="570" spans="2:8">
      <c r="B570" s="80"/>
      <c r="C570" s="36"/>
      <c r="D570" s="91"/>
      <c r="E570" s="80"/>
      <c r="F570" s="80"/>
      <c r="G570" s="91"/>
      <c r="H570" s="91"/>
    </row>
    <row r="571" spans="2:8">
      <c r="B571" s="80"/>
      <c r="C571" s="36"/>
      <c r="D571" s="91"/>
      <c r="E571" s="80"/>
      <c r="F571" s="80"/>
      <c r="G571" s="91"/>
      <c r="H571" s="91"/>
    </row>
    <row r="572" spans="2:8">
      <c r="B572" s="80"/>
      <c r="C572" s="36"/>
      <c r="D572" s="91"/>
      <c r="E572" s="80"/>
      <c r="F572" s="80"/>
      <c r="G572" s="91"/>
      <c r="H572" s="91"/>
    </row>
    <row r="573" spans="2:8">
      <c r="B573" s="80"/>
      <c r="C573" s="36"/>
      <c r="D573" s="91"/>
      <c r="E573" s="80"/>
      <c r="F573" s="80"/>
      <c r="G573" s="91"/>
      <c r="H573" s="91"/>
    </row>
    <row r="574" spans="2:8">
      <c r="B574" s="80"/>
      <c r="C574" s="36"/>
      <c r="D574" s="91"/>
      <c r="E574" s="80"/>
      <c r="F574" s="80"/>
      <c r="G574" s="91"/>
      <c r="H574" s="91"/>
    </row>
    <row r="575" spans="2:8">
      <c r="B575" s="80"/>
      <c r="C575" s="36"/>
      <c r="D575" s="91"/>
      <c r="E575" s="80"/>
      <c r="F575" s="80"/>
      <c r="G575" s="91"/>
      <c r="H575" s="91"/>
    </row>
    <row r="576" spans="2:8">
      <c r="B576" s="80"/>
      <c r="C576" s="36"/>
      <c r="D576" s="91"/>
      <c r="E576" s="80"/>
      <c r="F576" s="80"/>
      <c r="G576" s="91"/>
      <c r="H576" s="91"/>
    </row>
    <row r="577" spans="2:8">
      <c r="B577" s="80"/>
      <c r="C577" s="36"/>
      <c r="D577" s="91"/>
      <c r="E577" s="80"/>
      <c r="F577" s="80"/>
      <c r="G577" s="91"/>
      <c r="H577" s="91"/>
    </row>
    <row r="578" spans="2:8">
      <c r="B578" s="80"/>
      <c r="C578" s="36"/>
      <c r="D578" s="91"/>
      <c r="E578" s="80"/>
      <c r="F578" s="80"/>
      <c r="G578" s="91"/>
      <c r="H578" s="91"/>
    </row>
    <row r="579" spans="2:8">
      <c r="B579" s="80"/>
      <c r="C579" s="36"/>
      <c r="D579" s="91"/>
      <c r="E579" s="80"/>
      <c r="F579" s="80"/>
      <c r="G579" s="91"/>
      <c r="H579" s="91"/>
    </row>
    <row r="580" spans="2:8">
      <c r="B580" s="80"/>
      <c r="C580" s="36"/>
      <c r="D580" s="91"/>
      <c r="E580" s="80"/>
      <c r="F580" s="80"/>
      <c r="G580" s="91"/>
      <c r="H580" s="91"/>
    </row>
    <row r="581" spans="2:8">
      <c r="B581" s="80"/>
      <c r="C581" s="36"/>
      <c r="D581" s="91"/>
      <c r="E581" s="80"/>
      <c r="F581" s="80"/>
      <c r="G581" s="91"/>
      <c r="H581" s="91"/>
    </row>
    <row r="582" spans="2:8">
      <c r="B582" s="80"/>
      <c r="C582" s="36"/>
      <c r="D582" s="91"/>
      <c r="E582" s="80"/>
      <c r="F582" s="80"/>
      <c r="G582" s="91"/>
      <c r="H582" s="91"/>
    </row>
    <row r="583" spans="2:8">
      <c r="B583" s="80"/>
      <c r="C583" s="36"/>
      <c r="D583" s="91"/>
      <c r="E583" s="80"/>
      <c r="F583" s="80"/>
      <c r="G583" s="91"/>
      <c r="H583" s="91"/>
    </row>
    <row r="584" spans="2:8">
      <c r="B584" s="80"/>
      <c r="C584" s="36"/>
      <c r="D584" s="91"/>
      <c r="E584" s="80"/>
      <c r="F584" s="80"/>
      <c r="G584" s="91"/>
      <c r="H584" s="91"/>
    </row>
    <row r="585" spans="2:8">
      <c r="B585" s="80"/>
      <c r="C585" s="36"/>
      <c r="D585" s="91"/>
      <c r="E585" s="80"/>
      <c r="F585" s="80"/>
      <c r="G585" s="91"/>
      <c r="H585" s="91"/>
    </row>
    <row r="586" spans="2:8">
      <c r="B586" s="80"/>
      <c r="C586" s="36"/>
      <c r="D586" s="91"/>
      <c r="E586" s="80"/>
      <c r="F586" s="80"/>
      <c r="G586" s="91"/>
      <c r="H586" s="91"/>
    </row>
    <row r="587" spans="2:8">
      <c r="B587" s="80"/>
      <c r="C587" s="36"/>
      <c r="D587" s="91"/>
      <c r="E587" s="80"/>
      <c r="F587" s="80"/>
      <c r="G587" s="91"/>
      <c r="H587" s="91"/>
    </row>
    <row r="588" spans="2:8">
      <c r="B588" s="80"/>
      <c r="C588" s="36"/>
      <c r="D588" s="91"/>
      <c r="E588" s="80"/>
      <c r="F588" s="80"/>
      <c r="G588" s="91"/>
      <c r="H588" s="91"/>
    </row>
    <row r="589" spans="2:8">
      <c r="B589" s="80"/>
      <c r="C589" s="36"/>
      <c r="D589" s="91"/>
      <c r="E589" s="80"/>
      <c r="F589" s="80"/>
      <c r="G589" s="91"/>
      <c r="H589" s="91"/>
    </row>
    <row r="590" spans="2:8">
      <c r="B590" s="80"/>
      <c r="C590" s="36"/>
      <c r="D590" s="91"/>
      <c r="E590" s="80"/>
      <c r="F590" s="80"/>
      <c r="G590" s="91"/>
      <c r="H590" s="91"/>
    </row>
    <row r="591" spans="2:8">
      <c r="B591" s="80"/>
      <c r="C591" s="36"/>
      <c r="D591" s="91"/>
      <c r="E591" s="80"/>
      <c r="F591" s="80"/>
      <c r="G591" s="91"/>
      <c r="H591" s="91"/>
    </row>
    <row r="592" spans="2:8">
      <c r="B592" s="80"/>
      <c r="C592" s="36"/>
      <c r="D592" s="91"/>
      <c r="E592" s="80"/>
      <c r="F592" s="80"/>
      <c r="G592" s="91"/>
      <c r="H592" s="91"/>
    </row>
    <row r="593" spans="2:8">
      <c r="B593" s="80"/>
      <c r="C593" s="36"/>
      <c r="D593" s="91"/>
      <c r="E593" s="80"/>
      <c r="F593" s="80"/>
      <c r="G593" s="91"/>
      <c r="H593" s="91"/>
    </row>
    <row r="594" spans="2:8">
      <c r="B594" s="80"/>
      <c r="C594" s="36"/>
      <c r="D594" s="91"/>
      <c r="E594" s="80"/>
      <c r="F594" s="80"/>
      <c r="G594" s="91"/>
      <c r="H594" s="91"/>
    </row>
    <row r="595" spans="2:8">
      <c r="B595" s="80"/>
      <c r="C595" s="36"/>
      <c r="D595" s="91"/>
      <c r="E595" s="80"/>
      <c r="F595" s="80"/>
      <c r="G595" s="91"/>
      <c r="H595" s="91"/>
    </row>
    <row r="596" spans="2:8">
      <c r="B596" s="80"/>
      <c r="C596" s="36"/>
      <c r="D596" s="91"/>
      <c r="E596" s="80"/>
      <c r="F596" s="80"/>
      <c r="G596" s="91"/>
      <c r="H596" s="91"/>
    </row>
    <row r="597" spans="2:8">
      <c r="B597" s="80"/>
      <c r="C597" s="36"/>
      <c r="D597" s="91"/>
      <c r="E597" s="80"/>
      <c r="F597" s="80"/>
      <c r="G597" s="91"/>
      <c r="H597" s="91"/>
    </row>
    <row r="598" spans="2:8">
      <c r="B598" s="80"/>
      <c r="C598" s="36"/>
      <c r="D598" s="91"/>
      <c r="E598" s="80"/>
      <c r="F598" s="80"/>
      <c r="G598" s="91"/>
      <c r="H598" s="91"/>
    </row>
    <row r="599" spans="2:8">
      <c r="B599" s="80"/>
      <c r="C599" s="36"/>
      <c r="D599" s="91"/>
      <c r="E599" s="80"/>
      <c r="F599" s="80"/>
      <c r="G599" s="91"/>
      <c r="H599" s="91"/>
    </row>
    <row r="600" spans="2:8">
      <c r="B600" s="80"/>
      <c r="C600" s="36"/>
      <c r="D600" s="91"/>
      <c r="E600" s="80"/>
      <c r="F600" s="80"/>
      <c r="G600" s="91"/>
      <c r="H600" s="91"/>
    </row>
    <row r="601" spans="2:8">
      <c r="B601" s="80"/>
      <c r="C601" s="36"/>
      <c r="D601" s="91"/>
      <c r="E601" s="80"/>
      <c r="F601" s="80"/>
      <c r="G601" s="91"/>
      <c r="H601" s="91"/>
    </row>
    <row r="602" spans="2:8">
      <c r="B602" s="80"/>
      <c r="C602" s="36"/>
      <c r="D602" s="91"/>
      <c r="E602" s="80"/>
      <c r="F602" s="80"/>
      <c r="G602" s="91"/>
      <c r="H602" s="91"/>
    </row>
    <row r="603" spans="2:8">
      <c r="B603" s="80"/>
      <c r="C603" s="36"/>
      <c r="D603" s="91"/>
      <c r="E603" s="80"/>
      <c r="F603" s="80"/>
      <c r="G603" s="91"/>
      <c r="H603" s="91"/>
    </row>
    <row r="604" spans="2:8">
      <c r="B604" s="80"/>
      <c r="C604" s="36"/>
      <c r="D604" s="91"/>
      <c r="E604" s="80"/>
      <c r="F604" s="80"/>
      <c r="G604" s="91"/>
      <c r="H604" s="91"/>
    </row>
    <row r="605" spans="2:8">
      <c r="B605" s="80"/>
      <c r="C605" s="36"/>
      <c r="D605" s="91"/>
      <c r="E605" s="80"/>
      <c r="F605" s="80"/>
      <c r="G605" s="91"/>
      <c r="H605" s="91"/>
    </row>
    <row r="606" spans="2:8">
      <c r="B606" s="80"/>
      <c r="C606" s="36"/>
      <c r="D606" s="91"/>
      <c r="E606" s="80"/>
      <c r="F606" s="80"/>
      <c r="G606" s="91"/>
      <c r="H606" s="91"/>
    </row>
    <row r="607" spans="2:8">
      <c r="B607" s="80"/>
      <c r="C607" s="36"/>
      <c r="D607" s="91"/>
      <c r="E607" s="80"/>
      <c r="F607" s="80"/>
      <c r="G607" s="91"/>
      <c r="H607" s="91"/>
    </row>
    <row r="608" spans="2:8">
      <c r="B608" s="80"/>
      <c r="C608" s="36"/>
      <c r="D608" s="91"/>
      <c r="E608" s="80"/>
      <c r="F608" s="80"/>
      <c r="G608" s="91"/>
      <c r="H608" s="91"/>
    </row>
    <row r="609" spans="2:8">
      <c r="B609" s="80"/>
      <c r="C609" s="36"/>
      <c r="D609" s="91"/>
      <c r="E609" s="80"/>
      <c r="F609" s="80"/>
      <c r="G609" s="91"/>
      <c r="H609" s="91"/>
    </row>
    <row r="610" spans="2:8">
      <c r="B610" s="80"/>
      <c r="C610" s="36"/>
      <c r="D610" s="91"/>
      <c r="E610" s="80"/>
      <c r="F610" s="80"/>
      <c r="G610" s="91"/>
      <c r="H610" s="91"/>
    </row>
    <row r="611" spans="2:8">
      <c r="B611" s="80"/>
      <c r="C611" s="36"/>
      <c r="D611" s="91"/>
      <c r="E611" s="80"/>
      <c r="F611" s="80"/>
      <c r="G611" s="91"/>
      <c r="H611" s="91"/>
    </row>
    <row r="612" spans="2:8">
      <c r="B612" s="80"/>
      <c r="C612" s="36"/>
      <c r="D612" s="91"/>
      <c r="E612" s="80"/>
      <c r="F612" s="80"/>
      <c r="G612" s="91"/>
      <c r="H612" s="91"/>
    </row>
    <row r="613" spans="2:8">
      <c r="B613" s="80"/>
      <c r="C613" s="36"/>
      <c r="D613" s="91"/>
      <c r="E613" s="80"/>
      <c r="F613" s="80"/>
      <c r="G613" s="91"/>
      <c r="H613" s="91"/>
    </row>
    <row r="614" spans="2:8">
      <c r="B614" s="80"/>
      <c r="C614" s="36"/>
      <c r="D614" s="91"/>
      <c r="E614" s="80"/>
      <c r="F614" s="80"/>
      <c r="G614" s="91"/>
      <c r="H614" s="91"/>
    </row>
    <row r="615" spans="2:8">
      <c r="B615" s="80"/>
      <c r="C615" s="36"/>
      <c r="D615" s="91"/>
      <c r="E615" s="80"/>
      <c r="F615" s="80"/>
      <c r="G615" s="91"/>
      <c r="H615" s="91"/>
    </row>
    <row r="616" spans="2:8">
      <c r="B616" s="80"/>
      <c r="C616" s="36"/>
      <c r="D616" s="91"/>
      <c r="E616" s="80"/>
      <c r="F616" s="80"/>
      <c r="G616" s="91"/>
      <c r="H616" s="91"/>
    </row>
    <row r="617" spans="2:8">
      <c r="B617" s="80"/>
      <c r="C617" s="36"/>
      <c r="D617" s="91"/>
      <c r="E617" s="80"/>
      <c r="F617" s="80"/>
      <c r="G617" s="91"/>
      <c r="H617" s="91"/>
    </row>
    <row r="618" spans="2:8">
      <c r="B618" s="80"/>
      <c r="C618" s="36"/>
      <c r="D618" s="91"/>
      <c r="E618" s="80"/>
      <c r="F618" s="80"/>
      <c r="G618" s="91"/>
      <c r="H618" s="91"/>
    </row>
    <row r="619" spans="2:8">
      <c r="B619" s="80"/>
      <c r="C619" s="36"/>
      <c r="D619" s="91"/>
      <c r="E619" s="80"/>
      <c r="F619" s="80"/>
      <c r="G619" s="91"/>
      <c r="H619" s="91"/>
    </row>
    <row r="620" spans="2:8">
      <c r="B620" s="80"/>
      <c r="C620" s="36"/>
      <c r="D620" s="91"/>
      <c r="E620" s="80"/>
      <c r="F620" s="80"/>
      <c r="G620" s="91"/>
      <c r="H620" s="91"/>
    </row>
    <row r="621" spans="2:8">
      <c r="B621" s="80"/>
      <c r="C621" s="36"/>
      <c r="D621" s="91"/>
      <c r="E621" s="80"/>
      <c r="F621" s="80"/>
      <c r="G621" s="91"/>
      <c r="H621" s="91"/>
    </row>
    <row r="622" spans="2:8">
      <c r="B622" s="80"/>
      <c r="C622" s="36"/>
      <c r="D622" s="91"/>
      <c r="E622" s="80"/>
      <c r="F622" s="80"/>
      <c r="G622" s="91"/>
      <c r="H622" s="91"/>
    </row>
    <row r="623" spans="2:8">
      <c r="B623" s="80"/>
      <c r="C623" s="36"/>
      <c r="D623" s="91"/>
      <c r="E623" s="80"/>
      <c r="F623" s="80"/>
      <c r="G623" s="91"/>
      <c r="H623" s="91"/>
    </row>
    <row r="624" spans="2:8">
      <c r="B624" s="80"/>
      <c r="C624" s="36"/>
      <c r="D624" s="91"/>
      <c r="E624" s="80"/>
      <c r="F624" s="80"/>
      <c r="G624" s="91"/>
      <c r="H624" s="91"/>
    </row>
    <row r="625" spans="2:8">
      <c r="B625" s="80"/>
      <c r="C625" s="36"/>
      <c r="D625" s="91"/>
      <c r="E625" s="80"/>
      <c r="F625" s="80"/>
      <c r="G625" s="91"/>
      <c r="H625" s="91"/>
    </row>
    <row r="626" spans="2:8">
      <c r="B626" s="80"/>
      <c r="C626" s="36"/>
      <c r="D626" s="91"/>
      <c r="E626" s="80"/>
      <c r="F626" s="80"/>
      <c r="G626" s="91"/>
      <c r="H626" s="91"/>
    </row>
    <row r="627" spans="2:8">
      <c r="B627" s="80"/>
      <c r="C627" s="36"/>
      <c r="D627" s="91"/>
      <c r="E627" s="80"/>
      <c r="F627" s="80"/>
      <c r="G627" s="91"/>
      <c r="H627" s="91"/>
    </row>
    <row r="628" spans="2:8">
      <c r="B628" s="80"/>
      <c r="C628" s="36"/>
      <c r="D628" s="91"/>
      <c r="E628" s="80"/>
      <c r="F628" s="80"/>
      <c r="G628" s="91"/>
      <c r="H628" s="91"/>
    </row>
    <row r="629" spans="2:8">
      <c r="B629" s="80"/>
      <c r="C629" s="36"/>
      <c r="D629" s="91"/>
      <c r="E629" s="80"/>
      <c r="F629" s="80"/>
      <c r="G629" s="91"/>
      <c r="H629" s="91"/>
    </row>
    <row r="630" spans="2:8">
      <c r="B630" s="80"/>
      <c r="C630" s="36"/>
      <c r="D630" s="91"/>
      <c r="E630" s="80"/>
      <c r="F630" s="80"/>
      <c r="G630" s="91"/>
      <c r="H630" s="91"/>
    </row>
    <row r="631" spans="2:8">
      <c r="B631" s="80"/>
      <c r="C631" s="36"/>
      <c r="D631" s="91"/>
      <c r="E631" s="80"/>
      <c r="F631" s="80"/>
      <c r="G631" s="91"/>
      <c r="H631" s="91"/>
    </row>
    <row r="632" spans="2:8">
      <c r="B632" s="80"/>
      <c r="C632" s="36"/>
      <c r="D632" s="91"/>
      <c r="E632" s="80"/>
      <c r="F632" s="80"/>
      <c r="G632" s="91"/>
      <c r="H632" s="91"/>
    </row>
    <row r="633" spans="2:8">
      <c r="B633" s="80"/>
      <c r="C633" s="36"/>
      <c r="D633" s="91"/>
      <c r="E633" s="80"/>
      <c r="F633" s="80"/>
      <c r="G633" s="91"/>
      <c r="H633" s="91"/>
    </row>
    <row r="634" spans="2:8">
      <c r="B634" s="80"/>
      <c r="C634" s="36"/>
      <c r="D634" s="91"/>
      <c r="E634" s="80"/>
      <c r="F634" s="80"/>
      <c r="G634" s="91"/>
      <c r="H634" s="91"/>
    </row>
    <row r="635" spans="2:8">
      <c r="B635" s="80"/>
      <c r="C635" s="36"/>
      <c r="D635" s="91"/>
      <c r="E635" s="80"/>
      <c r="F635" s="80"/>
      <c r="G635" s="91"/>
      <c r="H635" s="91"/>
    </row>
    <row r="636" spans="2:8">
      <c r="B636" s="80"/>
      <c r="C636" s="36"/>
      <c r="D636" s="91"/>
      <c r="E636" s="80"/>
      <c r="F636" s="80"/>
      <c r="G636" s="91"/>
      <c r="H636" s="91"/>
    </row>
    <row r="637" spans="2:8">
      <c r="B637" s="80"/>
      <c r="C637" s="36"/>
      <c r="D637" s="91"/>
      <c r="E637" s="80"/>
      <c r="F637" s="80"/>
      <c r="G637" s="91"/>
      <c r="H637" s="91"/>
    </row>
    <row r="638" spans="2:8">
      <c r="B638" s="80"/>
      <c r="C638" s="36"/>
      <c r="D638" s="91"/>
      <c r="E638" s="80"/>
      <c r="F638" s="80"/>
      <c r="G638" s="91"/>
      <c r="H638" s="91"/>
    </row>
    <row r="639" spans="2:8">
      <c r="B639" s="80"/>
      <c r="C639" s="36"/>
      <c r="D639" s="91"/>
      <c r="E639" s="80"/>
      <c r="F639" s="80"/>
      <c r="G639" s="91"/>
      <c r="H639" s="91"/>
    </row>
    <row r="640" spans="2:8">
      <c r="B640" s="80"/>
      <c r="C640" s="36"/>
      <c r="D640" s="91"/>
      <c r="E640" s="80"/>
      <c r="F640" s="80"/>
      <c r="G640" s="91"/>
      <c r="H640" s="91"/>
    </row>
    <row r="641" spans="2:8">
      <c r="B641" s="80"/>
      <c r="C641" s="36"/>
      <c r="D641" s="91"/>
      <c r="E641" s="80"/>
      <c r="F641" s="80"/>
      <c r="G641" s="91"/>
      <c r="H641" s="91"/>
    </row>
    <row r="642" spans="2:8">
      <c r="B642" s="80"/>
      <c r="C642" s="36"/>
      <c r="D642" s="91"/>
      <c r="E642" s="80"/>
      <c r="F642" s="80"/>
      <c r="G642" s="91"/>
      <c r="H642" s="91"/>
    </row>
    <row r="643" spans="2:8">
      <c r="B643" s="80"/>
      <c r="C643" s="36"/>
      <c r="D643" s="91"/>
      <c r="E643" s="80"/>
      <c r="F643" s="80"/>
      <c r="G643" s="91"/>
      <c r="H643" s="91"/>
    </row>
    <row r="644" spans="2:8">
      <c r="B644" s="80"/>
      <c r="C644" s="36"/>
      <c r="D644" s="91"/>
      <c r="E644" s="80"/>
      <c r="F644" s="80"/>
      <c r="G644" s="91"/>
      <c r="H644" s="91"/>
    </row>
    <row r="645" spans="2:8">
      <c r="B645" s="80"/>
      <c r="C645" s="36"/>
      <c r="D645" s="91"/>
      <c r="E645" s="80"/>
      <c r="F645" s="80"/>
      <c r="G645" s="91"/>
      <c r="H645" s="91"/>
    </row>
    <row r="646" spans="2:8">
      <c r="B646" s="80"/>
      <c r="C646" s="36"/>
      <c r="D646" s="91"/>
      <c r="E646" s="80"/>
      <c r="F646" s="80"/>
      <c r="G646" s="91"/>
      <c r="H646" s="91"/>
    </row>
    <row r="647" spans="2:8">
      <c r="B647" s="80"/>
      <c r="C647" s="36"/>
      <c r="D647" s="91"/>
      <c r="E647" s="80"/>
      <c r="F647" s="80"/>
      <c r="G647" s="91"/>
      <c r="H647" s="91"/>
    </row>
    <row r="648" spans="2:8">
      <c r="B648" s="80"/>
      <c r="C648" s="36"/>
      <c r="D648" s="91"/>
      <c r="E648" s="80"/>
      <c r="F648" s="80"/>
      <c r="G648" s="91"/>
      <c r="H648" s="91"/>
    </row>
    <row r="649" spans="2:8">
      <c r="B649" s="80"/>
      <c r="C649" s="36"/>
      <c r="D649" s="91"/>
      <c r="E649" s="80"/>
      <c r="F649" s="80"/>
      <c r="G649" s="91"/>
      <c r="H649" s="91"/>
    </row>
    <row r="650" spans="2:8">
      <c r="B650" s="80"/>
      <c r="C650" s="36"/>
      <c r="D650" s="91"/>
      <c r="E650" s="80"/>
      <c r="F650" s="80"/>
      <c r="G650" s="91"/>
      <c r="H650" s="91"/>
    </row>
    <row r="651" spans="2:8">
      <c r="B651" s="80"/>
      <c r="C651" s="36"/>
      <c r="D651" s="91"/>
      <c r="E651" s="80"/>
      <c r="F651" s="80"/>
      <c r="G651" s="91"/>
      <c r="H651" s="91"/>
    </row>
    <row r="652" spans="2:8">
      <c r="B652" s="80"/>
      <c r="C652" s="36"/>
      <c r="D652" s="91"/>
      <c r="E652" s="80"/>
      <c r="F652" s="80"/>
      <c r="G652" s="91"/>
      <c r="H652" s="91"/>
    </row>
    <row r="653" spans="2:8">
      <c r="B653" s="80"/>
      <c r="C653" s="36"/>
      <c r="D653" s="91"/>
      <c r="E653" s="80"/>
      <c r="F653" s="80"/>
      <c r="G653" s="91"/>
      <c r="H653" s="91"/>
    </row>
    <row r="654" spans="2:8">
      <c r="B654" s="80"/>
      <c r="C654" s="36"/>
      <c r="D654" s="91"/>
      <c r="E654" s="80"/>
      <c r="F654" s="80"/>
      <c r="G654" s="91"/>
      <c r="H654" s="91"/>
    </row>
    <row r="655" spans="2:8">
      <c r="B655" s="80"/>
      <c r="C655" s="36"/>
      <c r="D655" s="91"/>
      <c r="E655" s="80"/>
      <c r="F655" s="80"/>
      <c r="G655" s="91"/>
      <c r="H655" s="91"/>
    </row>
    <row r="656" spans="2:8">
      <c r="B656" s="80"/>
      <c r="C656" s="36"/>
      <c r="D656" s="91"/>
      <c r="E656" s="80"/>
      <c r="F656" s="80"/>
      <c r="G656" s="91"/>
      <c r="H656" s="91"/>
    </row>
    <row r="657" spans="2:8">
      <c r="B657" s="80"/>
      <c r="C657" s="36"/>
      <c r="D657" s="91"/>
      <c r="E657" s="80"/>
      <c r="F657" s="80"/>
      <c r="G657" s="91"/>
      <c r="H657" s="91"/>
    </row>
    <row r="658" spans="2:8">
      <c r="B658" s="80"/>
      <c r="C658" s="36"/>
      <c r="D658" s="91"/>
      <c r="E658" s="80"/>
      <c r="F658" s="80"/>
      <c r="G658" s="91"/>
      <c r="H658" s="91"/>
    </row>
    <row r="659" spans="2:8">
      <c r="B659" s="80"/>
      <c r="C659" s="36"/>
      <c r="D659" s="91"/>
      <c r="E659" s="80"/>
      <c r="F659" s="80"/>
      <c r="G659" s="91"/>
      <c r="H659" s="91"/>
    </row>
    <row r="660" spans="2:8">
      <c r="B660" s="80"/>
      <c r="C660" s="36"/>
      <c r="D660" s="91"/>
      <c r="E660" s="80"/>
      <c r="F660" s="80"/>
      <c r="G660" s="91"/>
      <c r="H660" s="91"/>
    </row>
    <row r="661" spans="2:8">
      <c r="B661" s="80"/>
      <c r="C661" s="36"/>
      <c r="D661" s="91"/>
      <c r="E661" s="80"/>
      <c r="F661" s="80"/>
      <c r="G661" s="91"/>
      <c r="H661" s="91"/>
    </row>
    <row r="662" spans="2:8">
      <c r="B662" s="80"/>
      <c r="C662" s="36"/>
      <c r="D662" s="91"/>
      <c r="E662" s="80"/>
      <c r="F662" s="80"/>
      <c r="G662" s="91"/>
      <c r="H662" s="91"/>
    </row>
    <row r="663" spans="2:8">
      <c r="B663" s="80"/>
      <c r="C663" s="36"/>
      <c r="D663" s="91"/>
      <c r="E663" s="80"/>
      <c r="F663" s="80"/>
      <c r="G663" s="91"/>
      <c r="H663" s="91"/>
    </row>
    <row r="664" spans="2:8">
      <c r="B664" s="80"/>
      <c r="C664" s="36"/>
      <c r="D664" s="91"/>
      <c r="E664" s="80"/>
      <c r="F664" s="80"/>
      <c r="G664" s="91"/>
      <c r="H664" s="91"/>
    </row>
    <row r="665" spans="2:8">
      <c r="B665" s="80"/>
      <c r="C665" s="36"/>
      <c r="D665" s="91"/>
      <c r="E665" s="80"/>
      <c r="F665" s="80"/>
      <c r="G665" s="91"/>
      <c r="H665" s="91"/>
    </row>
    <row r="666" spans="2:8">
      <c r="B666" s="80"/>
      <c r="C666" s="36"/>
      <c r="D666" s="91"/>
      <c r="E666" s="80"/>
      <c r="F666" s="80"/>
      <c r="G666" s="91"/>
      <c r="H666" s="91"/>
    </row>
    <row r="667" spans="2:8">
      <c r="B667" s="80"/>
      <c r="C667" s="36"/>
      <c r="D667" s="91"/>
      <c r="E667" s="80"/>
      <c r="F667" s="80"/>
      <c r="G667" s="91"/>
      <c r="H667" s="91"/>
    </row>
    <row r="668" spans="2:8">
      <c r="B668" s="80"/>
      <c r="C668" s="36"/>
      <c r="D668" s="91"/>
      <c r="E668" s="80"/>
      <c r="F668" s="80"/>
      <c r="G668" s="91"/>
      <c r="H668" s="91"/>
    </row>
    <row r="669" spans="2:8">
      <c r="B669" s="80"/>
      <c r="C669" s="36"/>
      <c r="D669" s="91"/>
      <c r="E669" s="80"/>
      <c r="F669" s="80"/>
      <c r="G669" s="91"/>
      <c r="H669" s="91"/>
    </row>
    <row r="670" spans="2:8">
      <c r="B670" s="80"/>
      <c r="C670" s="36"/>
      <c r="D670" s="91"/>
      <c r="E670" s="80"/>
      <c r="F670" s="80"/>
      <c r="G670" s="91"/>
      <c r="H670" s="91"/>
    </row>
    <row r="671" spans="2:8">
      <c r="B671" s="80"/>
      <c r="C671" s="36"/>
      <c r="D671" s="91"/>
      <c r="E671" s="80"/>
      <c r="F671" s="80"/>
      <c r="G671" s="91"/>
      <c r="H671" s="91"/>
    </row>
    <row r="672" spans="2:8">
      <c r="B672" s="80"/>
      <c r="C672" s="36"/>
      <c r="D672" s="91"/>
      <c r="E672" s="80"/>
      <c r="F672" s="80"/>
      <c r="G672" s="91"/>
      <c r="H672" s="91"/>
    </row>
    <row r="673" spans="2:8">
      <c r="B673" s="80"/>
      <c r="C673" s="36"/>
      <c r="D673" s="91"/>
      <c r="E673" s="80"/>
      <c r="F673" s="80"/>
      <c r="G673" s="91"/>
      <c r="H673" s="91"/>
    </row>
    <row r="674" spans="2:8">
      <c r="B674" s="80"/>
      <c r="C674" s="36"/>
      <c r="D674" s="91"/>
      <c r="E674" s="80"/>
      <c r="F674" s="80"/>
      <c r="G674" s="91"/>
      <c r="H674" s="91"/>
    </row>
    <row r="675" spans="2:8">
      <c r="B675" s="80"/>
      <c r="C675" s="36"/>
      <c r="D675" s="91"/>
      <c r="E675" s="80"/>
      <c r="F675" s="80"/>
      <c r="G675" s="91"/>
      <c r="H675" s="91"/>
    </row>
    <row r="676" spans="2:8">
      <c r="B676" s="80"/>
      <c r="C676" s="36"/>
      <c r="D676" s="91"/>
      <c r="E676" s="80"/>
      <c r="F676" s="80"/>
      <c r="G676" s="91"/>
      <c r="H676" s="91"/>
    </row>
    <row r="677" spans="2:8">
      <c r="B677" s="80"/>
      <c r="C677" s="36"/>
      <c r="D677" s="91"/>
      <c r="E677" s="80"/>
      <c r="F677" s="80"/>
      <c r="G677" s="91"/>
      <c r="H677" s="91"/>
    </row>
    <row r="678" spans="2:8">
      <c r="B678" s="80"/>
      <c r="C678" s="36"/>
      <c r="D678" s="91"/>
      <c r="E678" s="80"/>
      <c r="F678" s="80"/>
      <c r="G678" s="91"/>
      <c r="H678" s="91"/>
    </row>
    <row r="679" spans="2:8">
      <c r="B679" s="80"/>
      <c r="C679" s="36"/>
      <c r="D679" s="91"/>
      <c r="E679" s="80"/>
      <c r="F679" s="80"/>
      <c r="G679" s="91"/>
      <c r="H679" s="91"/>
    </row>
    <row r="680" spans="2:8">
      <c r="B680" s="80"/>
      <c r="C680" s="36"/>
      <c r="D680" s="91"/>
      <c r="E680" s="80"/>
      <c r="F680" s="80"/>
      <c r="G680" s="91"/>
      <c r="H680" s="91"/>
    </row>
    <row r="681" spans="2:8">
      <c r="B681" s="80"/>
      <c r="C681" s="36"/>
      <c r="D681" s="91"/>
      <c r="E681" s="80"/>
      <c r="F681" s="80"/>
      <c r="G681" s="91"/>
      <c r="H681" s="91"/>
    </row>
    <row r="682" spans="2:8">
      <c r="B682" s="80"/>
      <c r="C682" s="36"/>
      <c r="D682" s="91"/>
      <c r="E682" s="80"/>
      <c r="F682" s="80"/>
      <c r="G682" s="91"/>
      <c r="H682" s="91"/>
    </row>
    <row r="683" spans="2:8">
      <c r="B683" s="80"/>
      <c r="C683" s="36"/>
      <c r="D683" s="91"/>
      <c r="E683" s="80"/>
      <c r="F683" s="80"/>
      <c r="G683" s="91"/>
      <c r="H683" s="91"/>
    </row>
    <row r="684" spans="2:8">
      <c r="B684" s="80"/>
      <c r="C684" s="36"/>
      <c r="D684" s="91"/>
      <c r="E684" s="80"/>
      <c r="F684" s="80"/>
      <c r="G684" s="91"/>
      <c r="H684" s="91"/>
    </row>
    <row r="685" spans="2:8">
      <c r="B685" s="80"/>
      <c r="C685" s="36"/>
      <c r="D685" s="91"/>
      <c r="E685" s="80"/>
      <c r="F685" s="80"/>
      <c r="G685" s="91"/>
      <c r="H685" s="91"/>
    </row>
    <row r="686" spans="2:8">
      <c r="B686" s="80"/>
      <c r="C686" s="36"/>
      <c r="D686" s="91"/>
      <c r="E686" s="80"/>
      <c r="F686" s="80"/>
      <c r="G686" s="91"/>
      <c r="H686" s="91"/>
    </row>
    <row r="687" spans="2:8">
      <c r="B687" s="80"/>
      <c r="C687" s="36"/>
      <c r="D687" s="91"/>
      <c r="E687" s="80"/>
      <c r="F687" s="80"/>
      <c r="G687" s="91"/>
      <c r="H687" s="91"/>
    </row>
    <row r="688" spans="2:8">
      <c r="B688" s="80"/>
      <c r="C688" s="36"/>
      <c r="D688" s="91"/>
      <c r="E688" s="80"/>
      <c r="F688" s="80"/>
      <c r="G688" s="91"/>
      <c r="H688" s="91"/>
    </row>
    <row r="689" spans="2:8">
      <c r="B689" s="80"/>
      <c r="C689" s="36"/>
      <c r="D689" s="91"/>
      <c r="E689" s="80"/>
      <c r="F689" s="80"/>
      <c r="G689" s="91"/>
      <c r="H689" s="91"/>
    </row>
    <row r="690" spans="2:8">
      <c r="B690" s="80"/>
      <c r="C690" s="36"/>
      <c r="D690" s="91"/>
      <c r="E690" s="80"/>
      <c r="F690" s="80"/>
      <c r="G690" s="91"/>
      <c r="H690" s="91"/>
    </row>
    <row r="691" spans="2:8">
      <c r="B691" s="80"/>
      <c r="C691" s="36"/>
      <c r="D691" s="91"/>
      <c r="E691" s="80"/>
      <c r="F691" s="80"/>
      <c r="G691" s="91"/>
      <c r="H691" s="91"/>
    </row>
    <row r="692" spans="2:8">
      <c r="B692" s="80"/>
      <c r="C692" s="36"/>
      <c r="D692" s="91"/>
      <c r="E692" s="80"/>
      <c r="F692" s="80"/>
      <c r="G692" s="91"/>
      <c r="H692" s="91"/>
    </row>
    <row r="693" spans="2:8">
      <c r="B693" s="80"/>
      <c r="C693" s="36"/>
      <c r="D693" s="91"/>
      <c r="E693" s="80"/>
      <c r="F693" s="80"/>
      <c r="G693" s="91"/>
      <c r="H693" s="91"/>
    </row>
    <row r="694" spans="2:8">
      <c r="B694" s="80"/>
      <c r="C694" s="36"/>
      <c r="D694" s="91"/>
      <c r="E694" s="80"/>
      <c r="F694" s="80"/>
      <c r="G694" s="91"/>
      <c r="H694" s="91"/>
    </row>
    <row r="695" spans="2:8">
      <c r="B695" s="80"/>
      <c r="C695" s="36"/>
      <c r="D695" s="91"/>
      <c r="E695" s="80"/>
      <c r="F695" s="80"/>
      <c r="G695" s="91"/>
      <c r="H695" s="91"/>
    </row>
    <row r="696" spans="2:8">
      <c r="B696" s="80"/>
      <c r="C696" s="36"/>
      <c r="D696" s="91"/>
      <c r="E696" s="80"/>
      <c r="F696" s="80"/>
      <c r="G696" s="91"/>
      <c r="H696" s="91"/>
    </row>
    <row r="697" spans="2:8">
      <c r="B697" s="80"/>
      <c r="C697" s="36"/>
      <c r="D697" s="91"/>
      <c r="E697" s="80"/>
      <c r="F697" s="80"/>
      <c r="G697" s="91"/>
      <c r="H697" s="91"/>
    </row>
    <row r="698" spans="2:8">
      <c r="B698" s="80"/>
      <c r="C698" s="36"/>
      <c r="D698" s="91"/>
      <c r="E698" s="80"/>
      <c r="F698" s="80"/>
      <c r="G698" s="91"/>
      <c r="H698" s="91"/>
    </row>
    <row r="699" spans="2:8">
      <c r="B699" s="80"/>
      <c r="C699" s="36"/>
      <c r="D699" s="91"/>
      <c r="E699" s="80"/>
      <c r="F699" s="80"/>
      <c r="G699" s="91"/>
      <c r="H699" s="91"/>
    </row>
    <row r="700" spans="2:8">
      <c r="B700" s="80"/>
      <c r="C700" s="36"/>
      <c r="D700" s="91"/>
      <c r="E700" s="80"/>
      <c r="F700" s="80"/>
      <c r="G700" s="91"/>
      <c r="H700" s="91"/>
    </row>
    <row r="701" spans="2:8">
      <c r="B701" s="80"/>
      <c r="C701" s="36"/>
      <c r="D701" s="91"/>
      <c r="E701" s="80"/>
      <c r="F701" s="80"/>
      <c r="G701" s="91"/>
      <c r="H701" s="91"/>
    </row>
    <row r="702" spans="2:8">
      <c r="B702" s="80"/>
      <c r="C702" s="36"/>
      <c r="D702" s="91"/>
      <c r="E702" s="80"/>
      <c r="F702" s="80"/>
      <c r="G702" s="91"/>
      <c r="H702" s="91"/>
    </row>
    <row r="703" spans="2:8">
      <c r="B703" s="80"/>
      <c r="C703" s="36"/>
      <c r="D703" s="91"/>
      <c r="E703" s="80"/>
      <c r="F703" s="80"/>
      <c r="G703" s="91"/>
      <c r="H703" s="91"/>
    </row>
    <row r="704" spans="2:8">
      <c r="B704" s="80"/>
      <c r="C704" s="36"/>
      <c r="D704" s="91"/>
      <c r="E704" s="80"/>
      <c r="F704" s="80"/>
      <c r="G704" s="91"/>
      <c r="H704" s="91"/>
    </row>
    <row r="705" spans="2:8">
      <c r="B705" s="80"/>
      <c r="C705" s="36"/>
      <c r="D705" s="91"/>
      <c r="E705" s="80"/>
      <c r="F705" s="80"/>
      <c r="G705" s="91"/>
      <c r="H705" s="91"/>
    </row>
    <row r="706" spans="2:8">
      <c r="B706" s="80"/>
      <c r="C706" s="36"/>
      <c r="D706" s="91"/>
      <c r="E706" s="80"/>
      <c r="F706" s="80"/>
      <c r="G706" s="91"/>
      <c r="H706" s="91"/>
    </row>
    <row r="707" spans="2:8">
      <c r="B707" s="80"/>
      <c r="C707" s="36"/>
      <c r="D707" s="91"/>
      <c r="E707" s="80"/>
      <c r="F707" s="80"/>
      <c r="G707" s="91"/>
      <c r="H707" s="91"/>
    </row>
    <row r="708" spans="2:8">
      <c r="B708" s="80"/>
      <c r="C708" s="36"/>
      <c r="D708" s="91"/>
      <c r="E708" s="80"/>
      <c r="F708" s="80"/>
      <c r="G708" s="91"/>
      <c r="H708" s="91"/>
    </row>
    <row r="709" spans="2:8">
      <c r="B709" s="80"/>
      <c r="C709" s="36"/>
      <c r="D709" s="91"/>
      <c r="E709" s="80"/>
      <c r="F709" s="80"/>
      <c r="G709" s="91"/>
      <c r="H709" s="91"/>
    </row>
    <row r="710" spans="2:8">
      <c r="B710" s="80"/>
      <c r="C710" s="36"/>
      <c r="D710" s="91"/>
      <c r="E710" s="80"/>
      <c r="F710" s="80"/>
      <c r="G710" s="91"/>
      <c r="H710" s="91"/>
    </row>
    <row r="711" spans="2:8">
      <c r="B711" s="80"/>
      <c r="C711" s="36"/>
      <c r="D711" s="91"/>
      <c r="E711" s="80"/>
      <c r="F711" s="80"/>
      <c r="G711" s="91"/>
      <c r="H711" s="91"/>
    </row>
    <row r="712" spans="2:8">
      <c r="B712" s="80"/>
      <c r="C712" s="36"/>
      <c r="D712" s="91"/>
      <c r="E712" s="80"/>
      <c r="F712" s="80"/>
      <c r="G712" s="91"/>
      <c r="H712" s="91"/>
    </row>
    <row r="713" spans="2:8">
      <c r="B713" s="80"/>
      <c r="C713" s="36"/>
      <c r="D713" s="91"/>
      <c r="E713" s="80"/>
      <c r="F713" s="80"/>
      <c r="G713" s="91"/>
      <c r="H713" s="91"/>
    </row>
    <row r="714" spans="2:8">
      <c r="B714" s="80"/>
      <c r="C714" s="36"/>
      <c r="D714" s="91"/>
      <c r="E714" s="80"/>
      <c r="F714" s="80"/>
      <c r="G714" s="91"/>
      <c r="H714" s="91"/>
    </row>
    <row r="715" spans="2:8">
      <c r="B715" s="80"/>
      <c r="C715" s="36"/>
      <c r="D715" s="91"/>
      <c r="E715" s="80"/>
      <c r="F715" s="80"/>
      <c r="G715" s="91"/>
      <c r="H715" s="91"/>
    </row>
    <row r="716" spans="2:8">
      <c r="B716" s="80"/>
      <c r="C716" s="36"/>
      <c r="D716" s="91"/>
      <c r="E716" s="80"/>
      <c r="F716" s="80"/>
      <c r="G716" s="91"/>
      <c r="H716" s="91"/>
    </row>
    <row r="717" spans="2:8">
      <c r="B717" s="80"/>
      <c r="C717" s="36"/>
      <c r="D717" s="91"/>
      <c r="E717" s="80"/>
      <c r="F717" s="80"/>
      <c r="G717" s="91"/>
      <c r="H717" s="91"/>
    </row>
    <row r="718" spans="2:8">
      <c r="B718" s="80"/>
      <c r="C718" s="36"/>
      <c r="D718" s="91"/>
      <c r="E718" s="80"/>
      <c r="F718" s="80"/>
      <c r="G718" s="91"/>
      <c r="H718" s="91"/>
    </row>
    <row r="719" spans="2:8">
      <c r="B719" s="80"/>
      <c r="C719" s="36"/>
      <c r="D719" s="91"/>
      <c r="E719" s="80"/>
      <c r="F719" s="80"/>
      <c r="G719" s="91"/>
      <c r="H719" s="91"/>
    </row>
    <row r="720" spans="2:8">
      <c r="B720" s="80"/>
      <c r="C720" s="36"/>
      <c r="D720" s="91"/>
      <c r="E720" s="80"/>
      <c r="F720" s="80"/>
      <c r="G720" s="91"/>
      <c r="H720" s="91"/>
    </row>
    <row r="721" spans="2:8">
      <c r="B721" s="80"/>
      <c r="C721" s="36"/>
      <c r="D721" s="91"/>
      <c r="E721" s="80"/>
      <c r="F721" s="80"/>
      <c r="G721" s="91"/>
      <c r="H721" s="91"/>
    </row>
    <row r="722" spans="2:8">
      <c r="B722" s="80"/>
      <c r="C722" s="36"/>
      <c r="D722" s="91"/>
      <c r="E722" s="80"/>
      <c r="F722" s="80"/>
      <c r="G722" s="91"/>
      <c r="H722" s="91"/>
    </row>
    <row r="723" spans="2:8">
      <c r="B723" s="80"/>
      <c r="C723" s="36"/>
      <c r="D723" s="91"/>
      <c r="E723" s="80"/>
      <c r="F723" s="80"/>
      <c r="G723" s="91"/>
      <c r="H723" s="91"/>
    </row>
    <row r="724" spans="2:8">
      <c r="B724" s="80"/>
      <c r="C724" s="36"/>
      <c r="D724" s="91"/>
      <c r="E724" s="80"/>
      <c r="F724" s="80"/>
      <c r="G724" s="91"/>
      <c r="H724" s="91"/>
    </row>
    <row r="725" spans="2:8">
      <c r="B725" s="80"/>
      <c r="C725" s="36"/>
      <c r="D725" s="91"/>
      <c r="E725" s="80"/>
      <c r="F725" s="80"/>
      <c r="G725" s="91"/>
      <c r="H725" s="91"/>
    </row>
    <row r="726" spans="2:8">
      <c r="B726" s="80"/>
      <c r="C726" s="36"/>
      <c r="D726" s="91"/>
      <c r="E726" s="80"/>
      <c r="F726" s="80"/>
      <c r="G726" s="91"/>
      <c r="H726" s="91"/>
    </row>
    <row r="727" spans="2:8">
      <c r="B727" s="80"/>
      <c r="C727" s="36"/>
      <c r="D727" s="91"/>
      <c r="E727" s="80"/>
      <c r="F727" s="80"/>
      <c r="G727" s="91"/>
      <c r="H727" s="91"/>
    </row>
    <row r="728" spans="2:8">
      <c r="B728" s="80"/>
      <c r="C728" s="36"/>
      <c r="D728" s="91"/>
      <c r="E728" s="80"/>
      <c r="F728" s="80"/>
      <c r="G728" s="91"/>
      <c r="H728" s="91"/>
    </row>
    <row r="729" spans="2:8">
      <c r="B729" s="80"/>
      <c r="C729" s="36"/>
      <c r="D729" s="91"/>
      <c r="E729" s="80"/>
      <c r="F729" s="80"/>
      <c r="G729" s="91"/>
      <c r="H729" s="91"/>
    </row>
    <row r="730" spans="2:8">
      <c r="B730" s="80"/>
      <c r="C730" s="36"/>
      <c r="D730" s="91"/>
      <c r="E730" s="80"/>
      <c r="F730" s="80"/>
      <c r="G730" s="91"/>
      <c r="H730" s="91"/>
    </row>
    <row r="731" spans="2:8">
      <c r="B731" s="80"/>
      <c r="C731" s="36"/>
      <c r="D731" s="91"/>
      <c r="E731" s="80"/>
      <c r="F731" s="80"/>
      <c r="G731" s="91"/>
      <c r="H731" s="91"/>
    </row>
    <row r="732" spans="2:8">
      <c r="B732" s="80"/>
      <c r="C732" s="36"/>
      <c r="D732" s="91"/>
      <c r="E732" s="80"/>
      <c r="F732" s="80"/>
      <c r="G732" s="91"/>
      <c r="H732" s="91"/>
    </row>
    <row r="733" spans="2:8">
      <c r="B733" s="80"/>
      <c r="C733" s="36"/>
      <c r="D733" s="91"/>
      <c r="E733" s="80"/>
      <c r="F733" s="80"/>
      <c r="G733" s="91"/>
      <c r="H733" s="91"/>
    </row>
    <row r="734" spans="2:8">
      <c r="B734" s="80"/>
      <c r="C734" s="36"/>
      <c r="D734" s="91"/>
      <c r="E734" s="80"/>
      <c r="F734" s="80"/>
      <c r="G734" s="91"/>
      <c r="H734" s="91"/>
    </row>
    <row r="735" spans="2:8">
      <c r="B735" s="80"/>
      <c r="C735" s="36"/>
      <c r="D735" s="91"/>
      <c r="E735" s="80"/>
      <c r="F735" s="80"/>
      <c r="G735" s="91"/>
      <c r="H735" s="91"/>
    </row>
    <row r="736" spans="2:8">
      <c r="B736" s="80"/>
      <c r="C736" s="36"/>
      <c r="D736" s="91"/>
      <c r="E736" s="80"/>
      <c r="F736" s="80"/>
      <c r="G736" s="91"/>
      <c r="H736" s="91"/>
    </row>
    <row r="737" spans="2:8">
      <c r="B737" s="80"/>
      <c r="C737" s="36"/>
      <c r="D737" s="91"/>
      <c r="E737" s="80"/>
      <c r="F737" s="80"/>
      <c r="G737" s="91"/>
      <c r="H737" s="91"/>
    </row>
    <row r="738" spans="2:8">
      <c r="B738" s="80"/>
      <c r="C738" s="36"/>
      <c r="D738" s="91"/>
      <c r="E738" s="80"/>
      <c r="F738" s="80"/>
      <c r="G738" s="91"/>
      <c r="H738" s="91"/>
    </row>
    <row r="739" spans="2:8">
      <c r="B739" s="80"/>
      <c r="C739" s="36"/>
      <c r="D739" s="91"/>
      <c r="E739" s="80"/>
      <c r="F739" s="80"/>
      <c r="G739" s="91"/>
      <c r="H739" s="91"/>
    </row>
    <row r="740" spans="2:8">
      <c r="B740" s="80"/>
      <c r="C740" s="36"/>
      <c r="D740" s="91"/>
      <c r="E740" s="80"/>
      <c r="F740" s="80"/>
      <c r="G740" s="91"/>
      <c r="H740" s="91"/>
    </row>
    <row r="741" spans="2:8">
      <c r="B741" s="80"/>
      <c r="C741" s="36"/>
      <c r="D741" s="91"/>
      <c r="E741" s="80"/>
      <c r="F741" s="80"/>
      <c r="G741" s="91"/>
      <c r="H741" s="91"/>
    </row>
    <row r="742" spans="2:8">
      <c r="B742" s="80"/>
      <c r="C742" s="36"/>
      <c r="D742" s="91"/>
      <c r="E742" s="80"/>
      <c r="F742" s="80"/>
      <c r="G742" s="91"/>
      <c r="H742" s="91"/>
    </row>
    <row r="743" spans="2:8">
      <c r="B743" s="80"/>
      <c r="C743" s="36"/>
      <c r="D743" s="91"/>
      <c r="E743" s="80"/>
      <c r="F743" s="80"/>
      <c r="G743" s="91"/>
      <c r="H743" s="91"/>
    </row>
    <row r="744" spans="2:8">
      <c r="B744" s="80"/>
      <c r="C744" s="36"/>
      <c r="D744" s="91"/>
      <c r="E744" s="80"/>
      <c r="F744" s="80"/>
      <c r="G744" s="91"/>
      <c r="H744" s="91"/>
    </row>
    <row r="745" spans="2:8">
      <c r="B745" s="80"/>
      <c r="C745" s="36"/>
      <c r="D745" s="91"/>
      <c r="E745" s="80"/>
      <c r="F745" s="80"/>
      <c r="G745" s="91"/>
      <c r="H745" s="91"/>
    </row>
    <row r="746" spans="2:8">
      <c r="B746" s="80"/>
      <c r="C746" s="36"/>
      <c r="D746" s="91"/>
      <c r="E746" s="80"/>
      <c r="F746" s="80"/>
      <c r="G746" s="91"/>
      <c r="H746" s="91"/>
    </row>
    <row r="747" spans="2:8">
      <c r="B747" s="80"/>
      <c r="C747" s="36"/>
      <c r="D747" s="91"/>
      <c r="E747" s="80"/>
      <c r="F747" s="80"/>
      <c r="G747" s="91"/>
      <c r="H747" s="91"/>
    </row>
    <row r="748" spans="2:8">
      <c r="B748" s="80"/>
      <c r="C748" s="36"/>
      <c r="D748" s="91"/>
      <c r="E748" s="80"/>
      <c r="F748" s="80"/>
      <c r="G748" s="91"/>
      <c r="H748" s="91"/>
    </row>
    <row r="749" spans="2:8">
      <c r="B749" s="80"/>
      <c r="C749" s="36"/>
      <c r="D749" s="91"/>
      <c r="E749" s="80"/>
      <c r="F749" s="80"/>
      <c r="G749" s="91"/>
      <c r="H749" s="91"/>
    </row>
    <row r="750" spans="2:8">
      <c r="B750" s="80"/>
      <c r="C750" s="36"/>
      <c r="D750" s="91"/>
      <c r="E750" s="80"/>
      <c r="F750" s="80"/>
      <c r="G750" s="91"/>
      <c r="H750" s="91"/>
    </row>
    <row r="751" spans="2:8">
      <c r="B751" s="80"/>
      <c r="C751" s="36"/>
      <c r="D751" s="91"/>
      <c r="E751" s="80"/>
      <c r="F751" s="80"/>
      <c r="G751" s="91"/>
      <c r="H751" s="91"/>
    </row>
    <row r="752" spans="2:8">
      <c r="B752" s="80"/>
      <c r="C752" s="36"/>
      <c r="D752" s="91"/>
      <c r="E752" s="80"/>
      <c r="F752" s="80"/>
      <c r="G752" s="91"/>
      <c r="H752" s="91"/>
    </row>
    <row r="753" spans="2:8">
      <c r="B753" s="80"/>
      <c r="C753" s="36"/>
      <c r="D753" s="91"/>
      <c r="E753" s="80"/>
      <c r="F753" s="80"/>
      <c r="G753" s="91"/>
      <c r="H753" s="91"/>
    </row>
    <row r="754" spans="2:8">
      <c r="B754" s="80"/>
      <c r="C754" s="36"/>
      <c r="D754" s="91"/>
      <c r="E754" s="80"/>
      <c r="F754" s="80"/>
      <c r="G754" s="91"/>
      <c r="H754" s="91"/>
    </row>
    <row r="755" spans="2:8">
      <c r="B755" s="80"/>
      <c r="C755" s="36"/>
      <c r="D755" s="91"/>
      <c r="E755" s="80"/>
      <c r="F755" s="80"/>
      <c r="G755" s="91"/>
      <c r="H755" s="91"/>
    </row>
    <row r="756" spans="2:8">
      <c r="B756" s="80"/>
      <c r="C756" s="36"/>
      <c r="D756" s="91"/>
      <c r="E756" s="80"/>
      <c r="F756" s="80"/>
      <c r="G756" s="91"/>
      <c r="H756" s="91"/>
    </row>
    <row r="757" spans="2:8">
      <c r="B757" s="80"/>
      <c r="C757" s="36"/>
      <c r="D757" s="91"/>
      <c r="E757" s="80"/>
      <c r="F757" s="80"/>
      <c r="G757" s="91"/>
      <c r="H757" s="91"/>
    </row>
    <row r="758" spans="2:8">
      <c r="B758" s="80"/>
      <c r="C758" s="36"/>
      <c r="D758" s="91"/>
      <c r="E758" s="80"/>
      <c r="F758" s="80"/>
      <c r="G758" s="91"/>
      <c r="H758" s="91"/>
    </row>
    <row r="759" spans="2:8">
      <c r="B759" s="80"/>
      <c r="C759" s="36"/>
      <c r="D759" s="91"/>
      <c r="E759" s="80"/>
      <c r="F759" s="80"/>
      <c r="G759" s="91"/>
      <c r="H759" s="91"/>
    </row>
    <row r="760" spans="2:8">
      <c r="B760" s="80"/>
      <c r="C760" s="36"/>
      <c r="D760" s="91"/>
      <c r="E760" s="80"/>
      <c r="F760" s="80"/>
      <c r="G760" s="91"/>
      <c r="H760" s="91"/>
    </row>
    <row r="761" spans="2:8">
      <c r="B761" s="80"/>
      <c r="C761" s="36"/>
      <c r="D761" s="91"/>
      <c r="E761" s="80"/>
      <c r="F761" s="80"/>
      <c r="G761" s="91"/>
      <c r="H761" s="91"/>
    </row>
    <row r="762" spans="2:8">
      <c r="B762" s="80"/>
      <c r="C762" s="36"/>
      <c r="D762" s="91"/>
      <c r="E762" s="80"/>
      <c r="F762" s="80"/>
      <c r="G762" s="91"/>
      <c r="H762" s="91"/>
    </row>
    <row r="763" spans="2:8">
      <c r="B763" s="80"/>
      <c r="C763" s="36"/>
      <c r="D763" s="91"/>
      <c r="E763" s="80"/>
      <c r="F763" s="80"/>
      <c r="G763" s="91"/>
      <c r="H763" s="91"/>
    </row>
    <row r="764" spans="2:8">
      <c r="B764" s="80"/>
      <c r="C764" s="36"/>
      <c r="D764" s="91"/>
      <c r="E764" s="80"/>
      <c r="F764" s="80"/>
      <c r="G764" s="91"/>
      <c r="H764" s="91"/>
    </row>
    <row r="765" spans="2:8">
      <c r="B765" s="80"/>
      <c r="C765" s="36"/>
      <c r="D765" s="91"/>
      <c r="E765" s="80"/>
      <c r="F765" s="80"/>
      <c r="G765" s="91"/>
      <c r="H765" s="91"/>
    </row>
    <row r="766" spans="2:8">
      <c r="B766" s="80"/>
      <c r="C766" s="36"/>
      <c r="D766" s="91"/>
      <c r="E766" s="80"/>
      <c r="F766" s="80"/>
      <c r="G766" s="91"/>
      <c r="H766" s="91"/>
    </row>
    <row r="767" spans="2:8">
      <c r="B767" s="80"/>
      <c r="C767" s="36"/>
      <c r="D767" s="91"/>
      <c r="E767" s="80"/>
      <c r="F767" s="80"/>
      <c r="G767" s="91"/>
      <c r="H767" s="91"/>
    </row>
    <row r="768" spans="2:8">
      <c r="B768" s="80"/>
      <c r="C768" s="36"/>
      <c r="D768" s="91"/>
      <c r="E768" s="80"/>
      <c r="F768" s="80"/>
      <c r="G768" s="91"/>
      <c r="H768" s="91"/>
    </row>
    <row r="769" spans="2:8">
      <c r="B769" s="80"/>
      <c r="C769" s="36"/>
      <c r="D769" s="91"/>
      <c r="E769" s="80"/>
      <c r="F769" s="80"/>
      <c r="G769" s="91"/>
      <c r="H769" s="91"/>
    </row>
    <row r="770" spans="2:8">
      <c r="B770" s="80"/>
      <c r="C770" s="36"/>
      <c r="D770" s="91"/>
      <c r="E770" s="80"/>
      <c r="F770" s="80"/>
      <c r="G770" s="91"/>
      <c r="H770" s="91"/>
    </row>
    <row r="771" spans="2:8">
      <c r="B771" s="80"/>
      <c r="C771" s="36"/>
      <c r="D771" s="91"/>
      <c r="E771" s="80"/>
      <c r="F771" s="80"/>
      <c r="G771" s="91"/>
      <c r="H771" s="91"/>
    </row>
    <row r="772" spans="2:8">
      <c r="B772" s="80"/>
      <c r="C772" s="36"/>
      <c r="D772" s="91"/>
      <c r="E772" s="80"/>
      <c r="F772" s="80"/>
      <c r="G772" s="91"/>
      <c r="H772" s="91"/>
    </row>
    <row r="773" spans="2:8">
      <c r="B773" s="80"/>
      <c r="C773" s="36"/>
      <c r="D773" s="91"/>
      <c r="E773" s="80"/>
      <c r="F773" s="80"/>
      <c r="G773" s="91"/>
      <c r="H773" s="91"/>
    </row>
    <row r="774" spans="2:8">
      <c r="B774" s="80"/>
      <c r="C774" s="36"/>
      <c r="D774" s="91"/>
      <c r="E774" s="80"/>
      <c r="F774" s="80"/>
      <c r="G774" s="91"/>
      <c r="H774" s="91"/>
    </row>
    <row r="775" spans="2:8">
      <c r="B775" s="80"/>
      <c r="C775" s="36"/>
      <c r="D775" s="91"/>
      <c r="E775" s="80"/>
      <c r="F775" s="80"/>
      <c r="G775" s="91"/>
      <c r="H775" s="91"/>
    </row>
    <row r="776" spans="2:8">
      <c r="B776" s="80"/>
      <c r="C776" s="36"/>
      <c r="D776" s="91"/>
      <c r="E776" s="80"/>
      <c r="F776" s="80"/>
      <c r="G776" s="91"/>
      <c r="H776" s="91"/>
    </row>
    <row r="777" spans="2:8">
      <c r="B777" s="80"/>
      <c r="C777" s="36"/>
      <c r="D777" s="91"/>
      <c r="E777" s="80"/>
      <c r="F777" s="80"/>
      <c r="G777" s="91"/>
      <c r="H777" s="91"/>
    </row>
    <row r="778" spans="2:8">
      <c r="B778" s="80"/>
      <c r="C778" s="36"/>
      <c r="D778" s="91"/>
      <c r="E778" s="80"/>
      <c r="F778" s="80"/>
      <c r="G778" s="91"/>
      <c r="H778" s="91"/>
    </row>
    <row r="779" spans="2:8">
      <c r="B779" s="80"/>
      <c r="C779" s="36"/>
      <c r="D779" s="91"/>
      <c r="E779" s="80"/>
      <c r="F779" s="80"/>
      <c r="G779" s="91"/>
      <c r="H779" s="91"/>
    </row>
    <row r="780" spans="2:8">
      <c r="B780" s="80"/>
      <c r="C780" s="36"/>
      <c r="D780" s="91"/>
      <c r="E780" s="80"/>
      <c r="F780" s="80"/>
      <c r="G780" s="91"/>
      <c r="H780" s="91"/>
    </row>
    <row r="781" spans="2:8">
      <c r="B781" s="80"/>
      <c r="C781" s="36"/>
      <c r="D781" s="91"/>
      <c r="E781" s="80"/>
      <c r="F781" s="80"/>
      <c r="G781" s="91"/>
      <c r="H781" s="91"/>
    </row>
    <row r="782" spans="2:8">
      <c r="B782" s="80"/>
      <c r="C782" s="36"/>
      <c r="D782" s="91"/>
      <c r="E782" s="80"/>
      <c r="F782" s="80"/>
      <c r="G782" s="91"/>
      <c r="H782" s="91"/>
    </row>
    <row r="783" spans="2:8">
      <c r="B783" s="80"/>
      <c r="C783" s="36"/>
      <c r="D783" s="91"/>
      <c r="E783" s="80"/>
      <c r="F783" s="80"/>
      <c r="G783" s="91"/>
      <c r="H783" s="91"/>
    </row>
    <row r="784" spans="2:8">
      <c r="B784" s="80"/>
      <c r="C784" s="36"/>
      <c r="D784" s="91"/>
      <c r="E784" s="80"/>
      <c r="F784" s="80"/>
      <c r="G784" s="91"/>
      <c r="H784" s="91"/>
    </row>
    <row r="785" spans="2:8">
      <c r="B785" s="80"/>
      <c r="C785" s="36"/>
      <c r="D785" s="91"/>
      <c r="E785" s="80"/>
      <c r="F785" s="80"/>
      <c r="G785" s="91"/>
      <c r="H785" s="91"/>
    </row>
    <row r="786" spans="2:8">
      <c r="B786" s="80"/>
      <c r="C786" s="36"/>
      <c r="D786" s="91"/>
      <c r="E786" s="80"/>
      <c r="F786" s="80"/>
      <c r="G786" s="91"/>
      <c r="H786" s="91"/>
    </row>
    <row r="787" spans="2:8">
      <c r="B787" s="80"/>
      <c r="C787" s="36"/>
      <c r="D787" s="91"/>
      <c r="E787" s="80"/>
      <c r="F787" s="80"/>
      <c r="G787" s="91"/>
      <c r="H787" s="91"/>
    </row>
    <row r="788" spans="2:8">
      <c r="B788" s="80"/>
      <c r="C788" s="36"/>
      <c r="D788" s="91"/>
      <c r="E788" s="80"/>
      <c r="F788" s="80"/>
      <c r="G788" s="91"/>
      <c r="H788" s="91"/>
    </row>
    <row r="789" spans="2:8">
      <c r="B789" s="80"/>
      <c r="C789" s="36"/>
      <c r="D789" s="91"/>
      <c r="E789" s="80"/>
      <c r="F789" s="80"/>
      <c r="G789" s="91"/>
      <c r="H789" s="91"/>
    </row>
    <row r="790" spans="2:8">
      <c r="B790" s="80"/>
      <c r="C790" s="36"/>
      <c r="D790" s="91"/>
      <c r="E790" s="80"/>
      <c r="F790" s="80"/>
      <c r="G790" s="91"/>
      <c r="H790" s="91"/>
    </row>
    <row r="791" spans="2:8">
      <c r="B791" s="80"/>
      <c r="C791" s="36"/>
      <c r="D791" s="91"/>
      <c r="E791" s="80"/>
      <c r="F791" s="80"/>
      <c r="G791" s="91"/>
      <c r="H791" s="91"/>
    </row>
    <row r="792" spans="2:8">
      <c r="B792" s="80"/>
      <c r="C792" s="36"/>
      <c r="D792" s="91"/>
      <c r="E792" s="80"/>
      <c r="F792" s="80"/>
      <c r="G792" s="91"/>
      <c r="H792" s="91"/>
    </row>
    <row r="793" spans="2:8">
      <c r="B793" s="80"/>
      <c r="C793" s="36"/>
      <c r="D793" s="91"/>
      <c r="E793" s="80"/>
      <c r="F793" s="80"/>
      <c r="G793" s="91"/>
      <c r="H793" s="91"/>
    </row>
    <row r="794" spans="2:8">
      <c r="B794" s="80"/>
      <c r="C794" s="36"/>
      <c r="D794" s="91"/>
      <c r="E794" s="80"/>
      <c r="F794" s="80"/>
      <c r="G794" s="91"/>
      <c r="H794" s="91"/>
    </row>
    <row r="795" spans="2:8">
      <c r="B795" s="80"/>
      <c r="C795" s="36"/>
      <c r="D795" s="91"/>
      <c r="E795" s="80"/>
      <c r="F795" s="80"/>
      <c r="G795" s="91"/>
      <c r="H795" s="91"/>
    </row>
    <row r="796" spans="2:8">
      <c r="B796" s="80"/>
      <c r="C796" s="36"/>
      <c r="D796" s="91"/>
      <c r="E796" s="80"/>
      <c r="F796" s="80"/>
      <c r="G796" s="91"/>
      <c r="H796" s="91"/>
    </row>
    <row r="797" spans="2:8">
      <c r="B797" s="80"/>
      <c r="C797" s="36"/>
      <c r="D797" s="91"/>
      <c r="E797" s="80"/>
      <c r="F797" s="80"/>
      <c r="G797" s="91"/>
      <c r="H797" s="91"/>
    </row>
    <row r="798" spans="2:8">
      <c r="B798" s="80"/>
      <c r="C798" s="36"/>
      <c r="D798" s="91"/>
      <c r="E798" s="80"/>
      <c r="F798" s="80"/>
      <c r="G798" s="91"/>
      <c r="H798" s="91"/>
    </row>
    <row r="799" spans="2:8">
      <c r="B799" s="80"/>
      <c r="C799" s="36"/>
      <c r="D799" s="91"/>
      <c r="E799" s="80"/>
      <c r="F799" s="80"/>
      <c r="G799" s="91"/>
      <c r="H799" s="91"/>
    </row>
    <row r="800" spans="2:8">
      <c r="B800" s="80"/>
      <c r="C800" s="36"/>
      <c r="D800" s="91"/>
      <c r="E800" s="80"/>
      <c r="F800" s="80"/>
      <c r="G800" s="91"/>
      <c r="H800" s="91"/>
    </row>
    <row r="801" spans="2:8">
      <c r="B801" s="80"/>
      <c r="C801" s="36"/>
      <c r="D801" s="91"/>
      <c r="E801" s="80"/>
      <c r="F801" s="80"/>
      <c r="G801" s="91"/>
      <c r="H801" s="91"/>
    </row>
    <row r="802" spans="2:8">
      <c r="B802" s="80"/>
      <c r="C802" s="36"/>
      <c r="D802" s="91"/>
      <c r="E802" s="80"/>
      <c r="F802" s="80"/>
      <c r="G802" s="91"/>
      <c r="H802" s="91"/>
    </row>
    <row r="803" spans="2:8">
      <c r="B803" s="80"/>
      <c r="C803" s="36"/>
      <c r="D803" s="91"/>
      <c r="E803" s="80"/>
      <c r="F803" s="80"/>
      <c r="G803" s="91"/>
      <c r="H803" s="91"/>
    </row>
    <row r="804" spans="2:8">
      <c r="B804" s="80"/>
      <c r="C804" s="36"/>
      <c r="D804" s="91"/>
      <c r="E804" s="80"/>
      <c r="F804" s="80"/>
      <c r="G804" s="91"/>
      <c r="H804" s="91"/>
    </row>
    <row r="805" spans="2:8">
      <c r="B805" s="80"/>
      <c r="C805" s="36"/>
      <c r="D805" s="91"/>
      <c r="E805" s="80"/>
      <c r="F805" s="80"/>
      <c r="G805" s="91"/>
      <c r="H805" s="91"/>
    </row>
    <row r="806" spans="2:8">
      <c r="B806" s="80"/>
      <c r="C806" s="36"/>
      <c r="D806" s="91"/>
      <c r="E806" s="80"/>
      <c r="F806" s="80"/>
      <c r="G806" s="91"/>
      <c r="H806" s="91"/>
    </row>
    <row r="807" spans="2:8">
      <c r="B807" s="80"/>
      <c r="C807" s="36"/>
      <c r="D807" s="91"/>
      <c r="E807" s="80"/>
      <c r="F807" s="80"/>
      <c r="G807" s="91"/>
      <c r="H807" s="91"/>
    </row>
    <row r="808" spans="2:8">
      <c r="B808" s="80"/>
      <c r="C808" s="36"/>
      <c r="D808" s="91"/>
      <c r="E808" s="80"/>
      <c r="F808" s="80"/>
      <c r="G808" s="91"/>
      <c r="H808" s="91"/>
    </row>
    <row r="809" spans="2:8">
      <c r="B809" s="80"/>
      <c r="C809" s="36"/>
      <c r="D809" s="91"/>
      <c r="E809" s="80"/>
      <c r="F809" s="80"/>
      <c r="G809" s="91"/>
      <c r="H809" s="91"/>
    </row>
    <row r="810" spans="2:8">
      <c r="B810" s="80"/>
      <c r="C810" s="36"/>
      <c r="D810" s="91"/>
      <c r="E810" s="80"/>
      <c r="F810" s="80"/>
      <c r="G810" s="91"/>
      <c r="H810" s="91"/>
    </row>
    <row r="811" spans="2:8">
      <c r="B811" s="80"/>
      <c r="C811" s="36"/>
      <c r="D811" s="91"/>
      <c r="E811" s="80"/>
      <c r="F811" s="80"/>
      <c r="G811" s="91"/>
      <c r="H811" s="91"/>
    </row>
    <row r="812" spans="2:8">
      <c r="B812" s="80"/>
      <c r="C812" s="36"/>
      <c r="D812" s="91"/>
      <c r="E812" s="80"/>
      <c r="F812" s="80"/>
      <c r="G812" s="91"/>
      <c r="H812" s="91"/>
    </row>
    <row r="813" spans="2:8">
      <c r="B813" s="80"/>
      <c r="C813" s="36"/>
      <c r="D813" s="91"/>
      <c r="E813" s="80"/>
      <c r="F813" s="80"/>
      <c r="G813" s="91"/>
      <c r="H813" s="91"/>
    </row>
    <row r="814" spans="2:8">
      <c r="B814" s="80"/>
      <c r="C814" s="36"/>
      <c r="D814" s="91"/>
      <c r="E814" s="80"/>
      <c r="F814" s="80"/>
      <c r="G814" s="91"/>
      <c r="H814" s="91"/>
    </row>
    <row r="815" spans="2:8">
      <c r="B815" s="80"/>
      <c r="C815" s="36"/>
      <c r="D815" s="91"/>
      <c r="E815" s="80"/>
      <c r="F815" s="80"/>
      <c r="G815" s="91"/>
      <c r="H815" s="91"/>
    </row>
    <row r="816" spans="2:8">
      <c r="B816" s="80"/>
      <c r="C816" s="36"/>
      <c r="D816" s="91"/>
      <c r="E816" s="80"/>
      <c r="F816" s="80"/>
      <c r="G816" s="91"/>
      <c r="H816" s="91"/>
    </row>
    <row r="817" spans="2:8">
      <c r="B817" s="80"/>
      <c r="C817" s="36"/>
      <c r="D817" s="91"/>
      <c r="E817" s="80"/>
      <c r="F817" s="80"/>
      <c r="G817" s="91"/>
      <c r="H817" s="91"/>
    </row>
    <row r="818" spans="2:8">
      <c r="B818" s="80"/>
      <c r="C818" s="36"/>
      <c r="D818" s="91"/>
      <c r="E818" s="80"/>
      <c r="F818" s="80"/>
      <c r="G818" s="91"/>
      <c r="H818" s="91"/>
    </row>
    <row r="819" spans="2:8">
      <c r="B819" s="80"/>
      <c r="C819" s="36"/>
      <c r="D819" s="91"/>
      <c r="E819" s="80"/>
      <c r="F819" s="80"/>
      <c r="G819" s="91"/>
      <c r="H819" s="91"/>
    </row>
    <row r="820" spans="2:8">
      <c r="B820" s="80"/>
      <c r="C820" s="36"/>
      <c r="D820" s="91"/>
      <c r="E820" s="80"/>
      <c r="F820" s="80"/>
      <c r="G820" s="91"/>
      <c r="H820" s="91"/>
    </row>
    <row r="821" spans="2:8">
      <c r="B821" s="80"/>
      <c r="C821" s="36"/>
      <c r="D821" s="91"/>
      <c r="E821" s="80"/>
      <c r="F821" s="80"/>
      <c r="G821" s="91"/>
      <c r="H821" s="91"/>
    </row>
    <row r="822" spans="2:8">
      <c r="B822" s="80"/>
      <c r="C822" s="36"/>
      <c r="D822" s="91"/>
      <c r="E822" s="80"/>
      <c r="F822" s="80"/>
      <c r="G822" s="91"/>
      <c r="H822" s="91"/>
    </row>
    <row r="823" spans="2:8">
      <c r="B823" s="80"/>
      <c r="C823" s="36"/>
      <c r="D823" s="91"/>
      <c r="E823" s="80"/>
      <c r="F823" s="80"/>
      <c r="G823" s="91"/>
      <c r="H823" s="91"/>
    </row>
    <row r="824" spans="2:8">
      <c r="B824" s="80"/>
      <c r="C824" s="36"/>
      <c r="D824" s="91"/>
      <c r="E824" s="80"/>
      <c r="F824" s="80"/>
      <c r="G824" s="91"/>
      <c r="H824" s="91"/>
    </row>
    <row r="825" spans="2:8">
      <c r="B825" s="80"/>
      <c r="C825" s="36"/>
      <c r="D825" s="91"/>
      <c r="E825" s="80"/>
      <c r="F825" s="80"/>
      <c r="G825" s="91"/>
      <c r="H825" s="91"/>
    </row>
    <row r="826" spans="2:8">
      <c r="B826" s="80"/>
      <c r="C826" s="36"/>
      <c r="D826" s="91"/>
      <c r="E826" s="80"/>
      <c r="F826" s="80"/>
      <c r="G826" s="91"/>
      <c r="H826" s="91"/>
    </row>
    <row r="827" spans="2:8">
      <c r="B827" s="80"/>
      <c r="C827" s="36"/>
      <c r="D827" s="91"/>
      <c r="E827" s="80"/>
      <c r="F827" s="80"/>
      <c r="G827" s="91"/>
      <c r="H827" s="91"/>
    </row>
    <row r="828" spans="2:8">
      <c r="B828" s="80"/>
      <c r="C828" s="36"/>
      <c r="D828" s="91"/>
      <c r="E828" s="80"/>
      <c r="F828" s="80"/>
      <c r="G828" s="91"/>
      <c r="H828" s="91"/>
    </row>
    <row r="829" spans="2:8">
      <c r="B829" s="80"/>
      <c r="C829" s="36"/>
      <c r="D829" s="91"/>
      <c r="E829" s="80"/>
      <c r="F829" s="80"/>
      <c r="G829" s="91"/>
      <c r="H829" s="91"/>
    </row>
    <row r="830" spans="2:8">
      <c r="B830" s="80"/>
      <c r="C830" s="36"/>
      <c r="D830" s="91"/>
      <c r="E830" s="80"/>
      <c r="F830" s="80"/>
      <c r="G830" s="91"/>
      <c r="H830" s="91"/>
    </row>
    <row r="831" spans="2:8">
      <c r="B831" s="80"/>
      <c r="C831" s="36"/>
      <c r="D831" s="91"/>
      <c r="E831" s="80"/>
      <c r="F831" s="80"/>
      <c r="G831" s="91"/>
      <c r="H831" s="91"/>
    </row>
    <row r="832" spans="2:8">
      <c r="B832" s="80"/>
      <c r="C832" s="36"/>
      <c r="D832" s="91"/>
      <c r="E832" s="80"/>
      <c r="F832" s="80"/>
      <c r="G832" s="91"/>
      <c r="H832" s="91"/>
    </row>
    <row r="833" spans="2:8">
      <c r="B833" s="80"/>
      <c r="C833" s="36"/>
      <c r="D833" s="91"/>
      <c r="E833" s="80"/>
      <c r="F833" s="80"/>
      <c r="G833" s="91"/>
      <c r="H833" s="91"/>
    </row>
    <row r="834" spans="2:8">
      <c r="B834" s="80"/>
      <c r="C834" s="36"/>
      <c r="D834" s="91"/>
      <c r="E834" s="80"/>
      <c r="F834" s="80"/>
      <c r="G834" s="91"/>
      <c r="H834" s="91"/>
    </row>
    <row r="835" spans="2:8">
      <c r="B835" s="80"/>
      <c r="C835" s="36"/>
      <c r="D835" s="91"/>
      <c r="E835" s="80"/>
      <c r="F835" s="80"/>
      <c r="G835" s="91"/>
      <c r="H835" s="91"/>
    </row>
    <row r="836" spans="2:8">
      <c r="B836" s="80"/>
      <c r="C836" s="36"/>
      <c r="D836" s="91"/>
      <c r="E836" s="80"/>
      <c r="F836" s="80"/>
      <c r="G836" s="91"/>
      <c r="H836" s="91"/>
    </row>
    <row r="837" spans="2:8">
      <c r="B837" s="80"/>
      <c r="C837" s="36"/>
      <c r="D837" s="91"/>
      <c r="E837" s="80"/>
      <c r="F837" s="80"/>
      <c r="G837" s="91"/>
      <c r="H837" s="91"/>
    </row>
    <row r="838" spans="2:8">
      <c r="B838" s="80"/>
      <c r="C838" s="36"/>
      <c r="D838" s="91"/>
      <c r="E838" s="80"/>
      <c r="F838" s="80"/>
      <c r="G838" s="91"/>
      <c r="H838" s="91"/>
    </row>
    <row r="839" spans="2:8">
      <c r="B839" s="80"/>
      <c r="C839" s="36"/>
      <c r="D839" s="91"/>
      <c r="E839" s="80"/>
      <c r="F839" s="80"/>
      <c r="G839" s="91"/>
      <c r="H839" s="91"/>
    </row>
    <row r="840" spans="2:8">
      <c r="B840" s="80"/>
      <c r="C840" s="36"/>
      <c r="D840" s="91"/>
      <c r="E840" s="80"/>
      <c r="F840" s="80"/>
      <c r="G840" s="91"/>
      <c r="H840" s="91"/>
    </row>
    <row r="841" spans="2:8">
      <c r="B841" s="80"/>
      <c r="C841" s="36"/>
      <c r="D841" s="91"/>
      <c r="E841" s="80"/>
      <c r="F841" s="80"/>
      <c r="G841" s="91"/>
      <c r="H841" s="91"/>
    </row>
    <row r="842" spans="2:8">
      <c r="B842" s="80"/>
      <c r="C842" s="36"/>
      <c r="D842" s="91"/>
      <c r="E842" s="80"/>
      <c r="F842" s="80"/>
      <c r="G842" s="91"/>
      <c r="H842" s="91"/>
    </row>
    <row r="843" spans="2:8">
      <c r="B843" s="80"/>
      <c r="C843" s="36"/>
      <c r="D843" s="91"/>
      <c r="E843" s="80"/>
      <c r="F843" s="80"/>
      <c r="G843" s="91"/>
      <c r="H843" s="91"/>
    </row>
    <row r="844" spans="2:8">
      <c r="B844" s="80"/>
      <c r="C844" s="36"/>
      <c r="D844" s="91"/>
      <c r="E844" s="80"/>
      <c r="F844" s="80"/>
      <c r="G844" s="91"/>
      <c r="H844" s="91"/>
    </row>
    <row r="845" spans="2:8">
      <c r="B845" s="80"/>
      <c r="C845" s="36"/>
      <c r="D845" s="91"/>
      <c r="E845" s="80"/>
      <c r="F845" s="80"/>
      <c r="G845" s="91"/>
      <c r="H845" s="91"/>
    </row>
    <row r="846" spans="2:8">
      <c r="B846" s="80"/>
      <c r="C846" s="36"/>
      <c r="D846" s="91"/>
      <c r="E846" s="80"/>
      <c r="F846" s="80"/>
      <c r="G846" s="91"/>
      <c r="H846" s="91"/>
    </row>
    <row r="847" spans="2:8">
      <c r="B847" s="80"/>
      <c r="C847" s="36"/>
      <c r="D847" s="91"/>
      <c r="E847" s="80"/>
      <c r="F847" s="80"/>
      <c r="G847" s="91"/>
      <c r="H847" s="91"/>
    </row>
    <row r="848" spans="2:8">
      <c r="B848" s="80"/>
      <c r="C848" s="36"/>
      <c r="D848" s="91"/>
      <c r="E848" s="80"/>
      <c r="F848" s="80"/>
      <c r="G848" s="91"/>
      <c r="H848" s="91"/>
    </row>
    <row r="849" spans="2:8">
      <c r="B849" s="80"/>
      <c r="C849" s="36"/>
      <c r="D849" s="91"/>
      <c r="E849" s="80"/>
      <c r="F849" s="80"/>
      <c r="G849" s="91"/>
      <c r="H849" s="91"/>
    </row>
    <row r="850" spans="2:8">
      <c r="B850" s="80"/>
      <c r="C850" s="36"/>
      <c r="D850" s="91"/>
      <c r="E850" s="80"/>
      <c r="F850" s="80"/>
      <c r="G850" s="91"/>
      <c r="H850" s="91"/>
    </row>
    <row r="851" spans="2:8">
      <c r="B851" s="80"/>
      <c r="C851" s="36"/>
      <c r="D851" s="91"/>
      <c r="E851" s="80"/>
      <c r="F851" s="80"/>
      <c r="G851" s="91"/>
      <c r="H851" s="91"/>
    </row>
    <row r="852" spans="2:8">
      <c r="B852" s="80"/>
      <c r="C852" s="36"/>
      <c r="D852" s="91"/>
      <c r="E852" s="80"/>
      <c r="F852" s="80"/>
      <c r="G852" s="91"/>
      <c r="H852" s="91"/>
    </row>
    <row r="853" spans="2:8">
      <c r="B853" s="80"/>
      <c r="C853" s="36"/>
      <c r="D853" s="91"/>
      <c r="E853" s="80"/>
      <c r="F853" s="80"/>
      <c r="G853" s="91"/>
      <c r="H853" s="91"/>
    </row>
    <row r="854" spans="2:8">
      <c r="B854" s="80"/>
      <c r="C854" s="36"/>
      <c r="D854" s="91"/>
      <c r="E854" s="80"/>
      <c r="F854" s="80"/>
      <c r="G854" s="91"/>
      <c r="H854" s="91"/>
    </row>
    <row r="855" spans="2:8">
      <c r="B855" s="80"/>
      <c r="C855" s="36"/>
      <c r="D855" s="91"/>
      <c r="E855" s="80"/>
      <c r="F855" s="80"/>
      <c r="G855" s="91"/>
      <c r="H855" s="91"/>
    </row>
    <row r="856" spans="2:8">
      <c r="B856" s="80"/>
      <c r="C856" s="36"/>
      <c r="D856" s="91"/>
      <c r="E856" s="80"/>
      <c r="F856" s="80"/>
      <c r="G856" s="91"/>
      <c r="H856" s="91"/>
    </row>
    <row r="857" spans="2:8">
      <c r="B857" s="80"/>
      <c r="C857" s="36"/>
      <c r="D857" s="91"/>
      <c r="E857" s="80"/>
      <c r="F857" s="80"/>
      <c r="G857" s="91"/>
      <c r="H857" s="91"/>
    </row>
    <row r="858" spans="2:8">
      <c r="B858" s="80"/>
      <c r="C858" s="36"/>
      <c r="D858" s="91"/>
      <c r="E858" s="80"/>
      <c r="F858" s="80"/>
      <c r="G858" s="91"/>
      <c r="H858" s="91"/>
    </row>
    <row r="859" spans="2:8">
      <c r="B859" s="80"/>
      <c r="C859" s="36"/>
      <c r="D859" s="91"/>
      <c r="E859" s="80"/>
      <c r="F859" s="80"/>
      <c r="G859" s="91"/>
      <c r="H859" s="91"/>
    </row>
    <row r="860" spans="2:8">
      <c r="B860" s="80"/>
      <c r="C860" s="36"/>
      <c r="D860" s="91"/>
      <c r="E860" s="80"/>
      <c r="F860" s="80"/>
      <c r="G860" s="91"/>
      <c r="H860" s="91"/>
    </row>
    <row r="861" spans="2:8">
      <c r="B861" s="80"/>
      <c r="C861" s="36"/>
      <c r="D861" s="91"/>
      <c r="E861" s="80"/>
      <c r="F861" s="80"/>
      <c r="G861" s="91"/>
      <c r="H861" s="91"/>
    </row>
    <row r="862" spans="2:8">
      <c r="B862" s="80"/>
      <c r="C862" s="36"/>
      <c r="D862" s="91"/>
      <c r="E862" s="80"/>
      <c r="F862" s="80"/>
      <c r="G862" s="91"/>
      <c r="H862" s="91"/>
    </row>
    <row r="863" spans="2:8">
      <c r="B863" s="80"/>
      <c r="C863" s="36"/>
      <c r="D863" s="91"/>
      <c r="E863" s="80"/>
      <c r="F863" s="80"/>
      <c r="G863" s="91"/>
      <c r="H863" s="91"/>
    </row>
    <row r="864" spans="2:8">
      <c r="B864" s="80"/>
      <c r="C864" s="36"/>
      <c r="D864" s="91"/>
      <c r="E864" s="80"/>
      <c r="F864" s="80"/>
      <c r="G864" s="91"/>
      <c r="H864" s="91"/>
    </row>
    <row r="865" spans="2:8">
      <c r="B865" s="80"/>
      <c r="C865" s="36"/>
      <c r="D865" s="91"/>
      <c r="E865" s="80"/>
      <c r="F865" s="80"/>
      <c r="G865" s="91"/>
      <c r="H865" s="91"/>
    </row>
    <row r="866" spans="2:8">
      <c r="B866" s="80"/>
      <c r="C866" s="36"/>
      <c r="D866" s="91"/>
      <c r="E866" s="80"/>
      <c r="F866" s="80"/>
      <c r="G866" s="91"/>
      <c r="H866" s="91"/>
    </row>
    <row r="867" spans="2:8">
      <c r="B867" s="80"/>
      <c r="C867" s="36"/>
      <c r="D867" s="91"/>
      <c r="E867" s="80"/>
      <c r="F867" s="80"/>
      <c r="G867" s="91"/>
      <c r="H867" s="91"/>
    </row>
    <row r="868" spans="2:8">
      <c r="B868" s="80"/>
      <c r="C868" s="36"/>
      <c r="D868" s="91"/>
      <c r="E868" s="80"/>
      <c r="F868" s="80"/>
      <c r="G868" s="91"/>
      <c r="H868" s="91"/>
    </row>
    <row r="869" spans="2:8">
      <c r="B869" s="80"/>
      <c r="C869" s="36"/>
      <c r="D869" s="91"/>
      <c r="E869" s="80"/>
      <c r="F869" s="80"/>
      <c r="G869" s="91"/>
      <c r="H869" s="91"/>
    </row>
    <row r="870" spans="2:8">
      <c r="B870" s="80"/>
      <c r="C870" s="36"/>
      <c r="D870" s="91"/>
      <c r="E870" s="80"/>
      <c r="F870" s="80"/>
      <c r="G870" s="91"/>
      <c r="H870" s="91"/>
    </row>
    <row r="871" spans="2:8">
      <c r="B871" s="80"/>
      <c r="C871" s="36"/>
      <c r="D871" s="91"/>
      <c r="E871" s="80"/>
      <c r="F871" s="80"/>
      <c r="G871" s="91"/>
      <c r="H871" s="91"/>
    </row>
    <row r="872" spans="2:8">
      <c r="B872" s="80"/>
      <c r="C872" s="36"/>
      <c r="D872" s="91"/>
      <c r="E872" s="80"/>
      <c r="F872" s="80"/>
      <c r="G872" s="91"/>
      <c r="H872" s="91"/>
    </row>
    <row r="873" spans="2:8">
      <c r="B873" s="80"/>
      <c r="C873" s="36"/>
      <c r="D873" s="91"/>
      <c r="E873" s="80"/>
      <c r="F873" s="80"/>
      <c r="G873" s="91"/>
      <c r="H873" s="91"/>
    </row>
    <row r="874" spans="2:8">
      <c r="B874" s="80"/>
      <c r="C874" s="36"/>
      <c r="D874" s="91"/>
      <c r="E874" s="80"/>
      <c r="F874" s="80"/>
      <c r="G874" s="91"/>
      <c r="H874" s="91"/>
    </row>
    <row r="875" spans="2:8">
      <c r="B875" s="80"/>
      <c r="C875" s="36"/>
      <c r="D875" s="91"/>
      <c r="E875" s="80"/>
      <c r="F875" s="80"/>
      <c r="G875" s="91"/>
      <c r="H875" s="91"/>
    </row>
    <row r="876" spans="2:8">
      <c r="B876" s="80"/>
      <c r="C876" s="36"/>
      <c r="D876" s="91"/>
      <c r="E876" s="80"/>
      <c r="F876" s="80"/>
      <c r="G876" s="91"/>
      <c r="H876" s="91"/>
    </row>
    <row r="877" spans="2:8">
      <c r="B877" s="80"/>
      <c r="C877" s="36"/>
      <c r="D877" s="91"/>
      <c r="E877" s="80"/>
      <c r="F877" s="80"/>
      <c r="G877" s="91"/>
      <c r="H877" s="91"/>
    </row>
    <row r="878" spans="2:8">
      <c r="B878" s="80"/>
      <c r="C878" s="36"/>
      <c r="D878" s="91"/>
      <c r="E878" s="80"/>
      <c r="F878" s="80"/>
      <c r="G878" s="91"/>
      <c r="H878" s="91"/>
    </row>
    <row r="879" spans="2:8">
      <c r="B879" s="80"/>
      <c r="C879" s="36"/>
      <c r="D879" s="91"/>
      <c r="E879" s="80"/>
      <c r="F879" s="80"/>
      <c r="G879" s="91"/>
      <c r="H879" s="91"/>
    </row>
    <row r="880" spans="2:8">
      <c r="B880" s="80"/>
      <c r="C880" s="36"/>
      <c r="D880" s="91"/>
      <c r="E880" s="80"/>
      <c r="F880" s="80"/>
      <c r="G880" s="91"/>
      <c r="H880" s="91"/>
    </row>
    <row r="881" spans="2:8">
      <c r="B881" s="80"/>
      <c r="C881" s="36"/>
      <c r="D881" s="91"/>
      <c r="E881" s="80"/>
      <c r="F881" s="80"/>
      <c r="G881" s="91"/>
      <c r="H881" s="91"/>
    </row>
    <row r="882" spans="2:8">
      <c r="B882" s="80"/>
      <c r="C882" s="36"/>
      <c r="D882" s="91"/>
      <c r="E882" s="80"/>
      <c r="F882" s="80"/>
      <c r="G882" s="91"/>
      <c r="H882" s="91"/>
    </row>
    <row r="883" spans="2:8">
      <c r="B883" s="80"/>
      <c r="C883" s="36"/>
      <c r="D883" s="91"/>
      <c r="E883" s="80"/>
      <c r="F883" s="80"/>
      <c r="G883" s="91"/>
      <c r="H883" s="91"/>
    </row>
    <row r="884" spans="2:8">
      <c r="B884" s="80"/>
      <c r="C884" s="36"/>
      <c r="D884" s="91"/>
      <c r="E884" s="80"/>
      <c r="F884" s="80"/>
      <c r="G884" s="91"/>
      <c r="H884" s="91"/>
    </row>
    <row r="885" spans="2:8">
      <c r="B885" s="80"/>
      <c r="C885" s="36"/>
      <c r="D885" s="91"/>
      <c r="E885" s="80"/>
      <c r="F885" s="80"/>
      <c r="G885" s="91"/>
      <c r="H885" s="91"/>
    </row>
    <row r="886" spans="2:8">
      <c r="B886" s="80"/>
      <c r="C886" s="36"/>
      <c r="D886" s="91"/>
      <c r="E886" s="80"/>
      <c r="F886" s="80"/>
      <c r="G886" s="91"/>
      <c r="H886" s="91"/>
    </row>
    <row r="887" spans="2:8">
      <c r="B887" s="80"/>
      <c r="C887" s="36"/>
      <c r="D887" s="91"/>
      <c r="E887" s="80"/>
      <c r="F887" s="80"/>
      <c r="G887" s="91"/>
      <c r="H887" s="91"/>
    </row>
    <row r="888" spans="2:8">
      <c r="B888" s="80"/>
      <c r="C888" s="36"/>
      <c r="D888" s="91"/>
      <c r="E888" s="80"/>
      <c r="F888" s="80"/>
      <c r="G888" s="91"/>
      <c r="H888" s="91"/>
    </row>
    <row r="889" spans="2:8">
      <c r="B889" s="80"/>
      <c r="C889" s="36"/>
      <c r="D889" s="91"/>
      <c r="E889" s="80"/>
      <c r="F889" s="80"/>
      <c r="G889" s="91"/>
      <c r="H889" s="91"/>
    </row>
    <row r="890" spans="2:8">
      <c r="B890" s="80"/>
      <c r="C890" s="36"/>
      <c r="D890" s="91"/>
      <c r="E890" s="80"/>
      <c r="F890" s="80"/>
      <c r="G890" s="91"/>
      <c r="H890" s="91"/>
    </row>
    <row r="891" spans="2:8">
      <c r="B891" s="80"/>
      <c r="C891" s="36"/>
      <c r="D891" s="91"/>
      <c r="E891" s="80"/>
      <c r="F891" s="80"/>
      <c r="G891" s="91"/>
      <c r="H891" s="91"/>
    </row>
    <row r="892" spans="2:8">
      <c r="B892" s="80"/>
      <c r="C892" s="36"/>
      <c r="D892" s="91"/>
      <c r="E892" s="80"/>
      <c r="F892" s="80"/>
      <c r="G892" s="91"/>
      <c r="H892" s="91"/>
    </row>
    <row r="893" spans="2:8">
      <c r="B893" s="80"/>
      <c r="C893" s="36"/>
      <c r="D893" s="91"/>
      <c r="E893" s="80"/>
      <c r="F893" s="80"/>
      <c r="G893" s="91"/>
      <c r="H893" s="91"/>
    </row>
    <row r="894" spans="2:8">
      <c r="B894" s="80"/>
      <c r="C894" s="36"/>
      <c r="D894" s="91"/>
      <c r="E894" s="80"/>
      <c r="F894" s="80"/>
      <c r="G894" s="91"/>
      <c r="H894" s="91"/>
    </row>
    <row r="895" spans="2:8">
      <c r="B895" s="80"/>
      <c r="C895" s="36"/>
      <c r="D895" s="91"/>
      <c r="E895" s="80"/>
      <c r="F895" s="80"/>
      <c r="G895" s="91"/>
      <c r="H895" s="91"/>
    </row>
    <row r="896" spans="2:8">
      <c r="B896" s="80"/>
      <c r="C896" s="36"/>
      <c r="D896" s="91"/>
      <c r="E896" s="80"/>
      <c r="F896" s="80"/>
      <c r="G896" s="91"/>
      <c r="H896" s="91"/>
    </row>
    <row r="897" spans="2:8">
      <c r="B897" s="80"/>
      <c r="C897" s="36"/>
      <c r="D897" s="91"/>
      <c r="E897" s="80"/>
      <c r="F897" s="80"/>
      <c r="G897" s="91"/>
      <c r="H897" s="91"/>
    </row>
    <row r="898" spans="2:8">
      <c r="B898" s="80"/>
      <c r="C898" s="36"/>
      <c r="D898" s="91"/>
      <c r="E898" s="80"/>
      <c r="F898" s="80"/>
      <c r="G898" s="91"/>
      <c r="H898" s="91"/>
    </row>
    <row r="899" spans="2:8">
      <c r="B899" s="80"/>
      <c r="C899" s="36"/>
      <c r="D899" s="91"/>
      <c r="E899" s="80"/>
      <c r="F899" s="80"/>
      <c r="G899" s="91"/>
      <c r="H899" s="91"/>
    </row>
    <row r="900" spans="2:8">
      <c r="B900" s="80"/>
      <c r="C900" s="36"/>
      <c r="D900" s="91"/>
      <c r="E900" s="80"/>
      <c r="F900" s="80"/>
      <c r="G900" s="91"/>
      <c r="H900" s="91"/>
    </row>
    <row r="901" spans="2:8">
      <c r="B901" s="80"/>
      <c r="C901" s="36"/>
      <c r="D901" s="91"/>
      <c r="E901" s="80"/>
      <c r="F901" s="80"/>
      <c r="G901" s="91"/>
      <c r="H901" s="91"/>
    </row>
    <row r="902" spans="2:8">
      <c r="B902" s="80"/>
      <c r="C902" s="36"/>
      <c r="D902" s="91"/>
      <c r="E902" s="80"/>
      <c r="F902" s="80"/>
      <c r="G902" s="91"/>
      <c r="H902" s="91"/>
    </row>
    <row r="903" spans="2:8">
      <c r="B903" s="80"/>
      <c r="C903" s="36"/>
      <c r="D903" s="91"/>
      <c r="E903" s="80"/>
      <c r="F903" s="80"/>
      <c r="G903" s="91"/>
      <c r="H903" s="91"/>
    </row>
    <row r="904" spans="2:8">
      <c r="B904" s="80"/>
      <c r="C904" s="36"/>
      <c r="D904" s="91"/>
      <c r="E904" s="80"/>
      <c r="F904" s="80"/>
      <c r="G904" s="91"/>
      <c r="H904" s="91"/>
    </row>
    <row r="905" spans="2:8">
      <c r="B905" s="80"/>
      <c r="C905" s="36"/>
      <c r="D905" s="91"/>
      <c r="E905" s="80"/>
      <c r="F905" s="80"/>
      <c r="G905" s="91"/>
      <c r="H905" s="91"/>
    </row>
    <row r="906" spans="2:8">
      <c r="B906" s="80"/>
      <c r="C906" s="36"/>
      <c r="D906" s="91"/>
      <c r="E906" s="80"/>
      <c r="F906" s="80"/>
      <c r="G906" s="91"/>
      <c r="H906" s="91"/>
    </row>
    <row r="907" spans="2:8">
      <c r="B907" s="80"/>
      <c r="C907" s="36"/>
      <c r="D907" s="91"/>
      <c r="E907" s="80"/>
      <c r="F907" s="80"/>
      <c r="G907" s="91"/>
      <c r="H907" s="91"/>
    </row>
    <row r="908" spans="2:8">
      <c r="B908" s="80"/>
      <c r="C908" s="36"/>
      <c r="D908" s="91"/>
      <c r="E908" s="80"/>
      <c r="F908" s="80"/>
      <c r="G908" s="91"/>
      <c r="H908" s="91"/>
    </row>
    <row r="909" spans="2:8">
      <c r="B909" s="80"/>
      <c r="C909" s="36"/>
      <c r="D909" s="91"/>
      <c r="E909" s="80"/>
      <c r="F909" s="80"/>
      <c r="G909" s="91"/>
      <c r="H909" s="91"/>
    </row>
    <row r="910" spans="2:8">
      <c r="B910" s="80"/>
      <c r="C910" s="36"/>
      <c r="D910" s="91"/>
      <c r="E910" s="80"/>
      <c r="F910" s="80"/>
      <c r="G910" s="91"/>
      <c r="H910" s="91"/>
    </row>
    <row r="911" spans="2:8">
      <c r="B911" s="80"/>
      <c r="C911" s="36"/>
      <c r="D911" s="91"/>
      <c r="E911" s="80"/>
      <c r="F911" s="80"/>
      <c r="G911" s="91"/>
      <c r="H911" s="91"/>
    </row>
    <row r="912" spans="2:8">
      <c r="B912" s="80"/>
      <c r="C912" s="36"/>
      <c r="D912" s="91"/>
      <c r="E912" s="80"/>
      <c r="F912" s="80"/>
      <c r="G912" s="91"/>
      <c r="H912" s="91"/>
    </row>
    <row r="913" spans="2:8">
      <c r="B913" s="80"/>
      <c r="C913" s="36"/>
      <c r="D913" s="91"/>
      <c r="E913" s="80"/>
      <c r="F913" s="80"/>
      <c r="G913" s="91"/>
      <c r="H913" s="91"/>
    </row>
    <row r="914" spans="2:8">
      <c r="B914" s="80"/>
      <c r="C914" s="36"/>
      <c r="D914" s="91"/>
      <c r="E914" s="80"/>
      <c r="F914" s="80"/>
      <c r="G914" s="91"/>
      <c r="H914" s="91"/>
    </row>
    <row r="915" spans="2:8">
      <c r="B915" s="80"/>
      <c r="C915" s="36"/>
      <c r="D915" s="91"/>
      <c r="E915" s="80"/>
      <c r="F915" s="80"/>
      <c r="G915" s="91"/>
      <c r="H915" s="91"/>
    </row>
    <row r="916" spans="2:8">
      <c r="B916" s="80"/>
      <c r="C916" s="36"/>
      <c r="D916" s="91"/>
      <c r="E916" s="80"/>
      <c r="F916" s="80"/>
      <c r="G916" s="91"/>
      <c r="H916" s="91"/>
    </row>
    <row r="917" spans="2:8">
      <c r="B917" s="80"/>
      <c r="C917" s="36"/>
      <c r="D917" s="91"/>
      <c r="E917" s="80"/>
      <c r="F917" s="80"/>
      <c r="G917" s="91"/>
      <c r="H917" s="91"/>
    </row>
    <row r="918" spans="2:8">
      <c r="B918" s="80"/>
      <c r="C918" s="36"/>
      <c r="D918" s="91"/>
      <c r="E918" s="80"/>
      <c r="F918" s="80"/>
      <c r="G918" s="91"/>
      <c r="H918" s="91"/>
    </row>
    <row r="919" spans="2:8">
      <c r="B919" s="80"/>
      <c r="C919" s="36"/>
      <c r="D919" s="91"/>
      <c r="E919" s="80"/>
      <c r="F919" s="80"/>
      <c r="G919" s="91"/>
      <c r="H919" s="91"/>
    </row>
    <row r="920" spans="2:8">
      <c r="B920" s="80"/>
      <c r="C920" s="36"/>
      <c r="D920" s="91"/>
      <c r="E920" s="80"/>
      <c r="F920" s="80"/>
      <c r="G920" s="91"/>
      <c r="H920" s="91"/>
    </row>
    <row r="921" spans="2:8">
      <c r="B921" s="80"/>
      <c r="C921" s="36"/>
      <c r="D921" s="91"/>
      <c r="E921" s="80"/>
      <c r="F921" s="80"/>
      <c r="G921" s="91"/>
      <c r="H921" s="91"/>
    </row>
    <row r="922" spans="2:8">
      <c r="B922" s="80"/>
      <c r="C922" s="36"/>
      <c r="D922" s="91"/>
      <c r="E922" s="80"/>
      <c r="F922" s="80"/>
      <c r="G922" s="91"/>
      <c r="H922" s="91"/>
    </row>
    <row r="923" spans="2:8">
      <c r="B923" s="80"/>
      <c r="C923" s="36"/>
      <c r="D923" s="91"/>
      <c r="E923" s="80"/>
      <c r="F923" s="80"/>
      <c r="G923" s="91"/>
      <c r="H923" s="91"/>
    </row>
    <row r="924" spans="2:8">
      <c r="B924" s="80"/>
      <c r="C924" s="36"/>
      <c r="D924" s="91"/>
      <c r="E924" s="80"/>
      <c r="F924" s="80"/>
      <c r="G924" s="91"/>
      <c r="H924" s="91"/>
    </row>
    <row r="925" spans="2:8">
      <c r="B925" s="80"/>
      <c r="C925" s="36"/>
      <c r="D925" s="91"/>
      <c r="E925" s="80"/>
      <c r="F925" s="80"/>
      <c r="G925" s="91"/>
      <c r="H925" s="91"/>
    </row>
    <row r="926" spans="2:8">
      <c r="B926" s="80"/>
      <c r="C926" s="36"/>
      <c r="D926" s="91"/>
      <c r="E926" s="80"/>
      <c r="F926" s="80"/>
      <c r="G926" s="91"/>
      <c r="H926" s="91"/>
    </row>
    <row r="927" spans="2:8">
      <c r="B927" s="80"/>
      <c r="C927" s="36"/>
      <c r="D927" s="91"/>
      <c r="E927" s="80"/>
      <c r="F927" s="80"/>
      <c r="G927" s="91"/>
      <c r="H927" s="91"/>
    </row>
    <row r="928" spans="2:8">
      <c r="B928" s="80"/>
      <c r="C928" s="36"/>
      <c r="D928" s="91"/>
      <c r="E928" s="80"/>
      <c r="F928" s="80"/>
      <c r="G928" s="91"/>
      <c r="H928" s="91"/>
    </row>
    <row r="929" spans="2:8">
      <c r="B929" s="80"/>
      <c r="C929" s="36"/>
      <c r="D929" s="91"/>
      <c r="E929" s="80"/>
      <c r="F929" s="80"/>
      <c r="G929" s="91"/>
      <c r="H929" s="91"/>
    </row>
    <row r="930" spans="2:8">
      <c r="B930" s="80"/>
      <c r="C930" s="36"/>
      <c r="D930" s="91"/>
      <c r="E930" s="80"/>
      <c r="F930" s="80"/>
      <c r="G930" s="91"/>
      <c r="H930" s="91"/>
    </row>
    <row r="931" spans="2:8">
      <c r="B931" s="80"/>
      <c r="C931" s="36"/>
      <c r="D931" s="91"/>
      <c r="E931" s="80"/>
      <c r="F931" s="80"/>
      <c r="G931" s="91"/>
      <c r="H931" s="91"/>
    </row>
    <row r="932" spans="2:8">
      <c r="B932" s="80"/>
      <c r="C932" s="36"/>
      <c r="D932" s="91"/>
      <c r="E932" s="80"/>
      <c r="F932" s="80"/>
      <c r="G932" s="91"/>
      <c r="H932" s="91"/>
    </row>
    <row r="933" spans="2:8">
      <c r="B933" s="80"/>
      <c r="C933" s="36"/>
      <c r="D933" s="91"/>
      <c r="E933" s="80"/>
      <c r="F933" s="80"/>
      <c r="G933" s="91"/>
      <c r="H933" s="91"/>
    </row>
    <row r="934" spans="2:8">
      <c r="B934" s="80"/>
      <c r="C934" s="36"/>
      <c r="D934" s="91"/>
      <c r="E934" s="80"/>
      <c r="F934" s="80"/>
      <c r="G934" s="91"/>
      <c r="H934" s="91"/>
    </row>
    <row r="935" spans="2:8">
      <c r="B935" s="80"/>
      <c r="C935" s="36"/>
      <c r="D935" s="91"/>
      <c r="E935" s="80"/>
      <c r="F935" s="80"/>
      <c r="G935" s="91"/>
      <c r="H935" s="91"/>
    </row>
    <row r="936" spans="2:8">
      <c r="B936" s="80"/>
      <c r="C936" s="36"/>
      <c r="D936" s="91"/>
      <c r="E936" s="80"/>
      <c r="F936" s="80"/>
      <c r="G936" s="91"/>
      <c r="H936" s="91"/>
    </row>
    <row r="937" spans="2:8">
      <c r="B937" s="80"/>
      <c r="C937" s="36"/>
      <c r="D937" s="91"/>
      <c r="E937" s="80"/>
      <c r="F937" s="80"/>
      <c r="G937" s="91"/>
      <c r="H937" s="91"/>
    </row>
    <row r="938" spans="2:8">
      <c r="B938" s="80"/>
      <c r="C938" s="36"/>
      <c r="D938" s="91"/>
      <c r="E938" s="80"/>
      <c r="F938" s="80"/>
      <c r="G938" s="91"/>
      <c r="H938" s="91"/>
    </row>
    <row r="939" spans="2:8">
      <c r="B939" s="80"/>
      <c r="C939" s="36"/>
      <c r="D939" s="91"/>
      <c r="E939" s="80"/>
      <c r="F939" s="80"/>
      <c r="G939" s="91"/>
      <c r="H939" s="91"/>
    </row>
    <row r="940" spans="2:8">
      <c r="B940" s="80"/>
      <c r="C940" s="36"/>
      <c r="D940" s="91"/>
      <c r="E940" s="80"/>
      <c r="F940" s="80"/>
      <c r="G940" s="91"/>
      <c r="H940" s="91"/>
    </row>
    <row r="941" spans="2:8">
      <c r="B941" s="80"/>
      <c r="C941" s="36"/>
      <c r="D941" s="91"/>
      <c r="E941" s="80"/>
      <c r="F941" s="80"/>
      <c r="G941" s="91"/>
      <c r="H941" s="91"/>
    </row>
    <row r="942" spans="2:8">
      <c r="B942" s="80"/>
      <c r="C942" s="36"/>
      <c r="D942" s="91"/>
      <c r="E942" s="80"/>
      <c r="F942" s="80"/>
      <c r="G942" s="91"/>
      <c r="H942" s="91"/>
    </row>
    <row r="943" spans="2:8">
      <c r="B943" s="80"/>
      <c r="C943" s="36"/>
      <c r="D943" s="91"/>
      <c r="E943" s="80"/>
      <c r="F943" s="80"/>
      <c r="G943" s="91"/>
      <c r="H943" s="91"/>
    </row>
    <row r="944" spans="2:8">
      <c r="B944" s="80"/>
      <c r="C944" s="36"/>
      <c r="D944" s="91"/>
      <c r="E944" s="80"/>
      <c r="F944" s="80"/>
      <c r="G944" s="91"/>
      <c r="H944" s="91"/>
    </row>
    <row r="945" spans="2:8">
      <c r="B945" s="80"/>
      <c r="C945" s="36"/>
      <c r="D945" s="91"/>
      <c r="E945" s="80"/>
      <c r="F945" s="80"/>
      <c r="G945" s="91"/>
      <c r="H945" s="91"/>
    </row>
    <row r="946" spans="2:8">
      <c r="B946" s="80"/>
      <c r="C946" s="36"/>
      <c r="D946" s="91"/>
      <c r="E946" s="80"/>
      <c r="F946" s="80"/>
      <c r="G946" s="91"/>
      <c r="H946" s="91"/>
    </row>
    <row r="947" spans="2:8">
      <c r="B947" s="80"/>
      <c r="C947" s="36"/>
      <c r="D947" s="91"/>
      <c r="E947" s="80"/>
      <c r="F947" s="80"/>
      <c r="G947" s="91"/>
      <c r="H947" s="91"/>
    </row>
    <row r="948" spans="2:8">
      <c r="B948" s="80"/>
      <c r="C948" s="36"/>
      <c r="D948" s="91"/>
      <c r="E948" s="80"/>
      <c r="F948" s="80"/>
      <c r="G948" s="91"/>
      <c r="H948" s="91"/>
    </row>
    <row r="949" spans="2:8">
      <c r="B949" s="80"/>
      <c r="C949" s="36"/>
      <c r="D949" s="91"/>
      <c r="E949" s="80"/>
      <c r="F949" s="80"/>
      <c r="G949" s="91"/>
      <c r="H949" s="91"/>
    </row>
    <row r="950" spans="2:8">
      <c r="B950" s="80"/>
      <c r="C950" s="36"/>
      <c r="D950" s="91"/>
      <c r="E950" s="80"/>
      <c r="F950" s="80"/>
      <c r="G950" s="91"/>
      <c r="H950" s="91"/>
    </row>
    <row r="951" spans="2:8">
      <c r="B951" s="80"/>
      <c r="C951" s="36"/>
      <c r="D951" s="91"/>
      <c r="E951" s="80"/>
      <c r="F951" s="80"/>
      <c r="G951" s="91"/>
      <c r="H951" s="91"/>
    </row>
    <row r="952" spans="2:8">
      <c r="B952" s="80"/>
      <c r="C952" s="36"/>
      <c r="D952" s="91"/>
      <c r="E952" s="80"/>
      <c r="F952" s="80"/>
      <c r="G952" s="91"/>
      <c r="H952" s="91"/>
    </row>
    <row r="953" spans="2:8">
      <c r="B953" s="80"/>
      <c r="C953" s="36"/>
      <c r="D953" s="91"/>
      <c r="E953" s="80"/>
      <c r="F953" s="80"/>
      <c r="G953" s="91"/>
      <c r="H953" s="91"/>
    </row>
    <row r="954" spans="2:8">
      <c r="B954" s="80"/>
      <c r="C954" s="36"/>
      <c r="D954" s="91"/>
      <c r="E954" s="80"/>
      <c r="F954" s="80"/>
      <c r="G954" s="91"/>
      <c r="H954" s="91"/>
    </row>
    <row r="955" spans="2:8">
      <c r="B955" s="80"/>
      <c r="C955" s="36"/>
      <c r="D955" s="91"/>
      <c r="E955" s="80"/>
      <c r="F955" s="80"/>
      <c r="G955" s="91"/>
      <c r="H955" s="91"/>
    </row>
    <row r="956" spans="2:8">
      <c r="B956" s="80"/>
      <c r="C956" s="36"/>
      <c r="D956" s="91"/>
      <c r="E956" s="80"/>
      <c r="F956" s="80"/>
      <c r="G956" s="91"/>
      <c r="H956" s="91"/>
    </row>
    <row r="957" spans="2:8">
      <c r="B957" s="80"/>
      <c r="C957" s="36"/>
      <c r="D957" s="91"/>
      <c r="E957" s="80"/>
      <c r="F957" s="80"/>
      <c r="G957" s="91"/>
      <c r="H957" s="91"/>
    </row>
    <row r="958" spans="2:8">
      <c r="B958" s="80"/>
      <c r="C958" s="36"/>
      <c r="D958" s="91"/>
      <c r="E958" s="80"/>
      <c r="F958" s="80"/>
      <c r="G958" s="91"/>
      <c r="H958" s="91"/>
    </row>
    <row r="959" spans="2:8">
      <c r="B959" s="80"/>
      <c r="C959" s="36"/>
      <c r="D959" s="91"/>
      <c r="E959" s="80"/>
      <c r="F959" s="80"/>
      <c r="G959" s="91"/>
      <c r="H959" s="91"/>
    </row>
    <row r="960" spans="2:8">
      <c r="B960" s="80"/>
      <c r="C960" s="36"/>
      <c r="D960" s="91"/>
      <c r="E960" s="80"/>
      <c r="F960" s="80"/>
      <c r="G960" s="91"/>
      <c r="H960" s="91"/>
    </row>
    <row r="961" spans="2:8">
      <c r="B961" s="80"/>
      <c r="C961" s="36"/>
      <c r="D961" s="91"/>
      <c r="E961" s="80"/>
      <c r="F961" s="80"/>
      <c r="G961" s="91"/>
      <c r="H961" s="91"/>
    </row>
    <row r="962" spans="2:8">
      <c r="B962" s="80"/>
      <c r="C962" s="36"/>
      <c r="D962" s="91"/>
      <c r="E962" s="80"/>
      <c r="F962" s="80"/>
      <c r="G962" s="91"/>
      <c r="H962" s="91"/>
    </row>
    <row r="963" spans="2:8">
      <c r="B963" s="80"/>
      <c r="C963" s="36"/>
      <c r="D963" s="91"/>
      <c r="E963" s="80"/>
      <c r="F963" s="80"/>
      <c r="G963" s="91"/>
      <c r="H963" s="91"/>
    </row>
    <row r="964" spans="2:8">
      <c r="B964" s="80"/>
      <c r="C964" s="36"/>
      <c r="D964" s="91"/>
      <c r="E964" s="80"/>
      <c r="F964" s="80"/>
      <c r="G964" s="91"/>
      <c r="H964" s="91"/>
    </row>
    <row r="965" spans="2:8">
      <c r="B965" s="80"/>
      <c r="C965" s="36"/>
      <c r="D965" s="91"/>
      <c r="E965" s="80"/>
      <c r="F965" s="80"/>
      <c r="G965" s="91"/>
      <c r="H965" s="91"/>
    </row>
    <row r="966" spans="2:8">
      <c r="B966" s="80"/>
      <c r="C966" s="36"/>
      <c r="D966" s="91"/>
      <c r="E966" s="80"/>
      <c r="F966" s="80"/>
      <c r="G966" s="91"/>
      <c r="H966" s="91"/>
    </row>
    <row r="967" spans="2:8">
      <c r="B967" s="80"/>
      <c r="C967" s="36"/>
      <c r="D967" s="91"/>
      <c r="E967" s="80"/>
      <c r="F967" s="80"/>
      <c r="G967" s="91"/>
      <c r="H967" s="91"/>
    </row>
    <row r="968" spans="2:8">
      <c r="B968" s="80"/>
      <c r="C968" s="36"/>
      <c r="D968" s="91"/>
      <c r="E968" s="80"/>
      <c r="F968" s="80"/>
      <c r="G968" s="91"/>
      <c r="H968" s="91"/>
    </row>
    <row r="969" spans="2:8">
      <c r="B969" s="80"/>
      <c r="C969" s="36"/>
      <c r="D969" s="91"/>
      <c r="E969" s="80"/>
      <c r="F969" s="80"/>
      <c r="G969" s="91"/>
      <c r="H969" s="91"/>
    </row>
    <row r="970" spans="2:8">
      <c r="B970" s="80"/>
      <c r="C970" s="36"/>
      <c r="D970" s="91"/>
      <c r="E970" s="80"/>
      <c r="F970" s="80"/>
      <c r="G970" s="91"/>
      <c r="H970" s="91"/>
    </row>
    <row r="971" spans="2:8">
      <c r="B971" s="80"/>
      <c r="C971" s="36"/>
      <c r="D971" s="91"/>
      <c r="E971" s="80"/>
      <c r="F971" s="80"/>
      <c r="G971" s="91"/>
      <c r="H971" s="91"/>
    </row>
    <row r="972" spans="2:8">
      <c r="B972" s="80"/>
      <c r="C972" s="36"/>
      <c r="D972" s="91"/>
      <c r="E972" s="80"/>
      <c r="F972" s="80"/>
      <c r="G972" s="91"/>
      <c r="H972" s="91"/>
    </row>
    <row r="973" spans="2:8">
      <c r="B973" s="80"/>
      <c r="C973" s="36"/>
      <c r="D973" s="91"/>
      <c r="E973" s="80"/>
      <c r="F973" s="80"/>
      <c r="G973" s="91"/>
      <c r="H973" s="91"/>
    </row>
    <row r="974" spans="2:8">
      <c r="B974" s="80"/>
      <c r="C974" s="36"/>
      <c r="D974" s="91"/>
      <c r="E974" s="80"/>
      <c r="F974" s="80"/>
      <c r="G974" s="91"/>
      <c r="H974" s="91"/>
    </row>
    <row r="975" spans="2:8">
      <c r="B975" s="80"/>
      <c r="C975" s="36"/>
      <c r="D975" s="91"/>
      <c r="E975" s="80"/>
      <c r="F975" s="80"/>
      <c r="G975" s="91"/>
      <c r="H975" s="91"/>
    </row>
    <row r="976" spans="2:8">
      <c r="B976" s="80"/>
      <c r="C976" s="36"/>
      <c r="D976" s="91"/>
      <c r="E976" s="80"/>
      <c r="F976" s="80"/>
      <c r="G976" s="91"/>
      <c r="H976" s="91"/>
    </row>
    <row r="977" spans="2:8">
      <c r="B977" s="80"/>
      <c r="C977" s="36"/>
      <c r="D977" s="91"/>
      <c r="E977" s="80"/>
      <c r="F977" s="80"/>
      <c r="G977" s="91"/>
      <c r="H977" s="91"/>
    </row>
    <row r="978" spans="2:8">
      <c r="B978" s="80"/>
      <c r="C978" s="36"/>
      <c r="D978" s="91"/>
      <c r="E978" s="80"/>
      <c r="F978" s="80"/>
      <c r="G978" s="91"/>
      <c r="H978" s="91"/>
    </row>
    <row r="979" spans="2:8">
      <c r="B979" s="80"/>
      <c r="C979" s="36"/>
      <c r="D979" s="91"/>
      <c r="E979" s="80"/>
      <c r="F979" s="80"/>
      <c r="G979" s="91"/>
      <c r="H979" s="91"/>
    </row>
    <row r="980" spans="2:8">
      <c r="B980" s="80"/>
      <c r="C980" s="36"/>
      <c r="D980" s="91"/>
      <c r="E980" s="80"/>
      <c r="F980" s="80"/>
      <c r="G980" s="91"/>
      <c r="H980" s="91"/>
    </row>
    <row r="981" spans="2:8">
      <c r="B981" s="80"/>
      <c r="C981" s="36"/>
      <c r="D981" s="91"/>
      <c r="E981" s="80"/>
      <c r="F981" s="80"/>
      <c r="G981" s="91"/>
      <c r="H981" s="91"/>
    </row>
    <row r="982" spans="2:8">
      <c r="B982" s="80"/>
      <c r="C982" s="36"/>
      <c r="D982" s="91"/>
      <c r="E982" s="80"/>
      <c r="F982" s="80"/>
      <c r="G982" s="91"/>
      <c r="H982" s="91"/>
    </row>
    <row r="983" spans="2:8">
      <c r="B983" s="80"/>
      <c r="C983" s="36"/>
      <c r="D983" s="91"/>
      <c r="E983" s="80"/>
      <c r="F983" s="80"/>
      <c r="G983" s="91"/>
      <c r="H983" s="91"/>
    </row>
    <row r="984" spans="2:8">
      <c r="B984" s="80"/>
      <c r="C984" s="36"/>
      <c r="D984" s="91"/>
      <c r="E984" s="80"/>
      <c r="F984" s="80"/>
      <c r="G984" s="91"/>
      <c r="H984" s="91"/>
    </row>
    <row r="985" spans="2:8">
      <c r="B985" s="80"/>
      <c r="C985" s="36"/>
      <c r="D985" s="91"/>
      <c r="E985" s="80"/>
      <c r="F985" s="80"/>
      <c r="G985" s="91"/>
      <c r="H985" s="91"/>
    </row>
    <row r="986" spans="2:8">
      <c r="B986" s="80"/>
      <c r="C986" s="36"/>
      <c r="D986" s="91"/>
      <c r="E986" s="80"/>
      <c r="F986" s="80"/>
      <c r="G986" s="91"/>
      <c r="H986" s="91"/>
    </row>
    <row r="987" spans="2:8">
      <c r="B987" s="80"/>
      <c r="C987" s="36"/>
      <c r="D987" s="91"/>
      <c r="E987" s="80"/>
      <c r="F987" s="80"/>
      <c r="G987" s="91"/>
      <c r="H987" s="91"/>
    </row>
    <row r="988" spans="2:8">
      <c r="B988" s="80"/>
      <c r="C988" s="36"/>
      <c r="D988" s="91"/>
      <c r="E988" s="80"/>
      <c r="F988" s="80"/>
      <c r="G988" s="91"/>
      <c r="H988" s="91"/>
    </row>
    <row r="989" spans="2:8">
      <c r="B989" s="80"/>
      <c r="C989" s="36"/>
      <c r="D989" s="91"/>
      <c r="E989" s="80"/>
      <c r="F989" s="80"/>
      <c r="G989" s="91"/>
      <c r="H989" s="91"/>
    </row>
    <row r="990" spans="2:8">
      <c r="B990" s="80"/>
      <c r="C990" s="36"/>
      <c r="D990" s="91"/>
      <c r="E990" s="80"/>
      <c r="F990" s="80"/>
      <c r="G990" s="91"/>
      <c r="H990" s="91"/>
    </row>
    <row r="991" spans="2:8">
      <c r="B991" s="80"/>
      <c r="C991" s="36"/>
      <c r="D991" s="91"/>
      <c r="E991" s="80"/>
      <c r="F991" s="80"/>
      <c r="G991" s="91"/>
      <c r="H991" s="91"/>
    </row>
    <row r="992" spans="2:8">
      <c r="B992" s="80"/>
      <c r="C992" s="36"/>
      <c r="D992" s="91"/>
      <c r="E992" s="80"/>
      <c r="F992" s="80"/>
      <c r="G992" s="91"/>
      <c r="H992" s="91"/>
    </row>
    <row r="993" spans="2:8">
      <c r="B993" s="80"/>
      <c r="C993" s="36"/>
      <c r="D993" s="91"/>
      <c r="E993" s="80"/>
      <c r="F993" s="80"/>
      <c r="G993" s="91"/>
      <c r="H993" s="91"/>
    </row>
    <row r="994" spans="2:8">
      <c r="B994" s="80"/>
      <c r="C994" s="36"/>
      <c r="D994" s="91"/>
      <c r="E994" s="80"/>
      <c r="F994" s="80"/>
      <c r="G994" s="91"/>
      <c r="H994" s="91"/>
    </row>
    <row r="995" spans="2:8">
      <c r="B995" s="80"/>
      <c r="C995" s="36"/>
      <c r="D995" s="91"/>
      <c r="E995" s="80"/>
      <c r="F995" s="80"/>
      <c r="G995" s="91"/>
      <c r="H995" s="91"/>
    </row>
    <row r="996" spans="2:8">
      <c r="B996" s="80"/>
      <c r="C996" s="36"/>
      <c r="D996" s="91"/>
      <c r="E996" s="80"/>
      <c r="F996" s="80"/>
      <c r="G996" s="91"/>
      <c r="H996" s="91"/>
    </row>
    <row r="997" spans="2:8">
      <c r="B997" s="80"/>
      <c r="C997" s="36"/>
      <c r="D997" s="91"/>
      <c r="E997" s="80"/>
      <c r="F997" s="80"/>
      <c r="G997" s="91"/>
      <c r="H997" s="91"/>
    </row>
    <row r="998" spans="2:8">
      <c r="B998" s="80"/>
      <c r="C998" s="36"/>
      <c r="D998" s="91"/>
      <c r="E998" s="80"/>
      <c r="F998" s="80"/>
      <c r="G998" s="91"/>
      <c r="H998" s="91"/>
    </row>
    <row r="999" spans="2:8">
      <c r="B999" s="80"/>
      <c r="C999" s="36"/>
      <c r="D999" s="91"/>
      <c r="E999" s="80"/>
      <c r="F999" s="80"/>
      <c r="G999" s="91"/>
      <c r="H999" s="91"/>
    </row>
    <row r="1000" spans="2:8">
      <c r="B1000" s="80"/>
      <c r="C1000" s="36"/>
      <c r="D1000" s="91"/>
      <c r="E1000" s="80"/>
      <c r="F1000" s="80"/>
      <c r="G1000" s="91"/>
      <c r="H1000" s="91"/>
    </row>
    <row r="1001" spans="2:8">
      <c r="B1001" s="80"/>
      <c r="C1001" s="36"/>
      <c r="D1001" s="91"/>
      <c r="E1001" s="80"/>
      <c r="F1001" s="80"/>
      <c r="G1001" s="91"/>
      <c r="H1001" s="91"/>
    </row>
    <row r="1002" spans="2:8">
      <c r="B1002" s="80"/>
      <c r="C1002" s="36"/>
      <c r="D1002" s="91"/>
      <c r="E1002" s="80"/>
      <c r="F1002" s="80"/>
      <c r="G1002" s="91"/>
      <c r="H1002" s="91"/>
    </row>
    <row r="1003" spans="2:8">
      <c r="B1003" s="80"/>
      <c r="C1003" s="36"/>
      <c r="D1003" s="91"/>
      <c r="E1003" s="80"/>
      <c r="F1003" s="80"/>
      <c r="G1003" s="91"/>
      <c r="H1003" s="91"/>
    </row>
    <row r="1004" spans="2:8">
      <c r="B1004" s="80"/>
      <c r="C1004" s="36"/>
      <c r="D1004" s="91"/>
      <c r="E1004" s="80"/>
      <c r="F1004" s="80"/>
      <c r="G1004" s="91"/>
      <c r="H1004" s="91"/>
    </row>
    <row r="1005" spans="2:8">
      <c r="B1005" s="80"/>
      <c r="C1005" s="36"/>
      <c r="D1005" s="91"/>
      <c r="E1005" s="80"/>
      <c r="F1005" s="80"/>
      <c r="G1005" s="91"/>
      <c r="H1005" s="91"/>
    </row>
    <row r="1006" spans="2:8">
      <c r="B1006" s="80"/>
      <c r="C1006" s="36"/>
      <c r="D1006" s="91"/>
      <c r="E1006" s="80"/>
      <c r="F1006" s="80"/>
      <c r="G1006" s="91"/>
      <c r="H1006" s="91"/>
    </row>
    <row r="1007" spans="2:8">
      <c r="B1007" s="80"/>
      <c r="C1007" s="36"/>
      <c r="D1007" s="91"/>
      <c r="E1007" s="80"/>
      <c r="F1007" s="80"/>
      <c r="G1007" s="91"/>
      <c r="H1007" s="91"/>
    </row>
    <row r="1008" spans="2:8">
      <c r="B1008" s="80"/>
      <c r="C1008" s="36"/>
      <c r="D1008" s="91"/>
      <c r="E1008" s="80"/>
      <c r="F1008" s="80"/>
      <c r="G1008" s="91"/>
      <c r="H1008" s="91"/>
    </row>
    <row r="1009" spans="2:8">
      <c r="B1009" s="80"/>
      <c r="C1009" s="36"/>
      <c r="D1009" s="91"/>
      <c r="E1009" s="80"/>
      <c r="F1009" s="80"/>
      <c r="G1009" s="91"/>
      <c r="H1009" s="91"/>
    </row>
    <row r="1010" spans="2:8">
      <c r="B1010" s="80"/>
      <c r="C1010" s="36"/>
      <c r="D1010" s="91"/>
      <c r="E1010" s="80"/>
      <c r="F1010" s="80"/>
      <c r="G1010" s="91"/>
      <c r="H1010" s="91"/>
    </row>
    <row r="1011" spans="2:8">
      <c r="B1011" s="80"/>
      <c r="C1011" s="36"/>
      <c r="D1011" s="91"/>
      <c r="E1011" s="80"/>
      <c r="F1011" s="80"/>
      <c r="G1011" s="91"/>
      <c r="H1011" s="91"/>
    </row>
    <row r="1012" spans="2:8">
      <c r="B1012" s="80"/>
      <c r="C1012" s="36"/>
      <c r="D1012" s="91"/>
      <c r="E1012" s="80"/>
      <c r="F1012" s="80"/>
      <c r="G1012" s="91"/>
      <c r="H1012" s="91"/>
    </row>
    <row r="1013" spans="2:8">
      <c r="B1013" s="80"/>
      <c r="C1013" s="36"/>
      <c r="D1013" s="91"/>
      <c r="E1013" s="80"/>
      <c r="F1013" s="80"/>
      <c r="G1013" s="91"/>
      <c r="H1013" s="91"/>
    </row>
    <row r="1014" spans="2:8">
      <c r="B1014" s="80"/>
      <c r="C1014" s="36"/>
      <c r="D1014" s="91"/>
      <c r="E1014" s="80"/>
      <c r="F1014" s="80"/>
      <c r="G1014" s="91"/>
      <c r="H1014" s="91"/>
    </row>
    <row r="1015" spans="2:8">
      <c r="B1015" s="80"/>
      <c r="C1015" s="36"/>
      <c r="D1015" s="91"/>
      <c r="E1015" s="80"/>
      <c r="F1015" s="80"/>
      <c r="G1015" s="91"/>
      <c r="H1015" s="91"/>
    </row>
    <row r="1016" spans="2:8">
      <c r="B1016" s="80"/>
      <c r="C1016" s="36"/>
      <c r="D1016" s="91"/>
      <c r="E1016" s="80"/>
      <c r="F1016" s="80"/>
      <c r="G1016" s="91"/>
      <c r="H1016" s="91"/>
    </row>
    <row r="1017" spans="2:8">
      <c r="B1017" s="80"/>
      <c r="C1017" s="36"/>
      <c r="D1017" s="91"/>
      <c r="E1017" s="80"/>
      <c r="F1017" s="80"/>
      <c r="G1017" s="91"/>
      <c r="H1017" s="91"/>
    </row>
    <row r="1018" spans="2:8">
      <c r="B1018" s="80"/>
      <c r="C1018" s="36"/>
      <c r="D1018" s="91"/>
      <c r="E1018" s="80"/>
      <c r="F1018" s="80"/>
      <c r="G1018" s="91"/>
      <c r="H1018" s="91"/>
    </row>
    <row r="1019" spans="2:8">
      <c r="B1019" s="80"/>
      <c r="C1019" s="36"/>
      <c r="D1019" s="91"/>
      <c r="E1019" s="80"/>
      <c r="F1019" s="80"/>
      <c r="G1019" s="91"/>
      <c r="H1019" s="91"/>
    </row>
    <row r="1020" spans="2:8">
      <c r="B1020" s="80"/>
      <c r="C1020" s="36"/>
      <c r="D1020" s="91"/>
      <c r="E1020" s="80"/>
      <c r="F1020" s="80"/>
      <c r="G1020" s="91"/>
      <c r="H1020" s="91"/>
    </row>
    <row r="1021" spans="2:8">
      <c r="B1021" s="80"/>
      <c r="C1021" s="36"/>
      <c r="D1021" s="91"/>
      <c r="E1021" s="80"/>
      <c r="F1021" s="80"/>
      <c r="G1021" s="91"/>
      <c r="H1021" s="91"/>
    </row>
    <row r="1022" spans="2:8">
      <c r="B1022" s="80"/>
      <c r="C1022" s="36"/>
      <c r="D1022" s="91"/>
      <c r="E1022" s="80"/>
      <c r="F1022" s="80"/>
      <c r="G1022" s="91"/>
      <c r="H1022" s="91"/>
    </row>
    <row r="1023" spans="2:8">
      <c r="B1023" s="80"/>
      <c r="C1023" s="36"/>
      <c r="D1023" s="91"/>
      <c r="E1023" s="80"/>
      <c r="F1023" s="80"/>
      <c r="G1023" s="91"/>
      <c r="H1023" s="91"/>
    </row>
    <row r="1024" spans="2:8">
      <c r="B1024" s="80"/>
      <c r="C1024" s="36"/>
      <c r="D1024" s="91"/>
      <c r="E1024" s="80"/>
      <c r="F1024" s="80"/>
      <c r="G1024" s="91"/>
      <c r="H1024" s="91"/>
    </row>
    <row r="1025" spans="2:8">
      <c r="B1025" s="80"/>
      <c r="C1025" s="36"/>
      <c r="D1025" s="91"/>
      <c r="E1025" s="80"/>
      <c r="F1025" s="80"/>
      <c r="G1025" s="91"/>
      <c r="H1025" s="91"/>
    </row>
    <row r="1026" spans="2:8">
      <c r="B1026" s="80"/>
      <c r="C1026" s="36"/>
      <c r="D1026" s="91"/>
      <c r="E1026" s="80"/>
      <c r="F1026" s="80"/>
      <c r="G1026" s="91"/>
      <c r="H1026" s="91"/>
    </row>
    <row r="1027" spans="2:8">
      <c r="B1027" s="80"/>
      <c r="C1027" s="36"/>
      <c r="D1027" s="91"/>
      <c r="E1027" s="80"/>
      <c r="F1027" s="80"/>
      <c r="G1027" s="91"/>
      <c r="H1027" s="91"/>
    </row>
    <row r="1028" spans="2:8">
      <c r="B1028" s="80"/>
      <c r="C1028" s="36"/>
      <c r="D1028" s="91"/>
      <c r="E1028" s="80"/>
      <c r="F1028" s="80"/>
      <c r="G1028" s="91"/>
      <c r="H1028" s="91"/>
    </row>
    <row r="1029" spans="2:8">
      <c r="B1029" s="80"/>
      <c r="C1029" s="36"/>
      <c r="D1029" s="91"/>
      <c r="E1029" s="80"/>
      <c r="F1029" s="80"/>
      <c r="G1029" s="91"/>
      <c r="H1029" s="91"/>
    </row>
    <row r="1030" spans="2:8">
      <c r="B1030" s="80"/>
      <c r="C1030" s="36"/>
      <c r="D1030" s="91"/>
      <c r="E1030" s="80"/>
      <c r="F1030" s="80"/>
      <c r="G1030" s="91"/>
      <c r="H1030" s="91"/>
    </row>
    <row r="1031" spans="2:8">
      <c r="B1031" s="80"/>
      <c r="C1031" s="36"/>
      <c r="D1031" s="91"/>
      <c r="E1031" s="80"/>
      <c r="F1031" s="80"/>
      <c r="G1031" s="91"/>
      <c r="H1031" s="91"/>
    </row>
    <row r="1032" spans="2:8">
      <c r="B1032" s="80"/>
      <c r="C1032" s="36"/>
      <c r="D1032" s="91"/>
      <c r="E1032" s="80"/>
      <c r="F1032" s="80"/>
      <c r="G1032" s="91"/>
      <c r="H1032" s="91"/>
    </row>
    <row r="1033" spans="2:8">
      <c r="B1033" s="80"/>
      <c r="C1033" s="36"/>
      <c r="D1033" s="91"/>
      <c r="E1033" s="80"/>
      <c r="F1033" s="80"/>
      <c r="G1033" s="91"/>
      <c r="H1033" s="91"/>
    </row>
    <row r="1034" spans="2:8">
      <c r="B1034" s="80"/>
      <c r="C1034" s="36"/>
      <c r="D1034" s="91"/>
      <c r="E1034" s="80"/>
      <c r="F1034" s="80"/>
      <c r="G1034" s="91"/>
      <c r="H1034" s="91"/>
    </row>
    <row r="1035" spans="2:8">
      <c r="B1035" s="80"/>
      <c r="C1035" s="36"/>
      <c r="D1035" s="91"/>
      <c r="E1035" s="80"/>
      <c r="F1035" s="80"/>
      <c r="G1035" s="91"/>
      <c r="H1035" s="91"/>
    </row>
    <row r="1036" spans="2:8">
      <c r="B1036" s="80"/>
      <c r="C1036" s="36"/>
      <c r="D1036" s="91"/>
      <c r="E1036" s="80"/>
      <c r="F1036" s="80"/>
      <c r="G1036" s="91"/>
      <c r="H1036" s="91"/>
    </row>
    <row r="1037" spans="2:8">
      <c r="B1037" s="80"/>
      <c r="C1037" s="36"/>
      <c r="D1037" s="91"/>
      <c r="E1037" s="80"/>
      <c r="F1037" s="80"/>
      <c r="G1037" s="91"/>
      <c r="H1037" s="91"/>
    </row>
    <row r="1038" spans="2:8">
      <c r="B1038" s="80"/>
      <c r="C1038" s="36"/>
      <c r="D1038" s="91"/>
      <c r="E1038" s="80"/>
      <c r="F1038" s="80"/>
      <c r="G1038" s="91"/>
      <c r="H1038" s="91"/>
    </row>
    <row r="1039" spans="2:8">
      <c r="B1039" s="80"/>
      <c r="C1039" s="36"/>
      <c r="D1039" s="91"/>
      <c r="E1039" s="80"/>
      <c r="F1039" s="80"/>
      <c r="G1039" s="91"/>
      <c r="H1039" s="91"/>
    </row>
    <row r="1040" spans="2:8">
      <c r="B1040" s="80"/>
      <c r="C1040" s="36"/>
      <c r="D1040" s="91"/>
      <c r="E1040" s="80"/>
      <c r="F1040" s="80"/>
      <c r="G1040" s="91"/>
      <c r="H1040" s="91"/>
    </row>
    <row r="1041" spans="2:8">
      <c r="B1041" s="80"/>
      <c r="C1041" s="36"/>
      <c r="D1041" s="91"/>
      <c r="E1041" s="80"/>
      <c r="F1041" s="80"/>
      <c r="G1041" s="91"/>
      <c r="H1041" s="91"/>
    </row>
    <row r="1042" spans="2:8">
      <c r="B1042" s="80"/>
      <c r="C1042" s="36"/>
      <c r="D1042" s="91"/>
      <c r="E1042" s="80"/>
      <c r="F1042" s="80"/>
      <c r="G1042" s="91"/>
      <c r="H1042" s="91"/>
    </row>
    <row r="1043" spans="2:8">
      <c r="B1043" s="80"/>
      <c r="C1043" s="36"/>
      <c r="D1043" s="91"/>
      <c r="E1043" s="80"/>
      <c r="F1043" s="80"/>
      <c r="G1043" s="91"/>
      <c r="H1043" s="91"/>
    </row>
    <row r="1044" spans="2:8">
      <c r="B1044" s="80"/>
      <c r="C1044" s="36"/>
      <c r="D1044" s="91"/>
      <c r="E1044" s="80"/>
      <c r="F1044" s="80"/>
      <c r="G1044" s="91"/>
      <c r="H1044" s="91"/>
    </row>
    <row r="1045" spans="2:8">
      <c r="B1045" s="80"/>
      <c r="C1045" s="36"/>
      <c r="D1045" s="91"/>
      <c r="E1045" s="80"/>
      <c r="F1045" s="80"/>
      <c r="G1045" s="91"/>
      <c r="H1045" s="91"/>
    </row>
    <row r="1046" spans="2:8">
      <c r="B1046" s="80"/>
      <c r="C1046" s="36"/>
      <c r="D1046" s="91"/>
      <c r="E1046" s="80"/>
      <c r="F1046" s="80"/>
      <c r="G1046" s="91"/>
      <c r="H1046" s="91"/>
    </row>
    <row r="1047" spans="2:8">
      <c r="B1047" s="80"/>
      <c r="C1047" s="36"/>
      <c r="D1047" s="91"/>
      <c r="E1047" s="80"/>
      <c r="F1047" s="80"/>
      <c r="G1047" s="91"/>
      <c r="H1047" s="91"/>
    </row>
    <row r="1048" spans="2:8">
      <c r="B1048" s="80"/>
      <c r="C1048" s="36"/>
      <c r="D1048" s="91"/>
      <c r="E1048" s="80"/>
      <c r="F1048" s="80"/>
      <c r="G1048" s="91"/>
      <c r="H1048" s="91"/>
    </row>
    <row r="1049" spans="2:8">
      <c r="B1049" s="80"/>
      <c r="C1049" s="36"/>
      <c r="D1049" s="91"/>
      <c r="E1049" s="80"/>
      <c r="F1049" s="80"/>
      <c r="G1049" s="91"/>
      <c r="H1049" s="91"/>
    </row>
    <row r="1050" spans="2:8">
      <c r="B1050" s="80"/>
      <c r="C1050" s="36"/>
      <c r="D1050" s="91"/>
      <c r="E1050" s="80"/>
      <c r="F1050" s="80"/>
      <c r="G1050" s="91"/>
      <c r="H1050" s="91"/>
    </row>
    <row r="1051" spans="2:8">
      <c r="B1051" s="80"/>
      <c r="C1051" s="36"/>
      <c r="D1051" s="91"/>
      <c r="E1051" s="80"/>
      <c r="F1051" s="80"/>
      <c r="G1051" s="91"/>
      <c r="H1051" s="91"/>
    </row>
    <row r="1052" spans="2:8">
      <c r="B1052" s="80"/>
      <c r="C1052" s="36"/>
      <c r="D1052" s="91"/>
      <c r="E1052" s="80"/>
      <c r="F1052" s="80"/>
      <c r="G1052" s="91"/>
      <c r="H1052" s="91"/>
    </row>
    <row r="1053" spans="2:8">
      <c r="B1053" s="80"/>
      <c r="C1053" s="36"/>
      <c r="D1053" s="91"/>
      <c r="E1053" s="80"/>
      <c r="F1053" s="80"/>
      <c r="G1053" s="91"/>
      <c r="H1053" s="91"/>
    </row>
    <row r="1054" spans="2:8">
      <c r="B1054" s="80"/>
      <c r="C1054" s="36"/>
      <c r="D1054" s="91"/>
      <c r="E1054" s="80"/>
      <c r="F1054" s="80"/>
      <c r="G1054" s="91"/>
      <c r="H1054" s="91"/>
    </row>
    <row r="1055" spans="2:8">
      <c r="B1055" s="80"/>
      <c r="C1055" s="36"/>
      <c r="D1055" s="91"/>
      <c r="E1055" s="80"/>
      <c r="F1055" s="80"/>
      <c r="G1055" s="91"/>
      <c r="H1055" s="91"/>
    </row>
    <row r="1056" spans="2:8">
      <c r="B1056" s="80"/>
      <c r="C1056" s="36"/>
      <c r="D1056" s="91"/>
      <c r="E1056" s="80"/>
      <c r="F1056" s="80"/>
      <c r="G1056" s="91"/>
      <c r="H1056" s="91"/>
    </row>
    <row r="1057" spans="2:8">
      <c r="B1057" s="80"/>
      <c r="C1057" s="36"/>
      <c r="D1057" s="91"/>
      <c r="E1057" s="80"/>
      <c r="F1057" s="80"/>
      <c r="G1057" s="91"/>
      <c r="H1057" s="91"/>
    </row>
    <row r="1058" spans="2:8">
      <c r="B1058" s="80"/>
      <c r="C1058" s="36"/>
      <c r="D1058" s="91"/>
      <c r="E1058" s="80"/>
      <c r="F1058" s="80"/>
      <c r="G1058" s="91"/>
      <c r="H1058" s="91"/>
    </row>
    <row r="1059" spans="2:8">
      <c r="B1059" s="80"/>
      <c r="C1059" s="36"/>
      <c r="D1059" s="91"/>
      <c r="E1059" s="80"/>
      <c r="F1059" s="80"/>
      <c r="G1059" s="91"/>
      <c r="H1059" s="91"/>
    </row>
    <row r="1060" spans="2:8">
      <c r="B1060" s="80"/>
      <c r="C1060" s="36"/>
      <c r="D1060" s="91"/>
      <c r="E1060" s="80"/>
      <c r="F1060" s="80"/>
      <c r="G1060" s="91"/>
      <c r="H1060" s="91"/>
    </row>
    <row r="1061" spans="2:8">
      <c r="B1061" s="80"/>
      <c r="C1061" s="36"/>
      <c r="D1061" s="91"/>
      <c r="E1061" s="80"/>
      <c r="F1061" s="80"/>
      <c r="G1061" s="91"/>
      <c r="H1061" s="91"/>
    </row>
    <row r="1062" spans="2:8">
      <c r="B1062" s="80"/>
      <c r="C1062" s="36"/>
      <c r="D1062" s="91"/>
      <c r="E1062" s="80"/>
      <c r="F1062" s="80"/>
      <c r="G1062" s="91"/>
      <c r="H1062" s="91"/>
    </row>
    <row r="1063" spans="2:8">
      <c r="B1063" s="80"/>
      <c r="C1063" s="36"/>
      <c r="D1063" s="91"/>
      <c r="E1063" s="80"/>
      <c r="F1063" s="80"/>
      <c r="G1063" s="91"/>
      <c r="H1063" s="91"/>
    </row>
    <row r="1064" spans="2:8">
      <c r="B1064" s="80"/>
      <c r="C1064" s="36"/>
      <c r="D1064" s="91"/>
      <c r="E1064" s="80"/>
      <c r="F1064" s="80"/>
      <c r="G1064" s="91"/>
      <c r="H1064" s="91"/>
    </row>
    <row r="1065" spans="2:8">
      <c r="B1065" s="80"/>
      <c r="C1065" s="36"/>
      <c r="D1065" s="91"/>
      <c r="E1065" s="80"/>
      <c r="F1065" s="80"/>
      <c r="G1065" s="91"/>
      <c r="H1065" s="91"/>
    </row>
    <row r="1066" spans="2:8">
      <c r="B1066" s="80"/>
      <c r="C1066" s="36"/>
      <c r="D1066" s="91"/>
      <c r="E1066" s="80"/>
      <c r="F1066" s="80"/>
      <c r="G1066" s="91"/>
      <c r="H1066" s="91"/>
    </row>
    <row r="1067" spans="2:8">
      <c r="B1067" s="80"/>
      <c r="C1067" s="36"/>
      <c r="D1067" s="91"/>
      <c r="E1067" s="80"/>
      <c r="F1067" s="80"/>
      <c r="G1067" s="91"/>
      <c r="H1067" s="91"/>
    </row>
    <row r="1068" spans="2:8">
      <c r="B1068" s="80"/>
      <c r="C1068" s="36"/>
      <c r="D1068" s="91"/>
      <c r="E1068" s="80"/>
      <c r="F1068" s="80"/>
      <c r="G1068" s="91"/>
      <c r="H1068" s="91"/>
    </row>
    <row r="1069" spans="2:8">
      <c r="B1069" s="80"/>
      <c r="C1069" s="36"/>
      <c r="D1069" s="91"/>
      <c r="E1069" s="80"/>
      <c r="F1069" s="80"/>
      <c r="G1069" s="91"/>
      <c r="H1069" s="91"/>
    </row>
    <row r="1070" spans="2:8">
      <c r="B1070" s="80"/>
      <c r="C1070" s="36"/>
      <c r="D1070" s="91"/>
      <c r="E1070" s="80"/>
      <c r="F1070" s="80"/>
      <c r="G1070" s="91"/>
      <c r="H1070" s="91"/>
    </row>
    <row r="1071" spans="2:8">
      <c r="B1071" s="80"/>
      <c r="C1071" s="36"/>
      <c r="D1071" s="91"/>
      <c r="E1071" s="80"/>
      <c r="F1071" s="80"/>
      <c r="G1071" s="91"/>
      <c r="H1071" s="91"/>
    </row>
    <row r="1072" spans="2:8">
      <c r="B1072" s="80"/>
      <c r="C1072" s="36"/>
      <c r="D1072" s="91"/>
      <c r="E1072" s="80"/>
      <c r="F1072" s="80"/>
      <c r="G1072" s="91"/>
      <c r="H1072" s="91"/>
    </row>
    <row r="1073" spans="2:8">
      <c r="B1073" s="80"/>
      <c r="C1073" s="36"/>
      <c r="D1073" s="91"/>
      <c r="E1073" s="80"/>
      <c r="F1073" s="80"/>
      <c r="G1073" s="91"/>
      <c r="H1073" s="91"/>
    </row>
    <row r="1074" spans="2:8">
      <c r="B1074" s="80"/>
      <c r="C1074" s="36"/>
      <c r="D1074" s="91"/>
      <c r="E1074" s="80"/>
      <c r="F1074" s="80"/>
      <c r="G1074" s="91"/>
      <c r="H1074" s="91"/>
    </row>
    <row r="1075" spans="2:8">
      <c r="B1075" s="80"/>
      <c r="C1075" s="36"/>
      <c r="D1075" s="91"/>
      <c r="E1075" s="80"/>
      <c r="F1075" s="80"/>
      <c r="G1075" s="91"/>
      <c r="H1075" s="91"/>
    </row>
    <row r="1076" spans="2:8">
      <c r="B1076" s="80"/>
      <c r="C1076" s="36"/>
      <c r="D1076" s="91"/>
      <c r="E1076" s="80"/>
      <c r="F1076" s="80"/>
      <c r="G1076" s="91"/>
      <c r="H1076" s="91"/>
    </row>
    <row r="1077" spans="2:8">
      <c r="B1077" s="80"/>
      <c r="C1077" s="36"/>
      <c r="D1077" s="91"/>
      <c r="E1077" s="80"/>
      <c r="F1077" s="80"/>
      <c r="G1077" s="91"/>
      <c r="H1077" s="91"/>
    </row>
    <row r="1078" spans="2:8">
      <c r="B1078" s="80"/>
      <c r="C1078" s="36"/>
      <c r="D1078" s="91"/>
      <c r="E1078" s="80"/>
      <c r="F1078" s="80"/>
      <c r="G1078" s="91"/>
      <c r="H1078" s="91"/>
    </row>
    <row r="1079" spans="2:8">
      <c r="B1079" s="80"/>
      <c r="C1079" s="36"/>
      <c r="D1079" s="91"/>
      <c r="E1079" s="80"/>
      <c r="F1079" s="80"/>
      <c r="G1079" s="91"/>
      <c r="H1079" s="91"/>
    </row>
    <row r="1080" spans="2:8">
      <c r="B1080" s="80"/>
      <c r="C1080" s="36"/>
      <c r="D1080" s="91"/>
      <c r="E1080" s="80"/>
      <c r="F1080" s="80"/>
      <c r="G1080" s="91"/>
      <c r="H1080" s="91"/>
    </row>
    <row r="1081" spans="2:8">
      <c r="B1081" s="80"/>
      <c r="C1081" s="36"/>
      <c r="D1081" s="91"/>
      <c r="E1081" s="80"/>
      <c r="F1081" s="80"/>
      <c r="G1081" s="91"/>
      <c r="H1081" s="91"/>
    </row>
    <row r="1082" spans="2:8">
      <c r="B1082" s="80"/>
      <c r="C1082" s="36"/>
      <c r="D1082" s="91"/>
      <c r="E1082" s="80"/>
      <c r="F1082" s="80"/>
      <c r="G1082" s="91"/>
      <c r="H1082" s="91"/>
    </row>
    <row r="1083" spans="2:8">
      <c r="B1083" s="80"/>
      <c r="C1083" s="36"/>
      <c r="D1083" s="91"/>
      <c r="E1083" s="80"/>
      <c r="F1083" s="80"/>
      <c r="G1083" s="91"/>
      <c r="H1083" s="91"/>
    </row>
    <row r="1084" spans="2:8">
      <c r="B1084" s="80"/>
      <c r="C1084" s="36"/>
      <c r="D1084" s="91"/>
      <c r="E1084" s="80"/>
      <c r="F1084" s="80"/>
      <c r="G1084" s="91"/>
      <c r="H1084" s="91"/>
    </row>
    <row r="1085" spans="2:8">
      <c r="B1085" s="80"/>
      <c r="C1085" s="36"/>
      <c r="D1085" s="91"/>
      <c r="E1085" s="80"/>
      <c r="F1085" s="80"/>
      <c r="G1085" s="91"/>
      <c r="H1085" s="91"/>
    </row>
    <row r="1086" spans="2:8">
      <c r="B1086" s="80"/>
      <c r="C1086" s="36"/>
      <c r="D1086" s="91"/>
      <c r="E1086" s="80"/>
      <c r="F1086" s="80"/>
      <c r="G1086" s="91"/>
      <c r="H1086" s="91"/>
    </row>
    <row r="1087" spans="2:8">
      <c r="B1087" s="80"/>
      <c r="C1087" s="36"/>
      <c r="D1087" s="91"/>
      <c r="E1087" s="80"/>
      <c r="F1087" s="80"/>
      <c r="G1087" s="91"/>
      <c r="H1087" s="91"/>
    </row>
    <row r="1088" spans="2:8">
      <c r="B1088" s="80"/>
      <c r="C1088" s="36"/>
      <c r="D1088" s="91"/>
      <c r="E1088" s="80"/>
      <c r="F1088" s="80"/>
      <c r="G1088" s="91"/>
      <c r="H1088" s="91"/>
    </row>
    <row r="1089" spans="2:8">
      <c r="B1089" s="80"/>
      <c r="C1089" s="36"/>
      <c r="D1089" s="91"/>
      <c r="E1089" s="80"/>
      <c r="F1089" s="80"/>
      <c r="G1089" s="91"/>
      <c r="H1089" s="91"/>
    </row>
    <row r="1090" spans="2:8">
      <c r="B1090" s="80"/>
      <c r="C1090" s="36"/>
      <c r="D1090" s="91"/>
      <c r="E1090" s="80"/>
      <c r="F1090" s="80"/>
      <c r="G1090" s="91"/>
      <c r="H1090" s="91"/>
    </row>
    <row r="1091" spans="2:8">
      <c r="B1091" s="80"/>
      <c r="C1091" s="36"/>
      <c r="D1091" s="91"/>
      <c r="E1091" s="80"/>
      <c r="F1091" s="80"/>
      <c r="G1091" s="91"/>
      <c r="H1091" s="91"/>
    </row>
    <row r="1092" spans="2:8">
      <c r="B1092" s="80"/>
      <c r="C1092" s="36"/>
      <c r="D1092" s="91"/>
      <c r="E1092" s="80"/>
      <c r="F1092" s="80"/>
      <c r="G1092" s="91"/>
      <c r="H1092" s="91"/>
    </row>
    <row r="1093" spans="2:8">
      <c r="B1093" s="80"/>
      <c r="C1093" s="36"/>
      <c r="D1093" s="91"/>
      <c r="E1093" s="80"/>
      <c r="F1093" s="80"/>
      <c r="G1093" s="91"/>
      <c r="H1093" s="91"/>
    </row>
    <row r="1094" spans="2:8">
      <c r="B1094" s="80"/>
      <c r="C1094" s="36"/>
      <c r="D1094" s="91"/>
      <c r="E1094" s="80"/>
      <c r="F1094" s="80"/>
      <c r="G1094" s="91"/>
      <c r="H1094" s="91"/>
    </row>
    <row r="1095" spans="2:8">
      <c r="B1095" s="80"/>
      <c r="C1095" s="36"/>
      <c r="D1095" s="91"/>
      <c r="E1095" s="80"/>
      <c r="F1095" s="80"/>
      <c r="G1095" s="91"/>
      <c r="H1095" s="91"/>
    </row>
    <row r="1096" spans="2:8">
      <c r="B1096" s="80"/>
      <c r="C1096" s="36"/>
      <c r="D1096" s="91"/>
      <c r="E1096" s="80"/>
      <c r="F1096" s="80"/>
      <c r="G1096" s="91"/>
      <c r="H1096" s="91"/>
    </row>
    <row r="1097" spans="2:8">
      <c r="B1097" s="80"/>
      <c r="C1097" s="36"/>
      <c r="D1097" s="91"/>
      <c r="E1097" s="80"/>
      <c r="F1097" s="80"/>
      <c r="G1097" s="91"/>
      <c r="H1097" s="91"/>
    </row>
    <row r="1098" spans="2:8">
      <c r="B1098" s="80"/>
      <c r="C1098" s="36"/>
      <c r="D1098" s="91"/>
      <c r="E1098" s="80"/>
      <c r="F1098" s="80"/>
      <c r="G1098" s="91"/>
      <c r="H1098" s="91"/>
    </row>
    <row r="1099" spans="2:8">
      <c r="B1099" s="80"/>
      <c r="C1099" s="36"/>
      <c r="D1099" s="91"/>
      <c r="E1099" s="80"/>
      <c r="F1099" s="80"/>
      <c r="G1099" s="91"/>
      <c r="H1099" s="91"/>
    </row>
    <row r="1100" spans="2:8">
      <c r="B1100" s="80"/>
      <c r="C1100" s="36"/>
      <c r="D1100" s="91"/>
      <c r="E1100" s="80"/>
      <c r="F1100" s="80"/>
      <c r="G1100" s="91"/>
      <c r="H1100" s="91"/>
    </row>
    <row r="1101" spans="2:8">
      <c r="B1101" s="80"/>
      <c r="C1101" s="36"/>
      <c r="D1101" s="91"/>
      <c r="E1101" s="80"/>
      <c r="F1101" s="80"/>
      <c r="G1101" s="91"/>
      <c r="H1101" s="91"/>
    </row>
    <row r="1102" spans="2:8">
      <c r="B1102" s="80"/>
      <c r="C1102" s="36"/>
      <c r="D1102" s="91"/>
      <c r="E1102" s="80"/>
      <c r="F1102" s="80"/>
      <c r="G1102" s="91"/>
      <c r="H1102" s="91"/>
    </row>
    <row r="1103" spans="2:8">
      <c r="B1103" s="80"/>
      <c r="C1103" s="36"/>
      <c r="D1103" s="91"/>
      <c r="E1103" s="80"/>
      <c r="F1103" s="80"/>
      <c r="G1103" s="91"/>
      <c r="H1103" s="91"/>
    </row>
    <row r="1104" spans="2:8">
      <c r="B1104" s="80"/>
      <c r="C1104" s="36"/>
      <c r="D1104" s="91"/>
      <c r="E1104" s="80"/>
      <c r="F1104" s="80"/>
      <c r="G1104" s="91"/>
      <c r="H1104" s="91"/>
    </row>
    <row r="1105" spans="2:8">
      <c r="B1105" s="80"/>
      <c r="C1105" s="36"/>
      <c r="D1105" s="91"/>
      <c r="E1105" s="80"/>
      <c r="F1105" s="80"/>
      <c r="G1105" s="91"/>
      <c r="H1105" s="91"/>
    </row>
    <row r="1106" spans="2:8">
      <c r="B1106" s="80"/>
      <c r="C1106" s="36"/>
      <c r="D1106" s="91"/>
      <c r="E1106" s="80"/>
      <c r="F1106" s="80"/>
      <c r="G1106" s="91"/>
      <c r="H1106" s="91"/>
    </row>
    <row r="1107" spans="2:8">
      <c r="B1107" s="80"/>
      <c r="C1107" s="36"/>
      <c r="D1107" s="91"/>
      <c r="E1107" s="80"/>
      <c r="F1107" s="80"/>
      <c r="G1107" s="91"/>
      <c r="H1107" s="91"/>
    </row>
    <row r="1108" spans="2:8">
      <c r="B1108" s="80"/>
      <c r="C1108" s="36"/>
      <c r="D1108" s="91"/>
      <c r="E1108" s="80"/>
      <c r="F1108" s="80"/>
      <c r="G1108" s="91"/>
      <c r="H1108" s="91"/>
    </row>
    <row r="1109" spans="2:8">
      <c r="B1109" s="80"/>
      <c r="C1109" s="36"/>
      <c r="D1109" s="91"/>
      <c r="E1109" s="80"/>
      <c r="F1109" s="80"/>
      <c r="G1109" s="91"/>
      <c r="H1109" s="91"/>
    </row>
    <row r="1110" spans="2:8">
      <c r="B1110" s="80"/>
      <c r="C1110" s="36"/>
      <c r="D1110" s="91"/>
      <c r="E1110" s="80"/>
      <c r="F1110" s="80"/>
      <c r="G1110" s="91"/>
      <c r="H1110" s="91"/>
    </row>
    <row r="1111" spans="2:8">
      <c r="B1111" s="80"/>
      <c r="C1111" s="36"/>
      <c r="D1111" s="91"/>
      <c r="E1111" s="80"/>
      <c r="F1111" s="80"/>
      <c r="G1111" s="91"/>
      <c r="H1111" s="91"/>
    </row>
    <row r="1112" spans="2:8">
      <c r="B1112" s="80"/>
      <c r="C1112" s="36"/>
      <c r="D1112" s="91"/>
      <c r="E1112" s="80"/>
      <c r="F1112" s="80"/>
      <c r="G1112" s="91"/>
      <c r="H1112" s="91"/>
    </row>
    <row r="1113" spans="2:8">
      <c r="B1113" s="80"/>
      <c r="C1113" s="36"/>
      <c r="D1113" s="91"/>
      <c r="E1113" s="80"/>
      <c r="F1113" s="80"/>
      <c r="G1113" s="91"/>
      <c r="H1113" s="91"/>
    </row>
    <row r="1114" spans="2:8">
      <c r="B1114" s="80"/>
      <c r="C1114" s="36"/>
      <c r="D1114" s="91"/>
      <c r="E1114" s="80"/>
      <c r="F1114" s="80"/>
      <c r="G1114" s="91"/>
      <c r="H1114" s="91"/>
    </row>
    <row r="1115" spans="2:8">
      <c r="B1115" s="80"/>
      <c r="C1115" s="36"/>
      <c r="D1115" s="91"/>
      <c r="E1115" s="80"/>
      <c r="F1115" s="80"/>
      <c r="G1115" s="91"/>
      <c r="H1115" s="91"/>
    </row>
    <row r="1116" spans="2:8">
      <c r="B1116" s="80"/>
      <c r="C1116" s="36"/>
      <c r="D1116" s="91"/>
      <c r="E1116" s="80"/>
      <c r="F1116" s="80"/>
      <c r="G1116" s="91"/>
      <c r="H1116" s="91"/>
    </row>
    <row r="1117" spans="2:8">
      <c r="B1117" s="80"/>
      <c r="C1117" s="36"/>
      <c r="D1117" s="91"/>
      <c r="E1117" s="80"/>
      <c r="F1117" s="80"/>
      <c r="G1117" s="91"/>
      <c r="H1117" s="91"/>
    </row>
    <row r="1118" spans="2:8">
      <c r="B1118" s="80"/>
      <c r="C1118" s="36"/>
      <c r="D1118" s="91"/>
      <c r="E1118" s="80"/>
      <c r="F1118" s="80"/>
      <c r="G1118" s="91"/>
      <c r="H1118" s="91"/>
    </row>
    <row r="1119" spans="2:8">
      <c r="B1119" s="80"/>
      <c r="C1119" s="36"/>
      <c r="D1119" s="91"/>
      <c r="E1119" s="80"/>
      <c r="F1119" s="80"/>
      <c r="G1119" s="91"/>
      <c r="H1119" s="91"/>
    </row>
    <row r="1120" spans="2:8">
      <c r="B1120" s="80"/>
      <c r="C1120" s="36"/>
      <c r="D1120" s="91"/>
      <c r="E1120" s="80"/>
      <c r="F1120" s="80"/>
      <c r="G1120" s="91"/>
      <c r="H1120" s="91"/>
    </row>
    <row r="1121" spans="2:8">
      <c r="B1121" s="80"/>
      <c r="C1121" s="36"/>
      <c r="D1121" s="91"/>
      <c r="E1121" s="80"/>
      <c r="F1121" s="80"/>
      <c r="G1121" s="91"/>
      <c r="H1121" s="91"/>
    </row>
    <row r="1122" spans="2:8">
      <c r="B1122" s="80"/>
      <c r="C1122" s="36"/>
      <c r="D1122" s="91"/>
      <c r="E1122" s="80"/>
      <c r="F1122" s="80"/>
      <c r="G1122" s="91"/>
      <c r="H1122" s="91"/>
    </row>
    <row r="1123" spans="2:8">
      <c r="B1123" s="80"/>
      <c r="C1123" s="36"/>
      <c r="D1123" s="91"/>
      <c r="E1123" s="80"/>
      <c r="F1123" s="80"/>
      <c r="G1123" s="91"/>
      <c r="H1123" s="91"/>
    </row>
    <row r="1124" spans="2:8">
      <c r="B1124" s="80"/>
      <c r="C1124" s="36"/>
      <c r="D1124" s="91"/>
      <c r="E1124" s="80"/>
      <c r="F1124" s="80"/>
      <c r="G1124" s="91"/>
      <c r="H1124" s="91"/>
    </row>
    <row r="1125" spans="2:8">
      <c r="B1125" s="80"/>
      <c r="C1125" s="36"/>
      <c r="D1125" s="91"/>
      <c r="E1125" s="80"/>
      <c r="F1125" s="80"/>
      <c r="G1125" s="91"/>
      <c r="H1125" s="91"/>
    </row>
    <row r="1126" spans="2:8">
      <c r="B1126" s="80"/>
      <c r="C1126" s="36"/>
      <c r="D1126" s="91"/>
      <c r="E1126" s="80"/>
      <c r="F1126" s="80"/>
      <c r="G1126" s="91"/>
      <c r="H1126" s="91"/>
    </row>
    <row r="1127" spans="2:8">
      <c r="B1127" s="80"/>
      <c r="C1127" s="36"/>
      <c r="D1127" s="91"/>
      <c r="E1127" s="80"/>
      <c r="F1127" s="80"/>
      <c r="G1127" s="91"/>
      <c r="H1127" s="91"/>
    </row>
    <row r="1128" spans="2:8">
      <c r="B1128" s="80"/>
      <c r="C1128" s="36"/>
      <c r="D1128" s="91"/>
      <c r="E1128" s="80"/>
      <c r="F1128" s="80"/>
      <c r="G1128" s="91"/>
      <c r="H1128" s="91"/>
    </row>
    <row r="1129" spans="2:8">
      <c r="B1129" s="80"/>
      <c r="C1129" s="36"/>
      <c r="D1129" s="91"/>
      <c r="E1129" s="80"/>
      <c r="F1129" s="80"/>
      <c r="G1129" s="91"/>
      <c r="H1129" s="91"/>
    </row>
    <row r="1130" spans="2:8">
      <c r="B1130" s="80"/>
      <c r="C1130" s="36"/>
      <c r="D1130" s="91"/>
      <c r="E1130" s="80"/>
      <c r="F1130" s="80"/>
      <c r="G1130" s="91"/>
      <c r="H1130" s="91"/>
    </row>
    <row r="1131" spans="2:8">
      <c r="B1131" s="80"/>
      <c r="C1131" s="36"/>
      <c r="D1131" s="91"/>
      <c r="E1131" s="80"/>
      <c r="F1131" s="80"/>
      <c r="G1131" s="91"/>
      <c r="H1131" s="91"/>
    </row>
    <row r="1132" spans="2:8">
      <c r="B1132" s="80"/>
      <c r="C1132" s="36"/>
      <c r="D1132" s="91"/>
      <c r="E1132" s="80"/>
      <c r="F1132" s="80"/>
      <c r="G1132" s="91"/>
      <c r="H1132" s="91"/>
    </row>
    <row r="1133" spans="2:8">
      <c r="B1133" s="80"/>
      <c r="C1133" s="36"/>
      <c r="D1133" s="91"/>
      <c r="E1133" s="80"/>
      <c r="F1133" s="80"/>
      <c r="G1133" s="91"/>
      <c r="H1133" s="91"/>
    </row>
    <row r="1134" spans="2:8">
      <c r="B1134" s="80"/>
      <c r="C1134" s="36"/>
      <c r="D1134" s="91"/>
      <c r="E1134" s="80"/>
      <c r="F1134" s="80"/>
      <c r="G1134" s="91"/>
      <c r="H1134" s="91"/>
    </row>
    <row r="1135" spans="2:8">
      <c r="B1135" s="80"/>
      <c r="C1135" s="36"/>
      <c r="D1135" s="91"/>
      <c r="E1135" s="80"/>
      <c r="F1135" s="80"/>
      <c r="G1135" s="91"/>
      <c r="H1135" s="91"/>
    </row>
    <row r="1136" spans="2:8">
      <c r="B1136" s="80"/>
      <c r="C1136" s="36"/>
      <c r="D1136" s="91"/>
      <c r="E1136" s="80"/>
      <c r="F1136" s="80"/>
      <c r="G1136" s="91"/>
      <c r="H1136" s="91"/>
    </row>
    <row r="1137" spans="2:8">
      <c r="B1137" s="80"/>
      <c r="C1137" s="36"/>
      <c r="D1137" s="91"/>
      <c r="E1137" s="80"/>
      <c r="F1137" s="80"/>
      <c r="G1137" s="91"/>
      <c r="H1137" s="91"/>
    </row>
    <row r="1138" spans="2:8">
      <c r="B1138" s="80"/>
      <c r="C1138" s="36"/>
      <c r="D1138" s="91"/>
      <c r="E1138" s="80"/>
      <c r="F1138" s="80"/>
      <c r="G1138" s="91"/>
      <c r="H1138" s="91"/>
    </row>
    <row r="1139" spans="2:8">
      <c r="B1139" s="80"/>
      <c r="C1139" s="36"/>
      <c r="D1139" s="91"/>
      <c r="E1139" s="80"/>
      <c r="F1139" s="80"/>
      <c r="G1139" s="91"/>
      <c r="H1139" s="91"/>
    </row>
    <row r="1140" spans="2:8">
      <c r="B1140" s="80"/>
      <c r="C1140" s="36"/>
      <c r="D1140" s="91"/>
      <c r="E1140" s="80"/>
      <c r="F1140" s="80"/>
      <c r="G1140" s="91"/>
      <c r="H1140" s="91"/>
    </row>
    <row r="1141" spans="2:8">
      <c r="B1141" s="80"/>
      <c r="C1141" s="36"/>
      <c r="D1141" s="91"/>
      <c r="E1141" s="80"/>
      <c r="F1141" s="80"/>
      <c r="G1141" s="91"/>
      <c r="H1141" s="91"/>
    </row>
    <row r="1142" spans="2:8">
      <c r="B1142" s="80"/>
      <c r="C1142" s="36"/>
      <c r="D1142" s="91"/>
      <c r="E1142" s="80"/>
      <c r="F1142" s="80"/>
      <c r="G1142" s="91"/>
      <c r="H1142" s="91"/>
    </row>
    <row r="1143" spans="2:8">
      <c r="B1143" s="80"/>
      <c r="C1143" s="36"/>
      <c r="D1143" s="91"/>
      <c r="E1143" s="80"/>
      <c r="F1143" s="80"/>
      <c r="G1143" s="91"/>
      <c r="H1143" s="91"/>
    </row>
    <row r="1144" spans="2:8">
      <c r="B1144" s="80"/>
      <c r="C1144" s="36"/>
      <c r="D1144" s="91"/>
      <c r="E1144" s="80"/>
      <c r="F1144" s="80"/>
      <c r="G1144" s="91"/>
      <c r="H1144" s="91"/>
    </row>
    <row r="1145" spans="2:8">
      <c r="B1145" s="80"/>
      <c r="C1145" s="36"/>
      <c r="D1145" s="91"/>
      <c r="E1145" s="80"/>
      <c r="F1145" s="80"/>
      <c r="G1145" s="91"/>
      <c r="H1145" s="91"/>
    </row>
    <row r="1146" spans="2:8">
      <c r="B1146" s="80"/>
      <c r="C1146" s="36"/>
      <c r="D1146" s="91"/>
      <c r="E1146" s="80"/>
      <c r="F1146" s="80"/>
      <c r="G1146" s="91"/>
      <c r="H1146" s="91"/>
    </row>
    <row r="1147" spans="2:8">
      <c r="B1147" s="80"/>
      <c r="C1147" s="36"/>
      <c r="D1147" s="91"/>
      <c r="E1147" s="80"/>
      <c r="F1147" s="80"/>
      <c r="G1147" s="91"/>
      <c r="H1147" s="91"/>
    </row>
    <row r="1148" spans="2:8">
      <c r="B1148" s="80"/>
      <c r="C1148" s="36"/>
      <c r="D1148" s="91"/>
      <c r="E1148" s="80"/>
      <c r="F1148" s="80"/>
      <c r="G1148" s="91"/>
      <c r="H1148" s="91"/>
    </row>
    <row r="1149" spans="2:8">
      <c r="B1149" s="80"/>
      <c r="C1149" s="36"/>
      <c r="D1149" s="91"/>
      <c r="E1149" s="80"/>
      <c r="F1149" s="80"/>
      <c r="G1149" s="91"/>
      <c r="H1149" s="91"/>
    </row>
    <row r="1150" spans="2:8">
      <c r="B1150" s="80"/>
      <c r="C1150" s="36"/>
      <c r="D1150" s="91"/>
      <c r="E1150" s="80"/>
      <c r="F1150" s="80"/>
      <c r="G1150" s="91"/>
      <c r="H1150" s="91"/>
    </row>
    <row r="1151" spans="2:8">
      <c r="B1151" s="80"/>
      <c r="C1151" s="36"/>
      <c r="D1151" s="91"/>
      <c r="E1151" s="80"/>
      <c r="F1151" s="80"/>
      <c r="G1151" s="91"/>
      <c r="H1151" s="91"/>
    </row>
    <row r="1152" spans="2:8">
      <c r="B1152" s="80"/>
      <c r="C1152" s="36"/>
      <c r="D1152" s="91"/>
      <c r="E1152" s="80"/>
      <c r="F1152" s="80"/>
      <c r="G1152" s="91"/>
      <c r="H1152" s="91"/>
    </row>
    <row r="1153" spans="2:8">
      <c r="B1153" s="80"/>
      <c r="C1153" s="36"/>
      <c r="D1153" s="91"/>
      <c r="E1153" s="80"/>
      <c r="F1153" s="80"/>
      <c r="G1153" s="91"/>
      <c r="H1153" s="91"/>
    </row>
    <row r="1154" spans="2:8">
      <c r="B1154" s="80"/>
      <c r="C1154" s="36"/>
      <c r="D1154" s="91"/>
      <c r="E1154" s="80"/>
      <c r="F1154" s="80"/>
      <c r="G1154" s="91"/>
      <c r="H1154" s="91"/>
    </row>
    <row r="1155" spans="2:8">
      <c r="B1155" s="80"/>
      <c r="C1155" s="36"/>
      <c r="D1155" s="91"/>
      <c r="E1155" s="80"/>
      <c r="F1155" s="80"/>
      <c r="G1155" s="91"/>
      <c r="H1155" s="91"/>
    </row>
    <row r="1156" spans="2:8">
      <c r="B1156" s="80"/>
      <c r="C1156" s="36"/>
      <c r="D1156" s="91"/>
      <c r="E1156" s="80"/>
      <c r="F1156" s="80"/>
      <c r="G1156" s="91"/>
      <c r="H1156" s="91"/>
    </row>
    <row r="1157" spans="2:8">
      <c r="B1157" s="80"/>
      <c r="C1157" s="36"/>
      <c r="D1157" s="91"/>
      <c r="E1157" s="80"/>
      <c r="F1157" s="80"/>
      <c r="G1157" s="91"/>
      <c r="H1157" s="91"/>
    </row>
    <row r="1158" spans="2:8">
      <c r="B1158" s="80"/>
      <c r="C1158" s="36"/>
      <c r="D1158" s="91"/>
      <c r="E1158" s="80"/>
      <c r="F1158" s="80"/>
      <c r="G1158" s="91"/>
      <c r="H1158" s="91"/>
    </row>
    <row r="1159" spans="2:8">
      <c r="B1159" s="80"/>
      <c r="C1159" s="36"/>
      <c r="D1159" s="91"/>
      <c r="E1159" s="80"/>
      <c r="F1159" s="80"/>
      <c r="G1159" s="91"/>
      <c r="H1159" s="91"/>
    </row>
    <row r="1160" spans="2:8">
      <c r="B1160" s="80"/>
      <c r="C1160" s="36"/>
      <c r="D1160" s="91"/>
      <c r="E1160" s="80"/>
      <c r="F1160" s="80"/>
      <c r="G1160" s="91"/>
      <c r="H1160" s="91"/>
    </row>
    <row r="1161" spans="2:8">
      <c r="B1161" s="80"/>
      <c r="C1161" s="36"/>
      <c r="D1161" s="91"/>
      <c r="E1161" s="80"/>
      <c r="F1161" s="80"/>
      <c r="G1161" s="91"/>
      <c r="H1161" s="91"/>
    </row>
    <row r="1162" spans="2:8">
      <c r="B1162" s="80"/>
      <c r="C1162" s="36"/>
      <c r="D1162" s="91"/>
      <c r="E1162" s="80"/>
      <c r="F1162" s="80"/>
      <c r="G1162" s="91"/>
      <c r="H1162" s="91"/>
    </row>
    <row r="1163" spans="2:8">
      <c r="B1163" s="80"/>
      <c r="C1163" s="36"/>
      <c r="D1163" s="91"/>
      <c r="E1163" s="80"/>
      <c r="F1163" s="80"/>
      <c r="G1163" s="91"/>
      <c r="H1163" s="91"/>
    </row>
    <row r="1164" spans="2:8">
      <c r="B1164" s="80"/>
      <c r="C1164" s="36"/>
      <c r="D1164" s="91"/>
      <c r="E1164" s="80"/>
      <c r="F1164" s="80"/>
      <c r="G1164" s="91"/>
      <c r="H1164" s="91"/>
    </row>
    <row r="1165" spans="2:8">
      <c r="B1165" s="80"/>
      <c r="C1165" s="36"/>
      <c r="D1165" s="91"/>
      <c r="E1165" s="80"/>
      <c r="F1165" s="80"/>
      <c r="G1165" s="91"/>
      <c r="H1165" s="91"/>
    </row>
    <row r="1166" spans="2:8">
      <c r="B1166" s="80"/>
      <c r="C1166" s="36"/>
      <c r="D1166" s="91"/>
      <c r="E1166" s="80"/>
      <c r="F1166" s="80"/>
      <c r="G1166" s="91"/>
      <c r="H1166" s="91"/>
    </row>
    <row r="1167" spans="2:8">
      <c r="B1167" s="80"/>
      <c r="C1167" s="36"/>
      <c r="D1167" s="91"/>
      <c r="E1167" s="80"/>
      <c r="F1167" s="80"/>
      <c r="G1167" s="91"/>
      <c r="H1167" s="91"/>
    </row>
    <row r="1168" spans="2:8">
      <c r="B1168" s="80"/>
      <c r="C1168" s="36"/>
      <c r="D1168" s="91"/>
      <c r="E1168" s="80"/>
      <c r="F1168" s="80"/>
      <c r="G1168" s="91"/>
      <c r="H1168" s="91"/>
    </row>
    <row r="1169" spans="2:8">
      <c r="B1169" s="80"/>
      <c r="C1169" s="36"/>
      <c r="D1169" s="91"/>
      <c r="E1169" s="80"/>
      <c r="F1169" s="80"/>
      <c r="G1169" s="91"/>
      <c r="H1169" s="91"/>
    </row>
    <row r="1170" spans="2:8">
      <c r="B1170" s="80"/>
      <c r="C1170" s="36"/>
      <c r="D1170" s="91"/>
      <c r="E1170" s="80"/>
      <c r="F1170" s="80"/>
      <c r="G1170" s="91"/>
      <c r="H1170" s="91"/>
    </row>
    <row r="1171" spans="2:8">
      <c r="B1171" s="80"/>
      <c r="C1171" s="36"/>
      <c r="D1171" s="91"/>
      <c r="E1171" s="80"/>
      <c r="F1171" s="80"/>
      <c r="G1171" s="91"/>
      <c r="H1171" s="91"/>
    </row>
    <row r="1172" spans="2:8">
      <c r="B1172" s="80"/>
      <c r="C1172" s="36"/>
      <c r="D1172" s="91"/>
      <c r="E1172" s="80"/>
      <c r="F1172" s="80"/>
      <c r="G1172" s="91"/>
      <c r="H1172" s="91"/>
    </row>
    <row r="1173" spans="2:8">
      <c r="B1173" s="80"/>
      <c r="C1173" s="36"/>
      <c r="D1173" s="91"/>
      <c r="E1173" s="80"/>
      <c r="F1173" s="80"/>
      <c r="G1173" s="91"/>
      <c r="H1173" s="91"/>
    </row>
    <row r="1174" spans="2:8">
      <c r="B1174" s="80"/>
      <c r="C1174" s="36"/>
      <c r="D1174" s="91"/>
      <c r="E1174" s="80"/>
      <c r="F1174" s="80"/>
      <c r="G1174" s="91"/>
      <c r="H1174" s="91"/>
    </row>
    <row r="1175" spans="2:8">
      <c r="B1175" s="80"/>
      <c r="C1175" s="36"/>
      <c r="D1175" s="91"/>
      <c r="E1175" s="80"/>
      <c r="F1175" s="80"/>
      <c r="G1175" s="91"/>
      <c r="H1175" s="91"/>
    </row>
    <row r="1176" spans="2:8">
      <c r="B1176" s="80"/>
      <c r="C1176" s="36"/>
      <c r="D1176" s="91"/>
      <c r="E1176" s="80"/>
      <c r="F1176" s="80"/>
      <c r="G1176" s="91"/>
      <c r="H1176" s="91"/>
    </row>
    <row r="1177" spans="2:8">
      <c r="B1177" s="80"/>
      <c r="C1177" s="36"/>
      <c r="D1177" s="91"/>
      <c r="E1177" s="80"/>
      <c r="F1177" s="80"/>
      <c r="G1177" s="91"/>
      <c r="H1177" s="91"/>
    </row>
    <row r="1178" spans="2:8">
      <c r="B1178" s="80"/>
      <c r="C1178" s="36"/>
      <c r="D1178" s="91"/>
      <c r="E1178" s="80"/>
      <c r="F1178" s="80"/>
      <c r="G1178" s="91"/>
      <c r="H1178" s="91"/>
    </row>
    <row r="1179" spans="2:8">
      <c r="B1179" s="80"/>
      <c r="C1179" s="36"/>
      <c r="D1179" s="91"/>
      <c r="E1179" s="80"/>
      <c r="F1179" s="80"/>
      <c r="G1179" s="91"/>
      <c r="H1179" s="91"/>
    </row>
    <row r="1180" spans="2:8">
      <c r="B1180" s="80"/>
      <c r="C1180" s="36"/>
      <c r="D1180" s="91"/>
      <c r="E1180" s="80"/>
      <c r="F1180" s="80"/>
      <c r="G1180" s="91"/>
      <c r="H1180" s="91"/>
    </row>
    <row r="1181" spans="2:8">
      <c r="B1181" s="80"/>
      <c r="C1181" s="36"/>
      <c r="D1181" s="91"/>
      <c r="E1181" s="80"/>
      <c r="F1181" s="80"/>
      <c r="G1181" s="91"/>
      <c r="H1181" s="91"/>
    </row>
    <row r="1182" spans="2:8">
      <c r="B1182" s="80"/>
      <c r="C1182" s="36"/>
      <c r="D1182" s="91"/>
      <c r="E1182" s="80"/>
      <c r="F1182" s="80"/>
      <c r="G1182" s="91"/>
      <c r="H1182" s="91"/>
    </row>
    <row r="1183" spans="2:8">
      <c r="B1183" s="80"/>
      <c r="C1183" s="36"/>
      <c r="D1183" s="91"/>
      <c r="E1183" s="80"/>
      <c r="F1183" s="80"/>
      <c r="G1183" s="91"/>
      <c r="H1183" s="91"/>
    </row>
    <row r="1184" spans="2:8">
      <c r="B1184" s="80"/>
      <c r="C1184" s="36"/>
      <c r="D1184" s="91"/>
      <c r="E1184" s="80"/>
      <c r="F1184" s="80"/>
      <c r="G1184" s="91"/>
      <c r="H1184" s="91"/>
    </row>
    <row r="1185" spans="2:8">
      <c r="B1185" s="80"/>
      <c r="C1185" s="36"/>
      <c r="D1185" s="91"/>
      <c r="E1185" s="80"/>
      <c r="F1185" s="80"/>
      <c r="G1185" s="91"/>
      <c r="H1185" s="91"/>
    </row>
    <row r="1186" spans="2:8">
      <c r="B1186" s="80"/>
      <c r="C1186" s="36"/>
      <c r="D1186" s="91"/>
      <c r="E1186" s="80"/>
      <c r="F1186" s="80"/>
      <c r="G1186" s="91"/>
      <c r="H1186" s="91"/>
    </row>
    <row r="1187" spans="2:8">
      <c r="B1187" s="80"/>
      <c r="C1187" s="36"/>
      <c r="D1187" s="91"/>
      <c r="E1187" s="80"/>
      <c r="F1187" s="80"/>
      <c r="G1187" s="91"/>
      <c r="H1187" s="91"/>
    </row>
    <row r="1188" spans="2:8">
      <c r="B1188" s="80"/>
      <c r="C1188" s="36"/>
      <c r="D1188" s="91"/>
      <c r="E1188" s="80"/>
      <c r="F1188" s="80"/>
      <c r="G1188" s="91"/>
      <c r="H1188" s="91"/>
    </row>
    <row r="1189" spans="2:8">
      <c r="B1189" s="80"/>
      <c r="C1189" s="36"/>
      <c r="D1189" s="91"/>
      <c r="E1189" s="80"/>
      <c r="F1189" s="80"/>
      <c r="G1189" s="91"/>
      <c r="H1189" s="91"/>
    </row>
    <row r="1190" spans="2:8">
      <c r="B1190" s="80"/>
      <c r="C1190" s="36"/>
      <c r="D1190" s="91"/>
      <c r="E1190" s="80"/>
      <c r="F1190" s="80"/>
      <c r="G1190" s="91"/>
      <c r="H1190" s="91"/>
    </row>
    <row r="1191" spans="2:8">
      <c r="B1191" s="80"/>
      <c r="C1191" s="36"/>
      <c r="D1191" s="91"/>
      <c r="E1191" s="80"/>
      <c r="F1191" s="80"/>
      <c r="G1191" s="91"/>
      <c r="H1191" s="91"/>
    </row>
    <row r="1192" spans="2:8">
      <c r="B1192" s="80"/>
      <c r="C1192" s="36"/>
      <c r="D1192" s="91"/>
      <c r="E1192" s="80"/>
      <c r="F1192" s="80"/>
      <c r="G1192" s="91"/>
      <c r="H1192" s="91"/>
    </row>
    <row r="1193" spans="2:8">
      <c r="B1193" s="80"/>
      <c r="C1193" s="36"/>
      <c r="D1193" s="91"/>
      <c r="E1193" s="80"/>
      <c r="F1193" s="80"/>
      <c r="G1193" s="91"/>
      <c r="H1193" s="91"/>
    </row>
    <row r="1194" spans="2:8">
      <c r="B1194" s="80"/>
      <c r="C1194" s="36"/>
      <c r="D1194" s="91"/>
      <c r="E1194" s="80"/>
      <c r="F1194" s="80"/>
      <c r="G1194" s="91"/>
      <c r="H1194" s="91"/>
    </row>
    <row r="1195" spans="2:8">
      <c r="B1195" s="80"/>
      <c r="C1195" s="36"/>
      <c r="D1195" s="91"/>
      <c r="E1195" s="80"/>
      <c r="F1195" s="80"/>
      <c r="G1195" s="91"/>
      <c r="H1195" s="91"/>
    </row>
    <row r="1196" spans="2:8">
      <c r="B1196" s="80"/>
      <c r="C1196" s="36"/>
      <c r="D1196" s="91"/>
      <c r="E1196" s="80"/>
      <c r="F1196" s="80"/>
      <c r="G1196" s="91"/>
      <c r="H1196" s="91"/>
    </row>
    <row r="1197" spans="2:8">
      <c r="B1197" s="80"/>
      <c r="C1197" s="36"/>
      <c r="D1197" s="91"/>
      <c r="E1197" s="80"/>
      <c r="F1197" s="80"/>
      <c r="G1197" s="91"/>
      <c r="H1197" s="91"/>
    </row>
    <row r="1198" spans="2:8">
      <c r="B1198" s="80"/>
      <c r="C1198" s="36"/>
      <c r="D1198" s="91"/>
      <c r="E1198" s="80"/>
      <c r="F1198" s="80"/>
      <c r="G1198" s="91"/>
      <c r="H1198" s="91"/>
    </row>
    <row r="1199" spans="2:8">
      <c r="B1199" s="80"/>
      <c r="C1199" s="36"/>
      <c r="D1199" s="91"/>
      <c r="E1199" s="80"/>
      <c r="F1199" s="80"/>
      <c r="G1199" s="91"/>
      <c r="H1199" s="91"/>
    </row>
    <row r="1200" spans="2:8">
      <c r="B1200" s="80"/>
      <c r="C1200" s="36"/>
      <c r="D1200" s="91"/>
      <c r="E1200" s="80"/>
      <c r="F1200" s="80"/>
      <c r="G1200" s="91"/>
      <c r="H1200" s="91"/>
    </row>
    <row r="1201" spans="2:8">
      <c r="B1201" s="80"/>
      <c r="C1201" s="36"/>
      <c r="D1201" s="91"/>
      <c r="E1201" s="80"/>
      <c r="F1201" s="80"/>
      <c r="G1201" s="91"/>
      <c r="H1201" s="91"/>
    </row>
    <row r="1202" spans="2:8">
      <c r="B1202" s="80"/>
      <c r="C1202" s="36"/>
      <c r="D1202" s="91"/>
      <c r="E1202" s="80"/>
      <c r="F1202" s="80"/>
      <c r="G1202" s="91"/>
      <c r="H1202" s="91"/>
    </row>
    <row r="1203" spans="2:8">
      <c r="B1203" s="80"/>
      <c r="C1203" s="36"/>
      <c r="D1203" s="91"/>
      <c r="E1203" s="80"/>
      <c r="F1203" s="80"/>
      <c r="G1203" s="91"/>
      <c r="H1203" s="91"/>
    </row>
    <row r="1204" spans="2:8">
      <c r="B1204" s="80"/>
      <c r="C1204" s="36"/>
      <c r="D1204" s="91"/>
      <c r="E1204" s="80"/>
      <c r="F1204" s="80"/>
      <c r="G1204" s="91"/>
      <c r="H1204" s="91"/>
    </row>
    <row r="1205" spans="2:8">
      <c r="B1205" s="80"/>
      <c r="C1205" s="36"/>
      <c r="D1205" s="91"/>
      <c r="E1205" s="80"/>
      <c r="F1205" s="80"/>
      <c r="G1205" s="91"/>
      <c r="H1205" s="91"/>
    </row>
    <row r="1206" spans="2:8">
      <c r="B1206" s="80"/>
      <c r="C1206" s="36"/>
      <c r="D1206" s="91"/>
      <c r="E1206" s="80"/>
      <c r="F1206" s="80"/>
      <c r="G1206" s="91"/>
      <c r="H1206" s="91"/>
    </row>
    <row r="1207" spans="2:8">
      <c r="B1207" s="80"/>
      <c r="C1207" s="36"/>
      <c r="D1207" s="91"/>
      <c r="E1207" s="80"/>
      <c r="F1207" s="80"/>
      <c r="G1207" s="91"/>
      <c r="H1207" s="91"/>
    </row>
    <row r="1208" spans="2:8">
      <c r="B1208" s="80"/>
      <c r="C1208" s="36"/>
      <c r="D1208" s="91"/>
      <c r="E1208" s="80"/>
      <c r="F1208" s="80"/>
      <c r="G1208" s="91"/>
      <c r="H1208" s="91"/>
    </row>
    <row r="1209" spans="2:8">
      <c r="B1209" s="80"/>
      <c r="C1209" s="36"/>
      <c r="D1209" s="91"/>
      <c r="E1209" s="80"/>
      <c r="F1209" s="80"/>
      <c r="G1209" s="91"/>
      <c r="H1209" s="91"/>
    </row>
    <row r="1210" spans="2:8">
      <c r="B1210" s="80"/>
      <c r="C1210" s="36"/>
      <c r="D1210" s="91"/>
      <c r="E1210" s="80"/>
      <c r="F1210" s="80"/>
      <c r="G1210" s="91"/>
      <c r="H1210" s="91"/>
    </row>
    <row r="1211" spans="2:8">
      <c r="B1211" s="80"/>
      <c r="C1211" s="36"/>
      <c r="D1211" s="91"/>
      <c r="E1211" s="80"/>
      <c r="F1211" s="80"/>
      <c r="G1211" s="91"/>
      <c r="H1211" s="91"/>
    </row>
    <row r="1212" spans="2:8">
      <c r="B1212" s="80"/>
      <c r="C1212" s="36"/>
      <c r="D1212" s="91"/>
      <c r="E1212" s="80"/>
      <c r="F1212" s="80"/>
      <c r="G1212" s="91"/>
      <c r="H1212" s="91"/>
    </row>
    <row r="1213" spans="2:8">
      <c r="B1213" s="80"/>
      <c r="C1213" s="36"/>
      <c r="D1213" s="91"/>
      <c r="E1213" s="80"/>
      <c r="F1213" s="80"/>
      <c r="G1213" s="91"/>
      <c r="H1213" s="91"/>
    </row>
    <row r="1214" spans="2:8">
      <c r="B1214" s="80"/>
      <c r="C1214" s="36"/>
      <c r="D1214" s="91"/>
      <c r="E1214" s="80"/>
      <c r="F1214" s="80"/>
      <c r="G1214" s="91"/>
      <c r="H1214" s="91"/>
    </row>
    <row r="1215" spans="2:8">
      <c r="B1215" s="80"/>
      <c r="C1215" s="36"/>
      <c r="D1215" s="91"/>
      <c r="E1215" s="80"/>
      <c r="F1215" s="80"/>
      <c r="G1215" s="91"/>
      <c r="H1215" s="91"/>
    </row>
    <row r="1216" spans="2:8">
      <c r="B1216" s="80"/>
      <c r="C1216" s="36"/>
      <c r="D1216" s="91"/>
      <c r="E1216" s="80"/>
      <c r="F1216" s="80"/>
      <c r="G1216" s="91"/>
      <c r="H1216" s="91"/>
    </row>
    <row r="1217" spans="2:8">
      <c r="B1217" s="80"/>
      <c r="C1217" s="36"/>
      <c r="D1217" s="91"/>
      <c r="E1217" s="80"/>
      <c r="F1217" s="80"/>
      <c r="G1217" s="91"/>
      <c r="H1217" s="91"/>
    </row>
    <row r="1218" spans="2:8">
      <c r="B1218" s="80"/>
      <c r="C1218" s="36"/>
      <c r="D1218" s="91"/>
      <c r="E1218" s="80"/>
      <c r="F1218" s="80"/>
      <c r="G1218" s="91"/>
      <c r="H1218" s="91"/>
    </row>
    <row r="1219" spans="2:8">
      <c r="B1219" s="80"/>
      <c r="C1219" s="36"/>
      <c r="D1219" s="91"/>
      <c r="E1219" s="80"/>
      <c r="F1219" s="80"/>
      <c r="G1219" s="91"/>
      <c r="H1219" s="91"/>
    </row>
    <row r="1220" spans="2:8">
      <c r="B1220" s="80"/>
      <c r="C1220" s="36"/>
      <c r="D1220" s="91"/>
      <c r="E1220" s="80"/>
      <c r="F1220" s="80"/>
      <c r="G1220" s="91"/>
      <c r="H1220" s="91"/>
    </row>
    <row r="1221" spans="2:8">
      <c r="B1221" s="80"/>
      <c r="C1221" s="36"/>
      <c r="D1221" s="91"/>
      <c r="E1221" s="80"/>
      <c r="F1221" s="80"/>
      <c r="G1221" s="91"/>
      <c r="H1221" s="91"/>
    </row>
    <row r="1222" spans="2:8">
      <c r="B1222" s="80"/>
      <c r="C1222" s="36"/>
      <c r="D1222" s="91"/>
      <c r="E1222" s="80"/>
      <c r="F1222" s="80"/>
      <c r="G1222" s="91"/>
      <c r="H1222" s="91"/>
    </row>
    <row r="1223" spans="2:8">
      <c r="B1223" s="80"/>
      <c r="C1223" s="36"/>
      <c r="D1223" s="91"/>
      <c r="E1223" s="80"/>
      <c r="F1223" s="80"/>
      <c r="G1223" s="91"/>
      <c r="H1223" s="91"/>
    </row>
    <row r="1224" spans="2:8">
      <c r="B1224" s="80"/>
      <c r="C1224" s="36"/>
      <c r="D1224" s="91"/>
      <c r="E1224" s="80"/>
      <c r="F1224" s="80"/>
      <c r="G1224" s="91"/>
      <c r="H1224" s="91"/>
    </row>
    <row r="1225" spans="2:8">
      <c r="B1225" s="80"/>
      <c r="C1225" s="36"/>
      <c r="D1225" s="91"/>
      <c r="E1225" s="80"/>
      <c r="F1225" s="80"/>
      <c r="G1225" s="91"/>
      <c r="H1225" s="91"/>
    </row>
    <row r="1226" spans="2:8">
      <c r="B1226" s="80"/>
      <c r="C1226" s="36"/>
      <c r="D1226" s="91"/>
      <c r="E1226" s="80"/>
      <c r="F1226" s="80"/>
      <c r="G1226" s="91"/>
      <c r="H1226" s="91"/>
    </row>
    <row r="1227" spans="2:8">
      <c r="B1227" s="80"/>
      <c r="C1227" s="36"/>
      <c r="D1227" s="91"/>
      <c r="E1227" s="80"/>
      <c r="F1227" s="80"/>
      <c r="G1227" s="91"/>
      <c r="H1227" s="91"/>
    </row>
    <row r="1228" spans="2:8">
      <c r="B1228" s="80"/>
      <c r="C1228" s="36"/>
      <c r="D1228" s="91"/>
      <c r="E1228" s="80"/>
      <c r="F1228" s="80"/>
      <c r="G1228" s="91"/>
      <c r="H1228" s="91"/>
    </row>
    <row r="1229" spans="2:8">
      <c r="B1229" s="80"/>
      <c r="C1229" s="36"/>
      <c r="D1229" s="91"/>
      <c r="E1229" s="80"/>
      <c r="F1229" s="80"/>
      <c r="G1229" s="91"/>
      <c r="H1229" s="91"/>
    </row>
    <row r="1230" spans="2:8">
      <c r="B1230" s="80"/>
      <c r="C1230" s="36"/>
      <c r="D1230" s="91"/>
      <c r="E1230" s="80"/>
      <c r="F1230" s="80"/>
      <c r="G1230" s="91"/>
      <c r="H1230" s="91"/>
    </row>
    <row r="1231" spans="2:8">
      <c r="B1231" s="80"/>
      <c r="C1231" s="36"/>
      <c r="D1231" s="91"/>
      <c r="E1231" s="80"/>
      <c r="F1231" s="80"/>
      <c r="G1231" s="91"/>
      <c r="H1231" s="91"/>
    </row>
    <row r="1232" spans="2:8">
      <c r="B1232" s="80"/>
      <c r="C1232" s="36"/>
      <c r="D1232" s="91"/>
      <c r="E1232" s="80"/>
      <c r="F1232" s="80"/>
      <c r="G1232" s="91"/>
      <c r="H1232" s="91"/>
    </row>
    <row r="1233" spans="2:8">
      <c r="B1233" s="80"/>
      <c r="C1233" s="36"/>
      <c r="D1233" s="91"/>
      <c r="E1233" s="80"/>
      <c r="F1233" s="80"/>
      <c r="G1233" s="91"/>
      <c r="H1233" s="91"/>
    </row>
    <row r="1234" spans="2:8">
      <c r="B1234" s="80"/>
      <c r="C1234" s="36"/>
      <c r="D1234" s="91"/>
      <c r="E1234" s="80"/>
      <c r="F1234" s="80"/>
      <c r="G1234" s="91"/>
      <c r="H1234" s="91"/>
    </row>
    <row r="1235" spans="2:8">
      <c r="B1235" s="80"/>
      <c r="C1235" s="36"/>
      <c r="D1235" s="91"/>
      <c r="E1235" s="80"/>
      <c r="F1235" s="80"/>
      <c r="G1235" s="91"/>
      <c r="H1235" s="91"/>
    </row>
    <row r="1236" spans="2:8">
      <c r="B1236" s="80"/>
      <c r="C1236" s="36"/>
      <c r="D1236" s="91"/>
      <c r="E1236" s="80"/>
      <c r="F1236" s="80"/>
      <c r="G1236" s="91"/>
      <c r="H1236" s="91"/>
    </row>
    <row r="1237" spans="2:8">
      <c r="B1237" s="80"/>
      <c r="C1237" s="36"/>
      <c r="D1237" s="91"/>
      <c r="E1237" s="80"/>
      <c r="F1237" s="80"/>
      <c r="G1237" s="91"/>
      <c r="H1237" s="91"/>
    </row>
    <row r="1238" spans="2:8">
      <c r="B1238" s="80"/>
      <c r="C1238" s="36"/>
      <c r="D1238" s="91"/>
      <c r="E1238" s="80"/>
      <c r="F1238" s="80"/>
      <c r="G1238" s="91"/>
      <c r="H1238" s="91"/>
    </row>
    <row r="1239" spans="2:8">
      <c r="B1239" s="80"/>
      <c r="C1239" s="36"/>
      <c r="D1239" s="91"/>
      <c r="E1239" s="80"/>
      <c r="F1239" s="80"/>
      <c r="G1239" s="91"/>
      <c r="H1239" s="91"/>
    </row>
    <row r="1240" spans="2:8">
      <c r="B1240" s="80"/>
      <c r="C1240" s="36"/>
      <c r="D1240" s="91"/>
      <c r="E1240" s="80"/>
      <c r="F1240" s="80"/>
      <c r="G1240" s="91"/>
      <c r="H1240" s="91"/>
    </row>
    <row r="1241" spans="2:8">
      <c r="B1241" s="80"/>
      <c r="C1241" s="36"/>
      <c r="D1241" s="91"/>
      <c r="E1241" s="80"/>
      <c r="F1241" s="80"/>
      <c r="G1241" s="91"/>
      <c r="H1241" s="91"/>
    </row>
    <row r="1242" spans="2:8">
      <c r="B1242" s="80"/>
      <c r="C1242" s="36"/>
      <c r="D1242" s="91"/>
      <c r="E1242" s="80"/>
      <c r="F1242" s="80"/>
      <c r="G1242" s="91"/>
      <c r="H1242" s="91"/>
    </row>
    <row r="1243" spans="2:8">
      <c r="B1243" s="80"/>
      <c r="C1243" s="36"/>
      <c r="D1243" s="91"/>
      <c r="E1243" s="80"/>
      <c r="F1243" s="80"/>
      <c r="G1243" s="91"/>
      <c r="H1243" s="91"/>
    </row>
    <row r="1244" spans="2:8">
      <c r="B1244" s="80"/>
      <c r="C1244" s="36"/>
      <c r="D1244" s="91"/>
      <c r="E1244" s="80"/>
      <c r="F1244" s="80"/>
      <c r="G1244" s="91"/>
      <c r="H1244" s="91"/>
    </row>
    <row r="1245" spans="2:8">
      <c r="B1245" s="80"/>
      <c r="C1245" s="36"/>
      <c r="D1245" s="91"/>
      <c r="E1245" s="80"/>
      <c r="F1245" s="80"/>
      <c r="G1245" s="91"/>
      <c r="H1245" s="91"/>
    </row>
    <row r="1246" spans="2:8">
      <c r="B1246" s="80"/>
      <c r="C1246" s="36"/>
      <c r="D1246" s="91"/>
      <c r="E1246" s="80"/>
      <c r="F1246" s="80"/>
      <c r="G1246" s="91"/>
      <c r="H1246" s="91"/>
    </row>
    <row r="1247" spans="2:8">
      <c r="B1247" s="80"/>
      <c r="C1247" s="36"/>
      <c r="D1247" s="91"/>
      <c r="E1247" s="80"/>
      <c r="F1247" s="80"/>
      <c r="G1247" s="91"/>
      <c r="H1247" s="91"/>
    </row>
    <row r="1248" spans="2:8">
      <c r="B1248" s="80"/>
      <c r="C1248" s="36"/>
      <c r="D1248" s="91"/>
      <c r="E1248" s="80"/>
      <c r="F1248" s="80"/>
      <c r="G1248" s="91"/>
      <c r="H1248" s="91"/>
    </row>
    <row r="1249" spans="2:8">
      <c r="B1249" s="80"/>
      <c r="C1249" s="36"/>
      <c r="D1249" s="91"/>
      <c r="E1249" s="80"/>
      <c r="F1249" s="80"/>
      <c r="G1249" s="91"/>
      <c r="H1249" s="91"/>
    </row>
    <row r="1250" spans="2:8">
      <c r="B1250" s="80"/>
      <c r="C1250" s="36"/>
      <c r="D1250" s="91"/>
      <c r="E1250" s="80"/>
      <c r="F1250" s="80"/>
      <c r="G1250" s="91"/>
      <c r="H1250" s="91"/>
    </row>
    <row r="1251" spans="2:8">
      <c r="B1251" s="80"/>
      <c r="C1251" s="36"/>
      <c r="D1251" s="91"/>
      <c r="E1251" s="80"/>
      <c r="F1251" s="80"/>
      <c r="G1251" s="91"/>
      <c r="H1251" s="91"/>
    </row>
    <row r="1252" spans="2:8">
      <c r="B1252" s="80"/>
      <c r="C1252" s="36"/>
      <c r="D1252" s="91"/>
      <c r="E1252" s="80"/>
      <c r="F1252" s="80"/>
      <c r="G1252" s="91"/>
      <c r="H1252" s="91"/>
    </row>
    <row r="1253" spans="2:8">
      <c r="B1253" s="80"/>
      <c r="C1253" s="36"/>
      <c r="D1253" s="91"/>
      <c r="E1253" s="80"/>
      <c r="F1253" s="80"/>
      <c r="G1253" s="91"/>
      <c r="H1253" s="91"/>
    </row>
    <row r="1254" spans="2:8">
      <c r="B1254" s="80"/>
      <c r="C1254" s="36"/>
      <c r="D1254" s="91"/>
      <c r="E1254" s="80"/>
      <c r="F1254" s="80"/>
      <c r="G1254" s="91"/>
      <c r="H1254" s="91"/>
    </row>
    <row r="1255" spans="2:8">
      <c r="B1255" s="80"/>
      <c r="C1255" s="36"/>
      <c r="D1255" s="91"/>
      <c r="E1255" s="80"/>
      <c r="F1255" s="80"/>
      <c r="G1255" s="91"/>
      <c r="H1255" s="91"/>
    </row>
    <row r="1256" spans="2:8">
      <c r="B1256" s="80"/>
      <c r="C1256" s="36"/>
      <c r="D1256" s="91"/>
      <c r="E1256" s="80"/>
      <c r="F1256" s="80"/>
      <c r="G1256" s="91"/>
      <c r="H1256" s="91"/>
    </row>
    <row r="1257" spans="2:8">
      <c r="B1257" s="80"/>
      <c r="C1257" s="36"/>
      <c r="D1257" s="91"/>
      <c r="E1257" s="80"/>
      <c r="F1257" s="80"/>
      <c r="G1257" s="91"/>
      <c r="H1257" s="91"/>
    </row>
    <row r="1258" spans="2:8">
      <c r="B1258" s="80"/>
      <c r="C1258" s="36"/>
      <c r="D1258" s="91"/>
      <c r="E1258" s="80"/>
      <c r="F1258" s="80"/>
      <c r="G1258" s="91"/>
      <c r="H1258" s="91"/>
    </row>
    <row r="1259" spans="2:8">
      <c r="B1259" s="80"/>
      <c r="C1259" s="36"/>
      <c r="D1259" s="91"/>
      <c r="E1259" s="80"/>
      <c r="F1259" s="80"/>
      <c r="G1259" s="91"/>
      <c r="H1259" s="91"/>
    </row>
    <row r="1260" spans="2:8">
      <c r="B1260" s="80"/>
      <c r="C1260" s="36"/>
      <c r="D1260" s="91"/>
      <c r="E1260" s="80"/>
      <c r="F1260" s="80"/>
      <c r="G1260" s="91"/>
      <c r="H1260" s="91"/>
    </row>
    <row r="1261" spans="2:8">
      <c r="B1261" s="80"/>
      <c r="C1261" s="36"/>
      <c r="D1261" s="91"/>
      <c r="E1261" s="80"/>
      <c r="F1261" s="80"/>
      <c r="G1261" s="91"/>
      <c r="H1261" s="91"/>
    </row>
    <row r="1262" spans="2:8">
      <c r="B1262" s="80"/>
      <c r="C1262" s="36"/>
      <c r="D1262" s="91"/>
      <c r="E1262" s="80"/>
      <c r="F1262" s="80"/>
      <c r="G1262" s="91"/>
      <c r="H1262" s="91"/>
    </row>
    <row r="1263" spans="2:8">
      <c r="B1263" s="80"/>
      <c r="C1263" s="36"/>
      <c r="D1263" s="91"/>
      <c r="E1263" s="80"/>
      <c r="F1263" s="80"/>
      <c r="G1263" s="91"/>
      <c r="H1263" s="91"/>
    </row>
    <row r="1264" spans="2:8">
      <c r="B1264" s="80"/>
      <c r="C1264" s="36"/>
      <c r="D1264" s="91"/>
      <c r="E1264" s="80"/>
      <c r="F1264" s="80"/>
      <c r="G1264" s="91"/>
      <c r="H1264" s="91"/>
    </row>
    <row r="1265" spans="2:8">
      <c r="B1265" s="80"/>
      <c r="C1265" s="36"/>
      <c r="D1265" s="91"/>
      <c r="E1265" s="80"/>
      <c r="F1265" s="80"/>
      <c r="G1265" s="91"/>
      <c r="H1265" s="91"/>
    </row>
    <row r="1266" spans="2:8">
      <c r="B1266" s="80"/>
      <c r="C1266" s="36"/>
      <c r="D1266" s="91"/>
      <c r="E1266" s="80"/>
      <c r="F1266" s="80"/>
      <c r="G1266" s="91"/>
      <c r="H1266" s="91"/>
    </row>
    <row r="1267" spans="2:8">
      <c r="B1267" s="80"/>
      <c r="C1267" s="36"/>
      <c r="D1267" s="91"/>
      <c r="E1267" s="80"/>
      <c r="F1267" s="80"/>
      <c r="G1267" s="91"/>
      <c r="H1267" s="91"/>
    </row>
    <row r="1268" spans="2:8">
      <c r="B1268" s="80"/>
      <c r="C1268" s="36"/>
      <c r="D1268" s="91"/>
      <c r="E1268" s="80"/>
      <c r="F1268" s="80"/>
      <c r="G1268" s="91"/>
      <c r="H1268" s="91"/>
    </row>
    <row r="1269" spans="2:8">
      <c r="B1269" s="80"/>
      <c r="C1269" s="36"/>
      <c r="D1269" s="91"/>
      <c r="E1269" s="80"/>
      <c r="F1269" s="80"/>
      <c r="G1269" s="91"/>
      <c r="H1269" s="91"/>
    </row>
    <row r="1270" spans="2:8">
      <c r="B1270" s="80"/>
      <c r="C1270" s="36"/>
      <c r="D1270" s="91"/>
      <c r="E1270" s="80"/>
      <c r="F1270" s="80"/>
      <c r="G1270" s="91"/>
      <c r="H1270" s="91"/>
    </row>
    <row r="1271" spans="2:8">
      <c r="B1271" s="80"/>
      <c r="C1271" s="36"/>
      <c r="D1271" s="91"/>
      <c r="E1271" s="80"/>
      <c r="F1271" s="80"/>
      <c r="G1271" s="91"/>
      <c r="H1271" s="91"/>
    </row>
    <row r="1272" spans="2:8">
      <c r="B1272" s="80"/>
      <c r="C1272" s="36"/>
      <c r="D1272" s="91"/>
      <c r="E1272" s="80"/>
      <c r="F1272" s="80"/>
      <c r="G1272" s="91"/>
      <c r="H1272" s="91"/>
    </row>
    <row r="1273" spans="2:8">
      <c r="B1273" s="80"/>
      <c r="C1273" s="36"/>
      <c r="D1273" s="91"/>
      <c r="E1273" s="80"/>
      <c r="F1273" s="80"/>
      <c r="G1273" s="91"/>
      <c r="H1273" s="91"/>
    </row>
    <row r="1274" spans="2:8">
      <c r="B1274" s="80"/>
      <c r="C1274" s="36"/>
      <c r="D1274" s="91"/>
      <c r="E1274" s="80"/>
      <c r="F1274" s="80"/>
      <c r="G1274" s="91"/>
      <c r="H1274" s="91"/>
    </row>
    <row r="1275" spans="2:8">
      <c r="B1275" s="80"/>
      <c r="C1275" s="36"/>
      <c r="D1275" s="91"/>
      <c r="E1275" s="80"/>
      <c r="F1275" s="80"/>
      <c r="G1275" s="91"/>
      <c r="H1275" s="91"/>
    </row>
    <row r="1276" spans="2:8">
      <c r="B1276" s="80"/>
      <c r="C1276" s="36"/>
      <c r="D1276" s="91"/>
      <c r="E1276" s="80"/>
      <c r="F1276" s="80"/>
      <c r="G1276" s="91"/>
      <c r="H1276" s="91"/>
    </row>
    <row r="1277" spans="2:8">
      <c r="B1277" s="80"/>
      <c r="C1277" s="36"/>
      <c r="D1277" s="91"/>
      <c r="E1277" s="80"/>
      <c r="F1277" s="80"/>
      <c r="G1277" s="91"/>
      <c r="H1277" s="91"/>
    </row>
    <row r="1278" spans="2:8">
      <c r="B1278" s="80"/>
      <c r="C1278" s="36"/>
      <c r="D1278" s="91"/>
      <c r="E1278" s="80"/>
      <c r="F1278" s="80"/>
      <c r="G1278" s="91"/>
      <c r="H1278" s="91"/>
    </row>
    <row r="1279" spans="2:8">
      <c r="B1279" s="80"/>
      <c r="C1279" s="36"/>
      <c r="D1279" s="91"/>
      <c r="E1279" s="80"/>
      <c r="F1279" s="80"/>
      <c r="G1279" s="91"/>
      <c r="H1279" s="91"/>
    </row>
    <row r="1280" spans="2:8">
      <c r="B1280" s="80"/>
      <c r="C1280" s="36"/>
      <c r="D1280" s="91"/>
      <c r="E1280" s="80"/>
      <c r="F1280" s="80"/>
      <c r="G1280" s="91"/>
      <c r="H1280" s="91"/>
    </row>
    <row r="1281" spans="2:8">
      <c r="B1281" s="80"/>
      <c r="C1281" s="36"/>
      <c r="D1281" s="91"/>
      <c r="E1281" s="80"/>
      <c r="F1281" s="80"/>
      <c r="G1281" s="91"/>
      <c r="H1281" s="91"/>
    </row>
    <row r="1282" spans="2:8">
      <c r="B1282" s="80"/>
      <c r="C1282" s="36"/>
      <c r="D1282" s="91"/>
      <c r="E1282" s="80"/>
      <c r="F1282" s="80"/>
      <c r="G1282" s="91"/>
      <c r="H1282" s="91"/>
    </row>
    <row r="1283" spans="2:8">
      <c r="B1283" s="80"/>
      <c r="C1283" s="36"/>
      <c r="D1283" s="91"/>
      <c r="E1283" s="80"/>
      <c r="F1283" s="80"/>
      <c r="G1283" s="91"/>
      <c r="H1283" s="91"/>
    </row>
    <row r="1284" spans="2:8">
      <c r="B1284" s="80"/>
      <c r="C1284" s="36"/>
      <c r="D1284" s="91"/>
      <c r="E1284" s="80"/>
      <c r="F1284" s="80"/>
      <c r="G1284" s="91"/>
      <c r="H1284" s="91"/>
    </row>
    <row r="1285" spans="2:8">
      <c r="B1285" s="80"/>
      <c r="C1285" s="36"/>
      <c r="D1285" s="91"/>
      <c r="E1285" s="80"/>
      <c r="F1285" s="80"/>
      <c r="G1285" s="91"/>
      <c r="H1285" s="91"/>
    </row>
    <row r="1286" spans="2:8">
      <c r="B1286" s="80"/>
      <c r="C1286" s="36"/>
      <c r="D1286" s="91"/>
      <c r="E1286" s="80"/>
      <c r="F1286" s="80"/>
      <c r="G1286" s="91"/>
      <c r="H1286" s="91"/>
    </row>
    <row r="1287" spans="2:8">
      <c r="B1287" s="80"/>
      <c r="C1287" s="36"/>
      <c r="D1287" s="91"/>
      <c r="E1287" s="80"/>
      <c r="F1287" s="80"/>
      <c r="G1287" s="91"/>
      <c r="H1287" s="91"/>
    </row>
    <row r="1288" spans="2:8">
      <c r="B1288" s="80"/>
      <c r="C1288" s="36"/>
      <c r="D1288" s="91"/>
      <c r="E1288" s="80"/>
      <c r="F1288" s="80"/>
      <c r="G1288" s="91"/>
      <c r="H1288" s="91"/>
    </row>
    <row r="1289" spans="2:8">
      <c r="B1289" s="80"/>
      <c r="C1289" s="36"/>
      <c r="D1289" s="91"/>
      <c r="E1289" s="80"/>
      <c r="F1289" s="80"/>
      <c r="G1289" s="91"/>
      <c r="H1289" s="91"/>
    </row>
    <row r="1290" spans="2:8">
      <c r="B1290" s="80"/>
      <c r="C1290" s="36"/>
      <c r="D1290" s="91"/>
      <c r="E1290" s="80"/>
      <c r="F1290" s="80"/>
      <c r="G1290" s="91"/>
      <c r="H1290" s="91"/>
    </row>
    <row r="1291" spans="2:8">
      <c r="B1291" s="80"/>
      <c r="C1291" s="36"/>
      <c r="D1291" s="91"/>
      <c r="E1291" s="80"/>
      <c r="F1291" s="80"/>
      <c r="G1291" s="91"/>
      <c r="H1291" s="91"/>
    </row>
    <row r="1292" spans="2:8">
      <c r="B1292" s="80"/>
      <c r="C1292" s="36"/>
      <c r="D1292" s="91"/>
      <c r="E1292" s="80"/>
      <c r="F1292" s="80"/>
      <c r="G1292" s="91"/>
      <c r="H1292" s="91"/>
    </row>
    <row r="1293" spans="2:8">
      <c r="B1293" s="80"/>
      <c r="C1293" s="36"/>
      <c r="D1293" s="91"/>
      <c r="E1293" s="80"/>
      <c r="F1293" s="80"/>
      <c r="G1293" s="91"/>
      <c r="H1293" s="91"/>
    </row>
    <row r="1294" spans="2:8">
      <c r="B1294" s="80"/>
      <c r="C1294" s="36"/>
      <c r="D1294" s="91"/>
      <c r="E1294" s="80"/>
      <c r="F1294" s="80"/>
      <c r="G1294" s="91"/>
      <c r="H1294" s="91"/>
    </row>
    <row r="1295" spans="2:8">
      <c r="B1295" s="80"/>
      <c r="C1295" s="36"/>
      <c r="D1295" s="91"/>
      <c r="E1295" s="80"/>
      <c r="F1295" s="80"/>
      <c r="G1295" s="91"/>
      <c r="H1295" s="91"/>
    </row>
    <row r="1296" spans="2:8">
      <c r="B1296" s="80"/>
      <c r="C1296" s="36"/>
      <c r="D1296" s="91"/>
      <c r="E1296" s="80"/>
      <c r="F1296" s="80"/>
      <c r="G1296" s="91"/>
      <c r="H1296" s="91"/>
    </row>
    <row r="1297" spans="2:8">
      <c r="B1297" s="80"/>
      <c r="C1297" s="36"/>
      <c r="D1297" s="91"/>
      <c r="E1297" s="80"/>
      <c r="F1297" s="80"/>
      <c r="G1297" s="91"/>
      <c r="H1297" s="91"/>
    </row>
    <row r="1298" spans="2:8">
      <c r="B1298" s="80"/>
      <c r="C1298" s="36"/>
      <c r="D1298" s="91"/>
      <c r="E1298" s="80"/>
      <c r="F1298" s="80"/>
      <c r="G1298" s="91"/>
      <c r="H1298" s="91"/>
    </row>
    <row r="1299" spans="2:8">
      <c r="B1299" s="80"/>
      <c r="C1299" s="36"/>
      <c r="D1299" s="91"/>
      <c r="E1299" s="80"/>
      <c r="F1299" s="80"/>
      <c r="G1299" s="91"/>
      <c r="H1299" s="91"/>
    </row>
    <row r="1300" spans="2:8">
      <c r="B1300" s="80"/>
      <c r="C1300" s="36"/>
      <c r="D1300" s="91"/>
      <c r="E1300" s="80"/>
      <c r="F1300" s="80"/>
      <c r="G1300" s="91"/>
      <c r="H1300" s="91"/>
    </row>
    <row r="1301" spans="2:8">
      <c r="B1301" s="80"/>
      <c r="C1301" s="36"/>
      <c r="D1301" s="91"/>
      <c r="E1301" s="80"/>
      <c r="F1301" s="80"/>
      <c r="G1301" s="91"/>
      <c r="H1301" s="91"/>
    </row>
    <row r="1302" spans="2:8">
      <c r="B1302" s="80"/>
      <c r="C1302" s="36"/>
      <c r="D1302" s="91"/>
      <c r="E1302" s="80"/>
      <c r="F1302" s="80"/>
      <c r="G1302" s="91"/>
      <c r="H1302" s="91"/>
    </row>
    <row r="1303" spans="2:8">
      <c r="B1303" s="80"/>
      <c r="C1303" s="36"/>
      <c r="D1303" s="91"/>
      <c r="E1303" s="80"/>
      <c r="F1303" s="80"/>
      <c r="G1303" s="91"/>
      <c r="H1303" s="91"/>
    </row>
    <row r="1304" spans="2:8">
      <c r="B1304" s="80"/>
      <c r="C1304" s="36"/>
      <c r="D1304" s="91"/>
      <c r="E1304" s="80"/>
      <c r="F1304" s="80"/>
      <c r="G1304" s="91"/>
      <c r="H1304" s="91"/>
    </row>
    <row r="1305" spans="2:8">
      <c r="B1305" s="80"/>
      <c r="C1305" s="36"/>
      <c r="D1305" s="91"/>
      <c r="E1305" s="80"/>
      <c r="F1305" s="80"/>
      <c r="G1305" s="91"/>
      <c r="H1305" s="91"/>
    </row>
    <row r="1306" spans="2:8">
      <c r="B1306" s="80"/>
      <c r="C1306" s="36"/>
      <c r="D1306" s="91"/>
      <c r="E1306" s="80"/>
      <c r="F1306" s="80"/>
      <c r="G1306" s="91"/>
      <c r="H1306" s="91"/>
    </row>
    <row r="1307" spans="2:8">
      <c r="B1307" s="80"/>
      <c r="C1307" s="36"/>
      <c r="D1307" s="91"/>
      <c r="E1307" s="80"/>
      <c r="F1307" s="80"/>
      <c r="G1307" s="91"/>
      <c r="H1307" s="91"/>
    </row>
    <row r="1308" spans="2:8">
      <c r="B1308" s="80"/>
      <c r="C1308" s="36"/>
      <c r="D1308" s="91"/>
      <c r="E1308" s="80"/>
      <c r="F1308" s="80"/>
      <c r="G1308" s="91"/>
      <c r="H1308" s="91"/>
    </row>
    <row r="1309" spans="2:8">
      <c r="B1309" s="80"/>
      <c r="C1309" s="36"/>
      <c r="D1309" s="91"/>
      <c r="E1309" s="80"/>
      <c r="F1309" s="80"/>
      <c r="G1309" s="91"/>
      <c r="H1309" s="91"/>
    </row>
    <row r="1310" spans="2:8">
      <c r="B1310" s="80"/>
      <c r="C1310" s="36"/>
      <c r="D1310" s="91"/>
      <c r="E1310" s="80"/>
      <c r="F1310" s="80"/>
      <c r="G1310" s="91"/>
      <c r="H1310" s="91"/>
    </row>
    <row r="1311" spans="2:8">
      <c r="B1311" s="80"/>
      <c r="C1311" s="36"/>
      <c r="D1311" s="91"/>
      <c r="E1311" s="80"/>
      <c r="F1311" s="80"/>
      <c r="G1311" s="91"/>
      <c r="H1311" s="91"/>
    </row>
    <row r="1312" spans="2:8">
      <c r="B1312" s="80"/>
      <c r="C1312" s="36"/>
      <c r="D1312" s="91"/>
      <c r="E1312" s="80"/>
      <c r="F1312" s="80"/>
      <c r="G1312" s="91"/>
      <c r="H1312" s="91"/>
    </row>
    <row r="1313" spans="2:8">
      <c r="B1313" s="80"/>
      <c r="C1313" s="36"/>
      <c r="D1313" s="91"/>
      <c r="E1313" s="80"/>
      <c r="F1313" s="80"/>
      <c r="G1313" s="91"/>
      <c r="H1313" s="91"/>
    </row>
    <row r="1314" spans="2:8">
      <c r="B1314" s="80"/>
      <c r="C1314" s="36"/>
      <c r="D1314" s="91"/>
      <c r="E1314" s="80"/>
      <c r="F1314" s="80"/>
      <c r="G1314" s="91"/>
      <c r="H1314" s="91"/>
    </row>
    <row r="1315" spans="2:8">
      <c r="B1315" s="80"/>
      <c r="C1315" s="36"/>
      <c r="D1315" s="91"/>
      <c r="E1315" s="80"/>
      <c r="F1315" s="80"/>
      <c r="G1315" s="91"/>
      <c r="H1315" s="91"/>
    </row>
    <row r="1316" spans="2:8">
      <c r="B1316" s="80"/>
      <c r="C1316" s="36"/>
      <c r="D1316" s="91"/>
      <c r="E1316" s="80"/>
      <c r="F1316" s="80"/>
      <c r="G1316" s="91"/>
      <c r="H1316" s="91"/>
    </row>
    <row r="1317" spans="2:8">
      <c r="B1317" s="80"/>
      <c r="C1317" s="36"/>
      <c r="D1317" s="91"/>
      <c r="E1317" s="80"/>
      <c r="F1317" s="80"/>
      <c r="G1317" s="91"/>
      <c r="H1317" s="91"/>
    </row>
    <row r="1318" spans="2:8">
      <c r="B1318" s="80"/>
      <c r="C1318" s="36"/>
      <c r="D1318" s="91"/>
      <c r="E1318" s="80"/>
      <c r="F1318" s="80"/>
      <c r="G1318" s="91"/>
      <c r="H1318" s="91"/>
    </row>
    <row r="1319" spans="2:8">
      <c r="B1319" s="80"/>
      <c r="C1319" s="36"/>
      <c r="D1319" s="91"/>
      <c r="E1319" s="80"/>
      <c r="F1319" s="80"/>
      <c r="G1319" s="91"/>
      <c r="H1319" s="91"/>
    </row>
    <row r="1320" spans="2:8">
      <c r="B1320" s="80"/>
      <c r="C1320" s="36"/>
      <c r="D1320" s="91"/>
      <c r="E1320" s="80"/>
      <c r="F1320" s="80"/>
      <c r="G1320" s="91"/>
      <c r="H1320" s="91"/>
    </row>
    <row r="1321" spans="2:8">
      <c r="B1321" s="80"/>
      <c r="C1321" s="36"/>
      <c r="D1321" s="91"/>
      <c r="E1321" s="80"/>
      <c r="F1321" s="80"/>
      <c r="G1321" s="91"/>
      <c r="H1321" s="91"/>
    </row>
    <row r="1322" spans="2:8">
      <c r="B1322" s="80"/>
      <c r="C1322" s="36"/>
      <c r="D1322" s="91"/>
      <c r="E1322" s="80"/>
      <c r="F1322" s="80"/>
      <c r="G1322" s="91"/>
      <c r="H1322" s="91"/>
    </row>
    <row r="1323" spans="2:8">
      <c r="B1323" s="80"/>
      <c r="C1323" s="36"/>
      <c r="D1323" s="91"/>
      <c r="E1323" s="80"/>
      <c r="F1323" s="80"/>
      <c r="G1323" s="91"/>
      <c r="H1323" s="91"/>
    </row>
    <row r="1324" spans="2:8">
      <c r="B1324" s="80"/>
      <c r="C1324" s="36"/>
      <c r="D1324" s="91"/>
      <c r="E1324" s="80"/>
      <c r="F1324" s="80"/>
      <c r="G1324" s="91"/>
      <c r="H1324" s="91"/>
    </row>
    <row r="1325" spans="2:8">
      <c r="B1325" s="80"/>
      <c r="C1325" s="36"/>
      <c r="D1325" s="91"/>
      <c r="E1325" s="80"/>
      <c r="F1325" s="80"/>
      <c r="G1325" s="91"/>
      <c r="H1325" s="91"/>
    </row>
    <row r="1326" spans="2:8">
      <c r="B1326" s="80"/>
      <c r="C1326" s="36"/>
      <c r="D1326" s="91"/>
      <c r="E1326" s="80"/>
      <c r="F1326" s="80"/>
      <c r="G1326" s="91"/>
      <c r="H1326" s="91"/>
    </row>
    <row r="1327" spans="2:8">
      <c r="B1327" s="80"/>
      <c r="C1327" s="36"/>
      <c r="D1327" s="91"/>
      <c r="E1327" s="80"/>
      <c r="F1327" s="80"/>
      <c r="G1327" s="91"/>
      <c r="H1327" s="91"/>
    </row>
    <row r="1328" spans="2:8">
      <c r="B1328" s="80"/>
      <c r="C1328" s="36"/>
      <c r="D1328" s="91"/>
      <c r="E1328" s="80"/>
      <c r="F1328" s="80"/>
      <c r="G1328" s="91"/>
      <c r="H1328" s="91"/>
    </row>
    <row r="1329" spans="2:8">
      <c r="B1329" s="80"/>
      <c r="C1329" s="36"/>
      <c r="D1329" s="91"/>
      <c r="E1329" s="80"/>
      <c r="F1329" s="80"/>
      <c r="G1329" s="91"/>
      <c r="H1329" s="91"/>
    </row>
    <row r="1330" spans="2:8">
      <c r="B1330" s="80"/>
      <c r="C1330" s="36"/>
      <c r="D1330" s="91"/>
      <c r="E1330" s="80"/>
      <c r="F1330" s="80"/>
      <c r="G1330" s="91"/>
      <c r="H1330" s="91"/>
    </row>
    <row r="1331" spans="2:8">
      <c r="B1331" s="80"/>
      <c r="C1331" s="36"/>
      <c r="D1331" s="91"/>
      <c r="E1331" s="80"/>
      <c r="F1331" s="80"/>
      <c r="G1331" s="91"/>
      <c r="H1331" s="91"/>
    </row>
    <row r="1332" spans="2:8">
      <c r="B1332" s="80"/>
      <c r="C1332" s="36"/>
      <c r="D1332" s="91"/>
      <c r="E1332" s="80"/>
      <c r="F1332" s="80"/>
      <c r="G1332" s="91"/>
      <c r="H1332" s="91"/>
    </row>
    <row r="1333" spans="2:8">
      <c r="B1333" s="80"/>
      <c r="C1333" s="36"/>
      <c r="D1333" s="91"/>
      <c r="E1333" s="80"/>
      <c r="F1333" s="80"/>
      <c r="G1333" s="91"/>
      <c r="H1333" s="91"/>
    </row>
    <row r="1334" spans="2:8">
      <c r="B1334" s="80"/>
      <c r="C1334" s="36"/>
      <c r="D1334" s="91"/>
      <c r="E1334" s="80"/>
      <c r="F1334" s="80"/>
      <c r="G1334" s="91"/>
      <c r="H1334" s="91"/>
    </row>
    <row r="1335" spans="2:8">
      <c r="B1335" s="80"/>
      <c r="C1335" s="36"/>
      <c r="D1335" s="91"/>
      <c r="E1335" s="80"/>
      <c r="F1335" s="80"/>
      <c r="G1335" s="91"/>
      <c r="H1335" s="91"/>
    </row>
    <row r="1336" spans="2:8">
      <c r="B1336" s="80"/>
      <c r="C1336" s="36"/>
      <c r="D1336" s="91"/>
      <c r="E1336" s="80"/>
      <c r="F1336" s="80"/>
      <c r="G1336" s="91"/>
      <c r="H1336" s="91"/>
    </row>
    <row r="1337" spans="2:8">
      <c r="B1337" s="80"/>
      <c r="C1337" s="36"/>
      <c r="D1337" s="91"/>
      <c r="E1337" s="80"/>
      <c r="F1337" s="80"/>
      <c r="G1337" s="91"/>
      <c r="H1337" s="91"/>
    </row>
    <row r="1338" spans="2:8">
      <c r="B1338" s="80"/>
      <c r="C1338" s="36"/>
      <c r="D1338" s="91"/>
      <c r="E1338" s="80"/>
      <c r="F1338" s="80"/>
      <c r="G1338" s="91"/>
      <c r="H1338" s="91"/>
    </row>
    <row r="1339" spans="2:8">
      <c r="B1339" s="80"/>
      <c r="C1339" s="36"/>
      <c r="D1339" s="91"/>
      <c r="E1339" s="80"/>
      <c r="F1339" s="80"/>
      <c r="G1339" s="91"/>
      <c r="H1339" s="91"/>
    </row>
    <row r="1340" spans="2:8">
      <c r="B1340" s="80"/>
      <c r="C1340" s="36"/>
      <c r="D1340" s="91"/>
      <c r="E1340" s="80"/>
      <c r="F1340" s="80"/>
      <c r="G1340" s="91"/>
      <c r="H1340" s="91"/>
    </row>
    <row r="1341" spans="2:8">
      <c r="B1341" s="80"/>
      <c r="C1341" s="36"/>
      <c r="D1341" s="91"/>
      <c r="E1341" s="80"/>
      <c r="F1341" s="80"/>
      <c r="G1341" s="91"/>
      <c r="H1341" s="91"/>
    </row>
    <row r="1342" spans="2:8">
      <c r="B1342" s="80"/>
      <c r="C1342" s="36"/>
      <c r="D1342" s="91"/>
      <c r="E1342" s="80"/>
      <c r="F1342" s="80"/>
      <c r="G1342" s="91"/>
      <c r="H1342" s="91"/>
    </row>
    <row r="1343" spans="2:8">
      <c r="B1343" s="80"/>
      <c r="C1343" s="36"/>
      <c r="D1343" s="91"/>
      <c r="E1343" s="80"/>
      <c r="F1343" s="80"/>
      <c r="G1343" s="91"/>
      <c r="H1343" s="91"/>
    </row>
    <row r="1344" spans="2:8">
      <c r="B1344" s="80"/>
      <c r="C1344" s="36"/>
      <c r="D1344" s="91"/>
      <c r="E1344" s="80"/>
      <c r="F1344" s="80"/>
      <c r="G1344" s="91"/>
      <c r="H1344" s="91"/>
    </row>
    <row r="1345" spans="2:8">
      <c r="B1345" s="80"/>
      <c r="C1345" s="36"/>
      <c r="D1345" s="91"/>
      <c r="E1345" s="80"/>
      <c r="F1345" s="80"/>
      <c r="G1345" s="91"/>
      <c r="H1345" s="91"/>
    </row>
    <row r="1346" spans="2:8">
      <c r="B1346" s="80"/>
      <c r="C1346" s="36"/>
      <c r="D1346" s="91"/>
      <c r="E1346" s="80"/>
      <c r="F1346" s="80"/>
      <c r="G1346" s="91"/>
      <c r="H1346" s="91"/>
    </row>
    <row r="1347" spans="2:8">
      <c r="B1347" s="80"/>
      <c r="C1347" s="36"/>
      <c r="D1347" s="91"/>
      <c r="E1347" s="80"/>
      <c r="F1347" s="80"/>
      <c r="G1347" s="91"/>
      <c r="H1347" s="91"/>
    </row>
    <row r="1348" spans="2:8">
      <c r="B1348" s="80"/>
      <c r="C1348" s="36"/>
      <c r="D1348" s="91"/>
      <c r="E1348" s="80"/>
      <c r="F1348" s="80"/>
      <c r="G1348" s="91"/>
      <c r="H1348" s="91"/>
    </row>
    <row r="1349" spans="2:8">
      <c r="B1349" s="80"/>
      <c r="C1349" s="36"/>
      <c r="D1349" s="91"/>
      <c r="E1349" s="80"/>
      <c r="F1349" s="80"/>
      <c r="G1349" s="91"/>
      <c r="H1349" s="91"/>
    </row>
    <row r="1350" spans="2:8">
      <c r="B1350" s="80"/>
      <c r="C1350" s="36"/>
      <c r="D1350" s="91"/>
      <c r="E1350" s="80"/>
      <c r="F1350" s="80"/>
      <c r="G1350" s="91"/>
      <c r="H1350" s="91"/>
    </row>
    <row r="1351" spans="2:8">
      <c r="B1351" s="80"/>
      <c r="C1351" s="36"/>
      <c r="D1351" s="91"/>
      <c r="E1351" s="80"/>
      <c r="F1351" s="80"/>
      <c r="G1351" s="91"/>
      <c r="H1351" s="91"/>
    </row>
    <row r="1352" spans="2:8">
      <c r="B1352" s="80"/>
      <c r="C1352" s="36"/>
      <c r="D1352" s="91"/>
      <c r="E1352" s="80"/>
      <c r="F1352" s="80"/>
      <c r="G1352" s="91"/>
      <c r="H1352" s="91"/>
    </row>
    <row r="1353" spans="2:8">
      <c r="B1353" s="80"/>
      <c r="C1353" s="36"/>
      <c r="D1353" s="91"/>
      <c r="E1353" s="80"/>
      <c r="F1353" s="80"/>
      <c r="G1353" s="91"/>
      <c r="H1353" s="91"/>
    </row>
    <row r="1354" spans="2:8">
      <c r="B1354" s="80"/>
      <c r="C1354" s="36"/>
      <c r="D1354" s="91"/>
      <c r="E1354" s="80"/>
      <c r="F1354" s="80"/>
      <c r="G1354" s="91"/>
      <c r="H1354" s="91"/>
    </row>
    <row r="1355" spans="2:8">
      <c r="B1355" s="80"/>
      <c r="C1355" s="36"/>
      <c r="D1355" s="91"/>
      <c r="E1355" s="80"/>
      <c r="F1355" s="80"/>
      <c r="G1355" s="91"/>
      <c r="H1355" s="91"/>
    </row>
    <row r="1356" spans="2:8">
      <c r="B1356" s="80"/>
      <c r="C1356" s="36"/>
      <c r="D1356" s="91"/>
      <c r="E1356" s="80"/>
      <c r="F1356" s="80"/>
      <c r="G1356" s="91"/>
      <c r="H1356" s="91"/>
    </row>
    <row r="1357" spans="2:8">
      <c r="B1357" s="80"/>
      <c r="C1357" s="36"/>
      <c r="D1357" s="91"/>
      <c r="E1357" s="80"/>
      <c r="F1357" s="80"/>
      <c r="G1357" s="91"/>
      <c r="H1357" s="91"/>
    </row>
    <row r="1358" spans="2:8">
      <c r="B1358" s="80"/>
      <c r="C1358" s="36"/>
      <c r="D1358" s="91"/>
      <c r="E1358" s="80"/>
      <c r="F1358" s="80"/>
      <c r="G1358" s="91"/>
      <c r="H1358" s="91"/>
    </row>
    <row r="1359" spans="2:8">
      <c r="B1359" s="80"/>
      <c r="C1359" s="36"/>
      <c r="D1359" s="91"/>
      <c r="E1359" s="80"/>
      <c r="F1359" s="80"/>
      <c r="G1359" s="91"/>
      <c r="H1359" s="91"/>
    </row>
    <row r="1360" spans="2:8">
      <c r="B1360" s="80"/>
      <c r="C1360" s="36"/>
      <c r="D1360" s="91"/>
      <c r="E1360" s="80"/>
      <c r="F1360" s="80"/>
      <c r="G1360" s="91"/>
      <c r="H1360" s="91"/>
    </row>
    <row r="1361" spans="2:8">
      <c r="B1361" s="80"/>
      <c r="C1361" s="36"/>
      <c r="D1361" s="91"/>
      <c r="E1361" s="80"/>
      <c r="F1361" s="80"/>
      <c r="G1361" s="91"/>
      <c r="H1361" s="91"/>
    </row>
    <row r="1362" spans="2:8">
      <c r="B1362" s="80"/>
      <c r="C1362" s="36"/>
      <c r="D1362" s="91"/>
      <c r="E1362" s="80"/>
      <c r="F1362" s="80"/>
      <c r="G1362" s="91"/>
      <c r="H1362" s="91"/>
    </row>
    <row r="1363" spans="2:8">
      <c r="B1363" s="80"/>
      <c r="C1363" s="36"/>
      <c r="D1363" s="91"/>
      <c r="E1363" s="80"/>
      <c r="F1363" s="80"/>
      <c r="G1363" s="91"/>
      <c r="H1363" s="91"/>
    </row>
    <row r="1364" spans="2:8">
      <c r="B1364" s="80"/>
      <c r="C1364" s="36"/>
      <c r="D1364" s="91"/>
      <c r="E1364" s="80"/>
      <c r="F1364" s="80"/>
      <c r="G1364" s="91"/>
      <c r="H1364" s="91"/>
    </row>
    <row r="1365" spans="2:8">
      <c r="B1365" s="80"/>
      <c r="C1365" s="36"/>
      <c r="D1365" s="91"/>
      <c r="E1365" s="80"/>
      <c r="F1365" s="80"/>
      <c r="G1365" s="91"/>
      <c r="H1365" s="91"/>
    </row>
    <row r="1366" spans="2:8">
      <c r="B1366" s="80"/>
      <c r="C1366" s="36"/>
      <c r="D1366" s="91"/>
      <c r="E1366" s="80"/>
      <c r="F1366" s="80"/>
      <c r="G1366" s="91"/>
      <c r="H1366" s="91"/>
    </row>
    <row r="1367" spans="2:8">
      <c r="B1367" s="80"/>
      <c r="C1367" s="36"/>
      <c r="D1367" s="91"/>
      <c r="E1367" s="80"/>
      <c r="F1367" s="80"/>
      <c r="G1367" s="91"/>
      <c r="H1367" s="91"/>
    </row>
    <row r="1368" spans="2:8">
      <c r="B1368" s="80"/>
      <c r="C1368" s="36"/>
      <c r="D1368" s="91"/>
      <c r="E1368" s="80"/>
      <c r="F1368" s="80"/>
      <c r="G1368" s="91"/>
      <c r="H1368" s="91"/>
    </row>
    <row r="1369" spans="2:8">
      <c r="B1369" s="80"/>
      <c r="C1369" s="36"/>
      <c r="D1369" s="91"/>
      <c r="E1369" s="80"/>
      <c r="F1369" s="80"/>
      <c r="G1369" s="91"/>
      <c r="H1369" s="91"/>
    </row>
    <row r="1370" spans="2:8">
      <c r="B1370" s="80"/>
      <c r="C1370" s="36"/>
      <c r="D1370" s="91"/>
      <c r="E1370" s="80"/>
      <c r="F1370" s="80"/>
      <c r="G1370" s="91"/>
      <c r="H1370" s="91"/>
    </row>
    <row r="1371" spans="2:8">
      <c r="B1371" s="80"/>
      <c r="C1371" s="36"/>
      <c r="D1371" s="91"/>
      <c r="E1371" s="80"/>
      <c r="F1371" s="80"/>
      <c r="G1371" s="91"/>
      <c r="H1371" s="91"/>
    </row>
    <row r="1372" spans="2:8">
      <c r="B1372" s="80"/>
      <c r="C1372" s="36"/>
      <c r="D1372" s="91"/>
      <c r="E1372" s="80"/>
      <c r="F1372" s="80"/>
      <c r="G1372" s="91"/>
      <c r="H1372" s="91"/>
    </row>
    <row r="1373" spans="2:8">
      <c r="B1373" s="80"/>
      <c r="C1373" s="36"/>
      <c r="D1373" s="91"/>
      <c r="E1373" s="80"/>
      <c r="F1373" s="80"/>
      <c r="G1373" s="91"/>
      <c r="H1373" s="91"/>
    </row>
    <row r="1374" spans="2:8">
      <c r="B1374" s="80"/>
      <c r="C1374" s="36"/>
      <c r="D1374" s="91"/>
      <c r="E1374" s="80"/>
      <c r="F1374" s="80"/>
      <c r="G1374" s="91"/>
      <c r="H1374" s="91"/>
    </row>
    <row r="1375" spans="2:8">
      <c r="B1375" s="80"/>
      <c r="C1375" s="36"/>
      <c r="D1375" s="91"/>
      <c r="E1375" s="80"/>
      <c r="F1375" s="80"/>
      <c r="G1375" s="91"/>
      <c r="H1375" s="91"/>
    </row>
    <row r="1376" spans="2:8">
      <c r="B1376" s="80"/>
      <c r="C1376" s="36"/>
      <c r="D1376" s="91"/>
      <c r="E1376" s="80"/>
      <c r="F1376" s="80"/>
      <c r="G1376" s="91"/>
      <c r="H1376" s="91"/>
    </row>
    <row r="1377" spans="2:8">
      <c r="B1377" s="80"/>
      <c r="C1377" s="36"/>
      <c r="D1377" s="91"/>
      <c r="E1377" s="80"/>
      <c r="F1377" s="80"/>
      <c r="G1377" s="91"/>
      <c r="H1377" s="91"/>
    </row>
    <row r="1378" spans="2:8">
      <c r="B1378" s="80"/>
      <c r="C1378" s="36"/>
      <c r="D1378" s="91"/>
      <c r="E1378" s="80"/>
      <c r="F1378" s="80"/>
      <c r="G1378" s="91"/>
      <c r="H1378" s="91"/>
    </row>
    <row r="1379" spans="2:8">
      <c r="B1379" s="80"/>
      <c r="C1379" s="36"/>
      <c r="D1379" s="91"/>
      <c r="E1379" s="80"/>
      <c r="F1379" s="80"/>
      <c r="G1379" s="91"/>
      <c r="H1379" s="91"/>
    </row>
    <row r="1380" spans="2:8">
      <c r="B1380" s="80"/>
      <c r="C1380" s="36"/>
      <c r="D1380" s="91"/>
      <c r="E1380" s="80"/>
      <c r="F1380" s="80"/>
      <c r="G1380" s="91"/>
      <c r="H1380" s="91"/>
    </row>
    <row r="1381" spans="2:8">
      <c r="B1381" s="80"/>
      <c r="C1381" s="36"/>
      <c r="D1381" s="91"/>
      <c r="E1381" s="80"/>
      <c r="F1381" s="80"/>
      <c r="G1381" s="91"/>
      <c r="H1381" s="91"/>
    </row>
    <row r="1382" spans="2:8">
      <c r="B1382" s="80"/>
      <c r="C1382" s="36"/>
      <c r="D1382" s="91"/>
      <c r="E1382" s="80"/>
      <c r="F1382" s="80"/>
      <c r="G1382" s="91"/>
      <c r="H1382" s="91"/>
    </row>
    <row r="1383" spans="2:8">
      <c r="B1383" s="80"/>
      <c r="C1383" s="36"/>
      <c r="D1383" s="91"/>
      <c r="E1383" s="80"/>
      <c r="F1383" s="80"/>
      <c r="G1383" s="91"/>
      <c r="H1383" s="91"/>
    </row>
    <row r="1384" spans="2:8">
      <c r="B1384" s="80"/>
      <c r="C1384" s="36"/>
      <c r="D1384" s="91"/>
      <c r="E1384" s="80"/>
      <c r="F1384" s="80"/>
      <c r="G1384" s="91"/>
      <c r="H1384" s="91"/>
    </row>
    <row r="1385" spans="2:8">
      <c r="B1385" s="80"/>
      <c r="C1385" s="36"/>
      <c r="D1385" s="91"/>
      <c r="E1385" s="80"/>
      <c r="F1385" s="80"/>
      <c r="G1385" s="91"/>
      <c r="H1385" s="91"/>
    </row>
    <row r="1386" spans="2:8">
      <c r="B1386" s="80"/>
      <c r="C1386" s="36"/>
      <c r="D1386" s="91"/>
      <c r="E1386" s="80"/>
      <c r="F1386" s="80"/>
      <c r="G1386" s="91"/>
      <c r="H1386" s="91"/>
    </row>
    <row r="1387" spans="2:8">
      <c r="B1387" s="80"/>
      <c r="C1387" s="36"/>
      <c r="D1387" s="91"/>
      <c r="E1387" s="80"/>
      <c r="F1387" s="80"/>
      <c r="G1387" s="91"/>
      <c r="H1387" s="91"/>
    </row>
    <row r="1388" spans="2:8">
      <c r="B1388" s="80"/>
      <c r="C1388" s="36"/>
      <c r="D1388" s="91"/>
      <c r="E1388" s="80"/>
      <c r="F1388" s="80"/>
      <c r="G1388" s="91"/>
      <c r="H1388" s="91"/>
    </row>
    <row r="1389" spans="2:8">
      <c r="B1389" s="80"/>
      <c r="C1389" s="36"/>
      <c r="D1389" s="91"/>
      <c r="E1389" s="80"/>
      <c r="F1389" s="80"/>
      <c r="G1389" s="91"/>
      <c r="H1389" s="91"/>
    </row>
    <row r="1390" spans="2:8">
      <c r="B1390" s="80"/>
      <c r="C1390" s="36"/>
      <c r="D1390" s="91"/>
      <c r="E1390" s="80"/>
      <c r="F1390" s="80"/>
      <c r="G1390" s="91"/>
      <c r="H1390" s="91"/>
    </row>
    <row r="1391" spans="2:8">
      <c r="B1391" s="80"/>
      <c r="C1391" s="36"/>
      <c r="D1391" s="91"/>
      <c r="E1391" s="80"/>
      <c r="F1391" s="80"/>
      <c r="G1391" s="91"/>
      <c r="H1391" s="91"/>
    </row>
    <row r="1392" spans="2:8">
      <c r="B1392" s="80"/>
      <c r="C1392" s="36"/>
      <c r="D1392" s="91"/>
      <c r="E1392" s="80"/>
      <c r="F1392" s="80"/>
      <c r="G1392" s="91"/>
      <c r="H1392" s="91"/>
    </row>
    <row r="1393" spans="2:8">
      <c r="B1393" s="80"/>
      <c r="C1393" s="36"/>
      <c r="D1393" s="91"/>
      <c r="E1393" s="80"/>
      <c r="F1393" s="80"/>
      <c r="G1393" s="91"/>
      <c r="H1393" s="91"/>
    </row>
    <row r="1394" spans="2:8">
      <c r="B1394" s="80"/>
      <c r="C1394" s="36"/>
      <c r="D1394" s="91"/>
      <c r="E1394" s="80"/>
      <c r="F1394" s="80"/>
      <c r="G1394" s="91"/>
      <c r="H1394" s="91"/>
    </row>
    <row r="1395" spans="2:8">
      <c r="B1395" s="80"/>
      <c r="C1395" s="36"/>
      <c r="D1395" s="91"/>
      <c r="E1395" s="80"/>
      <c r="F1395" s="80"/>
      <c r="G1395" s="91"/>
      <c r="H1395" s="91"/>
    </row>
    <row r="1396" spans="2:8">
      <c r="B1396" s="80"/>
      <c r="C1396" s="36"/>
      <c r="D1396" s="91"/>
      <c r="E1396" s="80"/>
      <c r="F1396" s="80"/>
      <c r="G1396" s="91"/>
      <c r="H1396" s="91"/>
    </row>
    <row r="1397" spans="2:8">
      <c r="B1397" s="80"/>
      <c r="C1397" s="36"/>
      <c r="D1397" s="91"/>
      <c r="E1397" s="80"/>
      <c r="F1397" s="80"/>
      <c r="G1397" s="91"/>
      <c r="H1397" s="91"/>
    </row>
    <row r="1398" spans="2:8">
      <c r="B1398" s="80"/>
      <c r="C1398" s="36"/>
      <c r="D1398" s="91"/>
      <c r="E1398" s="80"/>
      <c r="F1398" s="80"/>
      <c r="G1398" s="91"/>
      <c r="H1398" s="91"/>
    </row>
    <row r="1399" spans="2:8">
      <c r="B1399" s="80"/>
      <c r="C1399" s="36"/>
      <c r="D1399" s="91"/>
      <c r="E1399" s="80"/>
      <c r="F1399" s="80"/>
      <c r="G1399" s="91"/>
      <c r="H1399" s="91"/>
    </row>
    <row r="1400" spans="2:8">
      <c r="B1400" s="80"/>
      <c r="C1400" s="36"/>
      <c r="D1400" s="91"/>
      <c r="E1400" s="80"/>
      <c r="F1400" s="80"/>
      <c r="G1400" s="91"/>
      <c r="H1400" s="91"/>
    </row>
    <row r="1401" spans="2:8">
      <c r="B1401" s="80"/>
      <c r="C1401" s="36"/>
      <c r="D1401" s="91"/>
      <c r="E1401" s="80"/>
      <c r="F1401" s="80"/>
      <c r="G1401" s="91"/>
      <c r="H1401" s="91"/>
    </row>
    <row r="1402" spans="2:8">
      <c r="B1402" s="80"/>
      <c r="C1402" s="36"/>
      <c r="D1402" s="91"/>
      <c r="E1402" s="80"/>
      <c r="F1402" s="80"/>
      <c r="G1402" s="91"/>
      <c r="H1402" s="91"/>
    </row>
    <row r="1403" spans="2:8">
      <c r="B1403" s="80"/>
      <c r="C1403" s="36"/>
      <c r="D1403" s="91"/>
      <c r="E1403" s="80"/>
      <c r="F1403" s="80"/>
      <c r="G1403" s="91"/>
      <c r="H1403" s="91"/>
    </row>
    <row r="1404" spans="2:8">
      <c r="B1404" s="80"/>
      <c r="C1404" s="36"/>
      <c r="D1404" s="91"/>
      <c r="E1404" s="80"/>
      <c r="F1404" s="80"/>
      <c r="G1404" s="91"/>
      <c r="H1404" s="91"/>
    </row>
    <row r="1405" spans="2:8">
      <c r="B1405" s="80"/>
      <c r="C1405" s="36"/>
      <c r="D1405" s="91"/>
      <c r="E1405" s="80"/>
      <c r="F1405" s="80"/>
      <c r="G1405" s="91"/>
      <c r="H1405" s="91"/>
    </row>
    <row r="1406" spans="2:8">
      <c r="B1406" s="80"/>
      <c r="C1406" s="36"/>
      <c r="D1406" s="91"/>
      <c r="E1406" s="80"/>
      <c r="F1406" s="80"/>
      <c r="G1406" s="91"/>
      <c r="H1406" s="91"/>
    </row>
    <row r="1407" spans="2:8">
      <c r="B1407" s="80"/>
      <c r="C1407" s="36"/>
      <c r="D1407" s="91"/>
      <c r="E1407" s="80"/>
      <c r="F1407" s="80"/>
      <c r="G1407" s="91"/>
      <c r="H1407" s="91"/>
    </row>
    <row r="1408" spans="2:8">
      <c r="B1408" s="80"/>
      <c r="C1408" s="36"/>
      <c r="D1408" s="91"/>
      <c r="E1408" s="80"/>
      <c r="F1408" s="80"/>
      <c r="G1408" s="91"/>
      <c r="H1408" s="91"/>
    </row>
    <row r="1409" spans="2:8">
      <c r="B1409" s="80"/>
      <c r="C1409" s="36"/>
      <c r="D1409" s="91"/>
      <c r="E1409" s="80"/>
      <c r="F1409" s="80"/>
      <c r="G1409" s="91"/>
      <c r="H1409" s="91"/>
    </row>
    <row r="1410" spans="2:8">
      <c r="B1410" s="80"/>
      <c r="C1410" s="36"/>
      <c r="D1410" s="91"/>
      <c r="E1410" s="80"/>
      <c r="F1410" s="80"/>
      <c r="G1410" s="91"/>
      <c r="H1410" s="91"/>
    </row>
    <row r="1411" spans="2:8">
      <c r="B1411" s="80"/>
      <c r="C1411" s="36"/>
      <c r="D1411" s="91"/>
      <c r="E1411" s="80"/>
      <c r="F1411" s="80"/>
      <c r="G1411" s="91"/>
      <c r="H1411" s="91"/>
    </row>
    <row r="1412" spans="2:8">
      <c r="B1412" s="80"/>
      <c r="C1412" s="36"/>
      <c r="D1412" s="91"/>
      <c r="E1412" s="80"/>
      <c r="F1412" s="80"/>
      <c r="G1412" s="91"/>
      <c r="H1412" s="91"/>
    </row>
    <row r="1413" spans="2:8">
      <c r="B1413" s="80"/>
      <c r="C1413" s="36"/>
      <c r="D1413" s="91"/>
      <c r="E1413" s="80"/>
      <c r="F1413" s="80"/>
      <c r="G1413" s="91"/>
      <c r="H1413" s="91"/>
    </row>
    <row r="1414" spans="2:8">
      <c r="B1414" s="80"/>
      <c r="C1414" s="36"/>
      <c r="D1414" s="91"/>
      <c r="E1414" s="80"/>
      <c r="F1414" s="80"/>
      <c r="G1414" s="91"/>
      <c r="H1414" s="91"/>
    </row>
    <row r="1415" spans="2:8">
      <c r="B1415" s="80"/>
      <c r="C1415" s="36"/>
      <c r="D1415" s="91"/>
      <c r="E1415" s="80"/>
      <c r="F1415" s="80"/>
      <c r="G1415" s="91"/>
      <c r="H1415" s="91"/>
    </row>
    <row r="1416" spans="2:8">
      <c r="B1416" s="80"/>
      <c r="C1416" s="36"/>
      <c r="D1416" s="91"/>
      <c r="E1416" s="80"/>
      <c r="F1416" s="80"/>
      <c r="G1416" s="91"/>
      <c r="H1416" s="91"/>
    </row>
    <row r="1417" spans="2:8">
      <c r="B1417" s="80"/>
      <c r="C1417" s="36"/>
      <c r="D1417" s="91"/>
      <c r="E1417" s="80"/>
      <c r="F1417" s="80"/>
      <c r="G1417" s="91"/>
      <c r="H1417" s="91"/>
    </row>
    <row r="1418" spans="2:8">
      <c r="B1418" s="80"/>
      <c r="C1418" s="36"/>
      <c r="D1418" s="91"/>
      <c r="E1418" s="80"/>
      <c r="F1418" s="80"/>
      <c r="G1418" s="91"/>
      <c r="H1418" s="91"/>
    </row>
    <row r="1419" spans="2:8">
      <c r="B1419" s="80"/>
      <c r="C1419" s="36"/>
      <c r="D1419" s="91"/>
      <c r="E1419" s="80"/>
      <c r="F1419" s="80"/>
      <c r="G1419" s="91"/>
      <c r="H1419" s="91"/>
    </row>
    <row r="1420" spans="2:8">
      <c r="B1420" s="80"/>
      <c r="C1420" s="36"/>
      <c r="D1420" s="91"/>
      <c r="E1420" s="80"/>
      <c r="F1420" s="80"/>
      <c r="G1420" s="91"/>
      <c r="H1420" s="91"/>
    </row>
    <row r="1421" spans="2:8">
      <c r="B1421" s="80"/>
      <c r="C1421" s="36"/>
      <c r="D1421" s="91"/>
      <c r="E1421" s="80"/>
      <c r="F1421" s="80"/>
      <c r="G1421" s="91"/>
      <c r="H1421" s="91"/>
    </row>
    <row r="1422" spans="2:8">
      <c r="B1422" s="80"/>
      <c r="C1422" s="36"/>
      <c r="D1422" s="91"/>
      <c r="E1422" s="80"/>
      <c r="F1422" s="80"/>
      <c r="G1422" s="91"/>
      <c r="H1422" s="91"/>
    </row>
    <row r="1423" spans="2:8">
      <c r="B1423" s="80"/>
      <c r="C1423" s="36"/>
      <c r="D1423" s="91"/>
      <c r="E1423" s="80"/>
      <c r="F1423" s="80"/>
      <c r="G1423" s="91"/>
      <c r="H1423" s="91"/>
    </row>
    <row r="1424" spans="2:8">
      <c r="B1424" s="80"/>
      <c r="C1424" s="36"/>
      <c r="D1424" s="91"/>
      <c r="E1424" s="80"/>
      <c r="F1424" s="80"/>
      <c r="G1424" s="91"/>
      <c r="H1424" s="91"/>
    </row>
    <row r="1425" spans="2:8">
      <c r="B1425" s="80"/>
      <c r="C1425" s="36"/>
      <c r="D1425" s="91"/>
      <c r="E1425" s="80"/>
      <c r="F1425" s="80"/>
      <c r="G1425" s="91"/>
      <c r="H1425" s="91"/>
    </row>
    <row r="1426" spans="2:8">
      <c r="B1426" s="80"/>
      <c r="C1426" s="36"/>
      <c r="D1426" s="91"/>
      <c r="E1426" s="80"/>
      <c r="F1426" s="80"/>
      <c r="G1426" s="91"/>
      <c r="H1426" s="91"/>
    </row>
    <row r="1427" spans="2:8">
      <c r="B1427" s="80"/>
      <c r="C1427" s="36"/>
      <c r="D1427" s="91"/>
      <c r="E1427" s="80"/>
      <c r="F1427" s="80"/>
      <c r="G1427" s="91"/>
      <c r="H1427" s="91"/>
    </row>
    <row r="1428" spans="2:8">
      <c r="B1428" s="80"/>
      <c r="C1428" s="36"/>
      <c r="D1428" s="91"/>
      <c r="E1428" s="80"/>
      <c r="F1428" s="80"/>
      <c r="G1428" s="91"/>
      <c r="H1428" s="91"/>
    </row>
    <row r="1429" spans="2:8">
      <c r="B1429" s="80"/>
      <c r="C1429" s="36"/>
      <c r="D1429" s="91"/>
      <c r="E1429" s="80"/>
      <c r="F1429" s="80"/>
      <c r="G1429" s="91"/>
      <c r="H1429" s="91"/>
    </row>
    <row r="1430" spans="2:8">
      <c r="B1430" s="80"/>
      <c r="C1430" s="36"/>
      <c r="D1430" s="91"/>
      <c r="E1430" s="80"/>
      <c r="F1430" s="80"/>
      <c r="G1430" s="91"/>
      <c r="H1430" s="91"/>
    </row>
    <row r="1431" spans="2:8">
      <c r="B1431" s="80"/>
      <c r="C1431" s="36"/>
      <c r="D1431" s="91"/>
      <c r="E1431" s="80"/>
      <c r="F1431" s="80"/>
      <c r="G1431" s="91"/>
      <c r="H1431" s="91"/>
    </row>
    <row r="1432" spans="2:8">
      <c r="B1432" s="80"/>
      <c r="C1432" s="36"/>
      <c r="D1432" s="91"/>
      <c r="E1432" s="80"/>
      <c r="F1432" s="80"/>
      <c r="G1432" s="91"/>
      <c r="H1432" s="91"/>
    </row>
    <row r="1433" spans="2:8">
      <c r="B1433" s="80"/>
      <c r="C1433" s="36"/>
      <c r="D1433" s="91"/>
      <c r="E1433" s="80"/>
      <c r="F1433" s="80"/>
      <c r="G1433" s="91"/>
      <c r="H1433" s="91"/>
    </row>
    <row r="1434" spans="2:8">
      <c r="B1434" s="80"/>
      <c r="C1434" s="36"/>
      <c r="D1434" s="91"/>
      <c r="E1434" s="80"/>
      <c r="F1434" s="80"/>
      <c r="G1434" s="91"/>
      <c r="H1434" s="91"/>
    </row>
    <row r="1435" spans="2:8">
      <c r="B1435" s="80"/>
      <c r="C1435" s="36"/>
      <c r="D1435" s="91"/>
      <c r="E1435" s="80"/>
      <c r="F1435" s="80"/>
      <c r="G1435" s="91"/>
      <c r="H1435" s="91"/>
    </row>
    <row r="1436" spans="2:8">
      <c r="B1436" s="80"/>
      <c r="C1436" s="36"/>
      <c r="D1436" s="91"/>
      <c r="E1436" s="80"/>
      <c r="F1436" s="80"/>
      <c r="G1436" s="91"/>
      <c r="H1436" s="91"/>
    </row>
    <row r="1437" spans="2:8">
      <c r="B1437" s="80"/>
      <c r="C1437" s="36"/>
      <c r="D1437" s="91"/>
      <c r="E1437" s="80"/>
      <c r="F1437" s="80"/>
      <c r="G1437" s="91"/>
      <c r="H1437" s="91"/>
    </row>
    <row r="1438" spans="2:8">
      <c r="B1438" s="80"/>
      <c r="C1438" s="36"/>
      <c r="D1438" s="91"/>
      <c r="E1438" s="80"/>
      <c r="F1438" s="80"/>
      <c r="G1438" s="91"/>
      <c r="H1438" s="91"/>
    </row>
    <row r="1439" spans="2:8">
      <c r="B1439" s="80"/>
      <c r="C1439" s="36"/>
      <c r="D1439" s="91"/>
      <c r="E1439" s="80"/>
      <c r="F1439" s="80"/>
      <c r="G1439" s="91"/>
      <c r="H1439" s="91"/>
    </row>
    <row r="1440" spans="2:8">
      <c r="B1440" s="80"/>
      <c r="C1440" s="36"/>
      <c r="D1440" s="91"/>
      <c r="E1440" s="80"/>
      <c r="F1440" s="80"/>
      <c r="G1440" s="91"/>
      <c r="H1440" s="91"/>
    </row>
    <row r="1441" spans="2:8">
      <c r="B1441" s="80"/>
      <c r="C1441" s="36"/>
      <c r="D1441" s="91"/>
      <c r="E1441" s="80"/>
      <c r="F1441" s="80"/>
      <c r="G1441" s="91"/>
      <c r="H1441" s="91"/>
    </row>
    <row r="1442" spans="2:8">
      <c r="B1442" s="80"/>
      <c r="C1442" s="36"/>
      <c r="D1442" s="91"/>
      <c r="E1442" s="80"/>
      <c r="F1442" s="80"/>
      <c r="G1442" s="91"/>
      <c r="H1442" s="91"/>
    </row>
    <row r="1443" spans="2:8">
      <c r="B1443" s="80"/>
      <c r="C1443" s="36"/>
      <c r="D1443" s="91"/>
      <c r="E1443" s="80"/>
      <c r="F1443" s="80"/>
      <c r="G1443" s="91"/>
      <c r="H1443" s="91"/>
    </row>
    <row r="1444" spans="2:8">
      <c r="B1444" s="80"/>
      <c r="C1444" s="36"/>
      <c r="D1444" s="91"/>
      <c r="E1444" s="80"/>
      <c r="F1444" s="80"/>
      <c r="G1444" s="91"/>
      <c r="H1444" s="91"/>
    </row>
    <row r="1445" spans="2:8">
      <c r="B1445" s="80"/>
      <c r="C1445" s="36"/>
      <c r="D1445" s="91"/>
      <c r="E1445" s="80"/>
      <c r="F1445" s="80"/>
      <c r="G1445" s="91"/>
      <c r="H1445" s="91"/>
    </row>
    <row r="1446" spans="2:8">
      <c r="B1446" s="80"/>
      <c r="C1446" s="36"/>
      <c r="D1446" s="91"/>
      <c r="E1446" s="80"/>
      <c r="F1446" s="80"/>
      <c r="G1446" s="91"/>
      <c r="H1446" s="91"/>
    </row>
    <row r="1447" spans="2:8">
      <c r="B1447" s="80"/>
      <c r="C1447" s="36"/>
      <c r="D1447" s="91"/>
      <c r="E1447" s="80"/>
      <c r="F1447" s="80"/>
      <c r="G1447" s="91"/>
      <c r="H1447" s="91"/>
    </row>
    <row r="1448" spans="2:8">
      <c r="B1448" s="80"/>
      <c r="C1448" s="36"/>
      <c r="D1448" s="91"/>
      <c r="E1448" s="80"/>
      <c r="F1448" s="80"/>
      <c r="G1448" s="91"/>
      <c r="H1448" s="91"/>
    </row>
    <row r="1449" spans="2:8">
      <c r="B1449" s="80"/>
      <c r="C1449" s="36"/>
      <c r="D1449" s="91"/>
      <c r="E1449" s="80"/>
      <c r="F1449" s="80"/>
      <c r="G1449" s="91"/>
      <c r="H1449" s="91"/>
    </row>
    <row r="1450" spans="2:8">
      <c r="B1450" s="80"/>
      <c r="C1450" s="36"/>
      <c r="D1450" s="91"/>
      <c r="E1450" s="80"/>
      <c r="F1450" s="80"/>
      <c r="G1450" s="91"/>
      <c r="H1450" s="91"/>
    </row>
    <row r="1451" spans="2:8">
      <c r="B1451" s="80"/>
      <c r="C1451" s="36"/>
      <c r="D1451" s="91"/>
      <c r="E1451" s="80"/>
      <c r="F1451" s="80"/>
      <c r="G1451" s="91"/>
      <c r="H1451" s="91"/>
    </row>
    <row r="1452" spans="2:8">
      <c r="B1452" s="80"/>
      <c r="C1452" s="36"/>
      <c r="D1452" s="91"/>
      <c r="E1452" s="80"/>
      <c r="F1452" s="80"/>
      <c r="G1452" s="91"/>
      <c r="H1452" s="91"/>
    </row>
    <row r="1453" spans="2:8">
      <c r="B1453" s="80"/>
      <c r="C1453" s="36"/>
      <c r="D1453" s="91"/>
      <c r="E1453" s="80"/>
      <c r="F1453" s="80"/>
      <c r="G1453" s="91"/>
      <c r="H1453" s="91"/>
    </row>
    <row r="1454" spans="2:8">
      <c r="B1454" s="80"/>
      <c r="C1454" s="36"/>
      <c r="D1454" s="91"/>
      <c r="E1454" s="80"/>
      <c r="F1454" s="80"/>
      <c r="G1454" s="91"/>
      <c r="H1454" s="91"/>
    </row>
    <row r="1455" spans="2:8">
      <c r="B1455" s="80"/>
      <c r="C1455" s="36"/>
      <c r="D1455" s="91"/>
      <c r="E1455" s="80"/>
      <c r="F1455" s="80"/>
      <c r="G1455" s="91"/>
      <c r="H1455" s="91"/>
    </row>
    <row r="1456" spans="2:8">
      <c r="B1456" s="80"/>
      <c r="C1456" s="36"/>
      <c r="D1456" s="91"/>
      <c r="E1456" s="80"/>
      <c r="F1456" s="80"/>
      <c r="G1456" s="91"/>
      <c r="H1456" s="91"/>
    </row>
    <row r="1457" spans="2:8">
      <c r="B1457" s="80"/>
      <c r="C1457" s="36"/>
      <c r="D1457" s="91"/>
      <c r="E1457" s="80"/>
      <c r="F1457" s="80"/>
      <c r="G1457" s="91"/>
      <c r="H1457" s="91"/>
    </row>
    <row r="1458" spans="2:8">
      <c r="B1458" s="80"/>
      <c r="C1458" s="36"/>
      <c r="D1458" s="91"/>
      <c r="E1458" s="80"/>
      <c r="F1458" s="80"/>
      <c r="G1458" s="91"/>
      <c r="H1458" s="91"/>
    </row>
    <row r="1459" spans="2:8">
      <c r="B1459" s="80"/>
      <c r="C1459" s="36"/>
      <c r="D1459" s="91"/>
      <c r="E1459" s="80"/>
      <c r="F1459" s="80"/>
      <c r="G1459" s="91"/>
      <c r="H1459" s="91"/>
    </row>
    <row r="1460" spans="2:8">
      <c r="B1460" s="80"/>
      <c r="C1460" s="36"/>
      <c r="D1460" s="91"/>
      <c r="E1460" s="80"/>
      <c r="F1460" s="80"/>
      <c r="G1460" s="91"/>
      <c r="H1460" s="91"/>
    </row>
    <row r="1461" spans="2:8">
      <c r="B1461" s="80"/>
      <c r="C1461" s="36"/>
      <c r="D1461" s="91"/>
      <c r="E1461" s="80"/>
      <c r="F1461" s="80"/>
      <c r="G1461" s="91"/>
      <c r="H1461" s="91"/>
    </row>
    <row r="1462" spans="2:8">
      <c r="B1462" s="80"/>
      <c r="C1462" s="36"/>
      <c r="D1462" s="91"/>
      <c r="E1462" s="80"/>
      <c r="F1462" s="80"/>
      <c r="G1462" s="91"/>
      <c r="H1462" s="91"/>
    </row>
    <row r="1463" spans="2:8">
      <c r="B1463" s="80"/>
      <c r="C1463" s="36"/>
      <c r="D1463" s="91"/>
      <c r="E1463" s="80"/>
      <c r="F1463" s="80"/>
      <c r="G1463" s="91"/>
      <c r="H1463" s="91"/>
    </row>
    <row r="1464" spans="2:8">
      <c r="B1464" s="80"/>
      <c r="C1464" s="36"/>
      <c r="D1464" s="91"/>
      <c r="E1464" s="80"/>
      <c r="F1464" s="80"/>
      <c r="G1464" s="91"/>
      <c r="H1464" s="91"/>
    </row>
    <row r="1465" spans="2:8">
      <c r="B1465" s="80"/>
      <c r="C1465" s="36"/>
      <c r="D1465" s="91"/>
      <c r="E1465" s="80"/>
      <c r="F1465" s="80"/>
      <c r="G1465" s="91"/>
      <c r="H1465" s="91"/>
    </row>
    <row r="1466" spans="2:8">
      <c r="B1466" s="80"/>
      <c r="C1466" s="36"/>
      <c r="D1466" s="91"/>
      <c r="E1466" s="80"/>
      <c r="F1466" s="80"/>
      <c r="G1466" s="91"/>
      <c r="H1466" s="91"/>
    </row>
    <row r="1467" spans="2:8">
      <c r="B1467" s="80"/>
      <c r="C1467" s="36"/>
      <c r="D1467" s="91"/>
      <c r="E1467" s="80"/>
      <c r="F1467" s="80"/>
      <c r="G1467" s="91"/>
      <c r="H1467" s="91"/>
    </row>
    <row r="1468" spans="2:8">
      <c r="B1468" s="80"/>
      <c r="C1468" s="36"/>
      <c r="D1468" s="91"/>
      <c r="E1468" s="80"/>
      <c r="F1468" s="80"/>
      <c r="G1468" s="91"/>
      <c r="H1468" s="91"/>
    </row>
    <row r="1469" spans="2:8">
      <c r="B1469" s="80"/>
      <c r="C1469" s="36"/>
      <c r="D1469" s="91"/>
      <c r="E1469" s="80"/>
      <c r="F1469" s="80"/>
      <c r="G1469" s="91"/>
      <c r="H1469" s="91"/>
    </row>
    <row r="1470" spans="2:8">
      <c r="B1470" s="80"/>
      <c r="C1470" s="36"/>
      <c r="D1470" s="91"/>
      <c r="E1470" s="80"/>
      <c r="F1470" s="80"/>
      <c r="G1470" s="91"/>
      <c r="H1470" s="91"/>
    </row>
    <row r="1471" spans="2:8">
      <c r="B1471" s="80"/>
      <c r="C1471" s="36"/>
      <c r="D1471" s="91"/>
      <c r="E1471" s="80"/>
      <c r="F1471" s="80"/>
      <c r="G1471" s="91"/>
      <c r="H1471" s="91"/>
    </row>
    <row r="1472" spans="2:8">
      <c r="B1472" s="80"/>
      <c r="C1472" s="36"/>
      <c r="D1472" s="91"/>
      <c r="E1472" s="80"/>
      <c r="F1472" s="80"/>
      <c r="G1472" s="91"/>
      <c r="H1472" s="91"/>
    </row>
    <row r="1473" spans="2:8">
      <c r="B1473" s="80"/>
      <c r="C1473" s="36"/>
      <c r="D1473" s="91"/>
      <c r="E1473" s="80"/>
      <c r="F1473" s="80"/>
      <c r="G1473" s="91"/>
      <c r="H1473" s="91"/>
    </row>
    <row r="1474" spans="2:8">
      <c r="B1474" s="80"/>
      <c r="C1474" s="36"/>
      <c r="D1474" s="91"/>
      <c r="E1474" s="80"/>
      <c r="F1474" s="80"/>
      <c r="G1474" s="91"/>
      <c r="H1474" s="91"/>
    </row>
    <row r="1475" spans="2:8">
      <c r="B1475" s="80"/>
      <c r="C1475" s="36"/>
      <c r="D1475" s="91"/>
      <c r="E1475" s="80"/>
      <c r="F1475" s="80"/>
      <c r="G1475" s="91"/>
      <c r="H1475" s="91"/>
    </row>
    <row r="1476" spans="2:8">
      <c r="B1476" s="80"/>
      <c r="C1476" s="36"/>
      <c r="D1476" s="91"/>
      <c r="E1476" s="80"/>
      <c r="F1476" s="80"/>
      <c r="G1476" s="91"/>
      <c r="H1476" s="91"/>
    </row>
    <row r="1477" spans="2:8">
      <c r="B1477" s="80"/>
      <c r="C1477" s="36"/>
      <c r="D1477" s="91"/>
      <c r="E1477" s="80"/>
      <c r="F1477" s="80"/>
      <c r="G1477" s="91"/>
      <c r="H1477" s="91"/>
    </row>
    <row r="1478" spans="2:8">
      <c r="B1478" s="80"/>
      <c r="C1478" s="36"/>
      <c r="D1478" s="91"/>
      <c r="E1478" s="80"/>
      <c r="F1478" s="80"/>
      <c r="G1478" s="91"/>
      <c r="H1478" s="91"/>
    </row>
    <row r="1479" spans="2:8">
      <c r="B1479" s="80"/>
      <c r="C1479" s="36"/>
      <c r="D1479" s="91"/>
      <c r="E1479" s="80"/>
      <c r="F1479" s="80"/>
      <c r="G1479" s="91"/>
      <c r="H1479" s="91"/>
    </row>
    <row r="1480" spans="2:8">
      <c r="B1480" s="80"/>
      <c r="C1480" s="36"/>
      <c r="D1480" s="91"/>
      <c r="E1480" s="80"/>
      <c r="F1480" s="80"/>
      <c r="G1480" s="91"/>
      <c r="H1480" s="91"/>
    </row>
    <row r="1481" spans="2:8">
      <c r="B1481" s="80"/>
      <c r="C1481" s="36"/>
      <c r="D1481" s="91"/>
      <c r="E1481" s="80"/>
      <c r="F1481" s="80"/>
      <c r="G1481" s="91"/>
      <c r="H1481" s="91"/>
    </row>
    <row r="1482" spans="2:8">
      <c r="B1482" s="80"/>
      <c r="C1482" s="36"/>
      <c r="D1482" s="91"/>
      <c r="E1482" s="80"/>
      <c r="F1482" s="80"/>
      <c r="G1482" s="91"/>
      <c r="H1482" s="91"/>
    </row>
    <row r="1483" spans="2:8">
      <c r="B1483" s="80"/>
      <c r="C1483" s="36"/>
      <c r="D1483" s="91"/>
      <c r="E1483" s="80"/>
      <c r="F1483" s="80"/>
      <c r="G1483" s="91"/>
      <c r="H1483" s="91"/>
    </row>
    <row r="1484" spans="2:8">
      <c r="B1484" s="80"/>
      <c r="C1484" s="36"/>
      <c r="D1484" s="91"/>
      <c r="E1484" s="80"/>
      <c r="F1484" s="80"/>
      <c r="G1484" s="91"/>
      <c r="H1484" s="91"/>
    </row>
    <row r="1485" spans="2:8">
      <c r="B1485" s="80"/>
      <c r="C1485" s="36"/>
      <c r="D1485" s="91"/>
      <c r="E1485" s="80"/>
      <c r="F1485" s="80"/>
      <c r="G1485" s="91"/>
      <c r="H1485" s="91"/>
    </row>
    <row r="1486" spans="2:8">
      <c r="B1486" s="80"/>
      <c r="C1486" s="36"/>
      <c r="D1486" s="91"/>
      <c r="E1486" s="80"/>
      <c r="F1486" s="80"/>
      <c r="G1486" s="91"/>
      <c r="H1486" s="91"/>
    </row>
    <row r="1487" spans="2:8">
      <c r="B1487" s="80"/>
      <c r="C1487" s="36"/>
      <c r="D1487" s="91"/>
      <c r="E1487" s="80"/>
      <c r="F1487" s="80"/>
      <c r="G1487" s="91"/>
      <c r="H1487" s="91"/>
    </row>
    <row r="1488" spans="2:8">
      <c r="B1488" s="80"/>
      <c r="C1488" s="36"/>
      <c r="D1488" s="91"/>
      <c r="E1488" s="80"/>
      <c r="F1488" s="80"/>
      <c r="G1488" s="91"/>
      <c r="H1488" s="91"/>
    </row>
    <row r="1489" spans="2:8">
      <c r="B1489" s="80"/>
      <c r="C1489" s="36"/>
      <c r="D1489" s="91"/>
      <c r="E1489" s="80"/>
      <c r="F1489" s="80"/>
      <c r="G1489" s="91"/>
      <c r="H1489" s="91"/>
    </row>
    <row r="1490" spans="2:8">
      <c r="B1490" s="80"/>
      <c r="C1490" s="36"/>
      <c r="D1490" s="91"/>
      <c r="E1490" s="80"/>
      <c r="F1490" s="80"/>
      <c r="G1490" s="91"/>
      <c r="H1490" s="91"/>
    </row>
    <row r="1491" spans="2:8">
      <c r="B1491" s="80"/>
      <c r="C1491" s="36"/>
      <c r="D1491" s="91"/>
      <c r="E1491" s="80"/>
      <c r="F1491" s="80"/>
      <c r="G1491" s="91"/>
      <c r="H1491" s="91"/>
    </row>
    <row r="1492" spans="2:8">
      <c r="B1492" s="80"/>
      <c r="C1492" s="36"/>
      <c r="D1492" s="91"/>
      <c r="E1492" s="80"/>
      <c r="F1492" s="80"/>
      <c r="G1492" s="91"/>
      <c r="H1492" s="91"/>
    </row>
    <row r="1493" spans="2:8">
      <c r="B1493" s="80"/>
      <c r="C1493" s="36"/>
      <c r="D1493" s="91"/>
      <c r="E1493" s="80"/>
      <c r="F1493" s="80"/>
      <c r="G1493" s="91"/>
      <c r="H1493" s="91"/>
    </row>
    <row r="1494" spans="2:8">
      <c r="B1494" s="80"/>
      <c r="C1494" s="36"/>
      <c r="D1494" s="91"/>
      <c r="E1494" s="80"/>
      <c r="F1494" s="80"/>
      <c r="G1494" s="91"/>
      <c r="H1494" s="91"/>
    </row>
    <row r="1495" spans="2:8">
      <c r="B1495" s="80"/>
      <c r="C1495" s="36"/>
      <c r="D1495" s="91"/>
      <c r="E1495" s="80"/>
      <c r="F1495" s="80"/>
      <c r="G1495" s="91"/>
      <c r="H1495" s="91"/>
    </row>
    <row r="1496" spans="2:8">
      <c r="B1496" s="80"/>
      <c r="C1496" s="36"/>
      <c r="D1496" s="91"/>
      <c r="E1496" s="80"/>
      <c r="F1496" s="80"/>
      <c r="G1496" s="91"/>
      <c r="H1496" s="91"/>
    </row>
    <row r="1497" spans="2:8">
      <c r="B1497" s="80"/>
      <c r="C1497" s="36"/>
      <c r="D1497" s="91"/>
      <c r="E1497" s="80"/>
      <c r="F1497" s="80"/>
      <c r="G1497" s="91"/>
      <c r="H1497" s="91"/>
    </row>
    <row r="1498" spans="2:8">
      <c r="B1498" s="80"/>
      <c r="C1498" s="36"/>
      <c r="D1498" s="91"/>
      <c r="E1498" s="80"/>
      <c r="F1498" s="80"/>
      <c r="G1498" s="91"/>
      <c r="H1498" s="91"/>
    </row>
    <row r="1499" spans="2:8">
      <c r="B1499" s="80"/>
      <c r="C1499" s="36"/>
      <c r="D1499" s="91"/>
      <c r="E1499" s="80"/>
      <c r="F1499" s="80"/>
      <c r="G1499" s="91"/>
      <c r="H1499" s="91"/>
    </row>
    <row r="1500" spans="2:8">
      <c r="B1500" s="80"/>
      <c r="C1500" s="36"/>
      <c r="D1500" s="91"/>
      <c r="E1500" s="80"/>
      <c r="F1500" s="80"/>
      <c r="G1500" s="91"/>
      <c r="H1500" s="91"/>
    </row>
    <row r="1501" spans="2:8">
      <c r="B1501" s="80"/>
      <c r="C1501" s="36"/>
      <c r="D1501" s="91"/>
      <c r="E1501" s="80"/>
      <c r="F1501" s="80"/>
      <c r="G1501" s="91"/>
      <c r="H1501" s="91"/>
    </row>
    <row r="1502" spans="2:8">
      <c r="B1502" s="80"/>
      <c r="C1502" s="36"/>
      <c r="D1502" s="91"/>
      <c r="E1502" s="80"/>
      <c r="F1502" s="80"/>
      <c r="G1502" s="91"/>
      <c r="H1502" s="91"/>
    </row>
    <row r="1503" spans="2:8">
      <c r="B1503" s="80"/>
      <c r="C1503" s="36"/>
      <c r="D1503" s="91"/>
      <c r="E1503" s="80"/>
      <c r="F1503" s="80"/>
      <c r="G1503" s="91"/>
      <c r="H1503" s="91"/>
    </row>
    <row r="1504" spans="2:8">
      <c r="B1504" s="80"/>
      <c r="C1504" s="36"/>
      <c r="D1504" s="91"/>
      <c r="E1504" s="80"/>
      <c r="F1504" s="80"/>
      <c r="G1504" s="91"/>
      <c r="H1504" s="91"/>
    </row>
    <row r="1505" spans="2:8">
      <c r="B1505" s="80"/>
      <c r="C1505" s="36"/>
      <c r="D1505" s="91"/>
      <c r="E1505" s="80"/>
      <c r="F1505" s="80"/>
      <c r="G1505" s="91"/>
      <c r="H1505" s="91"/>
    </row>
    <row r="1506" spans="2:8">
      <c r="B1506" s="80"/>
      <c r="C1506" s="36"/>
      <c r="D1506" s="91"/>
      <c r="E1506" s="80"/>
      <c r="F1506" s="80"/>
      <c r="G1506" s="91"/>
      <c r="H1506" s="91"/>
    </row>
    <row r="1507" spans="2:8">
      <c r="B1507" s="80"/>
      <c r="C1507" s="36"/>
      <c r="D1507" s="91"/>
      <c r="E1507" s="80"/>
      <c r="F1507" s="80"/>
      <c r="G1507" s="91"/>
      <c r="H1507" s="91"/>
    </row>
    <row r="1508" spans="2:8">
      <c r="B1508" s="80"/>
      <c r="C1508" s="36"/>
      <c r="D1508" s="91"/>
      <c r="E1508" s="80"/>
      <c r="F1508" s="80"/>
      <c r="G1508" s="91"/>
      <c r="H1508" s="91"/>
    </row>
    <row r="1509" spans="2:8">
      <c r="B1509" s="80"/>
      <c r="C1509" s="36"/>
      <c r="D1509" s="91"/>
      <c r="E1509" s="80"/>
      <c r="F1509" s="80"/>
      <c r="G1509" s="91"/>
      <c r="H1509" s="91"/>
    </row>
    <row r="1510" spans="2:8">
      <c r="B1510" s="80"/>
      <c r="C1510" s="36"/>
      <c r="D1510" s="91"/>
      <c r="E1510" s="80"/>
      <c r="F1510" s="80"/>
      <c r="G1510" s="91"/>
      <c r="H1510" s="91"/>
    </row>
    <row r="1511" spans="2:8">
      <c r="B1511" s="80"/>
      <c r="C1511" s="36"/>
      <c r="D1511" s="91"/>
      <c r="E1511" s="80"/>
      <c r="F1511" s="80"/>
      <c r="G1511" s="91"/>
      <c r="H1511" s="91"/>
    </row>
    <row r="1512" spans="2:8">
      <c r="B1512" s="80"/>
      <c r="C1512" s="36"/>
      <c r="D1512" s="91"/>
      <c r="E1512" s="80"/>
      <c r="F1512" s="80"/>
      <c r="G1512" s="91"/>
      <c r="H1512" s="91"/>
    </row>
    <row r="1513" spans="2:8">
      <c r="B1513" s="80"/>
      <c r="C1513" s="36"/>
      <c r="D1513" s="91"/>
      <c r="E1513" s="80"/>
      <c r="F1513" s="80"/>
      <c r="G1513" s="91"/>
      <c r="H1513" s="91"/>
    </row>
    <row r="1514" spans="2:8">
      <c r="B1514" s="80"/>
      <c r="C1514" s="36"/>
      <c r="D1514" s="91"/>
      <c r="E1514" s="80"/>
      <c r="F1514" s="80"/>
      <c r="G1514" s="91"/>
      <c r="H1514" s="91"/>
    </row>
    <row r="1515" spans="2:8">
      <c r="B1515" s="80"/>
      <c r="C1515" s="36"/>
      <c r="D1515" s="91"/>
      <c r="E1515" s="80"/>
      <c r="F1515" s="80"/>
      <c r="G1515" s="91"/>
      <c r="H1515" s="91"/>
    </row>
    <row r="1516" spans="2:8">
      <c r="B1516" s="80"/>
      <c r="C1516" s="36"/>
      <c r="D1516" s="91"/>
      <c r="E1516" s="80"/>
      <c r="F1516" s="80"/>
      <c r="G1516" s="91"/>
      <c r="H1516" s="91"/>
    </row>
    <row r="1517" spans="2:8">
      <c r="B1517" s="80"/>
      <c r="C1517" s="36"/>
      <c r="D1517" s="91"/>
      <c r="E1517" s="80"/>
      <c r="F1517" s="80"/>
      <c r="G1517" s="91"/>
      <c r="H1517" s="91"/>
    </row>
    <row r="1518" spans="2:8">
      <c r="B1518" s="80"/>
      <c r="C1518" s="36"/>
      <c r="D1518" s="91"/>
      <c r="E1518" s="80"/>
      <c r="F1518" s="80"/>
      <c r="G1518" s="91"/>
      <c r="H1518" s="91"/>
    </row>
    <row r="1519" spans="2:8">
      <c r="B1519" s="80"/>
      <c r="C1519" s="36"/>
      <c r="D1519" s="91"/>
      <c r="E1519" s="80"/>
      <c r="F1519" s="80"/>
      <c r="G1519" s="91"/>
      <c r="H1519" s="91"/>
    </row>
    <row r="1520" spans="2:8">
      <c r="B1520" s="80"/>
      <c r="C1520" s="36"/>
      <c r="D1520" s="91"/>
      <c r="E1520" s="80"/>
      <c r="F1520" s="80"/>
      <c r="G1520" s="91"/>
      <c r="H1520" s="91"/>
    </row>
    <row r="1521" spans="2:8">
      <c r="B1521" s="80"/>
      <c r="C1521" s="36"/>
      <c r="D1521" s="91"/>
      <c r="E1521" s="80"/>
      <c r="F1521" s="80"/>
      <c r="G1521" s="91"/>
      <c r="H1521" s="91"/>
    </row>
    <row r="1522" spans="2:8">
      <c r="B1522" s="80"/>
      <c r="C1522" s="36"/>
      <c r="D1522" s="91"/>
      <c r="E1522" s="80"/>
      <c r="F1522" s="80"/>
      <c r="G1522" s="91"/>
      <c r="H1522" s="91"/>
    </row>
    <row r="1523" spans="2:8">
      <c r="B1523" s="80"/>
      <c r="C1523" s="36"/>
      <c r="D1523" s="91"/>
      <c r="E1523" s="80"/>
      <c r="F1523" s="80"/>
      <c r="G1523" s="91"/>
      <c r="H1523" s="91"/>
    </row>
    <row r="1524" spans="2:8">
      <c r="B1524" s="80"/>
      <c r="C1524" s="36"/>
      <c r="D1524" s="91"/>
      <c r="E1524" s="80"/>
      <c r="F1524" s="80"/>
      <c r="G1524" s="91"/>
      <c r="H1524" s="91"/>
    </row>
    <row r="1525" spans="2:8">
      <c r="B1525" s="80"/>
      <c r="C1525" s="36"/>
      <c r="D1525" s="91"/>
      <c r="E1525" s="80"/>
      <c r="F1525" s="80"/>
      <c r="G1525" s="91"/>
      <c r="H1525" s="91"/>
    </row>
    <row r="1526" spans="2:8">
      <c r="B1526" s="80"/>
      <c r="C1526" s="36"/>
      <c r="D1526" s="91"/>
      <c r="E1526" s="80"/>
      <c r="F1526" s="80"/>
      <c r="G1526" s="91"/>
      <c r="H1526" s="91"/>
    </row>
    <row r="1527" spans="2:8">
      <c r="B1527" s="80"/>
      <c r="C1527" s="36"/>
      <c r="D1527" s="91"/>
      <c r="E1527" s="80"/>
      <c r="F1527" s="80"/>
      <c r="G1527" s="91"/>
      <c r="H1527" s="91"/>
    </row>
    <row r="1528" spans="2:8">
      <c r="B1528" s="80"/>
      <c r="C1528" s="36"/>
      <c r="D1528" s="91"/>
      <c r="E1528" s="80"/>
      <c r="F1528" s="80"/>
      <c r="G1528" s="91"/>
      <c r="H1528" s="91"/>
    </row>
    <row r="1529" spans="2:8">
      <c r="B1529" s="80"/>
      <c r="C1529" s="36"/>
      <c r="D1529" s="91"/>
      <c r="E1529" s="80"/>
      <c r="F1529" s="80"/>
      <c r="G1529" s="91"/>
      <c r="H1529" s="91"/>
    </row>
    <row r="1530" spans="2:8">
      <c r="B1530" s="80"/>
      <c r="C1530" s="36"/>
      <c r="D1530" s="91"/>
      <c r="E1530" s="80"/>
      <c r="F1530" s="80"/>
      <c r="G1530" s="91"/>
      <c r="H1530" s="91"/>
    </row>
    <row r="1531" spans="2:8">
      <c r="B1531" s="80"/>
      <c r="C1531" s="36"/>
      <c r="D1531" s="91"/>
      <c r="E1531" s="80"/>
      <c r="F1531" s="80"/>
      <c r="G1531" s="91"/>
      <c r="H1531" s="91"/>
    </row>
    <row r="1532" spans="2:8">
      <c r="B1532" s="80"/>
      <c r="C1532" s="36"/>
      <c r="D1532" s="91"/>
      <c r="E1532" s="80"/>
      <c r="F1532" s="80"/>
      <c r="G1532" s="91"/>
      <c r="H1532" s="91"/>
    </row>
    <row r="1533" spans="2:8">
      <c r="B1533" s="80"/>
      <c r="C1533" s="36"/>
      <c r="D1533" s="91"/>
      <c r="E1533" s="80"/>
      <c r="F1533" s="80"/>
      <c r="G1533" s="91"/>
      <c r="H1533" s="91"/>
    </row>
    <row r="1534" spans="2:8">
      <c r="B1534" s="80"/>
      <c r="C1534" s="36"/>
      <c r="D1534" s="91"/>
      <c r="E1534" s="80"/>
      <c r="F1534" s="80"/>
      <c r="G1534" s="91"/>
      <c r="H1534" s="91"/>
    </row>
    <row r="1535" spans="2:8">
      <c r="B1535" s="80"/>
      <c r="C1535" s="36"/>
      <c r="D1535" s="91"/>
      <c r="E1535" s="80"/>
      <c r="F1535" s="80"/>
      <c r="G1535" s="91"/>
      <c r="H1535" s="91"/>
    </row>
    <row r="1536" spans="2:8">
      <c r="B1536" s="80"/>
      <c r="C1536" s="36"/>
      <c r="D1536" s="91"/>
      <c r="E1536" s="80"/>
      <c r="F1536" s="80"/>
      <c r="G1536" s="91"/>
      <c r="H1536" s="91"/>
    </row>
    <row r="1537" spans="2:8">
      <c r="B1537" s="80"/>
      <c r="C1537" s="36"/>
      <c r="D1537" s="91"/>
      <c r="E1537" s="80"/>
      <c r="F1537" s="80"/>
      <c r="G1537" s="91"/>
      <c r="H1537" s="91"/>
    </row>
    <row r="1538" spans="2:8">
      <c r="B1538" s="80"/>
      <c r="C1538" s="36"/>
      <c r="D1538" s="91"/>
      <c r="E1538" s="80"/>
      <c r="F1538" s="80"/>
      <c r="G1538" s="91"/>
      <c r="H1538" s="91"/>
    </row>
    <row r="1539" spans="2:8">
      <c r="B1539" s="80"/>
      <c r="C1539" s="36"/>
      <c r="D1539" s="91"/>
      <c r="E1539" s="80"/>
      <c r="F1539" s="80"/>
      <c r="G1539" s="91"/>
      <c r="H1539" s="91"/>
    </row>
    <row r="1540" spans="2:8">
      <c r="B1540" s="80"/>
      <c r="C1540" s="36"/>
      <c r="D1540" s="91"/>
      <c r="E1540" s="80"/>
      <c r="F1540" s="80"/>
      <c r="G1540" s="91"/>
      <c r="H1540" s="91"/>
    </row>
    <row r="1541" spans="2:8">
      <c r="B1541" s="80"/>
      <c r="C1541" s="36"/>
      <c r="D1541" s="91"/>
      <c r="E1541" s="80"/>
      <c r="F1541" s="80"/>
      <c r="G1541" s="91"/>
      <c r="H1541" s="91"/>
    </row>
    <row r="1542" spans="2:8">
      <c r="B1542" s="80"/>
      <c r="C1542" s="36"/>
      <c r="D1542" s="91"/>
      <c r="E1542" s="80"/>
      <c r="F1542" s="80"/>
      <c r="G1542" s="91"/>
      <c r="H1542" s="91"/>
    </row>
    <row r="1543" spans="2:8">
      <c r="B1543" s="80"/>
      <c r="C1543" s="36"/>
      <c r="D1543" s="91"/>
      <c r="E1543" s="80"/>
      <c r="F1543" s="80"/>
      <c r="G1543" s="91"/>
      <c r="H1543" s="91"/>
    </row>
    <row r="1544" spans="2:8">
      <c r="B1544" s="80"/>
      <c r="C1544" s="36"/>
      <c r="D1544" s="91"/>
      <c r="E1544" s="80"/>
      <c r="F1544" s="80"/>
      <c r="G1544" s="91"/>
      <c r="H1544" s="91"/>
    </row>
    <row r="1545" spans="2:8">
      <c r="B1545" s="80"/>
      <c r="C1545" s="36"/>
      <c r="D1545" s="91"/>
      <c r="E1545" s="80"/>
      <c r="F1545" s="80"/>
      <c r="G1545" s="91"/>
      <c r="H1545" s="91"/>
    </row>
    <row r="1546" spans="2:8">
      <c r="B1546" s="80"/>
      <c r="C1546" s="36"/>
      <c r="D1546" s="91"/>
      <c r="E1546" s="80"/>
      <c r="F1546" s="80"/>
      <c r="G1546" s="91"/>
      <c r="H1546" s="91"/>
    </row>
    <row r="1547" spans="2:8">
      <c r="B1547" s="80"/>
      <c r="C1547" s="36"/>
      <c r="D1547" s="91"/>
      <c r="E1547" s="80"/>
      <c r="F1547" s="80"/>
      <c r="G1547" s="91"/>
      <c r="H1547" s="91"/>
    </row>
    <row r="1548" spans="2:8">
      <c r="B1548" s="80"/>
      <c r="C1548" s="36"/>
      <c r="D1548" s="91"/>
      <c r="E1548" s="80"/>
      <c r="F1548" s="80"/>
      <c r="G1548" s="91"/>
      <c r="H1548" s="91"/>
    </row>
    <row r="1549" spans="2:8">
      <c r="B1549" s="80"/>
      <c r="C1549" s="36"/>
      <c r="D1549" s="91"/>
      <c r="E1549" s="80"/>
      <c r="F1549" s="80"/>
      <c r="G1549" s="91"/>
      <c r="H1549" s="91"/>
    </row>
    <row r="1550" spans="2:8">
      <c r="B1550" s="80"/>
      <c r="C1550" s="36"/>
      <c r="D1550" s="91"/>
      <c r="E1550" s="80"/>
      <c r="F1550" s="80"/>
      <c r="G1550" s="91"/>
      <c r="H1550" s="91"/>
    </row>
    <row r="1551" spans="2:8">
      <c r="B1551" s="80"/>
      <c r="C1551" s="36"/>
      <c r="D1551" s="91"/>
      <c r="E1551" s="80"/>
      <c r="F1551" s="80"/>
      <c r="G1551" s="91"/>
      <c r="H1551" s="91"/>
    </row>
    <row r="1552" spans="2:8">
      <c r="B1552" s="80"/>
      <c r="C1552" s="36"/>
      <c r="D1552" s="91"/>
      <c r="E1552" s="80"/>
      <c r="F1552" s="80"/>
      <c r="G1552" s="91"/>
      <c r="H1552" s="91"/>
    </row>
    <row r="1553" spans="2:8">
      <c r="B1553" s="80"/>
      <c r="C1553" s="36"/>
      <c r="D1553" s="91"/>
      <c r="E1553" s="80"/>
      <c r="F1553" s="80"/>
      <c r="G1553" s="91"/>
      <c r="H1553" s="91"/>
    </row>
    <row r="1554" spans="2:8">
      <c r="B1554" s="80"/>
      <c r="C1554" s="36"/>
      <c r="D1554" s="91"/>
      <c r="E1554" s="80"/>
      <c r="F1554" s="80"/>
      <c r="G1554" s="91"/>
      <c r="H1554" s="91"/>
    </row>
    <row r="1555" spans="2:8">
      <c r="B1555" s="80"/>
      <c r="C1555" s="36"/>
      <c r="D1555" s="91"/>
      <c r="E1555" s="80"/>
      <c r="F1555" s="80"/>
      <c r="G1555" s="91"/>
      <c r="H1555" s="91"/>
    </row>
    <row r="1556" spans="2:8">
      <c r="B1556" s="80"/>
      <c r="C1556" s="36"/>
      <c r="D1556" s="91"/>
      <c r="E1556" s="80"/>
      <c r="F1556" s="80"/>
      <c r="G1556" s="91"/>
      <c r="H1556" s="91"/>
    </row>
    <row r="1557" spans="2:8">
      <c r="B1557" s="80"/>
      <c r="C1557" s="36"/>
      <c r="D1557" s="91"/>
      <c r="E1557" s="80"/>
      <c r="F1557" s="80"/>
      <c r="G1557" s="91"/>
      <c r="H1557" s="91"/>
    </row>
    <row r="1558" spans="2:8">
      <c r="B1558" s="80"/>
      <c r="C1558" s="36"/>
      <c r="D1558" s="91"/>
      <c r="E1558" s="80"/>
      <c r="F1558" s="80"/>
      <c r="G1558" s="91"/>
      <c r="H1558" s="91"/>
    </row>
    <row r="1559" spans="2:8">
      <c r="B1559" s="80"/>
      <c r="C1559" s="36"/>
      <c r="D1559" s="91"/>
      <c r="E1559" s="80"/>
      <c r="F1559" s="80"/>
      <c r="G1559" s="91"/>
      <c r="H1559" s="91"/>
    </row>
    <row r="1560" spans="2:8">
      <c r="B1560" s="80"/>
      <c r="C1560" s="36"/>
      <c r="D1560" s="91"/>
      <c r="E1560" s="80"/>
      <c r="F1560" s="80"/>
      <c r="G1560" s="91"/>
      <c r="H1560" s="91"/>
    </row>
    <row r="1561" spans="2:8">
      <c r="B1561" s="80"/>
      <c r="C1561" s="36"/>
      <c r="D1561" s="91"/>
      <c r="E1561" s="80"/>
      <c r="F1561" s="80"/>
      <c r="G1561" s="91"/>
      <c r="H1561" s="91"/>
    </row>
    <row r="1562" spans="2:8">
      <c r="B1562" s="80"/>
      <c r="C1562" s="36"/>
      <c r="D1562" s="91"/>
      <c r="E1562" s="80"/>
      <c r="F1562" s="80"/>
      <c r="G1562" s="91"/>
      <c r="H1562" s="91"/>
    </row>
    <row r="1563" spans="2:8">
      <c r="B1563" s="80"/>
      <c r="C1563" s="36"/>
      <c r="D1563" s="91"/>
      <c r="E1563" s="80"/>
      <c r="F1563" s="80"/>
      <c r="G1563" s="91"/>
      <c r="H1563" s="91"/>
    </row>
    <row r="1564" spans="2:8">
      <c r="B1564" s="80"/>
      <c r="C1564" s="36"/>
      <c r="D1564" s="91"/>
      <c r="E1564" s="80"/>
      <c r="F1564" s="80"/>
      <c r="G1564" s="91"/>
      <c r="H1564" s="91"/>
    </row>
    <row r="1565" spans="2:8">
      <c r="B1565" s="80"/>
      <c r="C1565" s="36"/>
      <c r="D1565" s="91"/>
      <c r="E1565" s="80"/>
      <c r="F1565" s="80"/>
      <c r="G1565" s="91"/>
      <c r="H1565" s="91"/>
    </row>
    <row r="1566" spans="2:8">
      <c r="B1566" s="80"/>
      <c r="C1566" s="36"/>
      <c r="D1566" s="91"/>
      <c r="E1566" s="80"/>
      <c r="F1566" s="80"/>
      <c r="G1566" s="91"/>
      <c r="H1566" s="91"/>
    </row>
    <row r="1567" spans="2:8">
      <c r="B1567" s="80"/>
      <c r="C1567" s="36"/>
      <c r="D1567" s="91"/>
      <c r="E1567" s="80"/>
      <c r="F1567" s="80"/>
      <c r="G1567" s="91"/>
      <c r="H1567" s="91"/>
    </row>
    <row r="1568" spans="2:8">
      <c r="B1568" s="80"/>
      <c r="C1568" s="36"/>
      <c r="D1568" s="91"/>
      <c r="E1568" s="80"/>
      <c r="F1568" s="80"/>
      <c r="G1568" s="91"/>
      <c r="H1568" s="91"/>
    </row>
    <row r="1569" spans="2:8">
      <c r="B1569" s="80"/>
      <c r="C1569" s="36"/>
      <c r="D1569" s="91"/>
      <c r="E1569" s="80"/>
      <c r="F1569" s="80"/>
      <c r="G1569" s="91"/>
      <c r="H1569" s="91"/>
    </row>
    <row r="1570" spans="2:8">
      <c r="B1570" s="80"/>
      <c r="C1570" s="36"/>
      <c r="D1570" s="91"/>
      <c r="E1570" s="80"/>
      <c r="F1570" s="80"/>
      <c r="G1570" s="91"/>
      <c r="H1570" s="91"/>
    </row>
    <row r="1571" spans="2:8">
      <c r="B1571" s="80"/>
      <c r="C1571" s="36"/>
      <c r="D1571" s="91"/>
      <c r="E1571" s="80"/>
      <c r="F1571" s="80"/>
      <c r="G1571" s="91"/>
      <c r="H1571" s="91"/>
    </row>
    <row r="1572" spans="2:8">
      <c r="B1572" s="80"/>
      <c r="C1572" s="36"/>
      <c r="D1572" s="91"/>
      <c r="E1572" s="80"/>
      <c r="F1572" s="80"/>
      <c r="G1572" s="91"/>
      <c r="H1572" s="91"/>
    </row>
    <row r="1573" spans="2:8">
      <c r="B1573" s="80"/>
      <c r="C1573" s="36"/>
      <c r="D1573" s="91"/>
      <c r="E1573" s="80"/>
      <c r="F1573" s="80"/>
      <c r="G1573" s="91"/>
      <c r="H1573" s="91"/>
    </row>
    <row r="1574" spans="2:8">
      <c r="B1574" s="80"/>
      <c r="C1574" s="36"/>
      <c r="D1574" s="91"/>
      <c r="E1574" s="80"/>
      <c r="F1574" s="80"/>
      <c r="G1574" s="91"/>
      <c r="H1574" s="91"/>
    </row>
    <row r="1575" spans="2:8">
      <c r="B1575" s="80"/>
      <c r="C1575" s="36"/>
      <c r="D1575" s="91"/>
      <c r="E1575" s="80"/>
      <c r="F1575" s="80"/>
      <c r="G1575" s="91"/>
      <c r="H1575" s="91"/>
    </row>
    <row r="1576" spans="2:8">
      <c r="B1576" s="80"/>
      <c r="C1576" s="36"/>
      <c r="D1576" s="91"/>
      <c r="E1576" s="80"/>
      <c r="F1576" s="80"/>
      <c r="G1576" s="91"/>
      <c r="H1576" s="91"/>
    </row>
    <row r="1577" spans="2:8">
      <c r="B1577" s="80"/>
      <c r="C1577" s="36"/>
      <c r="D1577" s="91"/>
      <c r="E1577" s="80"/>
      <c r="F1577" s="80"/>
      <c r="G1577" s="91"/>
      <c r="H1577" s="91"/>
    </row>
    <row r="1578" spans="2:8">
      <c r="B1578" s="80"/>
      <c r="C1578" s="36"/>
      <c r="D1578" s="91"/>
      <c r="E1578" s="80"/>
      <c r="F1578" s="80"/>
      <c r="G1578" s="91"/>
      <c r="H1578" s="91"/>
    </row>
    <row r="1579" spans="2:8">
      <c r="B1579" s="80"/>
      <c r="C1579" s="36"/>
      <c r="D1579" s="91"/>
      <c r="E1579" s="80"/>
      <c r="F1579" s="80"/>
      <c r="G1579" s="91"/>
      <c r="H1579" s="91"/>
    </row>
    <row r="1580" spans="2:8">
      <c r="B1580" s="80"/>
      <c r="C1580" s="36"/>
      <c r="D1580" s="91"/>
      <c r="E1580" s="80"/>
      <c r="F1580" s="80"/>
      <c r="G1580" s="91"/>
      <c r="H1580" s="91"/>
    </row>
    <row r="1581" spans="2:8">
      <c r="B1581" s="80"/>
      <c r="C1581" s="36"/>
      <c r="D1581" s="91"/>
      <c r="E1581" s="80"/>
      <c r="F1581" s="80"/>
      <c r="G1581" s="91"/>
      <c r="H1581" s="91"/>
    </row>
    <row r="1582" spans="2:8">
      <c r="B1582" s="80"/>
      <c r="C1582" s="36"/>
      <c r="D1582" s="91"/>
      <c r="E1582" s="80"/>
      <c r="F1582" s="80"/>
      <c r="G1582" s="91"/>
      <c r="H1582" s="91"/>
    </row>
    <row r="1583" spans="2:8">
      <c r="B1583" s="80"/>
      <c r="C1583" s="36"/>
      <c r="D1583" s="91"/>
      <c r="E1583" s="80"/>
      <c r="F1583" s="80"/>
      <c r="G1583" s="91"/>
      <c r="H1583" s="91"/>
    </row>
    <row r="1584" spans="2:8">
      <c r="B1584" s="80"/>
      <c r="C1584" s="36"/>
      <c r="D1584" s="91"/>
      <c r="E1584" s="80"/>
      <c r="F1584" s="80"/>
      <c r="G1584" s="91"/>
      <c r="H1584" s="91"/>
    </row>
    <row r="1585" spans="2:8">
      <c r="B1585" s="80"/>
      <c r="C1585" s="36"/>
      <c r="D1585" s="91"/>
      <c r="E1585" s="80"/>
      <c r="F1585" s="80"/>
      <c r="G1585" s="91"/>
      <c r="H1585" s="91"/>
    </row>
    <row r="1586" spans="2:8">
      <c r="B1586" s="80"/>
      <c r="C1586" s="36"/>
      <c r="D1586" s="91"/>
      <c r="E1586" s="80"/>
      <c r="F1586" s="80"/>
      <c r="G1586" s="91"/>
      <c r="H1586" s="91"/>
    </row>
    <row r="1587" spans="2:8">
      <c r="B1587" s="80"/>
      <c r="C1587" s="36"/>
      <c r="D1587" s="91"/>
      <c r="E1587" s="80"/>
      <c r="F1587" s="80"/>
      <c r="G1587" s="91"/>
      <c r="H1587" s="91"/>
    </row>
    <row r="1588" spans="2:8">
      <c r="B1588" s="80"/>
      <c r="C1588" s="36"/>
      <c r="D1588" s="91"/>
      <c r="E1588" s="80"/>
      <c r="F1588" s="80"/>
      <c r="G1588" s="91"/>
      <c r="H1588" s="91"/>
    </row>
    <row r="1589" spans="2:8">
      <c r="B1589" s="80"/>
      <c r="C1589" s="36"/>
      <c r="D1589" s="91"/>
      <c r="E1589" s="80"/>
      <c r="F1589" s="80"/>
      <c r="G1589" s="91"/>
      <c r="H1589" s="91"/>
    </row>
    <row r="1590" spans="2:8">
      <c r="B1590" s="80"/>
      <c r="C1590" s="36"/>
      <c r="D1590" s="91"/>
      <c r="E1590" s="80"/>
      <c r="F1590" s="80"/>
      <c r="G1590" s="91"/>
      <c r="H1590" s="91"/>
    </row>
    <row r="1591" spans="2:8">
      <c r="B1591" s="80"/>
      <c r="C1591" s="36"/>
      <c r="D1591" s="91"/>
      <c r="E1591" s="80"/>
      <c r="F1591" s="80"/>
      <c r="G1591" s="91"/>
      <c r="H1591" s="91"/>
    </row>
    <row r="1592" spans="2:8">
      <c r="B1592" s="80"/>
      <c r="C1592" s="36"/>
      <c r="D1592" s="91"/>
      <c r="E1592" s="80"/>
      <c r="F1592" s="80"/>
      <c r="G1592" s="91"/>
      <c r="H1592" s="91"/>
    </row>
    <row r="1593" spans="2:8">
      <c r="B1593" s="80"/>
      <c r="C1593" s="36"/>
      <c r="D1593" s="91"/>
      <c r="E1593" s="80"/>
      <c r="F1593" s="80"/>
      <c r="G1593" s="91"/>
      <c r="H1593" s="91"/>
    </row>
    <row r="1594" spans="2:8">
      <c r="B1594" s="80"/>
      <c r="C1594" s="36"/>
      <c r="D1594" s="91"/>
      <c r="E1594" s="80"/>
      <c r="F1594" s="80"/>
      <c r="G1594" s="91"/>
      <c r="H1594" s="91"/>
    </row>
    <row r="1595" spans="2:8">
      <c r="B1595" s="80"/>
      <c r="C1595" s="36"/>
      <c r="D1595" s="91"/>
      <c r="E1595" s="80"/>
      <c r="F1595" s="80"/>
      <c r="G1595" s="91"/>
      <c r="H1595" s="91"/>
    </row>
    <row r="1596" spans="2:8">
      <c r="B1596" s="80"/>
      <c r="C1596" s="36"/>
      <c r="D1596" s="91"/>
      <c r="E1596" s="80"/>
      <c r="F1596" s="80"/>
      <c r="G1596" s="91"/>
      <c r="H1596" s="91"/>
    </row>
    <row r="1597" spans="2:8">
      <c r="B1597" s="80"/>
      <c r="C1597" s="36"/>
      <c r="D1597" s="91"/>
      <c r="E1597" s="80"/>
      <c r="F1597" s="80"/>
      <c r="G1597" s="91"/>
      <c r="H1597" s="91"/>
    </row>
    <row r="1598" spans="2:8">
      <c r="B1598" s="80"/>
      <c r="C1598" s="36"/>
      <c r="D1598" s="91"/>
      <c r="E1598" s="80"/>
      <c r="F1598" s="80"/>
      <c r="G1598" s="91"/>
      <c r="H1598" s="91"/>
    </row>
    <row r="1599" spans="2:8">
      <c r="B1599" s="80"/>
      <c r="C1599" s="36"/>
      <c r="D1599" s="91"/>
      <c r="E1599" s="80"/>
      <c r="F1599" s="80"/>
      <c r="G1599" s="91"/>
      <c r="H1599" s="91"/>
    </row>
    <row r="1600" spans="2:8">
      <c r="B1600" s="80"/>
      <c r="C1600" s="36"/>
      <c r="D1600" s="91"/>
      <c r="E1600" s="80"/>
      <c r="F1600" s="80"/>
      <c r="G1600" s="91"/>
      <c r="H1600" s="91"/>
    </row>
    <row r="1601" spans="2:8">
      <c r="B1601" s="80"/>
      <c r="C1601" s="36"/>
      <c r="D1601" s="91"/>
      <c r="E1601" s="80"/>
      <c r="F1601" s="80"/>
      <c r="G1601" s="91"/>
      <c r="H1601" s="91"/>
    </row>
    <row r="1602" spans="2:8">
      <c r="B1602" s="80"/>
      <c r="C1602" s="36"/>
      <c r="D1602" s="91"/>
      <c r="E1602" s="80"/>
      <c r="F1602" s="80"/>
      <c r="G1602" s="91"/>
      <c r="H1602" s="91"/>
    </row>
    <row r="1603" spans="2:8">
      <c r="B1603" s="80"/>
      <c r="C1603" s="36"/>
      <c r="D1603" s="91"/>
      <c r="E1603" s="80"/>
      <c r="F1603" s="80"/>
      <c r="G1603" s="91"/>
      <c r="H1603" s="91"/>
    </row>
    <row r="1604" spans="2:8">
      <c r="B1604" s="80"/>
      <c r="C1604" s="36"/>
      <c r="D1604" s="91"/>
      <c r="E1604" s="80"/>
      <c r="F1604" s="80"/>
      <c r="G1604" s="91"/>
      <c r="H1604" s="91"/>
    </row>
    <row r="1605" spans="2:8">
      <c r="B1605" s="80"/>
      <c r="C1605" s="36"/>
      <c r="D1605" s="91"/>
      <c r="E1605" s="80"/>
      <c r="F1605" s="80"/>
      <c r="G1605" s="91"/>
      <c r="H1605" s="91"/>
    </row>
    <row r="1606" spans="2:8">
      <c r="B1606" s="80"/>
      <c r="C1606" s="36"/>
      <c r="D1606" s="91"/>
      <c r="E1606" s="80"/>
      <c r="F1606" s="80"/>
      <c r="G1606" s="91"/>
      <c r="H1606" s="91"/>
    </row>
    <row r="1607" spans="2:8">
      <c r="B1607" s="80"/>
      <c r="C1607" s="36"/>
      <c r="D1607" s="91"/>
      <c r="E1607" s="80"/>
      <c r="F1607" s="80"/>
      <c r="G1607" s="91"/>
      <c r="H1607" s="91"/>
    </row>
    <row r="1608" spans="2:8">
      <c r="B1608" s="80"/>
      <c r="C1608" s="36"/>
      <c r="D1608" s="91"/>
      <c r="E1608" s="80"/>
      <c r="F1608" s="80"/>
      <c r="G1608" s="91"/>
      <c r="H1608" s="91"/>
    </row>
    <row r="1609" spans="2:8">
      <c r="B1609" s="80"/>
      <c r="C1609" s="36"/>
      <c r="D1609" s="91"/>
      <c r="E1609" s="80"/>
      <c r="F1609" s="80"/>
      <c r="G1609" s="91"/>
      <c r="H1609" s="91"/>
    </row>
    <row r="1610" spans="2:8">
      <c r="B1610" s="80"/>
      <c r="C1610" s="36"/>
      <c r="D1610" s="91"/>
      <c r="E1610" s="80"/>
      <c r="F1610" s="80"/>
      <c r="G1610" s="91"/>
      <c r="H1610" s="91"/>
    </row>
    <row r="1611" spans="2:8">
      <c r="B1611" s="80"/>
      <c r="C1611" s="36"/>
      <c r="D1611" s="91"/>
      <c r="E1611" s="80"/>
      <c r="F1611" s="80"/>
      <c r="G1611" s="91"/>
      <c r="H1611" s="91"/>
    </row>
    <row r="1612" spans="2:8">
      <c r="B1612" s="80"/>
      <c r="C1612" s="36"/>
      <c r="D1612" s="91"/>
      <c r="E1612" s="80"/>
      <c r="F1612" s="80"/>
      <c r="G1612" s="91"/>
      <c r="H1612" s="91"/>
    </row>
    <row r="1613" spans="2:8">
      <c r="B1613" s="80"/>
      <c r="C1613" s="36"/>
      <c r="D1613" s="91"/>
      <c r="E1613" s="80"/>
      <c r="F1613" s="80"/>
      <c r="G1613" s="91"/>
      <c r="H1613" s="91"/>
    </row>
    <row r="1614" spans="2:8">
      <c r="B1614" s="80"/>
      <c r="C1614" s="36"/>
      <c r="D1614" s="91"/>
      <c r="E1614" s="80"/>
      <c r="F1614" s="80"/>
      <c r="G1614" s="91"/>
      <c r="H1614" s="91"/>
    </row>
    <row r="1615" spans="2:8">
      <c r="B1615" s="80"/>
      <c r="C1615" s="36"/>
      <c r="D1615" s="91"/>
      <c r="E1615" s="80"/>
      <c r="F1615" s="80"/>
      <c r="G1615" s="91"/>
      <c r="H1615" s="91"/>
    </row>
    <row r="1616" spans="2:8">
      <c r="B1616" s="80"/>
      <c r="C1616" s="36"/>
      <c r="D1616" s="91"/>
      <c r="E1616" s="80"/>
      <c r="F1616" s="80"/>
      <c r="G1616" s="91"/>
      <c r="H1616" s="91"/>
    </row>
    <row r="1617" spans="2:8">
      <c r="B1617" s="80"/>
      <c r="C1617" s="36"/>
      <c r="D1617" s="91"/>
      <c r="E1617" s="80"/>
      <c r="F1617" s="80"/>
      <c r="G1617" s="91"/>
      <c r="H1617" s="91"/>
    </row>
    <row r="1618" spans="2:8">
      <c r="B1618" s="80"/>
      <c r="C1618" s="36"/>
      <c r="D1618" s="91"/>
      <c r="E1618" s="80"/>
      <c r="F1618" s="80"/>
      <c r="G1618" s="91"/>
      <c r="H1618" s="91"/>
    </row>
    <row r="1619" spans="2:8">
      <c r="B1619" s="80"/>
      <c r="C1619" s="36"/>
      <c r="D1619" s="91"/>
      <c r="E1619" s="80"/>
      <c r="F1619" s="80"/>
      <c r="G1619" s="91"/>
      <c r="H1619" s="91"/>
    </row>
    <row r="1620" spans="2:8">
      <c r="B1620" s="80"/>
      <c r="C1620" s="36"/>
      <c r="D1620" s="91"/>
      <c r="E1620" s="80"/>
      <c r="F1620" s="80"/>
      <c r="G1620" s="91"/>
      <c r="H1620" s="91"/>
    </row>
    <row r="1621" spans="2:8">
      <c r="B1621" s="80"/>
      <c r="C1621" s="36"/>
      <c r="D1621" s="91"/>
      <c r="E1621" s="80"/>
      <c r="F1621" s="80"/>
      <c r="G1621" s="91"/>
      <c r="H1621" s="91"/>
    </row>
    <row r="1622" spans="2:8">
      <c r="B1622" s="80"/>
      <c r="C1622" s="36"/>
      <c r="D1622" s="91"/>
      <c r="E1622" s="80"/>
      <c r="F1622" s="80"/>
      <c r="G1622" s="91"/>
      <c r="H1622" s="91"/>
    </row>
    <row r="1623" spans="2:8">
      <c r="B1623" s="80"/>
      <c r="C1623" s="36"/>
      <c r="D1623" s="91"/>
      <c r="E1623" s="80"/>
      <c r="F1623" s="80"/>
      <c r="G1623" s="91"/>
      <c r="H1623" s="91"/>
    </row>
    <row r="1624" spans="2:8">
      <c r="B1624" s="80"/>
      <c r="C1624" s="36"/>
      <c r="D1624" s="91"/>
      <c r="E1624" s="80"/>
      <c r="F1624" s="80"/>
      <c r="G1624" s="91"/>
      <c r="H1624" s="91"/>
    </row>
    <row r="1625" spans="2:8">
      <c r="B1625" s="80"/>
      <c r="C1625" s="36"/>
      <c r="D1625" s="91"/>
      <c r="E1625" s="80"/>
      <c r="F1625" s="80"/>
      <c r="G1625" s="91"/>
      <c r="H1625" s="91"/>
    </row>
    <row r="1626" spans="2:8">
      <c r="B1626" s="80"/>
      <c r="C1626" s="36"/>
      <c r="D1626" s="91"/>
      <c r="E1626" s="80"/>
      <c r="F1626" s="80"/>
      <c r="G1626" s="91"/>
      <c r="H1626" s="91"/>
    </row>
    <row r="1627" spans="2:8">
      <c r="B1627" s="80"/>
      <c r="C1627" s="36"/>
      <c r="D1627" s="91"/>
      <c r="E1627" s="80"/>
      <c r="F1627" s="80"/>
      <c r="G1627" s="91"/>
      <c r="H1627" s="91"/>
    </row>
    <row r="1628" spans="2:8">
      <c r="B1628" s="80"/>
      <c r="C1628" s="36"/>
      <c r="D1628" s="91"/>
      <c r="E1628" s="80"/>
      <c r="F1628" s="80"/>
      <c r="G1628" s="91"/>
      <c r="H1628" s="91"/>
    </row>
    <row r="1629" spans="2:8">
      <c r="B1629" s="80"/>
      <c r="C1629" s="36"/>
      <c r="D1629" s="91"/>
      <c r="E1629" s="80"/>
      <c r="F1629" s="80"/>
      <c r="G1629" s="91"/>
      <c r="H1629" s="91"/>
    </row>
    <row r="1630" spans="2:8">
      <c r="B1630" s="80"/>
      <c r="C1630" s="36"/>
      <c r="D1630" s="91"/>
      <c r="E1630" s="80"/>
      <c r="F1630" s="80"/>
      <c r="G1630" s="91"/>
      <c r="H1630" s="91"/>
    </row>
    <row r="1631" spans="2:8">
      <c r="B1631" s="80"/>
      <c r="C1631" s="36"/>
      <c r="D1631" s="91"/>
      <c r="E1631" s="80"/>
      <c r="F1631" s="80"/>
      <c r="G1631" s="91"/>
      <c r="H1631" s="91"/>
    </row>
    <row r="1632" spans="2:8">
      <c r="B1632" s="80"/>
      <c r="C1632" s="36"/>
      <c r="D1632" s="91"/>
      <c r="E1632" s="80"/>
      <c r="F1632" s="80"/>
      <c r="G1632" s="91"/>
      <c r="H1632" s="91"/>
    </row>
    <row r="1633" spans="2:8">
      <c r="B1633" s="80"/>
      <c r="C1633" s="36"/>
      <c r="D1633" s="91"/>
      <c r="E1633" s="80"/>
      <c r="F1633" s="80"/>
      <c r="G1633" s="91"/>
      <c r="H1633" s="91"/>
    </row>
    <row r="1634" spans="2:8">
      <c r="B1634" s="80"/>
      <c r="C1634" s="36"/>
      <c r="D1634" s="91"/>
      <c r="E1634" s="80"/>
      <c r="F1634" s="80"/>
      <c r="G1634" s="91"/>
      <c r="H1634" s="91"/>
    </row>
    <row r="1635" spans="2:8">
      <c r="B1635" s="80"/>
      <c r="C1635" s="36"/>
      <c r="D1635" s="91"/>
      <c r="E1635" s="80"/>
      <c r="F1635" s="80"/>
      <c r="G1635" s="91"/>
      <c r="H1635" s="91"/>
    </row>
    <row r="1636" spans="2:8">
      <c r="B1636" s="80"/>
      <c r="C1636" s="36"/>
      <c r="D1636" s="91"/>
      <c r="E1636" s="80"/>
      <c r="F1636" s="80"/>
      <c r="G1636" s="91"/>
      <c r="H1636" s="91"/>
    </row>
    <row r="1637" spans="2:8">
      <c r="B1637" s="80"/>
      <c r="C1637" s="36"/>
      <c r="D1637" s="91"/>
      <c r="E1637" s="80"/>
      <c r="F1637" s="80"/>
      <c r="G1637" s="91"/>
      <c r="H1637" s="91"/>
    </row>
    <row r="1638" spans="2:8">
      <c r="B1638" s="80"/>
      <c r="C1638" s="36"/>
      <c r="D1638" s="91"/>
      <c r="E1638" s="80"/>
      <c r="F1638" s="80"/>
      <c r="G1638" s="91"/>
      <c r="H1638" s="91"/>
    </row>
    <row r="1639" spans="2:8">
      <c r="B1639" s="80"/>
      <c r="C1639" s="36"/>
      <c r="D1639" s="91"/>
      <c r="E1639" s="80"/>
      <c r="F1639" s="80"/>
      <c r="G1639" s="91"/>
      <c r="H1639" s="91"/>
    </row>
    <row r="1640" spans="2:8">
      <c r="B1640" s="80"/>
      <c r="C1640" s="36"/>
      <c r="D1640" s="91"/>
      <c r="E1640" s="80"/>
      <c r="F1640" s="80"/>
      <c r="G1640" s="91"/>
      <c r="H1640" s="91"/>
    </row>
    <row r="1641" spans="2:8">
      <c r="B1641" s="80"/>
      <c r="C1641" s="36"/>
      <c r="D1641" s="91"/>
      <c r="E1641" s="80"/>
      <c r="F1641" s="80"/>
      <c r="G1641" s="91"/>
      <c r="H1641" s="91"/>
    </row>
    <row r="1642" spans="2:8">
      <c r="B1642" s="80"/>
      <c r="C1642" s="36"/>
      <c r="D1642" s="91"/>
      <c r="E1642" s="80"/>
      <c r="F1642" s="80"/>
      <c r="G1642" s="91"/>
      <c r="H1642" s="91"/>
    </row>
    <row r="1643" spans="2:8">
      <c r="B1643" s="80"/>
      <c r="C1643" s="36"/>
      <c r="D1643" s="91"/>
      <c r="E1643" s="80"/>
      <c r="F1643" s="80"/>
      <c r="G1643" s="91"/>
      <c r="H1643" s="91"/>
    </row>
    <row r="1644" spans="2:8">
      <c r="B1644" s="80"/>
      <c r="C1644" s="36"/>
      <c r="D1644" s="91"/>
      <c r="E1644" s="80"/>
      <c r="F1644" s="80"/>
      <c r="G1644" s="91"/>
      <c r="H1644" s="91"/>
    </row>
    <row r="1645" spans="2:8">
      <c r="B1645" s="80"/>
      <c r="C1645" s="36"/>
      <c r="D1645" s="91"/>
      <c r="E1645" s="80"/>
      <c r="F1645" s="80"/>
      <c r="G1645" s="91"/>
      <c r="H1645" s="91"/>
    </row>
    <row r="1646" spans="2:8">
      <c r="B1646" s="80"/>
      <c r="C1646" s="36"/>
      <c r="D1646" s="91"/>
      <c r="E1646" s="80"/>
      <c r="F1646" s="80"/>
      <c r="G1646" s="91"/>
      <c r="H1646" s="91"/>
    </row>
    <row r="1647" spans="2:8">
      <c r="B1647" s="80"/>
      <c r="C1647" s="36"/>
      <c r="D1647" s="91"/>
      <c r="E1647" s="80"/>
      <c r="F1647" s="80"/>
      <c r="G1647" s="91"/>
      <c r="H1647" s="91"/>
    </row>
    <row r="1648" spans="2:8">
      <c r="B1648" s="80"/>
      <c r="C1648" s="36"/>
      <c r="D1648" s="91"/>
      <c r="E1648" s="80"/>
      <c r="F1648" s="80"/>
      <c r="G1648" s="91"/>
      <c r="H1648" s="91"/>
    </row>
    <row r="1649" spans="2:8">
      <c r="B1649" s="80"/>
      <c r="C1649" s="36"/>
      <c r="D1649" s="91"/>
      <c r="E1649" s="80"/>
      <c r="F1649" s="80"/>
      <c r="G1649" s="91"/>
      <c r="H1649" s="91"/>
    </row>
    <row r="1650" spans="2:8">
      <c r="B1650" s="80"/>
      <c r="C1650" s="36"/>
      <c r="D1650" s="91"/>
      <c r="E1650" s="80"/>
      <c r="F1650" s="80"/>
      <c r="G1650" s="91"/>
      <c r="H1650" s="91"/>
    </row>
    <row r="1651" spans="2:8">
      <c r="B1651" s="80"/>
      <c r="C1651" s="36"/>
      <c r="D1651" s="91"/>
      <c r="E1651" s="80"/>
      <c r="F1651" s="80"/>
      <c r="G1651" s="91"/>
      <c r="H1651" s="91"/>
    </row>
    <row r="1652" spans="2:8">
      <c r="B1652" s="80"/>
      <c r="C1652" s="36"/>
      <c r="D1652" s="91"/>
      <c r="E1652" s="80"/>
      <c r="F1652" s="80"/>
      <c r="G1652" s="91"/>
      <c r="H1652" s="91"/>
    </row>
    <row r="1653" spans="2:8">
      <c r="B1653" s="80"/>
      <c r="C1653" s="36"/>
      <c r="D1653" s="91"/>
      <c r="E1653" s="80"/>
      <c r="F1653" s="80"/>
      <c r="G1653" s="91"/>
      <c r="H1653" s="91"/>
    </row>
    <row r="1654" spans="2:8">
      <c r="B1654" s="80"/>
      <c r="C1654" s="36"/>
      <c r="D1654" s="91"/>
      <c r="E1654" s="80"/>
      <c r="F1654" s="80"/>
      <c r="G1654" s="91"/>
      <c r="H1654" s="91"/>
    </row>
    <row r="1655" spans="2:8">
      <c r="B1655" s="80"/>
      <c r="C1655" s="36"/>
      <c r="D1655" s="91"/>
      <c r="E1655" s="80"/>
      <c r="F1655" s="80"/>
      <c r="G1655" s="91"/>
      <c r="H1655" s="91"/>
    </row>
    <row r="1656" spans="2:8">
      <c r="B1656" s="80"/>
      <c r="C1656" s="36"/>
      <c r="D1656" s="91"/>
      <c r="E1656" s="80"/>
      <c r="F1656" s="80"/>
      <c r="G1656" s="91"/>
      <c r="H1656" s="91"/>
    </row>
    <row r="1657" spans="2:8">
      <c r="B1657" s="80"/>
      <c r="C1657" s="36"/>
      <c r="D1657" s="91"/>
      <c r="E1657" s="80"/>
      <c r="F1657" s="80"/>
      <c r="G1657" s="91"/>
      <c r="H1657" s="91"/>
    </row>
    <row r="1658" spans="2:8">
      <c r="B1658" s="80"/>
      <c r="C1658" s="36"/>
      <c r="D1658" s="91"/>
      <c r="E1658" s="80"/>
      <c r="F1658" s="80"/>
      <c r="G1658" s="91"/>
      <c r="H1658" s="91"/>
    </row>
    <row r="1659" spans="2:8">
      <c r="B1659" s="80"/>
      <c r="C1659" s="36"/>
      <c r="D1659" s="91"/>
      <c r="E1659" s="80"/>
      <c r="F1659" s="80"/>
      <c r="G1659" s="91"/>
      <c r="H1659" s="91"/>
    </row>
    <row r="1660" spans="2:8">
      <c r="B1660" s="80"/>
      <c r="C1660" s="36"/>
      <c r="D1660" s="91"/>
      <c r="E1660" s="80"/>
      <c r="F1660" s="80"/>
      <c r="G1660" s="91"/>
      <c r="H1660" s="91"/>
    </row>
    <row r="1661" spans="2:8">
      <c r="B1661" s="80"/>
      <c r="C1661" s="36"/>
      <c r="D1661" s="91"/>
      <c r="E1661" s="80"/>
      <c r="F1661" s="80"/>
      <c r="G1661" s="91"/>
      <c r="H1661" s="91"/>
    </row>
    <row r="1662" spans="2:8">
      <c r="B1662" s="80"/>
      <c r="C1662" s="36"/>
      <c r="D1662" s="91"/>
      <c r="E1662" s="80"/>
      <c r="F1662" s="80"/>
      <c r="G1662" s="91"/>
      <c r="H1662" s="91"/>
    </row>
    <row r="1663" spans="2:8">
      <c r="B1663" s="80"/>
      <c r="C1663" s="36"/>
      <c r="D1663" s="91"/>
      <c r="E1663" s="80"/>
      <c r="F1663" s="80"/>
      <c r="G1663" s="91"/>
      <c r="H1663" s="91"/>
    </row>
    <row r="1664" spans="2:8">
      <c r="B1664" s="80"/>
      <c r="C1664" s="36"/>
      <c r="D1664" s="91"/>
      <c r="E1664" s="80"/>
      <c r="F1664" s="80"/>
      <c r="G1664" s="91"/>
      <c r="H1664" s="91"/>
    </row>
    <row r="1665" spans="2:8">
      <c r="B1665" s="80"/>
      <c r="C1665" s="36"/>
      <c r="D1665" s="91"/>
      <c r="E1665" s="80"/>
      <c r="F1665" s="80"/>
      <c r="G1665" s="91"/>
      <c r="H1665" s="91"/>
    </row>
    <row r="1666" spans="2:8">
      <c r="B1666" s="80"/>
      <c r="C1666" s="36"/>
      <c r="D1666" s="91"/>
      <c r="E1666" s="80"/>
      <c r="F1666" s="80"/>
      <c r="G1666" s="91"/>
      <c r="H1666" s="91"/>
    </row>
    <row r="1667" spans="2:8">
      <c r="B1667" s="80"/>
      <c r="C1667" s="36"/>
      <c r="D1667" s="91"/>
      <c r="E1667" s="80"/>
      <c r="F1667" s="80"/>
      <c r="G1667" s="91"/>
      <c r="H1667" s="91"/>
    </row>
    <row r="1668" spans="2:8">
      <c r="B1668" s="80"/>
      <c r="C1668" s="36"/>
      <c r="D1668" s="91"/>
      <c r="E1668" s="80"/>
      <c r="F1668" s="80"/>
      <c r="G1668" s="91"/>
      <c r="H1668" s="91"/>
    </row>
    <row r="1669" spans="2:8">
      <c r="B1669" s="80"/>
      <c r="C1669" s="36"/>
      <c r="D1669" s="91"/>
      <c r="E1669" s="80"/>
      <c r="F1669" s="80"/>
      <c r="G1669" s="91"/>
      <c r="H1669" s="91"/>
    </row>
    <row r="1670" spans="2:8">
      <c r="B1670" s="80"/>
      <c r="C1670" s="36"/>
      <c r="D1670" s="91"/>
      <c r="E1670" s="80"/>
      <c r="F1670" s="80"/>
      <c r="G1670" s="91"/>
      <c r="H1670" s="91"/>
    </row>
    <row r="1671" spans="2:8">
      <c r="B1671" s="80"/>
      <c r="C1671" s="36"/>
      <c r="D1671" s="91"/>
      <c r="E1671" s="80"/>
      <c r="F1671" s="80"/>
      <c r="G1671" s="91"/>
      <c r="H1671" s="91"/>
    </row>
    <row r="1672" spans="2:8">
      <c r="B1672" s="80"/>
      <c r="C1672" s="36"/>
      <c r="D1672" s="91"/>
      <c r="E1672" s="80"/>
      <c r="F1672" s="80"/>
      <c r="G1672" s="91"/>
      <c r="H1672" s="91"/>
    </row>
    <row r="1673" spans="2:8">
      <c r="B1673" s="80"/>
      <c r="C1673" s="36"/>
      <c r="D1673" s="91"/>
      <c r="E1673" s="80"/>
      <c r="F1673" s="80"/>
      <c r="G1673" s="91"/>
      <c r="H1673" s="91"/>
    </row>
    <row r="1674" spans="2:8">
      <c r="B1674" s="80"/>
      <c r="C1674" s="36"/>
      <c r="D1674" s="91"/>
      <c r="E1674" s="80"/>
      <c r="F1674" s="80"/>
      <c r="G1674" s="91"/>
      <c r="H1674" s="91"/>
    </row>
    <row r="1675" spans="2:8">
      <c r="B1675" s="80"/>
      <c r="C1675" s="36"/>
      <c r="D1675" s="91"/>
      <c r="E1675" s="80"/>
      <c r="F1675" s="80"/>
      <c r="G1675" s="91"/>
      <c r="H1675" s="91"/>
    </row>
    <row r="1676" spans="2:8">
      <c r="B1676" s="80"/>
      <c r="C1676" s="36"/>
      <c r="D1676" s="91"/>
      <c r="E1676" s="80"/>
      <c r="F1676" s="80"/>
      <c r="G1676" s="91"/>
      <c r="H1676" s="91"/>
    </row>
    <row r="1677" spans="2:8">
      <c r="B1677" s="80"/>
      <c r="C1677" s="36"/>
      <c r="D1677" s="91"/>
      <c r="E1677" s="80"/>
      <c r="F1677" s="80"/>
      <c r="G1677" s="91"/>
      <c r="H1677" s="91"/>
    </row>
    <row r="1678" spans="2:8">
      <c r="B1678" s="80"/>
      <c r="C1678" s="36"/>
      <c r="D1678" s="91"/>
      <c r="E1678" s="80"/>
      <c r="F1678" s="80"/>
      <c r="G1678" s="91"/>
      <c r="H1678" s="91"/>
    </row>
    <row r="1679" spans="2:8">
      <c r="B1679" s="80"/>
      <c r="C1679" s="36"/>
      <c r="D1679" s="91"/>
      <c r="E1679" s="80"/>
      <c r="F1679" s="80"/>
      <c r="G1679" s="91"/>
      <c r="H1679" s="91"/>
    </row>
    <row r="1680" spans="2:8">
      <c r="B1680" s="80"/>
      <c r="C1680" s="36"/>
      <c r="D1680" s="91"/>
      <c r="E1680" s="80"/>
      <c r="F1680" s="80"/>
      <c r="G1680" s="91"/>
      <c r="H1680" s="91"/>
    </row>
    <row r="1681" spans="2:8">
      <c r="B1681" s="80"/>
      <c r="C1681" s="36"/>
      <c r="D1681" s="91"/>
      <c r="E1681" s="80"/>
      <c r="F1681" s="80"/>
      <c r="G1681" s="91"/>
      <c r="H1681" s="91"/>
    </row>
    <row r="1682" spans="2:8">
      <c r="B1682" s="80"/>
      <c r="C1682" s="36"/>
      <c r="D1682" s="91"/>
      <c r="E1682" s="80"/>
      <c r="F1682" s="80"/>
      <c r="G1682" s="91"/>
      <c r="H1682" s="91"/>
    </row>
    <row r="1683" spans="2:8">
      <c r="B1683" s="80"/>
      <c r="C1683" s="36"/>
      <c r="D1683" s="91"/>
      <c r="E1683" s="80"/>
      <c r="F1683" s="80"/>
      <c r="G1683" s="91"/>
      <c r="H1683" s="91"/>
    </row>
    <row r="1684" spans="2:8">
      <c r="B1684" s="80"/>
      <c r="C1684" s="36"/>
      <c r="D1684" s="91"/>
      <c r="E1684" s="80"/>
      <c r="F1684" s="80"/>
      <c r="G1684" s="91"/>
      <c r="H1684" s="91"/>
    </row>
    <row r="1685" spans="2:8">
      <c r="B1685" s="80"/>
      <c r="C1685" s="36"/>
      <c r="D1685" s="91"/>
      <c r="E1685" s="80"/>
      <c r="F1685" s="80"/>
      <c r="G1685" s="91"/>
      <c r="H1685" s="91"/>
    </row>
    <row r="1686" spans="2:8">
      <c r="B1686" s="80"/>
      <c r="C1686" s="36"/>
      <c r="D1686" s="91"/>
      <c r="E1686" s="80"/>
      <c r="F1686" s="80"/>
      <c r="G1686" s="91"/>
      <c r="H1686" s="91"/>
    </row>
    <row r="1687" spans="2:8">
      <c r="B1687" s="80"/>
      <c r="C1687" s="36"/>
      <c r="D1687" s="91"/>
      <c r="E1687" s="80"/>
      <c r="F1687" s="80"/>
      <c r="G1687" s="91"/>
      <c r="H1687" s="91"/>
    </row>
    <row r="1688" spans="2:8">
      <c r="B1688" s="80"/>
      <c r="C1688" s="36"/>
      <c r="D1688" s="91"/>
      <c r="E1688" s="80"/>
      <c r="F1688" s="80"/>
      <c r="G1688" s="91"/>
      <c r="H1688" s="91"/>
    </row>
    <row r="1689" spans="2:8">
      <c r="B1689" s="80"/>
      <c r="C1689" s="36"/>
      <c r="D1689" s="91"/>
      <c r="E1689" s="80"/>
      <c r="F1689" s="80"/>
      <c r="G1689" s="91"/>
      <c r="H1689" s="91"/>
    </row>
    <row r="1690" spans="2:8">
      <c r="B1690" s="80"/>
      <c r="C1690" s="36"/>
      <c r="D1690" s="91"/>
      <c r="E1690" s="80"/>
      <c r="F1690" s="80"/>
      <c r="G1690" s="91"/>
      <c r="H1690" s="91"/>
    </row>
    <row r="1691" spans="2:8">
      <c r="B1691" s="80"/>
      <c r="C1691" s="36"/>
      <c r="D1691" s="91"/>
      <c r="E1691" s="80"/>
      <c r="F1691" s="80"/>
      <c r="G1691" s="91"/>
      <c r="H1691" s="91"/>
    </row>
    <row r="1692" spans="2:8">
      <c r="B1692" s="80"/>
      <c r="C1692" s="36"/>
      <c r="D1692" s="91"/>
      <c r="E1692" s="80"/>
      <c r="F1692" s="80"/>
      <c r="G1692" s="91"/>
      <c r="H1692" s="91"/>
    </row>
    <row r="1693" spans="2:8">
      <c r="B1693" s="80"/>
      <c r="C1693" s="36"/>
      <c r="D1693" s="91"/>
      <c r="E1693" s="80"/>
      <c r="F1693" s="80"/>
      <c r="G1693" s="91"/>
      <c r="H1693" s="91"/>
    </row>
    <row r="1694" spans="2:8">
      <c r="B1694" s="80"/>
      <c r="C1694" s="36"/>
      <c r="D1694" s="91"/>
      <c r="E1694" s="80"/>
      <c r="F1694" s="80"/>
      <c r="G1694" s="91"/>
      <c r="H1694" s="91"/>
    </row>
    <row r="1695" spans="2:8">
      <c r="B1695" s="80"/>
      <c r="C1695" s="36"/>
      <c r="D1695" s="91"/>
      <c r="E1695" s="80"/>
      <c r="F1695" s="80"/>
      <c r="G1695" s="91"/>
      <c r="H1695" s="91"/>
    </row>
    <row r="1696" spans="2:8">
      <c r="B1696" s="80"/>
      <c r="C1696" s="36"/>
      <c r="D1696" s="91"/>
      <c r="E1696" s="80"/>
      <c r="F1696" s="80"/>
      <c r="G1696" s="91"/>
      <c r="H1696" s="91"/>
    </row>
    <row r="1697" spans="2:8">
      <c r="B1697" s="80"/>
      <c r="C1697" s="36"/>
      <c r="D1697" s="91"/>
      <c r="E1697" s="80"/>
      <c r="F1697" s="80"/>
      <c r="G1697" s="91"/>
      <c r="H1697" s="91"/>
    </row>
    <row r="1698" spans="2:8">
      <c r="B1698" s="80"/>
      <c r="C1698" s="36"/>
      <c r="D1698" s="91"/>
      <c r="E1698" s="80"/>
      <c r="F1698" s="80"/>
      <c r="G1698" s="91"/>
      <c r="H1698" s="91"/>
    </row>
    <row r="1699" spans="2:8">
      <c r="B1699" s="80"/>
      <c r="C1699" s="36"/>
      <c r="D1699" s="91"/>
      <c r="E1699" s="80"/>
      <c r="F1699" s="80"/>
      <c r="G1699" s="91"/>
      <c r="H1699" s="91"/>
    </row>
    <row r="1700" spans="2:8">
      <c r="B1700" s="80"/>
      <c r="C1700" s="36"/>
      <c r="D1700" s="91"/>
      <c r="E1700" s="80"/>
      <c r="F1700" s="80"/>
      <c r="G1700" s="91"/>
      <c r="H1700" s="91"/>
    </row>
    <row r="1701" spans="2:8">
      <c r="B1701" s="80"/>
      <c r="C1701" s="36"/>
      <c r="D1701" s="91"/>
      <c r="E1701" s="80"/>
      <c r="F1701" s="80"/>
      <c r="G1701" s="91"/>
      <c r="H1701" s="91"/>
    </row>
    <row r="1702" spans="2:8">
      <c r="B1702" s="80"/>
      <c r="C1702" s="36"/>
      <c r="D1702" s="91"/>
      <c r="E1702" s="80"/>
      <c r="F1702" s="80"/>
      <c r="G1702" s="91"/>
      <c r="H1702" s="91"/>
    </row>
    <row r="1703" spans="2:8">
      <c r="B1703" s="80"/>
      <c r="C1703" s="36"/>
      <c r="D1703" s="91"/>
      <c r="E1703" s="80"/>
      <c r="F1703" s="80"/>
      <c r="G1703" s="91"/>
      <c r="H1703" s="91"/>
    </row>
    <row r="1704" spans="2:8">
      <c r="B1704" s="80"/>
      <c r="C1704" s="36"/>
      <c r="D1704" s="91"/>
      <c r="E1704" s="80"/>
      <c r="F1704" s="80"/>
      <c r="G1704" s="91"/>
      <c r="H1704" s="91"/>
    </row>
    <row r="1705" spans="2:8">
      <c r="B1705" s="80"/>
      <c r="C1705" s="36"/>
      <c r="D1705" s="91"/>
      <c r="E1705" s="80"/>
      <c r="F1705" s="80"/>
      <c r="G1705" s="91"/>
      <c r="H1705" s="91"/>
    </row>
    <row r="1706" spans="2:8">
      <c r="B1706" s="80"/>
      <c r="C1706" s="36"/>
      <c r="D1706" s="91"/>
      <c r="E1706" s="80"/>
      <c r="F1706" s="80"/>
      <c r="G1706" s="91"/>
      <c r="H1706" s="91"/>
    </row>
    <row r="1707" spans="2:8">
      <c r="B1707" s="80"/>
      <c r="C1707" s="36"/>
      <c r="D1707" s="91"/>
      <c r="E1707" s="80"/>
      <c r="F1707" s="80"/>
      <c r="G1707" s="91"/>
      <c r="H1707" s="91"/>
    </row>
    <row r="1708" spans="2:8">
      <c r="B1708" s="80"/>
      <c r="C1708" s="36"/>
      <c r="D1708" s="91"/>
      <c r="E1708" s="80"/>
      <c r="F1708" s="80"/>
      <c r="G1708" s="91"/>
      <c r="H1708" s="91"/>
    </row>
    <row r="1709" spans="2:8">
      <c r="B1709" s="80"/>
      <c r="C1709" s="36"/>
      <c r="D1709" s="91"/>
      <c r="E1709" s="80"/>
      <c r="F1709" s="80"/>
      <c r="G1709" s="91"/>
      <c r="H1709" s="91"/>
    </row>
    <row r="1710" spans="2:8">
      <c r="B1710" s="80"/>
      <c r="C1710" s="36"/>
      <c r="D1710" s="91"/>
      <c r="E1710" s="80"/>
      <c r="F1710" s="80"/>
      <c r="G1710" s="91"/>
      <c r="H1710" s="91"/>
    </row>
    <row r="1711" spans="2:8">
      <c r="B1711" s="80"/>
      <c r="C1711" s="36"/>
      <c r="D1711" s="91"/>
      <c r="E1711" s="80"/>
      <c r="F1711" s="80"/>
      <c r="G1711" s="91"/>
      <c r="H1711" s="91"/>
    </row>
    <row r="1712" spans="2:8">
      <c r="B1712" s="80"/>
      <c r="C1712" s="36"/>
      <c r="D1712" s="91"/>
      <c r="E1712" s="80"/>
      <c r="F1712" s="80"/>
      <c r="G1712" s="91"/>
      <c r="H1712" s="91"/>
    </row>
    <row r="1713" spans="2:8">
      <c r="B1713" s="80"/>
      <c r="C1713" s="36"/>
      <c r="D1713" s="91"/>
      <c r="E1713" s="80"/>
      <c r="F1713" s="80"/>
      <c r="G1713" s="91"/>
      <c r="H1713" s="91"/>
    </row>
    <row r="1714" spans="2:8">
      <c r="B1714" s="80"/>
      <c r="C1714" s="36"/>
      <c r="D1714" s="91"/>
      <c r="E1714" s="80"/>
      <c r="F1714" s="80"/>
      <c r="G1714" s="91"/>
      <c r="H1714" s="91"/>
    </row>
    <row r="1715" spans="2:8">
      <c r="B1715" s="80"/>
      <c r="C1715" s="36"/>
      <c r="D1715" s="91"/>
      <c r="E1715" s="80"/>
      <c r="F1715" s="80"/>
      <c r="G1715" s="91"/>
      <c r="H1715" s="91"/>
    </row>
    <row r="1716" spans="2:8">
      <c r="B1716" s="80"/>
      <c r="C1716" s="36"/>
      <c r="D1716" s="91"/>
      <c r="E1716" s="80"/>
      <c r="F1716" s="80"/>
      <c r="G1716" s="91"/>
      <c r="H1716" s="91"/>
    </row>
    <row r="1717" spans="2:8">
      <c r="B1717" s="80"/>
      <c r="C1717" s="36"/>
      <c r="D1717" s="91"/>
      <c r="E1717" s="80"/>
      <c r="F1717" s="80"/>
      <c r="G1717" s="91"/>
      <c r="H1717" s="91"/>
    </row>
    <row r="1718" spans="2:8">
      <c r="B1718" s="80"/>
      <c r="C1718" s="36"/>
      <c r="D1718" s="91"/>
      <c r="E1718" s="80"/>
      <c r="F1718" s="80"/>
      <c r="G1718" s="91"/>
      <c r="H1718" s="91"/>
    </row>
    <row r="1719" spans="2:8">
      <c r="B1719" s="80"/>
      <c r="C1719" s="36"/>
      <c r="D1719" s="91"/>
      <c r="E1719" s="80"/>
      <c r="F1719" s="80"/>
      <c r="G1719" s="91"/>
      <c r="H1719" s="91"/>
    </row>
    <row r="1720" spans="2:8">
      <c r="B1720" s="80"/>
      <c r="C1720" s="36"/>
      <c r="D1720" s="91"/>
      <c r="E1720" s="80"/>
      <c r="F1720" s="80"/>
      <c r="G1720" s="91"/>
      <c r="H1720" s="91"/>
    </row>
    <row r="1721" spans="2:8">
      <c r="B1721" s="80"/>
      <c r="C1721" s="36"/>
      <c r="D1721" s="91"/>
      <c r="E1721" s="80"/>
      <c r="F1721" s="80"/>
      <c r="G1721" s="91"/>
      <c r="H1721" s="91"/>
    </row>
    <row r="1722" spans="2:8">
      <c r="B1722" s="80"/>
      <c r="C1722" s="36"/>
      <c r="D1722" s="91"/>
      <c r="E1722" s="80"/>
      <c r="F1722" s="80"/>
      <c r="G1722" s="91"/>
      <c r="H1722" s="91"/>
    </row>
    <row r="1723" spans="2:8">
      <c r="B1723" s="80"/>
      <c r="C1723" s="36"/>
      <c r="D1723" s="91"/>
      <c r="E1723" s="80"/>
      <c r="F1723" s="80"/>
      <c r="G1723" s="91"/>
      <c r="H1723" s="91"/>
    </row>
    <row r="1724" spans="2:8">
      <c r="B1724" s="80"/>
      <c r="C1724" s="36"/>
      <c r="D1724" s="91"/>
      <c r="E1724" s="80"/>
      <c r="F1724" s="80"/>
      <c r="G1724" s="91"/>
      <c r="H1724" s="91"/>
    </row>
    <row r="1725" spans="2:8">
      <c r="B1725" s="80"/>
      <c r="C1725" s="36"/>
      <c r="D1725" s="91"/>
      <c r="E1725" s="80"/>
      <c r="F1725" s="80"/>
      <c r="G1725" s="91"/>
      <c r="H1725" s="91"/>
    </row>
    <row r="1726" spans="2:8">
      <c r="B1726" s="80"/>
      <c r="C1726" s="36"/>
      <c r="D1726" s="91"/>
      <c r="E1726" s="80"/>
      <c r="F1726" s="80"/>
      <c r="G1726" s="91"/>
      <c r="H1726" s="91"/>
    </row>
    <row r="1727" spans="2:8">
      <c r="B1727" s="80"/>
      <c r="C1727" s="36"/>
      <c r="D1727" s="91"/>
      <c r="E1727" s="80"/>
      <c r="F1727" s="80"/>
      <c r="G1727" s="91"/>
      <c r="H1727" s="91"/>
    </row>
    <row r="1728" spans="2:8">
      <c r="B1728" s="80"/>
      <c r="C1728" s="36"/>
      <c r="D1728" s="91"/>
      <c r="E1728" s="80"/>
      <c r="F1728" s="80"/>
      <c r="G1728" s="91"/>
      <c r="H1728" s="91"/>
    </row>
    <row r="1729" spans="2:8">
      <c r="B1729" s="80"/>
      <c r="C1729" s="36"/>
      <c r="D1729" s="91"/>
      <c r="E1729" s="80"/>
      <c r="F1729" s="80"/>
      <c r="G1729" s="91"/>
      <c r="H1729" s="91"/>
    </row>
    <row r="1730" spans="2:8">
      <c r="B1730" s="80"/>
      <c r="C1730" s="36"/>
      <c r="D1730" s="91"/>
      <c r="E1730" s="80"/>
      <c r="F1730" s="80"/>
      <c r="G1730" s="91"/>
      <c r="H1730" s="91"/>
    </row>
    <row r="1731" spans="2:8">
      <c r="B1731" s="80"/>
      <c r="C1731" s="36"/>
      <c r="D1731" s="91"/>
      <c r="E1731" s="80"/>
      <c r="F1731" s="80"/>
      <c r="G1731" s="91"/>
      <c r="H1731" s="91"/>
    </row>
    <row r="1732" spans="2:8">
      <c r="B1732" s="80"/>
      <c r="C1732" s="36"/>
      <c r="D1732" s="91"/>
      <c r="E1732" s="80"/>
      <c r="F1732" s="80"/>
      <c r="G1732" s="91"/>
      <c r="H1732" s="91"/>
    </row>
    <row r="1733" spans="2:8">
      <c r="B1733" s="80"/>
      <c r="C1733" s="36"/>
      <c r="D1733" s="91"/>
      <c r="E1733" s="80"/>
      <c r="F1733" s="80"/>
      <c r="G1733" s="91"/>
      <c r="H1733" s="91"/>
    </row>
    <row r="1734" spans="2:8">
      <c r="B1734" s="80"/>
      <c r="C1734" s="36"/>
      <c r="D1734" s="91"/>
      <c r="E1734" s="80"/>
      <c r="F1734" s="80"/>
      <c r="G1734" s="91"/>
      <c r="H1734" s="91"/>
    </row>
    <row r="1735" spans="2:8">
      <c r="B1735" s="80"/>
      <c r="C1735" s="36"/>
      <c r="D1735" s="91"/>
      <c r="E1735" s="80"/>
      <c r="F1735" s="80"/>
      <c r="G1735" s="91"/>
      <c r="H1735" s="91"/>
    </row>
    <row r="1736" spans="2:8">
      <c r="B1736" s="80"/>
      <c r="C1736" s="36"/>
      <c r="D1736" s="91"/>
      <c r="E1736" s="80"/>
      <c r="F1736" s="80"/>
      <c r="G1736" s="91"/>
      <c r="H1736" s="91"/>
    </row>
    <row r="1737" spans="2:8">
      <c r="B1737" s="80"/>
      <c r="C1737" s="36"/>
      <c r="D1737" s="91"/>
      <c r="E1737" s="80"/>
      <c r="F1737" s="80"/>
      <c r="G1737" s="91"/>
      <c r="H1737" s="91"/>
    </row>
    <row r="1738" spans="2:8">
      <c r="B1738" s="80"/>
      <c r="C1738" s="36"/>
      <c r="D1738" s="91"/>
      <c r="E1738" s="80"/>
      <c r="F1738" s="80"/>
      <c r="G1738" s="91"/>
      <c r="H1738" s="91"/>
    </row>
    <row r="1739" spans="2:8">
      <c r="B1739" s="80"/>
      <c r="C1739" s="36"/>
      <c r="D1739" s="91"/>
      <c r="E1739" s="80"/>
      <c r="F1739" s="80"/>
      <c r="G1739" s="91"/>
      <c r="H1739" s="91"/>
    </row>
    <row r="1740" spans="2:8">
      <c r="B1740" s="80"/>
      <c r="C1740" s="36"/>
      <c r="D1740" s="91"/>
      <c r="E1740" s="80"/>
      <c r="F1740" s="80"/>
      <c r="G1740" s="91"/>
      <c r="H1740" s="91"/>
    </row>
    <row r="1741" spans="2:8">
      <c r="B1741" s="80"/>
      <c r="C1741" s="36"/>
      <c r="D1741" s="91"/>
      <c r="E1741" s="80"/>
      <c r="F1741" s="80"/>
      <c r="G1741" s="91"/>
      <c r="H1741" s="91"/>
    </row>
    <row r="1742" spans="2:8">
      <c r="B1742" s="80"/>
      <c r="C1742" s="36"/>
      <c r="D1742" s="91"/>
      <c r="E1742" s="80"/>
      <c r="F1742" s="80"/>
      <c r="G1742" s="91"/>
      <c r="H1742" s="91"/>
    </row>
    <row r="1743" spans="2:8">
      <c r="B1743" s="80"/>
      <c r="C1743" s="36"/>
      <c r="D1743" s="91"/>
      <c r="E1743" s="80"/>
      <c r="F1743" s="80"/>
      <c r="G1743" s="91"/>
      <c r="H1743" s="91"/>
    </row>
    <row r="1744" spans="2:8">
      <c r="B1744" s="80"/>
      <c r="C1744" s="36"/>
      <c r="D1744" s="91"/>
      <c r="E1744" s="80"/>
      <c r="F1744" s="80"/>
      <c r="G1744" s="91"/>
      <c r="H1744" s="91"/>
    </row>
    <row r="1745" spans="2:8">
      <c r="B1745" s="80"/>
      <c r="C1745" s="36"/>
      <c r="D1745" s="91"/>
      <c r="E1745" s="80"/>
      <c r="F1745" s="80"/>
      <c r="G1745" s="91"/>
      <c r="H1745" s="91"/>
    </row>
    <row r="1746" spans="2:8">
      <c r="B1746" s="80"/>
      <c r="C1746" s="36"/>
      <c r="D1746" s="91"/>
      <c r="E1746" s="80"/>
      <c r="F1746" s="80"/>
      <c r="G1746" s="91"/>
      <c r="H1746" s="91"/>
    </row>
    <row r="1747" spans="2:8">
      <c r="B1747" s="80"/>
      <c r="C1747" s="36"/>
      <c r="D1747" s="91"/>
      <c r="E1747" s="80"/>
      <c r="F1747" s="80"/>
      <c r="G1747" s="91"/>
      <c r="H1747" s="91"/>
    </row>
    <row r="1748" spans="2:8">
      <c r="B1748" s="80"/>
      <c r="C1748" s="36"/>
      <c r="D1748" s="91"/>
      <c r="E1748" s="80"/>
      <c r="F1748" s="80"/>
      <c r="G1748" s="91"/>
      <c r="H1748" s="91"/>
    </row>
    <row r="1749" spans="2:8">
      <c r="B1749" s="80"/>
      <c r="C1749" s="36"/>
      <c r="D1749" s="91"/>
      <c r="E1749" s="80"/>
      <c r="F1749" s="80"/>
      <c r="G1749" s="91"/>
      <c r="H1749" s="91"/>
    </row>
    <row r="1750" spans="2:8">
      <c r="B1750" s="80"/>
      <c r="C1750" s="36"/>
      <c r="D1750" s="91"/>
      <c r="E1750" s="80"/>
      <c r="F1750" s="80"/>
      <c r="G1750" s="91"/>
      <c r="H1750" s="91"/>
    </row>
    <row r="1751" spans="2:8">
      <c r="B1751" s="80"/>
      <c r="C1751" s="36"/>
      <c r="D1751" s="91"/>
      <c r="E1751" s="80"/>
      <c r="F1751" s="80"/>
      <c r="G1751" s="91"/>
      <c r="H1751" s="91"/>
    </row>
    <row r="1752" spans="2:8">
      <c r="B1752" s="80"/>
      <c r="C1752" s="36"/>
      <c r="D1752" s="91"/>
      <c r="E1752" s="80"/>
      <c r="F1752" s="80"/>
      <c r="G1752" s="91"/>
      <c r="H1752" s="91"/>
    </row>
    <row r="1753" spans="2:8">
      <c r="B1753" s="80"/>
      <c r="C1753" s="36"/>
      <c r="D1753" s="91"/>
      <c r="E1753" s="80"/>
      <c r="F1753" s="80"/>
      <c r="G1753" s="91"/>
      <c r="H1753" s="91"/>
    </row>
    <row r="1754" spans="2:8">
      <c r="B1754" s="80"/>
      <c r="C1754" s="36"/>
      <c r="D1754" s="91"/>
      <c r="E1754" s="80"/>
      <c r="F1754" s="80"/>
      <c r="G1754" s="91"/>
      <c r="H1754" s="91"/>
    </row>
    <row r="1755" spans="2:8">
      <c r="B1755" s="80"/>
      <c r="C1755" s="36"/>
      <c r="D1755" s="91"/>
      <c r="E1755" s="80"/>
      <c r="F1755" s="80"/>
      <c r="G1755" s="91"/>
      <c r="H1755" s="91"/>
    </row>
    <row r="1756" spans="2:8">
      <c r="B1756" s="80"/>
      <c r="C1756" s="36"/>
      <c r="D1756" s="91"/>
      <c r="E1756" s="80"/>
      <c r="F1756" s="80"/>
      <c r="G1756" s="91"/>
      <c r="H1756" s="91"/>
    </row>
    <row r="1757" spans="2:8">
      <c r="B1757" s="80"/>
      <c r="C1757" s="36"/>
      <c r="D1757" s="91"/>
      <c r="E1757" s="80"/>
      <c r="F1757" s="80"/>
      <c r="G1757" s="91"/>
      <c r="H1757" s="91"/>
    </row>
    <row r="1758" spans="2:8">
      <c r="B1758" s="80"/>
      <c r="C1758" s="36"/>
      <c r="D1758" s="91"/>
      <c r="E1758" s="80"/>
      <c r="F1758" s="80"/>
      <c r="G1758" s="91"/>
      <c r="H1758" s="91"/>
    </row>
    <row r="1759" spans="2:8">
      <c r="B1759" s="80"/>
      <c r="C1759" s="36"/>
      <c r="D1759" s="91"/>
      <c r="E1759" s="80"/>
      <c r="F1759" s="80"/>
      <c r="G1759" s="91"/>
      <c r="H1759" s="91"/>
    </row>
    <row r="1760" spans="2:8">
      <c r="B1760" s="80"/>
      <c r="C1760" s="36"/>
      <c r="D1760" s="91"/>
      <c r="E1760" s="80"/>
      <c r="F1760" s="80"/>
      <c r="G1760" s="91"/>
      <c r="H1760" s="91"/>
    </row>
    <row r="1761" spans="2:8">
      <c r="B1761" s="80"/>
      <c r="C1761" s="36"/>
      <c r="D1761" s="91"/>
      <c r="E1761" s="80"/>
      <c r="F1761" s="80"/>
      <c r="G1761" s="91"/>
      <c r="H1761" s="91"/>
    </row>
    <row r="1762" spans="2:8">
      <c r="B1762" s="80"/>
      <c r="C1762" s="36"/>
      <c r="D1762" s="91"/>
      <c r="E1762" s="80"/>
      <c r="F1762" s="80"/>
      <c r="G1762" s="91"/>
      <c r="H1762" s="91"/>
    </row>
    <row r="1763" spans="2:8">
      <c r="B1763" s="80"/>
      <c r="C1763" s="36"/>
      <c r="D1763" s="91"/>
      <c r="E1763" s="80"/>
      <c r="F1763" s="80"/>
      <c r="G1763" s="91"/>
      <c r="H1763" s="91"/>
    </row>
    <row r="1764" spans="2:8">
      <c r="B1764" s="80"/>
      <c r="C1764" s="36"/>
      <c r="D1764" s="91"/>
      <c r="E1764" s="80"/>
      <c r="F1764" s="80"/>
      <c r="G1764" s="91"/>
      <c r="H1764" s="91"/>
    </row>
    <row r="1765" spans="2:8">
      <c r="B1765" s="80"/>
      <c r="C1765" s="36"/>
      <c r="D1765" s="91"/>
      <c r="E1765" s="80"/>
      <c r="F1765" s="80"/>
      <c r="G1765" s="91"/>
      <c r="H1765" s="91"/>
    </row>
    <row r="1766" spans="2:8">
      <c r="B1766" s="80"/>
      <c r="C1766" s="36"/>
      <c r="D1766" s="91"/>
      <c r="E1766" s="80"/>
      <c r="F1766" s="80"/>
      <c r="G1766" s="91"/>
      <c r="H1766" s="91"/>
    </row>
    <row r="1767" spans="2:8">
      <c r="B1767" s="80"/>
      <c r="C1767" s="36"/>
      <c r="D1767" s="91"/>
      <c r="E1767" s="80"/>
      <c r="F1767" s="80"/>
      <c r="G1767" s="91"/>
      <c r="H1767" s="91"/>
    </row>
    <row r="1768" spans="2:8">
      <c r="B1768" s="80"/>
      <c r="C1768" s="36"/>
      <c r="D1768" s="91"/>
      <c r="E1768" s="80"/>
      <c r="F1768" s="80"/>
      <c r="G1768" s="91"/>
      <c r="H1768" s="91"/>
    </row>
    <row r="1769" spans="2:8">
      <c r="B1769" s="80"/>
      <c r="C1769" s="36"/>
      <c r="D1769" s="91"/>
      <c r="E1769" s="80"/>
      <c r="F1769" s="80"/>
      <c r="G1769" s="91"/>
      <c r="H1769" s="91"/>
    </row>
    <row r="1770" spans="2:8">
      <c r="B1770" s="80"/>
      <c r="C1770" s="36"/>
      <c r="D1770" s="91"/>
      <c r="E1770" s="80"/>
      <c r="F1770" s="80"/>
      <c r="G1770" s="91"/>
      <c r="H1770" s="91"/>
    </row>
    <row r="1771" spans="2:8">
      <c r="B1771" s="80"/>
      <c r="C1771" s="36"/>
      <c r="D1771" s="91"/>
      <c r="E1771" s="80"/>
      <c r="F1771" s="80"/>
      <c r="G1771" s="91"/>
      <c r="H1771" s="91"/>
    </row>
    <row r="1772" spans="2:8">
      <c r="B1772" s="80"/>
      <c r="C1772" s="36"/>
      <c r="D1772" s="91"/>
      <c r="E1772" s="80"/>
      <c r="F1772" s="80"/>
      <c r="G1772" s="91"/>
      <c r="H1772" s="91"/>
    </row>
    <row r="1773" spans="2:8">
      <c r="B1773" s="80"/>
      <c r="C1773" s="36"/>
      <c r="D1773" s="91"/>
      <c r="E1773" s="80"/>
      <c r="F1773" s="80"/>
      <c r="G1773" s="91"/>
      <c r="H1773" s="91"/>
    </row>
    <row r="1774" spans="2:8">
      <c r="B1774" s="80"/>
      <c r="C1774" s="36"/>
      <c r="D1774" s="91"/>
      <c r="E1774" s="80"/>
      <c r="F1774" s="80"/>
      <c r="G1774" s="91"/>
      <c r="H1774" s="91"/>
    </row>
    <row r="1775" spans="2:8">
      <c r="B1775" s="80"/>
      <c r="C1775" s="36"/>
      <c r="D1775" s="91"/>
      <c r="E1775" s="80"/>
      <c r="F1775" s="80"/>
      <c r="G1775" s="91"/>
      <c r="H1775" s="91"/>
    </row>
    <row r="1776" spans="2:8">
      <c r="B1776" s="80"/>
      <c r="C1776" s="36"/>
      <c r="D1776" s="91"/>
      <c r="E1776" s="80"/>
      <c r="F1776" s="80"/>
      <c r="G1776" s="91"/>
      <c r="H1776" s="91"/>
    </row>
    <row r="1777" spans="2:8">
      <c r="B1777" s="80"/>
      <c r="C1777" s="36"/>
      <c r="D1777" s="91"/>
      <c r="E1777" s="80"/>
      <c r="F1777" s="80"/>
      <c r="G1777" s="91"/>
      <c r="H1777" s="91"/>
    </row>
    <row r="1778" spans="2:8">
      <c r="B1778" s="80"/>
      <c r="C1778" s="36"/>
      <c r="D1778" s="91"/>
      <c r="E1778" s="80"/>
      <c r="F1778" s="80"/>
      <c r="G1778" s="91"/>
      <c r="H1778" s="91"/>
    </row>
    <row r="1779" spans="2:8">
      <c r="B1779" s="80"/>
      <c r="C1779" s="36"/>
      <c r="D1779" s="91"/>
      <c r="E1779" s="80"/>
      <c r="F1779" s="80"/>
      <c r="G1779" s="91"/>
      <c r="H1779" s="91"/>
    </row>
    <row r="1780" spans="2:8">
      <c r="B1780" s="80"/>
      <c r="C1780" s="36"/>
      <c r="D1780" s="91"/>
      <c r="E1780" s="80"/>
      <c r="F1780" s="80"/>
      <c r="G1780" s="91"/>
      <c r="H1780" s="91"/>
    </row>
    <row r="1781" spans="2:8">
      <c r="B1781" s="80"/>
      <c r="C1781" s="36"/>
      <c r="D1781" s="91"/>
      <c r="E1781" s="80"/>
      <c r="F1781" s="80"/>
      <c r="G1781" s="91"/>
      <c r="H1781" s="91"/>
    </row>
    <row r="1782" spans="2:8">
      <c r="B1782" s="80"/>
      <c r="C1782" s="36"/>
      <c r="D1782" s="91"/>
      <c r="E1782" s="80"/>
      <c r="F1782" s="80"/>
      <c r="G1782" s="91"/>
      <c r="H1782" s="91"/>
    </row>
    <row r="1783" spans="2:8">
      <c r="B1783" s="80"/>
      <c r="C1783" s="36"/>
      <c r="D1783" s="91"/>
      <c r="E1783" s="80"/>
      <c r="F1783" s="80"/>
      <c r="G1783" s="91"/>
      <c r="H1783" s="91"/>
    </row>
    <row r="1784" spans="2:8">
      <c r="B1784" s="80"/>
      <c r="C1784" s="36"/>
      <c r="D1784" s="91"/>
      <c r="E1784" s="80"/>
      <c r="F1784" s="80"/>
      <c r="G1784" s="91"/>
      <c r="H1784" s="91"/>
    </row>
    <row r="1785" spans="2:8">
      <c r="B1785" s="80"/>
      <c r="C1785" s="36"/>
      <c r="D1785" s="91"/>
      <c r="E1785" s="80"/>
      <c r="F1785" s="80"/>
      <c r="G1785" s="91"/>
      <c r="H1785" s="91"/>
    </row>
    <row r="1786" spans="2:8">
      <c r="B1786" s="80"/>
      <c r="C1786" s="36"/>
      <c r="D1786" s="91"/>
      <c r="E1786" s="80"/>
      <c r="F1786" s="80"/>
      <c r="G1786" s="91"/>
      <c r="H1786" s="91"/>
    </row>
    <row r="1787" spans="2:8">
      <c r="B1787" s="80"/>
      <c r="C1787" s="36"/>
      <c r="D1787" s="91"/>
      <c r="E1787" s="80"/>
      <c r="F1787" s="80"/>
      <c r="G1787" s="91"/>
      <c r="H1787" s="91"/>
    </row>
    <row r="1788" spans="2:8">
      <c r="B1788" s="80"/>
      <c r="C1788" s="36"/>
      <c r="D1788" s="91"/>
      <c r="E1788" s="80"/>
      <c r="F1788" s="80"/>
      <c r="G1788" s="91"/>
      <c r="H1788" s="91"/>
    </row>
    <row r="1789" spans="2:8">
      <c r="B1789" s="80"/>
      <c r="C1789" s="36"/>
      <c r="D1789" s="91"/>
      <c r="E1789" s="80"/>
      <c r="F1789" s="80"/>
      <c r="G1789" s="91"/>
      <c r="H1789" s="91"/>
    </row>
    <row r="1790" spans="2:8">
      <c r="B1790" s="80"/>
      <c r="C1790" s="36"/>
      <c r="D1790" s="91"/>
      <c r="E1790" s="80"/>
      <c r="F1790" s="80"/>
      <c r="G1790" s="91"/>
      <c r="H1790" s="91"/>
    </row>
    <row r="1791" spans="2:8">
      <c r="B1791" s="80"/>
      <c r="C1791" s="36"/>
      <c r="D1791" s="91"/>
      <c r="E1791" s="80"/>
      <c r="F1791" s="80"/>
      <c r="G1791" s="91"/>
      <c r="H1791" s="91"/>
    </row>
    <row r="1792" spans="2:8">
      <c r="B1792" s="80"/>
      <c r="C1792" s="36"/>
      <c r="D1792" s="91"/>
      <c r="E1792" s="80"/>
      <c r="F1792" s="80"/>
      <c r="G1792" s="91"/>
      <c r="H1792" s="91"/>
    </row>
    <row r="1793" spans="2:8">
      <c r="B1793" s="80"/>
      <c r="C1793" s="36"/>
      <c r="D1793" s="91"/>
      <c r="E1793" s="80"/>
      <c r="F1793" s="80"/>
      <c r="G1793" s="91"/>
      <c r="H1793" s="91"/>
    </row>
    <row r="1794" spans="2:8">
      <c r="B1794" s="80"/>
      <c r="C1794" s="36"/>
      <c r="D1794" s="91"/>
      <c r="E1794" s="80"/>
      <c r="F1794" s="80"/>
      <c r="G1794" s="91"/>
      <c r="H1794" s="91"/>
    </row>
    <row r="1795" spans="2:8">
      <c r="B1795" s="80"/>
      <c r="C1795" s="36"/>
      <c r="D1795" s="91"/>
      <c r="E1795" s="80"/>
      <c r="F1795" s="80"/>
      <c r="G1795" s="91"/>
      <c r="H1795" s="91"/>
    </row>
    <row r="1796" spans="2:8">
      <c r="B1796" s="80"/>
      <c r="C1796" s="36"/>
      <c r="D1796" s="91"/>
      <c r="E1796" s="80"/>
      <c r="F1796" s="80"/>
      <c r="G1796" s="91"/>
      <c r="H1796" s="91"/>
    </row>
    <row r="1797" spans="2:8">
      <c r="B1797" s="80"/>
      <c r="C1797" s="36"/>
      <c r="D1797" s="91"/>
      <c r="E1797" s="80"/>
      <c r="F1797" s="80"/>
      <c r="G1797" s="91"/>
      <c r="H1797" s="91"/>
    </row>
    <row r="1798" spans="2:8">
      <c r="B1798" s="80"/>
      <c r="C1798" s="36"/>
      <c r="D1798" s="91"/>
      <c r="E1798" s="80"/>
      <c r="F1798" s="80"/>
      <c r="G1798" s="91"/>
      <c r="H1798" s="91"/>
    </row>
    <row r="1799" spans="2:8">
      <c r="B1799" s="80"/>
      <c r="C1799" s="36"/>
      <c r="D1799" s="91"/>
      <c r="E1799" s="80"/>
      <c r="F1799" s="80"/>
      <c r="G1799" s="91"/>
      <c r="H1799" s="91"/>
    </row>
    <row r="1800" spans="2:8">
      <c r="B1800" s="80"/>
      <c r="C1800" s="36"/>
      <c r="D1800" s="91"/>
      <c r="E1800" s="80"/>
      <c r="F1800" s="80"/>
      <c r="G1800" s="91"/>
      <c r="H1800" s="91"/>
    </row>
    <row r="1801" spans="2:8">
      <c r="B1801" s="80"/>
      <c r="C1801" s="36"/>
      <c r="D1801" s="91"/>
      <c r="E1801" s="80"/>
      <c r="F1801" s="80"/>
      <c r="G1801" s="91"/>
      <c r="H1801" s="91"/>
    </row>
    <row r="1802" spans="2:8">
      <c r="B1802" s="80"/>
      <c r="C1802" s="36"/>
      <c r="D1802" s="91"/>
      <c r="E1802" s="80"/>
      <c r="F1802" s="80"/>
      <c r="G1802" s="91"/>
      <c r="H1802" s="91"/>
    </row>
    <row r="1803" spans="2:8">
      <c r="B1803" s="80"/>
      <c r="C1803" s="36"/>
      <c r="D1803" s="91"/>
      <c r="E1803" s="80"/>
      <c r="F1803" s="80"/>
      <c r="G1803" s="91"/>
      <c r="H1803" s="91"/>
    </row>
    <row r="1804" spans="2:8">
      <c r="B1804" s="80"/>
      <c r="C1804" s="36"/>
      <c r="D1804" s="91"/>
      <c r="E1804" s="80"/>
      <c r="F1804" s="80"/>
      <c r="G1804" s="91"/>
      <c r="H1804" s="91"/>
    </row>
    <row r="1805" spans="2:8">
      <c r="B1805" s="80"/>
      <c r="C1805" s="36"/>
      <c r="D1805" s="91"/>
      <c r="E1805" s="80"/>
      <c r="F1805" s="80"/>
      <c r="G1805" s="91"/>
      <c r="H1805" s="91"/>
    </row>
    <row r="1806" spans="2:8">
      <c r="B1806" s="80"/>
      <c r="C1806" s="36"/>
      <c r="D1806" s="91"/>
      <c r="E1806" s="80"/>
      <c r="F1806" s="80"/>
      <c r="G1806" s="91"/>
      <c r="H1806" s="91"/>
    </row>
    <row r="1807" spans="2:8">
      <c r="B1807" s="80"/>
      <c r="C1807" s="36"/>
      <c r="D1807" s="91"/>
      <c r="E1807" s="80"/>
      <c r="F1807" s="80"/>
      <c r="G1807" s="91"/>
      <c r="H1807" s="91"/>
    </row>
    <row r="1808" spans="2:8">
      <c r="B1808" s="80"/>
      <c r="C1808" s="36"/>
      <c r="D1808" s="91"/>
      <c r="E1808" s="80"/>
      <c r="F1808" s="80"/>
      <c r="G1808" s="91"/>
      <c r="H1808" s="91"/>
    </row>
    <row r="1809" spans="2:8">
      <c r="B1809" s="80"/>
      <c r="C1809" s="36"/>
      <c r="D1809" s="91"/>
      <c r="E1809" s="80"/>
      <c r="F1809" s="80"/>
      <c r="G1809" s="91"/>
      <c r="H1809" s="91"/>
    </row>
    <row r="1810" spans="2:8">
      <c r="B1810" s="80"/>
      <c r="C1810" s="36"/>
      <c r="D1810" s="91"/>
      <c r="E1810" s="80"/>
      <c r="F1810" s="80"/>
      <c r="G1810" s="91"/>
      <c r="H1810" s="91"/>
    </row>
    <row r="1811" spans="2:8">
      <c r="B1811" s="80"/>
      <c r="C1811" s="36"/>
      <c r="D1811" s="91"/>
      <c r="E1811" s="80"/>
      <c r="F1811" s="80"/>
      <c r="G1811" s="91"/>
      <c r="H1811" s="91"/>
    </row>
    <row r="1812" spans="2:8">
      <c r="B1812" s="80"/>
      <c r="C1812" s="36"/>
      <c r="D1812" s="91"/>
      <c r="E1812" s="80"/>
      <c r="F1812" s="80"/>
      <c r="G1812" s="91"/>
      <c r="H1812" s="91"/>
    </row>
    <row r="1813" spans="2:8">
      <c r="B1813" s="80"/>
      <c r="C1813" s="36"/>
      <c r="D1813" s="91"/>
      <c r="E1813" s="80"/>
      <c r="F1813" s="80"/>
      <c r="G1813" s="91"/>
      <c r="H1813" s="91"/>
    </row>
    <row r="1814" spans="2:8">
      <c r="B1814" s="80"/>
      <c r="C1814" s="36"/>
      <c r="D1814" s="91"/>
      <c r="E1814" s="80"/>
      <c r="F1814" s="80"/>
      <c r="G1814" s="91"/>
      <c r="H1814" s="91"/>
    </row>
    <row r="1815" spans="2:8">
      <c r="B1815" s="80"/>
      <c r="C1815" s="36"/>
      <c r="D1815" s="91"/>
      <c r="E1815" s="80"/>
      <c r="F1815" s="80"/>
      <c r="G1815" s="91"/>
      <c r="H1815" s="91"/>
    </row>
    <row r="1816" spans="2:8">
      <c r="B1816" s="80"/>
      <c r="C1816" s="36"/>
      <c r="D1816" s="91"/>
      <c r="E1816" s="80"/>
      <c r="F1816" s="80"/>
      <c r="G1816" s="91"/>
      <c r="H1816" s="91"/>
    </row>
    <row r="1817" spans="2:8">
      <c r="B1817" s="80"/>
      <c r="C1817" s="36"/>
      <c r="D1817" s="91"/>
      <c r="E1817" s="80"/>
      <c r="F1817" s="80"/>
      <c r="G1817" s="91"/>
      <c r="H1817" s="91"/>
    </row>
    <row r="1818" spans="2:8">
      <c r="B1818" s="80"/>
      <c r="C1818" s="36"/>
      <c r="D1818" s="91"/>
      <c r="E1818" s="80"/>
      <c r="F1818" s="80"/>
      <c r="G1818" s="91"/>
      <c r="H1818" s="91"/>
    </row>
    <row r="1819" spans="2:8">
      <c r="B1819" s="80"/>
      <c r="C1819" s="36"/>
      <c r="D1819" s="91"/>
      <c r="E1819" s="80"/>
      <c r="F1819" s="80"/>
      <c r="G1819" s="91"/>
      <c r="H1819" s="91"/>
    </row>
    <row r="1820" spans="2:8">
      <c r="B1820" s="80"/>
      <c r="C1820" s="36"/>
      <c r="D1820" s="91"/>
      <c r="E1820" s="80"/>
      <c r="F1820" s="80"/>
      <c r="G1820" s="91"/>
      <c r="H1820" s="91"/>
    </row>
    <row r="1821" spans="2:8">
      <c r="B1821" s="80"/>
      <c r="C1821" s="36"/>
      <c r="D1821" s="91"/>
      <c r="E1821" s="80"/>
      <c r="F1821" s="80"/>
      <c r="G1821" s="91"/>
      <c r="H1821" s="91"/>
    </row>
    <row r="1822" spans="2:8">
      <c r="B1822" s="80"/>
      <c r="C1822" s="36"/>
      <c r="D1822" s="91"/>
      <c r="E1822" s="80"/>
      <c r="F1822" s="80"/>
      <c r="G1822" s="91"/>
      <c r="H1822" s="91"/>
    </row>
    <row r="1823" spans="2:8">
      <c r="B1823" s="80"/>
      <c r="C1823" s="36"/>
      <c r="D1823" s="91"/>
      <c r="E1823" s="80"/>
      <c r="F1823" s="80"/>
      <c r="G1823" s="91"/>
      <c r="H1823" s="91"/>
    </row>
    <row r="1824" spans="2:8">
      <c r="B1824" s="80"/>
      <c r="C1824" s="36"/>
      <c r="D1824" s="91"/>
      <c r="E1824" s="80"/>
      <c r="F1824" s="80"/>
      <c r="G1824" s="91"/>
      <c r="H1824" s="91"/>
    </row>
    <row r="1825" spans="2:8">
      <c r="B1825" s="80"/>
      <c r="C1825" s="36"/>
      <c r="D1825" s="91"/>
      <c r="E1825" s="80"/>
      <c r="F1825" s="80"/>
      <c r="G1825" s="91"/>
      <c r="H1825" s="91"/>
    </row>
    <row r="1826" spans="2:8">
      <c r="B1826" s="80"/>
      <c r="C1826" s="36"/>
      <c r="D1826" s="91"/>
      <c r="E1826" s="80"/>
      <c r="F1826" s="80"/>
      <c r="G1826" s="91"/>
      <c r="H1826" s="91"/>
    </row>
    <row r="1827" spans="2:8">
      <c r="B1827" s="80"/>
      <c r="C1827" s="36"/>
      <c r="D1827" s="91"/>
      <c r="E1827" s="80"/>
      <c r="F1827" s="80"/>
      <c r="G1827" s="91"/>
      <c r="H1827" s="91"/>
    </row>
    <row r="1828" spans="2:8">
      <c r="B1828" s="80"/>
      <c r="C1828" s="36"/>
      <c r="D1828" s="91"/>
      <c r="E1828" s="80"/>
      <c r="F1828" s="80"/>
      <c r="G1828" s="91"/>
      <c r="H1828" s="91"/>
    </row>
    <row r="1829" spans="2:8">
      <c r="B1829" s="80"/>
      <c r="C1829" s="36"/>
      <c r="D1829" s="91"/>
      <c r="E1829" s="80"/>
      <c r="F1829" s="80"/>
      <c r="G1829" s="91"/>
      <c r="H1829" s="91"/>
    </row>
    <row r="1830" spans="2:8">
      <c r="B1830" s="80"/>
      <c r="C1830" s="36"/>
      <c r="D1830" s="91"/>
      <c r="E1830" s="80"/>
      <c r="F1830" s="80"/>
      <c r="G1830" s="91"/>
      <c r="H1830" s="91"/>
    </row>
    <row r="1831" spans="2:8">
      <c r="B1831" s="80"/>
      <c r="C1831" s="36"/>
      <c r="D1831" s="91"/>
      <c r="E1831" s="80"/>
      <c r="F1831" s="80"/>
      <c r="G1831" s="91"/>
      <c r="H1831" s="91"/>
    </row>
    <row r="1832" spans="2:8">
      <c r="B1832" s="80"/>
      <c r="C1832" s="36"/>
      <c r="D1832" s="91"/>
      <c r="E1832" s="80"/>
      <c r="F1832" s="80"/>
      <c r="G1832" s="91"/>
      <c r="H1832" s="91"/>
    </row>
    <row r="1833" spans="2:8">
      <c r="B1833" s="80"/>
      <c r="C1833" s="36"/>
      <c r="D1833" s="91"/>
      <c r="E1833" s="80"/>
      <c r="F1833" s="80"/>
      <c r="G1833" s="91"/>
      <c r="H1833" s="91"/>
    </row>
    <row r="1834" spans="2:8">
      <c r="B1834" s="80"/>
      <c r="C1834" s="36"/>
      <c r="D1834" s="91"/>
      <c r="E1834" s="80"/>
      <c r="F1834" s="80"/>
      <c r="G1834" s="91"/>
      <c r="H1834" s="91"/>
    </row>
    <row r="1835" spans="2:8">
      <c r="B1835" s="80"/>
      <c r="C1835" s="36"/>
      <c r="D1835" s="91"/>
      <c r="E1835" s="80"/>
      <c r="F1835" s="80"/>
      <c r="G1835" s="91"/>
      <c r="H1835" s="91"/>
    </row>
    <row r="1836" spans="2:8">
      <c r="B1836" s="80"/>
      <c r="C1836" s="36"/>
      <c r="D1836" s="91"/>
      <c r="E1836" s="80"/>
      <c r="F1836" s="80"/>
      <c r="G1836" s="91"/>
      <c r="H1836" s="91"/>
    </row>
    <row r="1837" spans="2:8">
      <c r="B1837" s="80"/>
      <c r="C1837" s="36"/>
      <c r="D1837" s="91"/>
      <c r="E1837" s="80"/>
      <c r="F1837" s="80"/>
      <c r="G1837" s="91"/>
      <c r="H1837" s="91"/>
    </row>
    <row r="1838" spans="2:8">
      <c r="B1838" s="80"/>
      <c r="C1838" s="36"/>
      <c r="D1838" s="91"/>
      <c r="E1838" s="80"/>
      <c r="F1838" s="80"/>
      <c r="G1838" s="91"/>
      <c r="H1838" s="91"/>
    </row>
    <row r="1839" spans="2:8">
      <c r="B1839" s="80"/>
      <c r="C1839" s="36"/>
      <c r="D1839" s="91"/>
      <c r="E1839" s="80"/>
      <c r="F1839" s="80"/>
      <c r="G1839" s="91"/>
      <c r="H1839" s="91"/>
    </row>
    <row r="1840" spans="2:8">
      <c r="B1840" s="80"/>
      <c r="C1840" s="36"/>
      <c r="D1840" s="91"/>
      <c r="E1840" s="80"/>
      <c r="F1840" s="80"/>
      <c r="G1840" s="91"/>
      <c r="H1840" s="91"/>
    </row>
    <row r="1841" spans="2:8">
      <c r="B1841" s="80"/>
      <c r="C1841" s="36"/>
      <c r="D1841" s="91"/>
      <c r="E1841" s="80"/>
      <c r="F1841" s="80"/>
      <c r="G1841" s="91"/>
      <c r="H1841" s="91"/>
    </row>
    <row r="1842" spans="2:8">
      <c r="B1842" s="80"/>
      <c r="C1842" s="36"/>
      <c r="D1842" s="91"/>
      <c r="E1842" s="80"/>
      <c r="F1842" s="80"/>
      <c r="G1842" s="91"/>
      <c r="H1842" s="91"/>
    </row>
    <row r="1843" spans="2:8">
      <c r="B1843" s="80"/>
      <c r="C1843" s="36"/>
      <c r="D1843" s="91"/>
      <c r="E1843" s="80"/>
      <c r="F1843" s="80"/>
      <c r="G1843" s="91"/>
      <c r="H1843" s="91"/>
    </row>
    <row r="1844" spans="2:8">
      <c r="B1844" s="80"/>
      <c r="C1844" s="36"/>
      <c r="D1844" s="91"/>
      <c r="E1844" s="80"/>
      <c r="F1844" s="80"/>
      <c r="G1844" s="91"/>
      <c r="H1844" s="91"/>
    </row>
    <row r="1845" spans="2:8">
      <c r="B1845" s="80"/>
      <c r="C1845" s="36"/>
      <c r="D1845" s="91"/>
      <c r="E1845" s="80"/>
      <c r="F1845" s="80"/>
      <c r="G1845" s="91"/>
      <c r="H1845" s="91"/>
    </row>
    <row r="1846" spans="2:8">
      <c r="B1846" s="80"/>
      <c r="C1846" s="36"/>
      <c r="D1846" s="91"/>
      <c r="E1846" s="80"/>
      <c r="F1846" s="80"/>
      <c r="G1846" s="91"/>
      <c r="H1846" s="91"/>
    </row>
    <row r="1847" spans="2:8">
      <c r="B1847" s="80"/>
      <c r="C1847" s="36"/>
      <c r="D1847" s="91"/>
      <c r="E1847" s="80"/>
      <c r="F1847" s="80"/>
      <c r="G1847" s="91"/>
      <c r="H1847" s="91"/>
    </row>
    <row r="1848" spans="2:8">
      <c r="B1848" s="80"/>
      <c r="C1848" s="36"/>
      <c r="D1848" s="91"/>
      <c r="E1848" s="80"/>
      <c r="F1848" s="80"/>
      <c r="G1848" s="91"/>
      <c r="H1848" s="91"/>
    </row>
    <row r="1849" spans="2:8">
      <c r="B1849" s="80"/>
      <c r="C1849" s="36"/>
      <c r="D1849" s="91"/>
      <c r="E1849" s="80"/>
      <c r="F1849" s="80"/>
      <c r="G1849" s="91"/>
      <c r="H1849" s="91"/>
    </row>
    <row r="1850" spans="2:8">
      <c r="B1850" s="80"/>
      <c r="C1850" s="36"/>
      <c r="D1850" s="91"/>
      <c r="E1850" s="80"/>
      <c r="F1850" s="80"/>
      <c r="G1850" s="91"/>
      <c r="H1850" s="91"/>
    </row>
    <row r="1851" spans="2:8">
      <c r="B1851" s="80"/>
      <c r="C1851" s="36"/>
      <c r="D1851" s="91"/>
      <c r="E1851" s="80"/>
      <c r="F1851" s="80"/>
      <c r="G1851" s="91"/>
      <c r="H1851" s="91"/>
    </row>
    <row r="1852" spans="2:8">
      <c r="B1852" s="80"/>
      <c r="C1852" s="36"/>
      <c r="D1852" s="91"/>
      <c r="E1852" s="80"/>
      <c r="F1852" s="80"/>
      <c r="G1852" s="91"/>
      <c r="H1852" s="91"/>
    </row>
    <row r="1853" spans="2:8">
      <c r="B1853" s="80"/>
      <c r="C1853" s="36"/>
      <c r="D1853" s="91"/>
      <c r="E1853" s="80"/>
      <c r="F1853" s="80"/>
      <c r="G1853" s="91"/>
      <c r="H1853" s="91"/>
    </row>
    <row r="1854" spans="2:8">
      <c r="B1854" s="80"/>
      <c r="C1854" s="36"/>
      <c r="D1854" s="91"/>
      <c r="E1854" s="80"/>
      <c r="F1854" s="80"/>
      <c r="G1854" s="91"/>
      <c r="H1854" s="91"/>
    </row>
    <row r="1855" spans="2:8">
      <c r="B1855" s="80"/>
      <c r="C1855" s="36"/>
      <c r="D1855" s="91"/>
      <c r="E1855" s="80"/>
      <c r="F1855" s="80"/>
      <c r="G1855" s="91"/>
      <c r="H1855" s="91"/>
    </row>
    <row r="1856" spans="2:8">
      <c r="B1856" s="80"/>
      <c r="C1856" s="36"/>
      <c r="D1856" s="91"/>
      <c r="E1856" s="80"/>
      <c r="F1856" s="80"/>
      <c r="G1856" s="91"/>
      <c r="H1856" s="91"/>
    </row>
    <row r="1857" spans="2:8">
      <c r="B1857" s="80"/>
      <c r="C1857" s="36"/>
      <c r="D1857" s="91"/>
      <c r="E1857" s="80"/>
      <c r="F1857" s="80"/>
      <c r="G1857" s="91"/>
      <c r="H1857" s="91"/>
    </row>
    <row r="1858" spans="2:8">
      <c r="B1858" s="80"/>
      <c r="C1858" s="36"/>
      <c r="D1858" s="91"/>
      <c r="E1858" s="80"/>
      <c r="F1858" s="80"/>
      <c r="G1858" s="91"/>
      <c r="H1858" s="91"/>
    </row>
    <row r="1859" spans="2:8">
      <c r="B1859" s="80"/>
      <c r="C1859" s="36"/>
      <c r="D1859" s="91"/>
      <c r="E1859" s="80"/>
      <c r="F1859" s="80"/>
      <c r="G1859" s="91"/>
      <c r="H1859" s="91"/>
    </row>
    <row r="1860" spans="2:8">
      <c r="B1860" s="80"/>
      <c r="C1860" s="36"/>
      <c r="D1860" s="91"/>
      <c r="E1860" s="80"/>
      <c r="F1860" s="80"/>
      <c r="G1860" s="91"/>
      <c r="H1860" s="91"/>
    </row>
    <row r="1861" spans="2:8">
      <c r="B1861" s="80"/>
      <c r="C1861" s="36"/>
      <c r="D1861" s="91"/>
      <c r="E1861" s="80"/>
      <c r="F1861" s="80"/>
      <c r="G1861" s="91"/>
      <c r="H1861" s="91"/>
    </row>
    <row r="1862" spans="2:8">
      <c r="B1862" s="80"/>
      <c r="C1862" s="36"/>
      <c r="D1862" s="91"/>
      <c r="E1862" s="80"/>
      <c r="F1862" s="80"/>
      <c r="G1862" s="91"/>
      <c r="H1862" s="91"/>
    </row>
    <row r="1863" spans="2:8">
      <c r="B1863" s="80"/>
      <c r="C1863" s="36"/>
      <c r="D1863" s="91"/>
      <c r="E1863" s="80"/>
      <c r="F1863" s="80"/>
      <c r="G1863" s="91"/>
      <c r="H1863" s="91"/>
    </row>
    <row r="1864" spans="2:8">
      <c r="B1864" s="80"/>
      <c r="C1864" s="36"/>
      <c r="D1864" s="91"/>
      <c r="E1864" s="80"/>
      <c r="F1864" s="80"/>
      <c r="G1864" s="91"/>
      <c r="H1864" s="91"/>
    </row>
    <row r="1865" spans="2:8">
      <c r="B1865" s="80"/>
      <c r="C1865" s="36"/>
      <c r="D1865" s="91"/>
      <c r="E1865" s="80"/>
      <c r="F1865" s="80"/>
      <c r="G1865" s="91"/>
      <c r="H1865" s="91"/>
    </row>
    <row r="1866" spans="2:8">
      <c r="B1866" s="80"/>
      <c r="C1866" s="36"/>
      <c r="D1866" s="91"/>
      <c r="E1866" s="80"/>
      <c r="F1866" s="80"/>
      <c r="G1866" s="91"/>
      <c r="H1866" s="91"/>
    </row>
    <row r="1867" spans="2:8">
      <c r="B1867" s="80"/>
      <c r="C1867" s="36"/>
      <c r="D1867" s="91"/>
      <c r="E1867" s="80"/>
      <c r="F1867" s="80"/>
      <c r="G1867" s="91"/>
      <c r="H1867" s="91"/>
    </row>
    <row r="1868" spans="2:8">
      <c r="B1868" s="80"/>
      <c r="C1868" s="36"/>
      <c r="D1868" s="91"/>
      <c r="E1868" s="80"/>
      <c r="F1868" s="80"/>
      <c r="G1868" s="91"/>
      <c r="H1868" s="91"/>
    </row>
    <row r="1869" spans="2:8">
      <c r="B1869" s="80"/>
      <c r="C1869" s="36"/>
      <c r="D1869" s="91"/>
      <c r="E1869" s="80"/>
      <c r="F1869" s="80"/>
      <c r="G1869" s="91"/>
      <c r="H1869" s="91"/>
    </row>
    <row r="1870" spans="2:8">
      <c r="B1870" s="80"/>
      <c r="C1870" s="36"/>
      <c r="D1870" s="91"/>
      <c r="E1870" s="80"/>
      <c r="F1870" s="80"/>
      <c r="G1870" s="91"/>
      <c r="H1870" s="91"/>
    </row>
    <row r="1871" spans="2:8">
      <c r="B1871" s="80"/>
      <c r="C1871" s="36"/>
      <c r="D1871" s="91"/>
      <c r="E1871" s="80"/>
      <c r="F1871" s="80"/>
      <c r="G1871" s="91"/>
      <c r="H1871" s="91"/>
    </row>
    <row r="1872" spans="2:8">
      <c r="B1872" s="80"/>
      <c r="C1872" s="36"/>
      <c r="D1872" s="91"/>
      <c r="E1872" s="80"/>
      <c r="F1872" s="80"/>
      <c r="G1872" s="91"/>
      <c r="H1872" s="91"/>
    </row>
    <row r="1873" spans="2:8">
      <c r="B1873" s="80"/>
      <c r="C1873" s="36"/>
      <c r="D1873" s="91"/>
      <c r="E1873" s="80"/>
      <c r="F1873" s="80"/>
      <c r="G1873" s="91"/>
      <c r="H1873" s="91"/>
    </row>
    <row r="1874" spans="2:8">
      <c r="B1874" s="80"/>
      <c r="C1874" s="36"/>
      <c r="D1874" s="91"/>
      <c r="E1874" s="80"/>
      <c r="F1874" s="80"/>
      <c r="G1874" s="91"/>
      <c r="H1874" s="91"/>
    </row>
    <row r="1875" spans="2:8">
      <c r="B1875" s="80"/>
      <c r="C1875" s="36"/>
      <c r="D1875" s="91"/>
      <c r="E1875" s="80"/>
      <c r="F1875" s="80"/>
      <c r="G1875" s="91"/>
      <c r="H1875" s="91"/>
    </row>
    <row r="1876" spans="2:8">
      <c r="B1876" s="80"/>
      <c r="C1876" s="36"/>
      <c r="D1876" s="91"/>
      <c r="E1876" s="80"/>
      <c r="F1876" s="80"/>
      <c r="G1876" s="91"/>
      <c r="H1876" s="91"/>
    </row>
    <row r="1877" spans="2:8">
      <c r="B1877" s="80"/>
      <c r="C1877" s="36"/>
      <c r="D1877" s="91"/>
      <c r="E1877" s="80"/>
      <c r="F1877" s="80"/>
      <c r="G1877" s="91"/>
      <c r="H1877" s="91"/>
    </row>
    <row r="1878" spans="2:8">
      <c r="B1878" s="80"/>
      <c r="C1878" s="36"/>
      <c r="D1878" s="91"/>
      <c r="E1878" s="80"/>
      <c r="F1878" s="80"/>
      <c r="G1878" s="91"/>
      <c r="H1878" s="91"/>
    </row>
    <row r="1879" spans="2:8">
      <c r="B1879" s="80"/>
      <c r="C1879" s="36"/>
      <c r="D1879" s="91"/>
      <c r="E1879" s="80"/>
      <c r="F1879" s="80"/>
      <c r="G1879" s="91"/>
      <c r="H1879" s="91"/>
    </row>
    <row r="1880" spans="2:8">
      <c r="B1880" s="80"/>
      <c r="C1880" s="36"/>
      <c r="D1880" s="91"/>
      <c r="E1880" s="80"/>
      <c r="F1880" s="80"/>
      <c r="G1880" s="91"/>
      <c r="H1880" s="91"/>
    </row>
    <row r="1881" spans="2:8">
      <c r="B1881" s="80"/>
      <c r="C1881" s="36"/>
      <c r="D1881" s="91"/>
      <c r="E1881" s="80"/>
      <c r="F1881" s="80"/>
      <c r="G1881" s="91"/>
      <c r="H1881" s="91"/>
    </row>
    <row r="1882" spans="2:8">
      <c r="B1882" s="80"/>
      <c r="C1882" s="36"/>
      <c r="D1882" s="91"/>
      <c r="E1882" s="80"/>
      <c r="F1882" s="80"/>
      <c r="G1882" s="91"/>
      <c r="H1882" s="91"/>
    </row>
    <row r="1883" spans="2:8">
      <c r="B1883" s="80"/>
      <c r="C1883" s="36"/>
      <c r="D1883" s="91"/>
      <c r="E1883" s="80"/>
      <c r="F1883" s="80"/>
      <c r="G1883" s="91"/>
      <c r="H1883" s="91"/>
    </row>
    <row r="1884" spans="2:8">
      <c r="B1884" s="80"/>
      <c r="C1884" s="36"/>
      <c r="D1884" s="91"/>
      <c r="E1884" s="80"/>
      <c r="F1884" s="80"/>
      <c r="G1884" s="91"/>
      <c r="H1884" s="91"/>
    </row>
    <row r="1885" spans="2:8">
      <c r="B1885" s="80"/>
      <c r="C1885" s="36"/>
      <c r="D1885" s="91"/>
      <c r="E1885" s="80"/>
      <c r="F1885" s="80"/>
      <c r="G1885" s="91"/>
      <c r="H1885" s="91"/>
    </row>
    <row r="1886" spans="2:8">
      <c r="B1886" s="80"/>
      <c r="C1886" s="36"/>
      <c r="D1886" s="91"/>
      <c r="E1886" s="80"/>
      <c r="F1886" s="80"/>
      <c r="G1886" s="91"/>
      <c r="H1886" s="91"/>
    </row>
    <row r="1887" spans="2:8">
      <c r="B1887" s="80"/>
      <c r="C1887" s="36"/>
      <c r="D1887" s="91"/>
      <c r="E1887" s="80"/>
      <c r="F1887" s="80"/>
      <c r="G1887" s="91"/>
      <c r="H1887" s="91"/>
    </row>
    <row r="1888" spans="2:8">
      <c r="B1888" s="80"/>
      <c r="C1888" s="36"/>
      <c r="D1888" s="91"/>
      <c r="E1888" s="80"/>
      <c r="F1888" s="80"/>
      <c r="G1888" s="91"/>
      <c r="H1888" s="91"/>
    </row>
    <row r="1889" spans="2:8">
      <c r="B1889" s="80"/>
      <c r="C1889" s="36"/>
      <c r="D1889" s="91"/>
      <c r="E1889" s="80"/>
      <c r="F1889" s="80"/>
      <c r="G1889" s="91"/>
      <c r="H1889" s="91"/>
    </row>
    <row r="1890" spans="2:8">
      <c r="B1890" s="80"/>
      <c r="C1890" s="36"/>
      <c r="D1890" s="91"/>
      <c r="E1890" s="80"/>
      <c r="F1890" s="80"/>
      <c r="G1890" s="91"/>
      <c r="H1890" s="91"/>
    </row>
    <row r="1891" spans="2:8">
      <c r="B1891" s="80"/>
      <c r="C1891" s="36"/>
      <c r="D1891" s="91"/>
      <c r="E1891" s="80"/>
      <c r="F1891" s="80"/>
      <c r="G1891" s="91"/>
      <c r="H1891" s="91"/>
    </row>
    <row r="1892" spans="2:8">
      <c r="B1892" s="80"/>
      <c r="C1892" s="36"/>
      <c r="D1892" s="91"/>
      <c r="E1892" s="80"/>
      <c r="F1892" s="80"/>
      <c r="G1892" s="91"/>
      <c r="H1892" s="91"/>
    </row>
    <row r="1893" spans="2:8">
      <c r="B1893" s="80"/>
      <c r="C1893" s="36"/>
      <c r="D1893" s="91"/>
      <c r="E1893" s="80"/>
      <c r="F1893" s="80"/>
      <c r="G1893" s="91"/>
      <c r="H1893" s="91"/>
    </row>
    <row r="1894" spans="2:8">
      <c r="B1894" s="80"/>
      <c r="C1894" s="36"/>
      <c r="D1894" s="91"/>
      <c r="E1894" s="80"/>
      <c r="F1894" s="80"/>
      <c r="G1894" s="91"/>
      <c r="H1894" s="91"/>
    </row>
    <row r="1895" spans="2:8">
      <c r="B1895" s="80"/>
      <c r="C1895" s="36"/>
      <c r="D1895" s="91"/>
      <c r="E1895" s="80"/>
      <c r="F1895" s="80"/>
      <c r="G1895" s="91"/>
      <c r="H1895" s="91"/>
    </row>
    <row r="1896" spans="2:8">
      <c r="B1896" s="80"/>
      <c r="C1896" s="36"/>
      <c r="D1896" s="91"/>
      <c r="E1896" s="80"/>
      <c r="F1896" s="80"/>
      <c r="G1896" s="91"/>
      <c r="H1896" s="91"/>
    </row>
    <row r="1897" spans="2:8">
      <c r="B1897" s="80"/>
      <c r="C1897" s="36"/>
      <c r="D1897" s="91"/>
      <c r="E1897" s="80"/>
      <c r="F1897" s="80"/>
      <c r="G1897" s="91"/>
      <c r="H1897" s="91"/>
    </row>
    <row r="1898" spans="2:8">
      <c r="B1898" s="80"/>
      <c r="C1898" s="36"/>
      <c r="D1898" s="91"/>
      <c r="E1898" s="80"/>
      <c r="F1898" s="80"/>
      <c r="G1898" s="91"/>
      <c r="H1898" s="91"/>
    </row>
    <row r="1899" spans="2:8">
      <c r="B1899" s="80"/>
      <c r="C1899" s="36"/>
      <c r="D1899" s="91"/>
      <c r="E1899" s="80"/>
      <c r="F1899" s="80"/>
      <c r="G1899" s="91"/>
      <c r="H1899" s="91"/>
    </row>
    <row r="1900" spans="2:8">
      <c r="B1900" s="80"/>
      <c r="C1900" s="36"/>
      <c r="D1900" s="91"/>
      <c r="E1900" s="80"/>
      <c r="F1900" s="80"/>
      <c r="G1900" s="91"/>
      <c r="H1900" s="91"/>
    </row>
    <row r="1901" spans="2:8">
      <c r="B1901" s="80"/>
      <c r="C1901" s="36"/>
      <c r="D1901" s="91"/>
      <c r="E1901" s="80"/>
      <c r="F1901" s="80"/>
      <c r="G1901" s="91"/>
      <c r="H1901" s="91"/>
    </row>
    <row r="1902" spans="2:8">
      <c r="B1902" s="80"/>
      <c r="C1902" s="36"/>
      <c r="D1902" s="91"/>
      <c r="E1902" s="80"/>
      <c r="F1902" s="80"/>
      <c r="G1902" s="91"/>
      <c r="H1902" s="91"/>
    </row>
    <row r="1903" spans="2:8">
      <c r="B1903" s="80"/>
      <c r="C1903" s="36"/>
      <c r="D1903" s="91"/>
      <c r="E1903" s="80"/>
      <c r="F1903" s="80"/>
      <c r="G1903" s="91"/>
      <c r="H1903" s="91"/>
    </row>
    <row r="1904" spans="2:8">
      <c r="B1904" s="80"/>
      <c r="C1904" s="36"/>
      <c r="D1904" s="91"/>
      <c r="E1904" s="80"/>
      <c r="F1904" s="80"/>
      <c r="G1904" s="91"/>
      <c r="H1904" s="91"/>
    </row>
    <row r="1905" spans="2:8">
      <c r="B1905" s="80"/>
      <c r="C1905" s="36"/>
      <c r="D1905" s="91"/>
      <c r="E1905" s="80"/>
      <c r="F1905" s="80"/>
      <c r="G1905" s="91"/>
      <c r="H1905" s="91"/>
    </row>
    <row r="1906" spans="2:8">
      <c r="B1906" s="80"/>
      <c r="C1906" s="36"/>
      <c r="D1906" s="91"/>
      <c r="E1906" s="80"/>
      <c r="F1906" s="80"/>
      <c r="G1906" s="91"/>
      <c r="H1906" s="91"/>
    </row>
    <row r="1907" spans="2:8">
      <c r="B1907" s="80"/>
      <c r="C1907" s="36"/>
      <c r="D1907" s="91"/>
      <c r="E1907" s="80"/>
      <c r="F1907" s="80"/>
      <c r="G1907" s="91"/>
      <c r="H1907" s="91"/>
    </row>
    <row r="1908" spans="2:8">
      <c r="B1908" s="80"/>
      <c r="C1908" s="36"/>
      <c r="D1908" s="91"/>
      <c r="E1908" s="80"/>
      <c r="F1908" s="80"/>
      <c r="G1908" s="91"/>
      <c r="H1908" s="91"/>
    </row>
    <row r="1909" spans="2:8">
      <c r="B1909" s="80"/>
      <c r="C1909" s="36"/>
      <c r="D1909" s="91"/>
      <c r="E1909" s="80"/>
      <c r="F1909" s="80"/>
      <c r="G1909" s="91"/>
      <c r="H1909" s="91"/>
    </row>
    <row r="1910" spans="2:8">
      <c r="B1910" s="80"/>
      <c r="C1910" s="36"/>
      <c r="D1910" s="91"/>
      <c r="E1910" s="80"/>
      <c r="F1910" s="80"/>
      <c r="G1910" s="91"/>
      <c r="H1910" s="91"/>
    </row>
    <row r="1911" spans="2:8">
      <c r="B1911" s="80"/>
      <c r="C1911" s="36"/>
      <c r="D1911" s="91"/>
      <c r="E1911" s="80"/>
      <c r="F1911" s="80"/>
      <c r="G1911" s="91"/>
      <c r="H1911" s="91"/>
    </row>
    <row r="1912" spans="2:8">
      <c r="B1912" s="80"/>
      <c r="C1912" s="36"/>
      <c r="D1912" s="91"/>
      <c r="E1912" s="80"/>
      <c r="F1912" s="80"/>
      <c r="G1912" s="91"/>
      <c r="H1912" s="91"/>
    </row>
    <row r="1913" spans="2:8">
      <c r="B1913" s="80"/>
      <c r="C1913" s="36"/>
      <c r="D1913" s="91"/>
      <c r="E1913" s="80"/>
      <c r="F1913" s="80"/>
      <c r="G1913" s="91"/>
      <c r="H1913" s="91"/>
    </row>
    <row r="1914" spans="2:8">
      <c r="B1914" s="80"/>
      <c r="C1914" s="36"/>
      <c r="D1914" s="91"/>
      <c r="E1914" s="80"/>
      <c r="F1914" s="80"/>
      <c r="G1914" s="91"/>
      <c r="H1914" s="91"/>
    </row>
    <row r="1915" spans="2:8">
      <c r="B1915" s="80"/>
      <c r="C1915" s="36"/>
      <c r="D1915" s="91"/>
      <c r="E1915" s="80"/>
      <c r="F1915" s="80"/>
      <c r="G1915" s="91"/>
      <c r="H1915" s="91"/>
    </row>
    <row r="1916" spans="2:8">
      <c r="B1916" s="80"/>
      <c r="C1916" s="36"/>
      <c r="D1916" s="91"/>
      <c r="E1916" s="80"/>
      <c r="F1916" s="80"/>
      <c r="G1916" s="91"/>
      <c r="H1916" s="91"/>
    </row>
    <row r="1917" spans="2:8">
      <c r="B1917" s="80"/>
      <c r="C1917" s="36"/>
      <c r="D1917" s="91"/>
      <c r="E1917" s="80"/>
      <c r="F1917" s="80"/>
      <c r="G1917" s="91"/>
      <c r="H1917" s="91"/>
    </row>
    <row r="1918" spans="2:8">
      <c r="B1918" s="80"/>
      <c r="C1918" s="36"/>
      <c r="D1918" s="91"/>
      <c r="E1918" s="80"/>
      <c r="F1918" s="80"/>
      <c r="G1918" s="91"/>
      <c r="H1918" s="91"/>
    </row>
    <row r="1919" spans="2:8">
      <c r="B1919" s="80"/>
      <c r="C1919" s="36"/>
      <c r="D1919" s="91"/>
      <c r="E1919" s="80"/>
      <c r="F1919" s="80"/>
      <c r="G1919" s="91"/>
      <c r="H1919" s="91"/>
    </row>
    <row r="1920" spans="2:8">
      <c r="B1920" s="80"/>
      <c r="C1920" s="36"/>
      <c r="D1920" s="91"/>
      <c r="E1920" s="80"/>
      <c r="F1920" s="80"/>
      <c r="G1920" s="91"/>
      <c r="H1920" s="91"/>
    </row>
    <row r="1921" spans="2:8">
      <c r="B1921" s="80"/>
      <c r="C1921" s="36"/>
      <c r="D1921" s="91"/>
      <c r="E1921" s="80"/>
      <c r="F1921" s="80"/>
      <c r="G1921" s="91"/>
      <c r="H1921" s="91"/>
    </row>
    <row r="1922" spans="2:8">
      <c r="B1922" s="80"/>
      <c r="C1922" s="36"/>
      <c r="D1922" s="91"/>
      <c r="E1922" s="80"/>
      <c r="F1922" s="80"/>
      <c r="G1922" s="91"/>
      <c r="H1922" s="91"/>
    </row>
    <row r="1923" spans="2:8">
      <c r="B1923" s="80"/>
      <c r="C1923" s="36"/>
      <c r="D1923" s="91"/>
      <c r="E1923" s="80"/>
      <c r="F1923" s="80"/>
      <c r="G1923" s="91"/>
      <c r="H1923" s="91"/>
    </row>
    <row r="1924" spans="2:8">
      <c r="B1924" s="80"/>
      <c r="C1924" s="36"/>
      <c r="D1924" s="91"/>
      <c r="E1924" s="80"/>
      <c r="F1924" s="80"/>
      <c r="G1924" s="91"/>
      <c r="H1924" s="91"/>
    </row>
    <row r="1925" spans="2:8">
      <c r="B1925" s="80"/>
      <c r="C1925" s="36"/>
      <c r="D1925" s="91"/>
      <c r="E1925" s="80"/>
      <c r="F1925" s="80"/>
      <c r="G1925" s="91"/>
      <c r="H1925" s="91"/>
    </row>
    <row r="1926" spans="2:8">
      <c r="B1926" s="80"/>
      <c r="C1926" s="36"/>
      <c r="D1926" s="91"/>
      <c r="E1926" s="80"/>
      <c r="F1926" s="80"/>
      <c r="G1926" s="91"/>
      <c r="H1926" s="91"/>
    </row>
    <row r="1927" spans="2:8">
      <c r="B1927" s="80"/>
      <c r="C1927" s="36"/>
      <c r="D1927" s="91"/>
      <c r="E1927" s="80"/>
      <c r="F1927" s="80"/>
      <c r="G1927" s="91"/>
      <c r="H1927" s="91"/>
    </row>
    <row r="1928" spans="2:8">
      <c r="B1928" s="80"/>
      <c r="C1928" s="36"/>
      <c r="D1928" s="91"/>
      <c r="E1928" s="80"/>
      <c r="F1928" s="80"/>
      <c r="G1928" s="91"/>
      <c r="H1928" s="91"/>
    </row>
    <row r="1929" spans="2:8">
      <c r="B1929" s="80"/>
      <c r="C1929" s="36"/>
      <c r="D1929" s="91"/>
      <c r="E1929" s="80"/>
      <c r="F1929" s="80"/>
      <c r="G1929" s="91"/>
      <c r="H1929" s="91"/>
    </row>
    <row r="1930" spans="2:8">
      <c r="B1930" s="80"/>
      <c r="C1930" s="36"/>
      <c r="D1930" s="91"/>
      <c r="E1930" s="80"/>
      <c r="F1930" s="80"/>
      <c r="G1930" s="91"/>
      <c r="H1930" s="91"/>
    </row>
    <row r="1931" spans="2:8">
      <c r="B1931" s="80"/>
      <c r="C1931" s="36"/>
      <c r="D1931" s="91"/>
      <c r="E1931" s="80"/>
      <c r="F1931" s="80"/>
      <c r="G1931" s="91"/>
      <c r="H1931" s="91"/>
    </row>
    <row r="1932" spans="2:8">
      <c r="B1932" s="80"/>
      <c r="C1932" s="36"/>
      <c r="D1932" s="91"/>
      <c r="E1932" s="80"/>
      <c r="F1932" s="80"/>
      <c r="G1932" s="91"/>
      <c r="H1932" s="91"/>
    </row>
    <row r="1933" spans="2:8">
      <c r="B1933" s="80"/>
      <c r="C1933" s="36"/>
      <c r="D1933" s="91"/>
      <c r="E1933" s="80"/>
      <c r="F1933" s="80"/>
      <c r="G1933" s="91"/>
      <c r="H1933" s="91"/>
    </row>
    <row r="1934" spans="2:8">
      <c r="B1934" s="80"/>
      <c r="C1934" s="36"/>
      <c r="D1934" s="91"/>
      <c r="E1934" s="80"/>
      <c r="F1934" s="80"/>
      <c r="G1934" s="91"/>
      <c r="H1934" s="91"/>
    </row>
    <row r="1935" spans="2:8">
      <c r="B1935" s="80"/>
      <c r="C1935" s="36"/>
      <c r="D1935" s="91"/>
      <c r="E1935" s="80"/>
      <c r="F1935" s="80"/>
      <c r="G1935" s="91"/>
      <c r="H1935" s="91"/>
    </row>
    <row r="1936" spans="2:8">
      <c r="B1936" s="80"/>
      <c r="C1936" s="36"/>
      <c r="D1936" s="91"/>
      <c r="E1936" s="80"/>
      <c r="F1936" s="80"/>
      <c r="G1936" s="91"/>
      <c r="H1936" s="91"/>
    </row>
    <row r="1937" spans="2:8">
      <c r="B1937" s="80"/>
      <c r="C1937" s="36"/>
      <c r="D1937" s="91"/>
      <c r="E1937" s="80"/>
      <c r="F1937" s="80"/>
      <c r="G1937" s="91"/>
      <c r="H1937" s="91"/>
    </row>
    <row r="1938" spans="2:8">
      <c r="B1938" s="80"/>
      <c r="C1938" s="36"/>
      <c r="D1938" s="91"/>
      <c r="E1938" s="80"/>
      <c r="F1938" s="80"/>
      <c r="G1938" s="91"/>
      <c r="H1938" s="91"/>
    </row>
    <row r="1939" spans="2:8">
      <c r="B1939" s="80"/>
      <c r="C1939" s="36"/>
      <c r="D1939" s="91"/>
      <c r="E1939" s="80"/>
      <c r="F1939" s="80"/>
      <c r="G1939" s="91"/>
      <c r="H1939" s="91"/>
    </row>
    <row r="1940" spans="2:8">
      <c r="B1940" s="80"/>
      <c r="C1940" s="36"/>
      <c r="D1940" s="91"/>
      <c r="E1940" s="80"/>
      <c r="F1940" s="80"/>
      <c r="G1940" s="91"/>
      <c r="H1940" s="91"/>
    </row>
    <row r="1941" spans="2:8">
      <c r="B1941" s="80"/>
      <c r="C1941" s="36"/>
      <c r="D1941" s="91"/>
      <c r="E1941" s="80"/>
      <c r="F1941" s="80"/>
      <c r="G1941" s="91"/>
      <c r="H1941" s="91"/>
    </row>
    <row r="1942" spans="2:8">
      <c r="B1942" s="80"/>
      <c r="C1942" s="36"/>
      <c r="D1942" s="91"/>
      <c r="E1942" s="80"/>
      <c r="F1942" s="80"/>
      <c r="G1942" s="91"/>
      <c r="H1942" s="91"/>
    </row>
    <row r="1943" spans="2:8">
      <c r="B1943" s="80"/>
      <c r="C1943" s="36"/>
      <c r="D1943" s="91"/>
      <c r="E1943" s="80"/>
      <c r="F1943" s="80"/>
      <c r="G1943" s="91"/>
      <c r="H1943" s="91"/>
    </row>
    <row r="1944" spans="2:8">
      <c r="B1944" s="80"/>
      <c r="C1944" s="36"/>
      <c r="D1944" s="91"/>
      <c r="E1944" s="80"/>
      <c r="F1944" s="80"/>
      <c r="G1944" s="91"/>
      <c r="H1944" s="91"/>
    </row>
    <row r="1945" spans="2:8">
      <c r="B1945" s="80"/>
      <c r="C1945" s="36"/>
      <c r="D1945" s="91"/>
      <c r="E1945" s="80"/>
      <c r="F1945" s="80"/>
      <c r="G1945" s="91"/>
      <c r="H1945" s="91"/>
    </row>
    <row r="1946" spans="2:8">
      <c r="B1946" s="80"/>
      <c r="C1946" s="36"/>
      <c r="D1946" s="91"/>
      <c r="E1946" s="80"/>
      <c r="F1946" s="80"/>
      <c r="G1946" s="91"/>
      <c r="H1946" s="91"/>
    </row>
    <row r="1947" spans="2:8">
      <c r="B1947" s="80"/>
      <c r="C1947" s="36"/>
      <c r="D1947" s="91"/>
      <c r="E1947" s="80"/>
      <c r="F1947" s="80"/>
      <c r="G1947" s="91"/>
      <c r="H1947" s="91"/>
    </row>
    <row r="1948" spans="2:8">
      <c r="B1948" s="80"/>
      <c r="C1948" s="36"/>
      <c r="D1948" s="91"/>
      <c r="E1948" s="80"/>
      <c r="F1948" s="80"/>
      <c r="G1948" s="91"/>
      <c r="H1948" s="91"/>
    </row>
    <row r="1949" spans="2:8">
      <c r="B1949" s="80"/>
      <c r="C1949" s="36"/>
      <c r="D1949" s="91"/>
      <c r="E1949" s="80"/>
      <c r="F1949" s="80"/>
      <c r="G1949" s="91"/>
      <c r="H1949" s="91"/>
    </row>
    <row r="1950" spans="2:8">
      <c r="B1950" s="80"/>
      <c r="C1950" s="36"/>
      <c r="D1950" s="91"/>
      <c r="E1950" s="80"/>
      <c r="F1950" s="80"/>
      <c r="G1950" s="91"/>
      <c r="H1950" s="91"/>
    </row>
    <row r="1951" spans="2:8">
      <c r="B1951" s="80"/>
      <c r="C1951" s="36"/>
      <c r="D1951" s="91"/>
      <c r="E1951" s="80"/>
      <c r="F1951" s="80"/>
      <c r="G1951" s="91"/>
      <c r="H1951" s="91"/>
    </row>
    <row r="1952" spans="2:8">
      <c r="B1952" s="80"/>
      <c r="C1952" s="36"/>
      <c r="D1952" s="91"/>
      <c r="E1952" s="80"/>
      <c r="F1952" s="80"/>
      <c r="G1952" s="91"/>
      <c r="H1952" s="91"/>
    </row>
    <row r="1953" spans="2:8">
      <c r="B1953" s="80"/>
      <c r="C1953" s="36"/>
      <c r="D1953" s="91"/>
      <c r="E1953" s="80"/>
      <c r="F1953" s="80"/>
      <c r="G1953" s="91"/>
      <c r="H1953" s="91"/>
    </row>
    <row r="1954" spans="2:8">
      <c r="B1954" s="80"/>
      <c r="C1954" s="36"/>
      <c r="D1954" s="91"/>
      <c r="E1954" s="80"/>
      <c r="F1954" s="80"/>
      <c r="G1954" s="91"/>
      <c r="H1954" s="91"/>
    </row>
    <row r="1955" spans="2:8">
      <c r="B1955" s="80"/>
      <c r="C1955" s="36"/>
      <c r="D1955" s="91"/>
      <c r="E1955" s="80"/>
      <c r="F1955" s="80"/>
      <c r="G1955" s="91"/>
      <c r="H1955" s="91"/>
    </row>
    <row r="1956" spans="2:8">
      <c r="B1956" s="80"/>
      <c r="C1956" s="36"/>
      <c r="D1956" s="91"/>
      <c r="E1956" s="80"/>
      <c r="F1956" s="80"/>
      <c r="G1956" s="91"/>
      <c r="H1956" s="91"/>
    </row>
    <row r="1957" spans="2:8">
      <c r="B1957" s="80"/>
      <c r="C1957" s="36"/>
      <c r="D1957" s="91"/>
      <c r="E1957" s="80"/>
      <c r="F1957" s="80"/>
      <c r="G1957" s="91"/>
      <c r="H1957" s="91"/>
    </row>
    <row r="1958" spans="2:8">
      <c r="B1958" s="80"/>
      <c r="C1958" s="36"/>
      <c r="D1958" s="91"/>
      <c r="E1958" s="80"/>
      <c r="F1958" s="80"/>
      <c r="G1958" s="91"/>
      <c r="H1958" s="91"/>
    </row>
    <row r="1959" spans="2:8">
      <c r="B1959" s="80"/>
      <c r="C1959" s="36"/>
      <c r="D1959" s="91"/>
      <c r="E1959" s="80"/>
      <c r="F1959" s="80"/>
      <c r="G1959" s="91"/>
      <c r="H1959" s="91"/>
    </row>
    <row r="1960" spans="2:8">
      <c r="B1960" s="80"/>
      <c r="C1960" s="36"/>
      <c r="D1960" s="91"/>
      <c r="E1960" s="80"/>
      <c r="F1960" s="80"/>
      <c r="G1960" s="91"/>
      <c r="H1960" s="91"/>
    </row>
    <row r="1961" spans="2:8">
      <c r="B1961" s="80"/>
      <c r="C1961" s="36"/>
      <c r="D1961" s="91"/>
      <c r="E1961" s="80"/>
      <c r="F1961" s="80"/>
      <c r="G1961" s="91"/>
      <c r="H1961" s="91"/>
    </row>
    <row r="1962" spans="2:8">
      <c r="B1962" s="80"/>
      <c r="C1962" s="36"/>
      <c r="D1962" s="91"/>
      <c r="E1962" s="80"/>
      <c r="F1962" s="80"/>
      <c r="G1962" s="91"/>
      <c r="H1962" s="91"/>
    </row>
    <row r="1963" spans="2:8">
      <c r="B1963" s="80"/>
      <c r="C1963" s="36"/>
      <c r="D1963" s="91"/>
      <c r="E1963" s="80"/>
      <c r="F1963" s="80"/>
      <c r="G1963" s="91"/>
      <c r="H1963" s="91"/>
    </row>
    <row r="1964" spans="2:8">
      <c r="B1964" s="80"/>
      <c r="C1964" s="36"/>
      <c r="D1964" s="91"/>
      <c r="E1964" s="80"/>
      <c r="F1964" s="80"/>
      <c r="G1964" s="91"/>
      <c r="H1964" s="91"/>
    </row>
    <row r="1965" spans="2:8">
      <c r="B1965" s="80"/>
      <c r="C1965" s="36"/>
      <c r="D1965" s="91"/>
      <c r="E1965" s="80"/>
      <c r="F1965" s="80"/>
      <c r="G1965" s="91"/>
      <c r="H1965" s="91"/>
    </row>
    <row r="1966" spans="2:8">
      <c r="B1966" s="80"/>
      <c r="C1966" s="36"/>
      <c r="D1966" s="91"/>
      <c r="E1966" s="80"/>
      <c r="F1966" s="80"/>
      <c r="G1966" s="91"/>
      <c r="H1966" s="91"/>
    </row>
    <row r="1967" spans="2:8">
      <c r="B1967" s="80"/>
      <c r="C1967" s="36"/>
      <c r="D1967" s="91"/>
      <c r="E1967" s="80"/>
      <c r="F1967" s="80"/>
      <c r="G1967" s="91"/>
      <c r="H1967" s="91"/>
    </row>
    <row r="1968" spans="2:8">
      <c r="B1968" s="80"/>
      <c r="C1968" s="36"/>
      <c r="D1968" s="91"/>
      <c r="E1968" s="80"/>
      <c r="F1968" s="80"/>
      <c r="G1968" s="91"/>
      <c r="H1968" s="91"/>
    </row>
    <row r="1969" spans="2:8">
      <c r="B1969" s="80"/>
      <c r="C1969" s="36"/>
      <c r="D1969" s="91"/>
      <c r="E1969" s="80"/>
      <c r="F1969" s="80"/>
      <c r="G1969" s="91"/>
      <c r="H1969" s="91"/>
    </row>
    <row r="1970" spans="2:8">
      <c r="B1970" s="80"/>
      <c r="C1970" s="36"/>
      <c r="D1970" s="91"/>
      <c r="E1970" s="80"/>
      <c r="F1970" s="80"/>
      <c r="G1970" s="91"/>
      <c r="H1970" s="91"/>
    </row>
    <row r="1971" spans="2:8">
      <c r="B1971" s="80"/>
      <c r="C1971" s="36"/>
      <c r="D1971" s="91"/>
      <c r="E1971" s="80"/>
      <c r="F1971" s="80"/>
      <c r="G1971" s="91"/>
      <c r="H1971" s="91"/>
    </row>
    <row r="1972" spans="2:8">
      <c r="B1972" s="80"/>
      <c r="C1972" s="36"/>
      <c r="D1972" s="91"/>
      <c r="E1972" s="80"/>
      <c r="F1972" s="80"/>
      <c r="G1972" s="91"/>
      <c r="H1972" s="91"/>
    </row>
    <row r="1973" spans="2:8">
      <c r="B1973" s="80"/>
      <c r="C1973" s="36"/>
      <c r="D1973" s="91"/>
      <c r="E1973" s="80"/>
      <c r="F1973" s="80"/>
      <c r="G1973" s="91"/>
      <c r="H1973" s="91"/>
    </row>
    <row r="1974" spans="2:8">
      <c r="B1974" s="80"/>
      <c r="C1974" s="36"/>
      <c r="D1974" s="91"/>
      <c r="E1974" s="80"/>
      <c r="F1974" s="80"/>
      <c r="G1974" s="91"/>
      <c r="H1974" s="91"/>
    </row>
    <row r="1975" spans="2:8">
      <c r="B1975" s="80"/>
      <c r="C1975" s="36"/>
      <c r="D1975" s="91"/>
      <c r="E1975" s="80"/>
      <c r="F1975" s="80"/>
      <c r="G1975" s="91"/>
      <c r="H1975" s="91"/>
    </row>
    <row r="1976" spans="2:8">
      <c r="B1976" s="80"/>
      <c r="C1976" s="36"/>
      <c r="D1976" s="91"/>
      <c r="E1976" s="80"/>
      <c r="F1976" s="80"/>
      <c r="G1976" s="91"/>
      <c r="H1976" s="91"/>
    </row>
    <row r="1977" spans="2:8">
      <c r="B1977" s="80"/>
      <c r="C1977" s="36"/>
      <c r="D1977" s="91"/>
      <c r="E1977" s="80"/>
      <c r="F1977" s="80"/>
      <c r="G1977" s="91"/>
      <c r="H1977" s="91"/>
    </row>
    <row r="1978" spans="2:8">
      <c r="B1978" s="80"/>
      <c r="C1978" s="36"/>
      <c r="D1978" s="91"/>
      <c r="E1978" s="80"/>
      <c r="F1978" s="80"/>
      <c r="G1978" s="91"/>
      <c r="H1978" s="91"/>
    </row>
    <row r="1979" spans="2:8">
      <c r="B1979" s="80"/>
      <c r="C1979" s="36"/>
      <c r="D1979" s="91"/>
      <c r="E1979" s="80"/>
      <c r="F1979" s="80"/>
      <c r="G1979" s="91"/>
      <c r="H1979" s="91"/>
    </row>
    <row r="1980" spans="2:8">
      <c r="B1980" s="80"/>
      <c r="C1980" s="36"/>
      <c r="D1980" s="91"/>
      <c r="E1980" s="80"/>
      <c r="F1980" s="80"/>
      <c r="G1980" s="91"/>
      <c r="H1980" s="91"/>
    </row>
    <row r="1981" spans="2:8">
      <c r="B1981" s="80"/>
      <c r="C1981" s="36"/>
      <c r="D1981" s="91"/>
      <c r="E1981" s="80"/>
      <c r="F1981" s="80"/>
      <c r="G1981" s="91"/>
      <c r="H1981" s="91"/>
    </row>
    <row r="1982" spans="2:8">
      <c r="B1982" s="80"/>
      <c r="C1982" s="36"/>
      <c r="D1982" s="91"/>
      <c r="E1982" s="80"/>
      <c r="F1982" s="80"/>
      <c r="G1982" s="91"/>
      <c r="H1982" s="91"/>
    </row>
    <row r="1983" spans="2:8">
      <c r="B1983" s="80"/>
      <c r="C1983" s="36"/>
      <c r="D1983" s="91"/>
      <c r="E1983" s="80"/>
      <c r="F1983" s="80"/>
      <c r="G1983" s="91"/>
      <c r="H1983" s="91"/>
    </row>
    <row r="1984" spans="2:8">
      <c r="B1984" s="80"/>
      <c r="C1984" s="36"/>
      <c r="D1984" s="91"/>
      <c r="E1984" s="80"/>
      <c r="F1984" s="80"/>
      <c r="G1984" s="91"/>
      <c r="H1984" s="91"/>
    </row>
    <row r="1985" spans="2:8">
      <c r="B1985" s="80"/>
      <c r="C1985" s="36"/>
      <c r="D1985" s="91"/>
      <c r="E1985" s="80"/>
      <c r="F1985" s="80"/>
      <c r="G1985" s="91"/>
      <c r="H1985" s="91"/>
    </row>
    <row r="1986" spans="2:8">
      <c r="B1986" s="80"/>
      <c r="C1986" s="36"/>
      <c r="D1986" s="91"/>
      <c r="E1986" s="80"/>
      <c r="F1986" s="80"/>
      <c r="G1986" s="91"/>
      <c r="H1986" s="91"/>
    </row>
    <row r="1987" spans="2:8">
      <c r="B1987" s="80"/>
      <c r="C1987" s="36"/>
      <c r="D1987" s="91"/>
      <c r="E1987" s="80"/>
      <c r="F1987" s="80"/>
      <c r="G1987" s="91"/>
      <c r="H1987" s="91"/>
    </row>
    <row r="1988" spans="2:8">
      <c r="B1988" s="80"/>
      <c r="C1988" s="36"/>
      <c r="D1988" s="91"/>
      <c r="E1988" s="80"/>
      <c r="F1988" s="80"/>
      <c r="G1988" s="91"/>
      <c r="H1988" s="91"/>
    </row>
    <row r="1989" spans="2:8">
      <c r="B1989" s="80"/>
      <c r="C1989" s="36"/>
      <c r="D1989" s="91"/>
      <c r="E1989" s="80"/>
      <c r="F1989" s="80"/>
      <c r="G1989" s="91"/>
      <c r="H1989" s="91"/>
    </row>
    <row r="1990" spans="2:8">
      <c r="B1990" s="80"/>
      <c r="C1990" s="36"/>
      <c r="D1990" s="91"/>
      <c r="E1990" s="80"/>
      <c r="F1990" s="80"/>
      <c r="G1990" s="91"/>
      <c r="H1990" s="91"/>
    </row>
    <row r="1991" spans="2:8">
      <c r="B1991" s="80"/>
      <c r="C1991" s="36"/>
      <c r="D1991" s="91"/>
      <c r="E1991" s="80"/>
      <c r="F1991" s="80"/>
      <c r="G1991" s="91"/>
      <c r="H1991" s="91"/>
    </row>
    <row r="1992" spans="2:8">
      <c r="B1992" s="80"/>
      <c r="C1992" s="36"/>
      <c r="D1992" s="91"/>
      <c r="E1992" s="80"/>
      <c r="F1992" s="80"/>
      <c r="G1992" s="91"/>
      <c r="H1992" s="91"/>
    </row>
    <row r="1993" spans="2:8">
      <c r="B1993" s="80"/>
      <c r="C1993" s="36"/>
      <c r="D1993" s="91"/>
      <c r="E1993" s="80"/>
      <c r="F1993" s="80"/>
      <c r="G1993" s="91"/>
      <c r="H1993" s="91"/>
    </row>
    <row r="1994" spans="2:8">
      <c r="B1994" s="80"/>
      <c r="C1994" s="36"/>
      <c r="D1994" s="91"/>
      <c r="E1994" s="80"/>
      <c r="F1994" s="80"/>
      <c r="G1994" s="91"/>
      <c r="H1994" s="91"/>
    </row>
    <row r="1995" spans="2:8">
      <c r="B1995" s="80"/>
      <c r="C1995" s="36"/>
      <c r="D1995" s="91"/>
      <c r="E1995" s="80"/>
      <c r="F1995" s="80"/>
      <c r="G1995" s="91"/>
      <c r="H1995" s="91"/>
    </row>
    <row r="1996" spans="2:8">
      <c r="B1996" s="80"/>
      <c r="C1996" s="36"/>
      <c r="D1996" s="91"/>
      <c r="E1996" s="80"/>
      <c r="F1996" s="80"/>
      <c r="G1996" s="91"/>
      <c r="H1996" s="91"/>
    </row>
    <row r="1997" spans="2:8">
      <c r="B1997" s="80"/>
      <c r="C1997" s="36"/>
      <c r="D1997" s="91"/>
      <c r="E1997" s="80"/>
      <c r="F1997" s="80"/>
      <c r="G1997" s="91"/>
      <c r="H1997" s="91"/>
    </row>
    <row r="1998" spans="2:8">
      <c r="B1998" s="80"/>
      <c r="C1998" s="36"/>
      <c r="D1998" s="91"/>
      <c r="E1998" s="80"/>
      <c r="F1998" s="80"/>
      <c r="G1998" s="91"/>
      <c r="H1998" s="91"/>
    </row>
    <row r="1999" spans="2:8">
      <c r="B1999" s="80"/>
      <c r="C1999" s="36"/>
      <c r="D1999" s="91"/>
      <c r="E1999" s="80"/>
      <c r="F1999" s="80"/>
      <c r="G1999" s="91"/>
      <c r="H1999" s="91"/>
    </row>
    <row r="2000" spans="2:8">
      <c r="B2000" s="80"/>
      <c r="C2000" s="36"/>
      <c r="D2000" s="91"/>
      <c r="E2000" s="80"/>
      <c r="F2000" s="80"/>
      <c r="G2000" s="91"/>
      <c r="H2000" s="91"/>
    </row>
    <row r="2001" spans="2:8">
      <c r="B2001" s="80"/>
      <c r="C2001" s="36"/>
      <c r="D2001" s="91"/>
      <c r="E2001" s="80"/>
      <c r="F2001" s="80"/>
      <c r="G2001" s="91"/>
      <c r="H2001" s="91"/>
    </row>
    <row r="2002" spans="2:8">
      <c r="B2002" s="80"/>
      <c r="C2002" s="36"/>
      <c r="D2002" s="91"/>
      <c r="E2002" s="80"/>
      <c r="F2002" s="80"/>
      <c r="G2002" s="91"/>
      <c r="H2002" s="91"/>
    </row>
    <row r="2003" spans="2:8">
      <c r="B2003" s="80"/>
      <c r="C2003" s="36"/>
      <c r="D2003" s="91"/>
      <c r="E2003" s="80"/>
      <c r="F2003" s="80"/>
      <c r="G2003" s="91"/>
      <c r="H2003" s="91"/>
    </row>
    <row r="2004" spans="2:8">
      <c r="B2004" s="80"/>
      <c r="C2004" s="36"/>
      <c r="D2004" s="91"/>
      <c r="E2004" s="80"/>
      <c r="F2004" s="80"/>
      <c r="G2004" s="91"/>
      <c r="H2004" s="91"/>
    </row>
    <row r="2005" spans="2:8">
      <c r="B2005" s="80"/>
      <c r="C2005" s="36"/>
      <c r="D2005" s="91"/>
      <c r="E2005" s="80"/>
      <c r="F2005" s="80"/>
      <c r="G2005" s="91"/>
      <c r="H2005" s="91"/>
    </row>
    <row r="2006" spans="2:8">
      <c r="B2006" s="80"/>
      <c r="C2006" s="36"/>
      <c r="D2006" s="91"/>
      <c r="E2006" s="80"/>
      <c r="F2006" s="80"/>
      <c r="G2006" s="91"/>
      <c r="H2006" s="91"/>
    </row>
    <row r="2007" spans="2:8">
      <c r="B2007" s="80"/>
      <c r="C2007" s="36"/>
      <c r="D2007" s="91"/>
      <c r="E2007" s="80"/>
      <c r="F2007" s="80"/>
      <c r="G2007" s="91"/>
      <c r="H2007" s="91"/>
    </row>
    <row r="2008" spans="2:8">
      <c r="B2008" s="80"/>
      <c r="C2008" s="36"/>
      <c r="D2008" s="91"/>
      <c r="E2008" s="80"/>
      <c r="F2008" s="80"/>
      <c r="G2008" s="91"/>
      <c r="H2008" s="91"/>
    </row>
    <row r="2009" spans="2:8">
      <c r="B2009" s="80"/>
      <c r="C2009" s="36"/>
      <c r="D2009" s="91"/>
      <c r="E2009" s="80"/>
      <c r="F2009" s="80"/>
      <c r="G2009" s="91"/>
      <c r="H2009" s="91"/>
    </row>
    <row r="2010" spans="2:8">
      <c r="B2010" s="80"/>
      <c r="C2010" s="36"/>
      <c r="D2010" s="91"/>
      <c r="E2010" s="80"/>
      <c r="F2010" s="80"/>
      <c r="G2010" s="91"/>
      <c r="H2010" s="91"/>
    </row>
    <row r="2011" spans="2:8">
      <c r="B2011" s="80"/>
      <c r="C2011" s="36"/>
      <c r="D2011" s="91"/>
      <c r="E2011" s="80"/>
      <c r="F2011" s="80"/>
      <c r="G2011" s="91"/>
      <c r="H2011" s="91"/>
    </row>
    <row r="2012" spans="2:8">
      <c r="B2012" s="80"/>
      <c r="C2012" s="36"/>
      <c r="D2012" s="91"/>
      <c r="E2012" s="80"/>
      <c r="F2012" s="80"/>
      <c r="G2012" s="91"/>
      <c r="H2012" s="91"/>
    </row>
    <row r="2013" spans="2:8">
      <c r="B2013" s="80"/>
      <c r="C2013" s="36"/>
      <c r="D2013" s="91"/>
      <c r="E2013" s="80"/>
      <c r="F2013" s="80"/>
      <c r="G2013" s="91"/>
      <c r="H2013" s="91"/>
    </row>
    <row r="2014" spans="2:8">
      <c r="B2014" s="80"/>
      <c r="C2014" s="36"/>
      <c r="D2014" s="91"/>
      <c r="E2014" s="80"/>
      <c r="F2014" s="80"/>
      <c r="G2014" s="91"/>
      <c r="H2014" s="91"/>
    </row>
    <row r="2015" spans="2:8">
      <c r="B2015" s="80"/>
      <c r="C2015" s="36"/>
      <c r="D2015" s="91"/>
      <c r="E2015" s="80"/>
      <c r="F2015" s="80"/>
      <c r="G2015" s="91"/>
      <c r="H2015" s="91"/>
    </row>
    <row r="2016" spans="2:8">
      <c r="B2016" s="80"/>
      <c r="C2016" s="36"/>
      <c r="D2016" s="91"/>
      <c r="E2016" s="80"/>
      <c r="F2016" s="80"/>
      <c r="G2016" s="91"/>
      <c r="H2016" s="91"/>
    </row>
    <row r="2017" spans="2:8">
      <c r="B2017" s="80"/>
      <c r="C2017" s="36"/>
      <c r="D2017" s="91"/>
      <c r="E2017" s="80"/>
      <c r="F2017" s="80"/>
      <c r="G2017" s="91"/>
      <c r="H2017" s="91"/>
    </row>
    <row r="2018" spans="2:8">
      <c r="B2018" s="80"/>
      <c r="C2018" s="36"/>
      <c r="D2018" s="91"/>
      <c r="E2018" s="80"/>
      <c r="F2018" s="80"/>
      <c r="G2018" s="91"/>
      <c r="H2018" s="91"/>
    </row>
    <row r="2019" spans="2:8">
      <c r="B2019" s="80"/>
      <c r="C2019" s="36"/>
      <c r="D2019" s="91"/>
      <c r="E2019" s="80"/>
      <c r="F2019" s="80"/>
      <c r="G2019" s="91"/>
      <c r="H2019" s="91"/>
    </row>
    <row r="2020" spans="2:8">
      <c r="B2020" s="80"/>
      <c r="C2020" s="36"/>
      <c r="D2020" s="91"/>
      <c r="E2020" s="80"/>
      <c r="F2020" s="80"/>
      <c r="G2020" s="91"/>
      <c r="H2020" s="91"/>
    </row>
    <row r="2021" spans="2:8">
      <c r="B2021" s="80"/>
      <c r="C2021" s="36"/>
      <c r="D2021" s="91"/>
      <c r="E2021" s="80"/>
      <c r="F2021" s="80"/>
      <c r="G2021" s="91"/>
      <c r="H2021" s="91"/>
    </row>
    <row r="2022" spans="2:8">
      <c r="B2022" s="80"/>
      <c r="C2022" s="36"/>
      <c r="D2022" s="91"/>
      <c r="E2022" s="80"/>
      <c r="F2022" s="80"/>
      <c r="G2022" s="91"/>
      <c r="H2022" s="91"/>
    </row>
    <row r="2023" spans="2:8">
      <c r="B2023" s="80"/>
      <c r="C2023" s="36"/>
      <c r="D2023" s="91"/>
      <c r="E2023" s="80"/>
      <c r="F2023" s="80"/>
      <c r="G2023" s="91"/>
      <c r="H2023" s="91"/>
    </row>
    <row r="2024" spans="2:8">
      <c r="B2024" s="80"/>
      <c r="C2024" s="36"/>
      <c r="D2024" s="91"/>
      <c r="E2024" s="80"/>
      <c r="F2024" s="80"/>
      <c r="G2024" s="91"/>
      <c r="H2024" s="91"/>
    </row>
    <row r="2025" spans="2:8">
      <c r="B2025" s="80"/>
      <c r="C2025" s="36"/>
      <c r="D2025" s="91"/>
      <c r="E2025" s="80"/>
      <c r="F2025" s="80"/>
      <c r="G2025" s="91"/>
      <c r="H2025" s="91"/>
    </row>
    <row r="2026" spans="2:8">
      <c r="B2026" s="80"/>
      <c r="C2026" s="36"/>
      <c r="D2026" s="91"/>
      <c r="E2026" s="80"/>
      <c r="F2026" s="80"/>
      <c r="G2026" s="91"/>
      <c r="H2026" s="91"/>
    </row>
    <row r="2027" spans="2:8">
      <c r="B2027" s="80"/>
      <c r="C2027" s="36"/>
      <c r="D2027" s="91"/>
      <c r="E2027" s="80"/>
      <c r="F2027" s="80"/>
      <c r="G2027" s="91"/>
      <c r="H2027" s="91"/>
    </row>
    <row r="2028" spans="2:8">
      <c r="B2028" s="80"/>
      <c r="C2028" s="36"/>
      <c r="D2028" s="91"/>
      <c r="E2028" s="80"/>
      <c r="F2028" s="80"/>
      <c r="G2028" s="91"/>
      <c r="H2028" s="91"/>
    </row>
    <row r="2029" spans="2:8">
      <c r="B2029" s="80"/>
      <c r="C2029" s="36"/>
      <c r="D2029" s="91"/>
      <c r="E2029" s="80"/>
      <c r="F2029" s="80"/>
      <c r="G2029" s="91"/>
      <c r="H2029" s="91"/>
    </row>
    <row r="2030" spans="2:8">
      <c r="B2030" s="80"/>
      <c r="C2030" s="36"/>
      <c r="D2030" s="91"/>
      <c r="E2030" s="80"/>
      <c r="F2030" s="80"/>
      <c r="G2030" s="91"/>
      <c r="H2030" s="91"/>
    </row>
    <row r="2031" spans="2:8">
      <c r="B2031" s="80"/>
      <c r="C2031" s="36"/>
      <c r="D2031" s="91"/>
      <c r="E2031" s="80"/>
      <c r="F2031" s="80"/>
      <c r="G2031" s="91"/>
      <c r="H2031" s="91"/>
    </row>
    <row r="2032" spans="2:8">
      <c r="B2032" s="80"/>
      <c r="C2032" s="36"/>
      <c r="D2032" s="91"/>
      <c r="E2032" s="80"/>
      <c r="F2032" s="80"/>
      <c r="G2032" s="91"/>
      <c r="H2032" s="91"/>
    </row>
    <row r="2033" spans="2:8">
      <c r="B2033" s="80"/>
      <c r="C2033" s="36"/>
      <c r="D2033" s="91"/>
      <c r="E2033" s="80"/>
      <c r="F2033" s="80"/>
      <c r="G2033" s="91"/>
      <c r="H2033" s="91"/>
    </row>
    <row r="2034" spans="2:8">
      <c r="B2034" s="80"/>
      <c r="C2034" s="36"/>
      <c r="D2034" s="91"/>
      <c r="E2034" s="80"/>
      <c r="F2034" s="80"/>
      <c r="G2034" s="91"/>
      <c r="H2034" s="91"/>
    </row>
    <row r="2035" spans="2:8">
      <c r="B2035" s="80"/>
      <c r="C2035" s="36"/>
      <c r="D2035" s="91"/>
      <c r="E2035" s="80"/>
      <c r="F2035" s="80"/>
      <c r="G2035" s="91"/>
      <c r="H2035" s="91"/>
    </row>
    <row r="2036" spans="2:8">
      <c r="B2036" s="80"/>
      <c r="C2036" s="36"/>
      <c r="D2036" s="91"/>
      <c r="E2036" s="80"/>
      <c r="F2036" s="80"/>
      <c r="G2036" s="91"/>
      <c r="H2036" s="91"/>
    </row>
    <row r="2037" spans="2:8">
      <c r="B2037" s="80"/>
      <c r="C2037" s="36"/>
      <c r="D2037" s="91"/>
      <c r="E2037" s="80"/>
      <c r="F2037" s="80"/>
      <c r="G2037" s="91"/>
      <c r="H2037" s="91"/>
    </row>
    <row r="2038" spans="2:8">
      <c r="B2038" s="80"/>
      <c r="C2038" s="36"/>
      <c r="D2038" s="91"/>
      <c r="E2038" s="80"/>
      <c r="F2038" s="80"/>
      <c r="G2038" s="91"/>
      <c r="H2038" s="91"/>
    </row>
    <row r="2039" spans="2:8">
      <c r="B2039" s="80"/>
      <c r="C2039" s="36"/>
      <c r="D2039" s="91"/>
      <c r="E2039" s="80"/>
      <c r="F2039" s="80"/>
      <c r="G2039" s="91"/>
      <c r="H2039" s="91"/>
    </row>
    <row r="2040" spans="2:8">
      <c r="B2040" s="80"/>
      <c r="C2040" s="36"/>
      <c r="D2040" s="91"/>
      <c r="E2040" s="80"/>
      <c r="F2040" s="80"/>
      <c r="G2040" s="91"/>
      <c r="H2040" s="91"/>
    </row>
    <row r="2041" spans="2:8">
      <c r="B2041" s="80"/>
      <c r="C2041" s="36"/>
      <c r="D2041" s="91"/>
      <c r="E2041" s="80"/>
      <c r="F2041" s="80"/>
      <c r="G2041" s="91"/>
      <c r="H2041" s="91"/>
    </row>
    <row r="2042" spans="2:8">
      <c r="B2042" s="80"/>
      <c r="C2042" s="36"/>
      <c r="D2042" s="91"/>
      <c r="E2042" s="80"/>
      <c r="F2042" s="80"/>
      <c r="G2042" s="91"/>
      <c r="H2042" s="91"/>
    </row>
    <row r="2043" spans="2:8">
      <c r="B2043" s="80"/>
      <c r="C2043" s="36"/>
      <c r="D2043" s="91"/>
      <c r="E2043" s="80"/>
      <c r="F2043" s="80"/>
      <c r="G2043" s="91"/>
      <c r="H2043" s="91"/>
    </row>
    <row r="2044" spans="2:8">
      <c r="B2044" s="80"/>
      <c r="C2044" s="36"/>
      <c r="D2044" s="91"/>
      <c r="E2044" s="80"/>
      <c r="F2044" s="80"/>
      <c r="G2044" s="91"/>
      <c r="H2044" s="91"/>
    </row>
    <row r="2045" spans="2:8">
      <c r="B2045" s="80"/>
      <c r="C2045" s="36"/>
      <c r="D2045" s="91"/>
      <c r="E2045" s="80"/>
      <c r="F2045" s="80"/>
      <c r="G2045" s="91"/>
      <c r="H2045" s="91"/>
    </row>
    <row r="2046" spans="2:8">
      <c r="B2046" s="80"/>
      <c r="C2046" s="36"/>
      <c r="D2046" s="91"/>
      <c r="E2046" s="80"/>
      <c r="F2046" s="80"/>
      <c r="G2046" s="91"/>
      <c r="H2046" s="91"/>
    </row>
    <row r="2047" spans="2:8">
      <c r="B2047" s="80"/>
      <c r="C2047" s="36"/>
      <c r="D2047" s="91"/>
      <c r="E2047" s="80"/>
      <c r="F2047" s="80"/>
      <c r="G2047" s="91"/>
      <c r="H2047" s="91"/>
    </row>
    <row r="2048" spans="2:8">
      <c r="B2048" s="80"/>
      <c r="C2048" s="36"/>
      <c r="D2048" s="91"/>
      <c r="E2048" s="80"/>
      <c r="F2048" s="80"/>
      <c r="G2048" s="91"/>
      <c r="H2048" s="91"/>
    </row>
    <row r="2049" spans="2:8">
      <c r="B2049" s="80"/>
      <c r="C2049" s="36"/>
      <c r="D2049" s="91"/>
      <c r="E2049" s="80"/>
      <c r="F2049" s="80"/>
      <c r="G2049" s="91"/>
      <c r="H2049" s="91"/>
    </row>
    <row r="2050" spans="2:8">
      <c r="B2050" s="80"/>
      <c r="C2050" s="36"/>
      <c r="D2050" s="91"/>
      <c r="E2050" s="80"/>
      <c r="F2050" s="80"/>
      <c r="G2050" s="91"/>
      <c r="H2050" s="91"/>
    </row>
    <row r="2051" spans="2:8">
      <c r="B2051" s="80"/>
      <c r="C2051" s="36"/>
      <c r="D2051" s="91"/>
      <c r="E2051" s="80"/>
      <c r="F2051" s="80"/>
      <c r="G2051" s="91"/>
      <c r="H2051" s="91"/>
    </row>
    <row r="2052" spans="2:8">
      <c r="B2052" s="80"/>
      <c r="C2052" s="36"/>
      <c r="D2052" s="91"/>
      <c r="E2052" s="80"/>
      <c r="F2052" s="80"/>
      <c r="G2052" s="91"/>
      <c r="H2052" s="91"/>
    </row>
    <row r="2053" spans="2:8">
      <c r="B2053" s="80"/>
      <c r="C2053" s="36"/>
      <c r="D2053" s="91"/>
      <c r="E2053" s="80"/>
      <c r="F2053" s="80"/>
      <c r="G2053" s="91"/>
      <c r="H2053" s="91"/>
    </row>
    <row r="2054" spans="2:8">
      <c r="B2054" s="80"/>
      <c r="C2054" s="36"/>
      <c r="D2054" s="91"/>
      <c r="E2054" s="80"/>
      <c r="F2054" s="80"/>
      <c r="G2054" s="91"/>
      <c r="H2054" s="91"/>
    </row>
    <row r="2055" spans="2:8">
      <c r="B2055" s="80"/>
      <c r="C2055" s="36"/>
      <c r="D2055" s="91"/>
      <c r="E2055" s="80"/>
      <c r="F2055" s="80"/>
      <c r="G2055" s="91"/>
      <c r="H2055" s="91"/>
    </row>
    <row r="2056" spans="2:8">
      <c r="B2056" s="80"/>
      <c r="C2056" s="36"/>
      <c r="D2056" s="91"/>
      <c r="E2056" s="80"/>
      <c r="F2056" s="80"/>
      <c r="G2056" s="91"/>
      <c r="H2056" s="91"/>
    </row>
    <row r="2057" spans="2:8">
      <c r="B2057" s="80"/>
      <c r="C2057" s="36"/>
      <c r="D2057" s="91"/>
      <c r="E2057" s="80"/>
      <c r="F2057" s="80"/>
      <c r="G2057" s="91"/>
      <c r="H2057" s="91"/>
    </row>
    <row r="2058" spans="2:8">
      <c r="B2058" s="80"/>
      <c r="C2058" s="36"/>
      <c r="D2058" s="91"/>
      <c r="E2058" s="80"/>
      <c r="F2058" s="80"/>
      <c r="G2058" s="91"/>
      <c r="H2058" s="91"/>
    </row>
    <row r="2059" spans="2:8">
      <c r="B2059" s="80"/>
      <c r="C2059" s="36"/>
      <c r="D2059" s="91"/>
      <c r="E2059" s="80"/>
      <c r="F2059" s="80"/>
      <c r="G2059" s="91"/>
      <c r="H2059" s="91"/>
    </row>
    <row r="2060" spans="2:8">
      <c r="B2060" s="80"/>
      <c r="C2060" s="36"/>
      <c r="D2060" s="91"/>
      <c r="E2060" s="80"/>
      <c r="F2060" s="80"/>
      <c r="G2060" s="91"/>
      <c r="H2060" s="91"/>
    </row>
    <row r="2061" spans="2:8">
      <c r="B2061" s="80"/>
      <c r="C2061" s="36"/>
      <c r="D2061" s="91"/>
      <c r="E2061" s="80"/>
      <c r="F2061" s="80"/>
      <c r="G2061" s="91"/>
      <c r="H2061" s="91"/>
    </row>
    <row r="2062" spans="2:8">
      <c r="B2062" s="80"/>
      <c r="C2062" s="36"/>
      <c r="D2062" s="91"/>
      <c r="E2062" s="80"/>
      <c r="F2062" s="80"/>
      <c r="G2062" s="91"/>
      <c r="H2062" s="91"/>
    </row>
    <row r="2063" spans="2:8">
      <c r="B2063" s="80"/>
      <c r="C2063" s="36"/>
      <c r="D2063" s="91"/>
      <c r="E2063" s="80"/>
      <c r="F2063" s="80"/>
      <c r="G2063" s="91"/>
      <c r="H2063" s="91"/>
    </row>
    <row r="2064" spans="2:8">
      <c r="B2064" s="80"/>
      <c r="C2064" s="36"/>
      <c r="D2064" s="91"/>
      <c r="E2064" s="80"/>
      <c r="F2064" s="80"/>
      <c r="G2064" s="91"/>
      <c r="H2064" s="91"/>
    </row>
    <row r="2065" spans="2:8">
      <c r="B2065" s="80"/>
      <c r="C2065" s="36"/>
      <c r="D2065" s="91"/>
      <c r="E2065" s="80"/>
      <c r="F2065" s="80"/>
      <c r="G2065" s="91"/>
      <c r="H2065" s="91"/>
    </row>
    <row r="2066" spans="2:8">
      <c r="B2066" s="80"/>
      <c r="C2066" s="36"/>
      <c r="D2066" s="91"/>
      <c r="E2066" s="80"/>
      <c r="F2066" s="80"/>
      <c r="G2066" s="91"/>
      <c r="H2066" s="91"/>
    </row>
    <row r="2067" spans="2:8">
      <c r="B2067" s="80"/>
      <c r="C2067" s="36"/>
      <c r="D2067" s="91"/>
      <c r="E2067" s="80"/>
      <c r="F2067" s="80"/>
      <c r="G2067" s="91"/>
      <c r="H2067" s="91"/>
    </row>
    <row r="2068" spans="2:8">
      <c r="B2068" s="80"/>
      <c r="C2068" s="36"/>
      <c r="D2068" s="91"/>
      <c r="E2068" s="80"/>
      <c r="F2068" s="80"/>
      <c r="G2068" s="91"/>
      <c r="H2068" s="91"/>
    </row>
    <row r="2069" spans="2:8">
      <c r="B2069" s="80"/>
      <c r="C2069" s="36"/>
      <c r="D2069" s="91"/>
      <c r="E2069" s="80"/>
      <c r="F2069" s="80"/>
      <c r="G2069" s="91"/>
      <c r="H2069" s="91"/>
    </row>
    <row r="2070" spans="2:8">
      <c r="B2070" s="80"/>
      <c r="C2070" s="36"/>
      <c r="D2070" s="91"/>
      <c r="E2070" s="80"/>
      <c r="F2070" s="80"/>
      <c r="G2070" s="91"/>
      <c r="H2070" s="91"/>
    </row>
    <row r="2071" spans="2:8">
      <c r="B2071" s="80"/>
      <c r="C2071" s="36"/>
      <c r="D2071" s="91"/>
      <c r="E2071" s="80"/>
      <c r="F2071" s="80"/>
      <c r="G2071" s="91"/>
      <c r="H2071" s="91"/>
    </row>
    <row r="2072" spans="2:8">
      <c r="B2072" s="80"/>
      <c r="C2072" s="36"/>
      <c r="D2072" s="91"/>
      <c r="E2072" s="80"/>
      <c r="F2072" s="80"/>
      <c r="G2072" s="91"/>
      <c r="H2072" s="91"/>
    </row>
    <row r="2073" spans="2:8">
      <c r="B2073" s="80"/>
      <c r="C2073" s="36"/>
      <c r="D2073" s="91"/>
      <c r="E2073" s="80"/>
      <c r="F2073" s="80"/>
      <c r="G2073" s="91"/>
      <c r="H2073" s="91"/>
    </row>
    <row r="2074" spans="2:8">
      <c r="B2074" s="80"/>
      <c r="C2074" s="36"/>
      <c r="D2074" s="91"/>
      <c r="E2074" s="80"/>
      <c r="F2074" s="80"/>
      <c r="G2074" s="91"/>
      <c r="H2074" s="91"/>
    </row>
    <row r="2075" spans="2:8">
      <c r="B2075" s="80"/>
      <c r="C2075" s="36"/>
      <c r="D2075" s="91"/>
      <c r="E2075" s="80"/>
      <c r="F2075" s="80"/>
      <c r="G2075" s="91"/>
      <c r="H2075" s="91"/>
    </row>
    <row r="2076" spans="2:8">
      <c r="B2076" s="80"/>
      <c r="C2076" s="36"/>
      <c r="D2076" s="91"/>
      <c r="E2076" s="80"/>
      <c r="F2076" s="80"/>
      <c r="G2076" s="91"/>
      <c r="H2076" s="91"/>
    </row>
    <row r="2077" spans="2:8">
      <c r="B2077" s="80"/>
      <c r="C2077" s="36"/>
      <c r="D2077" s="91"/>
      <c r="E2077" s="80"/>
      <c r="F2077" s="80"/>
      <c r="G2077" s="91"/>
      <c r="H2077" s="91"/>
    </row>
    <row r="2078" spans="2:8">
      <c r="B2078" s="80"/>
      <c r="C2078" s="36"/>
      <c r="D2078" s="91"/>
      <c r="E2078" s="80"/>
      <c r="F2078" s="80"/>
      <c r="G2078" s="91"/>
      <c r="H2078" s="91"/>
    </row>
    <row r="2079" spans="2:8">
      <c r="B2079" s="80"/>
      <c r="C2079" s="36"/>
      <c r="D2079" s="91"/>
      <c r="E2079" s="80"/>
      <c r="F2079" s="80"/>
      <c r="G2079" s="91"/>
      <c r="H2079" s="91"/>
    </row>
    <row r="2080" spans="2:8">
      <c r="B2080" s="80"/>
      <c r="C2080" s="36"/>
      <c r="D2080" s="91"/>
      <c r="E2080" s="80"/>
      <c r="F2080" s="80"/>
      <c r="G2080" s="91"/>
      <c r="H2080" s="91"/>
    </row>
    <row r="2081" spans="2:8">
      <c r="B2081" s="80"/>
      <c r="C2081" s="36"/>
      <c r="D2081" s="91"/>
      <c r="E2081" s="80"/>
      <c r="F2081" s="80"/>
      <c r="G2081" s="91"/>
      <c r="H2081" s="91"/>
    </row>
    <row r="2082" spans="2:8">
      <c r="B2082" s="80"/>
      <c r="C2082" s="36"/>
      <c r="D2082" s="91"/>
      <c r="E2082" s="80"/>
      <c r="F2082" s="80"/>
      <c r="G2082" s="91"/>
      <c r="H2082" s="91"/>
    </row>
    <row r="2083" spans="2:8">
      <c r="B2083" s="80"/>
      <c r="C2083" s="36"/>
      <c r="D2083" s="91"/>
      <c r="E2083" s="80"/>
      <c r="F2083" s="80"/>
      <c r="G2083" s="91"/>
      <c r="H2083" s="91"/>
    </row>
    <row r="2084" spans="2:8">
      <c r="B2084" s="80"/>
      <c r="C2084" s="36"/>
      <c r="D2084" s="91"/>
      <c r="E2084" s="80"/>
      <c r="F2084" s="80"/>
      <c r="G2084" s="91"/>
      <c r="H2084" s="91"/>
    </row>
    <row r="2085" spans="2:8">
      <c r="B2085" s="80"/>
      <c r="C2085" s="36"/>
      <c r="D2085" s="91"/>
      <c r="E2085" s="80"/>
      <c r="F2085" s="80"/>
      <c r="G2085" s="91"/>
      <c r="H2085" s="91"/>
    </row>
    <row r="2086" spans="2:8">
      <c r="B2086" s="80"/>
      <c r="C2086" s="36"/>
      <c r="D2086" s="91"/>
      <c r="E2086" s="80"/>
      <c r="F2086" s="80"/>
      <c r="G2086" s="91"/>
      <c r="H2086" s="91"/>
    </row>
    <row r="2087" spans="2:8">
      <c r="B2087" s="80"/>
      <c r="C2087" s="36"/>
      <c r="D2087" s="91"/>
      <c r="E2087" s="80"/>
      <c r="F2087" s="80"/>
      <c r="G2087" s="91"/>
      <c r="H2087" s="91"/>
    </row>
    <row r="2088" spans="2:8">
      <c r="B2088" s="80"/>
      <c r="C2088" s="36"/>
      <c r="D2088" s="91"/>
      <c r="E2088" s="80"/>
      <c r="F2088" s="80"/>
      <c r="G2088" s="91"/>
      <c r="H2088" s="91"/>
    </row>
    <row r="2089" spans="2:8">
      <c r="B2089" s="80"/>
      <c r="C2089" s="36"/>
      <c r="D2089" s="91"/>
      <c r="E2089" s="80"/>
      <c r="F2089" s="80"/>
      <c r="G2089" s="91"/>
      <c r="H2089" s="91"/>
    </row>
    <row r="2090" spans="2:8">
      <c r="B2090" s="80"/>
      <c r="C2090" s="36"/>
      <c r="D2090" s="91"/>
      <c r="E2090" s="80"/>
      <c r="F2090" s="80"/>
      <c r="G2090" s="91"/>
      <c r="H2090" s="91"/>
    </row>
    <row r="2091" spans="2:8">
      <c r="B2091" s="80"/>
      <c r="C2091" s="36"/>
      <c r="D2091" s="91"/>
      <c r="E2091" s="80"/>
      <c r="F2091" s="80"/>
      <c r="G2091" s="91"/>
      <c r="H2091" s="91"/>
    </row>
    <row r="2092" spans="2:8">
      <c r="B2092" s="80"/>
      <c r="C2092" s="36"/>
      <c r="D2092" s="91"/>
      <c r="E2092" s="80"/>
      <c r="F2092" s="80"/>
      <c r="G2092" s="91"/>
      <c r="H2092" s="91"/>
    </row>
    <row r="2093" spans="2:8">
      <c r="B2093" s="80"/>
      <c r="C2093" s="36"/>
      <c r="D2093" s="91"/>
      <c r="E2093" s="80"/>
      <c r="F2093" s="80"/>
      <c r="G2093" s="91"/>
      <c r="H2093" s="91"/>
    </row>
    <row r="2094" spans="2:8">
      <c r="B2094" s="80"/>
      <c r="C2094" s="36"/>
      <c r="D2094" s="91"/>
      <c r="E2094" s="80"/>
      <c r="F2094" s="80"/>
      <c r="G2094" s="91"/>
      <c r="H2094" s="91"/>
    </row>
    <row r="2095" spans="2:8">
      <c r="B2095" s="80"/>
      <c r="C2095" s="36"/>
      <c r="D2095" s="91"/>
      <c r="E2095" s="80"/>
      <c r="F2095" s="80"/>
      <c r="G2095" s="91"/>
      <c r="H2095" s="91"/>
    </row>
    <row r="2096" spans="2:8">
      <c r="B2096" s="80"/>
      <c r="C2096" s="36"/>
      <c r="D2096" s="91"/>
      <c r="E2096" s="80"/>
      <c r="F2096" s="80"/>
      <c r="G2096" s="91"/>
      <c r="H2096" s="91"/>
    </row>
    <row r="2097" spans="2:8">
      <c r="B2097" s="80"/>
      <c r="C2097" s="36"/>
      <c r="D2097" s="91"/>
      <c r="E2097" s="80"/>
      <c r="F2097" s="80"/>
      <c r="G2097" s="91"/>
      <c r="H2097" s="91"/>
    </row>
    <row r="2098" spans="2:8">
      <c r="B2098" s="80"/>
      <c r="C2098" s="36"/>
      <c r="D2098" s="91"/>
      <c r="E2098" s="80"/>
      <c r="F2098" s="80"/>
      <c r="G2098" s="91"/>
      <c r="H2098" s="91"/>
    </row>
    <row r="2099" spans="2:8">
      <c r="B2099" s="80"/>
      <c r="C2099" s="36"/>
      <c r="D2099" s="91"/>
      <c r="E2099" s="80"/>
      <c r="F2099" s="80"/>
      <c r="G2099" s="91"/>
      <c r="H2099" s="91"/>
    </row>
    <row r="2100" spans="2:8">
      <c r="B2100" s="80"/>
      <c r="C2100" s="36"/>
      <c r="D2100" s="91"/>
      <c r="E2100" s="80"/>
      <c r="F2100" s="80"/>
      <c r="G2100" s="91"/>
      <c r="H2100" s="91"/>
    </row>
    <row r="2101" spans="2:8">
      <c r="B2101" s="80"/>
      <c r="C2101" s="36"/>
      <c r="D2101" s="91"/>
      <c r="E2101" s="80"/>
      <c r="F2101" s="80"/>
      <c r="G2101" s="91"/>
      <c r="H2101" s="91"/>
    </row>
    <row r="2102" spans="2:8">
      <c r="B2102" s="80"/>
      <c r="C2102" s="36"/>
      <c r="D2102" s="91"/>
      <c r="E2102" s="80"/>
      <c r="F2102" s="80"/>
      <c r="G2102" s="91"/>
      <c r="H2102" s="91"/>
    </row>
    <row r="2103" spans="2:8">
      <c r="B2103" s="80"/>
      <c r="C2103" s="36"/>
      <c r="D2103" s="91"/>
      <c r="E2103" s="80"/>
      <c r="F2103" s="80"/>
      <c r="G2103" s="91"/>
      <c r="H2103" s="91"/>
    </row>
    <row r="2104" spans="2:8">
      <c r="B2104" s="80"/>
      <c r="C2104" s="36"/>
      <c r="D2104" s="91"/>
      <c r="E2104" s="80"/>
      <c r="F2104" s="80"/>
      <c r="G2104" s="91"/>
      <c r="H2104" s="91"/>
    </row>
    <row r="2105" spans="2:8">
      <c r="B2105" s="80"/>
      <c r="C2105" s="36"/>
      <c r="D2105" s="91"/>
      <c r="E2105" s="80"/>
      <c r="F2105" s="80"/>
      <c r="G2105" s="91"/>
      <c r="H2105" s="91"/>
    </row>
    <row r="2106" spans="2:8">
      <c r="B2106" s="80"/>
      <c r="C2106" s="36"/>
      <c r="D2106" s="91"/>
      <c r="E2106" s="80"/>
      <c r="F2106" s="80"/>
      <c r="G2106" s="91"/>
      <c r="H2106" s="91"/>
    </row>
    <row r="2107" spans="2:8">
      <c r="B2107" s="80"/>
      <c r="C2107" s="36"/>
      <c r="D2107" s="91"/>
      <c r="E2107" s="80"/>
      <c r="F2107" s="80"/>
      <c r="G2107" s="91"/>
      <c r="H2107" s="91"/>
    </row>
    <row r="2108" spans="2:8">
      <c r="B2108" s="80"/>
      <c r="C2108" s="36"/>
      <c r="D2108" s="91"/>
      <c r="E2108" s="80"/>
      <c r="F2108" s="80"/>
      <c r="G2108" s="91"/>
      <c r="H2108" s="91"/>
    </row>
    <row r="2109" spans="2:8">
      <c r="B2109" s="80"/>
      <c r="C2109" s="36"/>
      <c r="D2109" s="91"/>
      <c r="E2109" s="80"/>
      <c r="F2109" s="80"/>
      <c r="G2109" s="91"/>
      <c r="H2109" s="91"/>
    </row>
    <row r="2110" spans="2:8">
      <c r="B2110" s="80"/>
      <c r="C2110" s="36"/>
      <c r="D2110" s="91"/>
      <c r="E2110" s="80"/>
      <c r="F2110" s="80"/>
      <c r="G2110" s="91"/>
      <c r="H2110" s="91"/>
    </row>
    <row r="2111" spans="2:8">
      <c r="B2111" s="80"/>
      <c r="C2111" s="36"/>
      <c r="D2111" s="91"/>
      <c r="E2111" s="80"/>
      <c r="F2111" s="80"/>
      <c r="G2111" s="91"/>
      <c r="H2111" s="91"/>
    </row>
    <row r="2112" spans="2:8">
      <c r="B2112" s="80"/>
      <c r="C2112" s="36"/>
      <c r="D2112" s="91"/>
      <c r="E2112" s="80"/>
      <c r="F2112" s="80"/>
      <c r="G2112" s="91"/>
      <c r="H2112" s="91"/>
    </row>
    <row r="2113" spans="2:8">
      <c r="B2113" s="80"/>
      <c r="C2113" s="36"/>
      <c r="D2113" s="91"/>
      <c r="E2113" s="80"/>
      <c r="F2113" s="80"/>
      <c r="G2113" s="91"/>
      <c r="H2113" s="91"/>
    </row>
    <row r="2114" spans="2:8">
      <c r="B2114" s="80"/>
      <c r="C2114" s="36"/>
      <c r="D2114" s="91"/>
      <c r="E2114" s="80"/>
      <c r="F2114" s="80"/>
      <c r="G2114" s="91"/>
      <c r="H2114" s="91"/>
    </row>
    <row r="2115" spans="2:8">
      <c r="B2115" s="80"/>
      <c r="C2115" s="36"/>
      <c r="D2115" s="91"/>
      <c r="E2115" s="80"/>
      <c r="F2115" s="80"/>
      <c r="G2115" s="91"/>
      <c r="H2115" s="91"/>
    </row>
    <row r="2116" spans="2:8">
      <c r="B2116" s="80"/>
      <c r="C2116" s="36"/>
      <c r="D2116" s="91"/>
      <c r="E2116" s="80"/>
      <c r="F2116" s="80"/>
      <c r="G2116" s="91"/>
      <c r="H2116" s="91"/>
    </row>
    <row r="2117" spans="2:8">
      <c r="B2117" s="80"/>
      <c r="C2117" s="36"/>
      <c r="D2117" s="91"/>
      <c r="E2117" s="80"/>
      <c r="F2117" s="80"/>
      <c r="G2117" s="91"/>
      <c r="H2117" s="91"/>
    </row>
    <row r="2118" spans="2:8">
      <c r="B2118" s="80"/>
      <c r="C2118" s="36"/>
      <c r="D2118" s="91"/>
      <c r="E2118" s="80"/>
      <c r="F2118" s="80"/>
      <c r="G2118" s="91"/>
      <c r="H2118" s="91"/>
    </row>
    <row r="2119" spans="2:8">
      <c r="B2119" s="80"/>
      <c r="C2119" s="36"/>
      <c r="D2119" s="91"/>
      <c r="E2119" s="80"/>
      <c r="F2119" s="80"/>
      <c r="G2119" s="91"/>
      <c r="H2119" s="91"/>
    </row>
    <row r="2120" spans="2:8">
      <c r="B2120" s="80"/>
      <c r="C2120" s="36"/>
      <c r="D2120" s="91"/>
      <c r="E2120" s="80"/>
      <c r="F2120" s="80"/>
      <c r="G2120" s="91"/>
      <c r="H2120" s="91"/>
    </row>
    <row r="2121" spans="2:8">
      <c r="B2121" s="80"/>
      <c r="C2121" s="36"/>
      <c r="D2121" s="91"/>
      <c r="E2121" s="80"/>
      <c r="F2121" s="80"/>
      <c r="G2121" s="91"/>
      <c r="H2121" s="91"/>
    </row>
    <row r="2122" spans="2:8">
      <c r="B2122" s="80"/>
      <c r="C2122" s="36"/>
      <c r="D2122" s="91"/>
      <c r="E2122" s="80"/>
      <c r="F2122" s="80"/>
      <c r="G2122" s="91"/>
      <c r="H2122" s="91"/>
    </row>
    <row r="2123" spans="2:8">
      <c r="B2123" s="80"/>
      <c r="C2123" s="36"/>
      <c r="D2123" s="91"/>
      <c r="E2123" s="80"/>
      <c r="F2123" s="80"/>
      <c r="G2123" s="91"/>
      <c r="H2123" s="91"/>
    </row>
    <row r="2124" spans="2:8">
      <c r="B2124" s="80"/>
      <c r="C2124" s="36"/>
      <c r="D2124" s="91"/>
      <c r="E2124" s="80"/>
      <c r="F2124" s="80"/>
      <c r="G2124" s="91"/>
      <c r="H2124" s="91"/>
    </row>
    <row r="2125" spans="2:8">
      <c r="B2125" s="80"/>
      <c r="C2125" s="36"/>
      <c r="D2125" s="91"/>
      <c r="E2125" s="80"/>
      <c r="F2125" s="80"/>
      <c r="G2125" s="91"/>
      <c r="H2125" s="91"/>
    </row>
    <row r="2126" spans="2:8">
      <c r="B2126" s="80"/>
      <c r="C2126" s="36"/>
      <c r="D2126" s="91"/>
      <c r="E2126" s="80"/>
      <c r="F2126" s="80"/>
      <c r="G2126" s="91"/>
      <c r="H2126" s="91"/>
    </row>
    <row r="2127" spans="2:8">
      <c r="B2127" s="80"/>
      <c r="C2127" s="36"/>
      <c r="D2127" s="91"/>
      <c r="E2127" s="80"/>
      <c r="F2127" s="80"/>
      <c r="G2127" s="91"/>
      <c r="H2127" s="91"/>
    </row>
    <row r="2128" spans="2:8">
      <c r="B2128" s="80"/>
      <c r="C2128" s="36"/>
      <c r="D2128" s="91"/>
      <c r="E2128" s="80"/>
      <c r="F2128" s="80"/>
      <c r="G2128" s="91"/>
      <c r="H2128" s="91"/>
    </row>
    <row r="2129" spans="2:8">
      <c r="B2129" s="80"/>
      <c r="C2129" s="36"/>
      <c r="D2129" s="91"/>
      <c r="E2129" s="80"/>
      <c r="F2129" s="80"/>
      <c r="G2129" s="91"/>
      <c r="H2129" s="91"/>
    </row>
    <row r="2130" spans="2:8">
      <c r="B2130" s="80"/>
      <c r="C2130" s="36"/>
      <c r="D2130" s="91"/>
      <c r="E2130" s="80"/>
      <c r="F2130" s="80"/>
      <c r="G2130" s="91"/>
      <c r="H2130" s="91"/>
    </row>
    <row r="2131" spans="2:8">
      <c r="B2131" s="80"/>
      <c r="C2131" s="36"/>
      <c r="D2131" s="91"/>
      <c r="E2131" s="80"/>
      <c r="F2131" s="80"/>
      <c r="G2131" s="91"/>
      <c r="H2131" s="91"/>
    </row>
    <row r="2132" spans="2:8">
      <c r="B2132" s="80"/>
      <c r="C2132" s="36"/>
      <c r="D2132" s="91"/>
      <c r="E2132" s="80"/>
      <c r="F2132" s="80"/>
      <c r="G2132" s="91"/>
      <c r="H2132" s="91"/>
    </row>
    <row r="2133" spans="2:8">
      <c r="B2133" s="80"/>
      <c r="C2133" s="36"/>
      <c r="D2133" s="91"/>
      <c r="E2133" s="80"/>
      <c r="F2133" s="80"/>
      <c r="G2133" s="91"/>
      <c r="H2133" s="91"/>
    </row>
    <row r="2134" spans="2:8">
      <c r="B2134" s="80"/>
      <c r="C2134" s="36"/>
      <c r="D2134" s="91"/>
      <c r="E2134" s="80"/>
      <c r="F2134" s="80"/>
      <c r="G2134" s="91"/>
      <c r="H2134" s="91"/>
    </row>
    <row r="2135" spans="2:8">
      <c r="B2135" s="80"/>
      <c r="C2135" s="36"/>
      <c r="D2135" s="91"/>
      <c r="E2135" s="80"/>
      <c r="F2135" s="80"/>
      <c r="G2135" s="91"/>
      <c r="H2135" s="91"/>
    </row>
    <row r="2136" spans="2:8">
      <c r="B2136" s="80"/>
      <c r="C2136" s="36"/>
      <c r="D2136" s="91"/>
      <c r="E2136" s="80"/>
      <c r="F2136" s="80"/>
      <c r="G2136" s="91"/>
      <c r="H2136" s="91"/>
    </row>
    <row r="2137" spans="2:8">
      <c r="B2137" s="80"/>
      <c r="C2137" s="36"/>
      <c r="D2137" s="91"/>
      <c r="E2137" s="80"/>
      <c r="F2137" s="80"/>
      <c r="G2137" s="91"/>
      <c r="H2137" s="91"/>
    </row>
    <row r="2138" spans="2:8">
      <c r="B2138" s="80"/>
      <c r="C2138" s="36"/>
      <c r="D2138" s="91"/>
      <c r="E2138" s="80"/>
      <c r="F2138" s="80"/>
      <c r="G2138" s="91"/>
      <c r="H2138" s="91"/>
    </row>
    <row r="2139" spans="2:8">
      <c r="B2139" s="80"/>
      <c r="C2139" s="36"/>
      <c r="D2139" s="91"/>
      <c r="E2139" s="80"/>
      <c r="F2139" s="80"/>
      <c r="G2139" s="91"/>
      <c r="H2139" s="91"/>
    </row>
    <row r="2140" spans="2:8">
      <c r="B2140" s="80"/>
      <c r="C2140" s="36"/>
      <c r="D2140" s="91"/>
      <c r="E2140" s="80"/>
      <c r="F2140" s="80"/>
      <c r="G2140" s="91"/>
      <c r="H2140" s="91"/>
    </row>
    <row r="2141" spans="2:8">
      <c r="B2141" s="80"/>
      <c r="C2141" s="36"/>
      <c r="D2141" s="91"/>
      <c r="E2141" s="80"/>
      <c r="F2141" s="80"/>
      <c r="G2141" s="91"/>
      <c r="H2141" s="91"/>
    </row>
    <row r="2142" spans="2:8">
      <c r="B2142" s="80"/>
      <c r="C2142" s="36"/>
      <c r="D2142" s="91"/>
      <c r="E2142" s="80"/>
      <c r="F2142" s="80"/>
      <c r="G2142" s="91"/>
      <c r="H2142" s="91"/>
    </row>
    <row r="2143" spans="2:8">
      <c r="B2143" s="80"/>
      <c r="C2143" s="36"/>
      <c r="D2143" s="91"/>
      <c r="E2143" s="80"/>
      <c r="F2143" s="80"/>
      <c r="G2143" s="91"/>
      <c r="H2143" s="91"/>
    </row>
    <row r="2144" spans="2:8">
      <c r="B2144" s="80"/>
      <c r="C2144" s="36"/>
      <c r="D2144" s="91"/>
      <c r="E2144" s="80"/>
      <c r="F2144" s="80"/>
      <c r="G2144" s="91"/>
      <c r="H2144" s="91"/>
    </row>
    <row r="2145" spans="2:8">
      <c r="B2145" s="80"/>
      <c r="C2145" s="36"/>
      <c r="D2145" s="91"/>
      <c r="E2145" s="80"/>
      <c r="F2145" s="80"/>
      <c r="G2145" s="91"/>
      <c r="H2145" s="91"/>
    </row>
    <row r="2146" spans="2:8">
      <c r="B2146" s="80"/>
      <c r="C2146" s="36"/>
      <c r="D2146" s="91"/>
      <c r="E2146" s="80"/>
      <c r="F2146" s="80"/>
      <c r="G2146" s="91"/>
      <c r="H2146" s="91"/>
    </row>
    <row r="2147" spans="2:8">
      <c r="B2147" s="80"/>
      <c r="C2147" s="36"/>
      <c r="D2147" s="91"/>
      <c r="E2147" s="80"/>
      <c r="F2147" s="80"/>
      <c r="G2147" s="91"/>
      <c r="H2147" s="91"/>
    </row>
    <row r="2148" spans="2:8">
      <c r="B2148" s="80"/>
      <c r="C2148" s="36"/>
      <c r="D2148" s="91"/>
      <c r="E2148" s="80"/>
      <c r="F2148" s="80"/>
      <c r="G2148" s="91"/>
      <c r="H2148" s="91"/>
    </row>
    <row r="2149" spans="2:8">
      <c r="B2149" s="80"/>
      <c r="C2149" s="36"/>
      <c r="D2149" s="91"/>
      <c r="E2149" s="80"/>
      <c r="F2149" s="80"/>
      <c r="G2149" s="91"/>
      <c r="H2149" s="91"/>
    </row>
    <row r="2150" spans="2:8">
      <c r="B2150" s="80"/>
      <c r="C2150" s="36"/>
      <c r="D2150" s="91"/>
      <c r="E2150" s="80"/>
      <c r="F2150" s="80"/>
      <c r="G2150" s="91"/>
      <c r="H2150" s="91"/>
    </row>
    <row r="2151" spans="2:8">
      <c r="B2151" s="80"/>
      <c r="C2151" s="36"/>
      <c r="D2151" s="91"/>
      <c r="E2151" s="80"/>
      <c r="F2151" s="80"/>
      <c r="G2151" s="91"/>
      <c r="H2151" s="91"/>
    </row>
    <row r="2152" spans="2:8">
      <c r="B2152" s="80"/>
      <c r="C2152" s="36"/>
      <c r="D2152" s="91"/>
      <c r="E2152" s="80"/>
      <c r="F2152" s="80"/>
      <c r="G2152" s="91"/>
      <c r="H2152" s="91"/>
    </row>
    <row r="2153" spans="2:8">
      <c r="B2153" s="80"/>
      <c r="C2153" s="36"/>
      <c r="D2153" s="91"/>
      <c r="E2153" s="80"/>
      <c r="F2153" s="80"/>
      <c r="G2153" s="91"/>
      <c r="H2153" s="91"/>
    </row>
    <row r="2154" spans="2:8">
      <c r="B2154" s="80"/>
      <c r="C2154" s="36"/>
      <c r="D2154" s="91"/>
      <c r="E2154" s="80"/>
      <c r="F2154" s="80"/>
      <c r="G2154" s="91"/>
      <c r="H2154" s="91"/>
    </row>
    <row r="2155" spans="2:8">
      <c r="B2155" s="80"/>
      <c r="C2155" s="36"/>
      <c r="D2155" s="91"/>
      <c r="E2155" s="80"/>
      <c r="F2155" s="80"/>
      <c r="G2155" s="91"/>
      <c r="H2155" s="91"/>
    </row>
    <row r="2156" spans="2:8">
      <c r="B2156" s="80"/>
      <c r="C2156" s="36"/>
      <c r="D2156" s="91"/>
      <c r="E2156" s="80"/>
      <c r="F2156" s="80"/>
      <c r="G2156" s="91"/>
      <c r="H2156" s="91"/>
    </row>
    <row r="2157" spans="2:8">
      <c r="B2157" s="80"/>
      <c r="C2157" s="36"/>
      <c r="D2157" s="91"/>
      <c r="E2157" s="80"/>
      <c r="F2157" s="80"/>
      <c r="G2157" s="91"/>
      <c r="H2157" s="91"/>
    </row>
    <row r="2158" spans="2:8">
      <c r="B2158" s="80"/>
      <c r="C2158" s="36"/>
      <c r="D2158" s="91"/>
      <c r="E2158" s="80"/>
      <c r="F2158" s="80"/>
      <c r="G2158" s="91"/>
      <c r="H2158" s="91"/>
    </row>
    <row r="2159" spans="2:8">
      <c r="B2159" s="80"/>
      <c r="C2159" s="36"/>
      <c r="D2159" s="91"/>
      <c r="E2159" s="80"/>
      <c r="F2159" s="80"/>
      <c r="G2159" s="91"/>
      <c r="H2159" s="91"/>
    </row>
    <row r="2160" spans="2:8">
      <c r="B2160" s="80"/>
      <c r="C2160" s="36"/>
      <c r="D2160" s="91"/>
      <c r="E2160" s="80"/>
      <c r="F2160" s="80"/>
      <c r="G2160" s="91"/>
      <c r="H2160" s="91"/>
    </row>
    <row r="2161" spans="2:8">
      <c r="B2161" s="80"/>
      <c r="C2161" s="36"/>
      <c r="D2161" s="91"/>
      <c r="E2161" s="80"/>
      <c r="F2161" s="80"/>
      <c r="G2161" s="91"/>
      <c r="H2161" s="91"/>
    </row>
    <row r="2162" spans="2:8">
      <c r="B2162" s="80"/>
      <c r="C2162" s="36"/>
      <c r="D2162" s="91"/>
      <c r="E2162" s="80"/>
      <c r="F2162" s="80"/>
      <c r="G2162" s="91"/>
      <c r="H2162" s="91"/>
    </row>
    <row r="2163" spans="2:8">
      <c r="B2163" s="80"/>
      <c r="C2163" s="36"/>
      <c r="D2163" s="91"/>
      <c r="E2163" s="80"/>
      <c r="F2163" s="80"/>
      <c r="G2163" s="91"/>
      <c r="H2163" s="91"/>
    </row>
    <row r="2164" spans="2:8">
      <c r="B2164" s="80"/>
      <c r="C2164" s="36"/>
      <c r="D2164" s="91"/>
      <c r="E2164" s="80"/>
      <c r="F2164" s="80"/>
      <c r="G2164" s="91"/>
      <c r="H2164" s="91"/>
    </row>
    <row r="2165" spans="2:8">
      <c r="B2165" s="80"/>
      <c r="C2165" s="36"/>
      <c r="D2165" s="91"/>
      <c r="E2165" s="80"/>
      <c r="F2165" s="80"/>
      <c r="G2165" s="91"/>
      <c r="H2165" s="91"/>
    </row>
    <row r="2166" spans="2:8">
      <c r="B2166" s="80"/>
      <c r="C2166" s="36"/>
      <c r="D2166" s="91"/>
      <c r="E2166" s="80"/>
      <c r="F2166" s="80"/>
      <c r="G2166" s="91"/>
      <c r="H2166" s="91"/>
    </row>
    <row r="2167" spans="2:8">
      <c r="B2167" s="80"/>
      <c r="C2167" s="36"/>
      <c r="D2167" s="91"/>
      <c r="E2167" s="80"/>
      <c r="F2167" s="80"/>
      <c r="G2167" s="91"/>
      <c r="H2167" s="91"/>
    </row>
    <row r="2168" spans="2:8">
      <c r="B2168" s="80"/>
      <c r="C2168" s="36"/>
      <c r="D2168" s="91"/>
      <c r="E2168" s="80"/>
      <c r="F2168" s="80"/>
      <c r="G2168" s="91"/>
      <c r="H2168" s="91"/>
    </row>
    <row r="2169" spans="2:8">
      <c r="B2169" s="80"/>
      <c r="C2169" s="36"/>
      <c r="D2169" s="91"/>
      <c r="E2169" s="80"/>
      <c r="F2169" s="80"/>
      <c r="G2169" s="91"/>
      <c r="H2169" s="91"/>
    </row>
    <row r="2170" spans="2:8">
      <c r="B2170" s="80"/>
      <c r="C2170" s="36"/>
      <c r="D2170" s="91"/>
      <c r="E2170" s="80"/>
      <c r="F2170" s="80"/>
      <c r="G2170" s="91"/>
      <c r="H2170" s="91"/>
    </row>
    <row r="2171" spans="2:8">
      <c r="B2171" s="80"/>
      <c r="C2171" s="36"/>
      <c r="D2171" s="91"/>
      <c r="E2171" s="80"/>
      <c r="F2171" s="80"/>
      <c r="G2171" s="91"/>
      <c r="H2171" s="91"/>
    </row>
    <row r="2172" spans="2:8">
      <c r="B2172" s="80"/>
      <c r="C2172" s="36"/>
      <c r="D2172" s="91"/>
      <c r="E2172" s="80"/>
      <c r="F2172" s="80"/>
      <c r="G2172" s="91"/>
      <c r="H2172" s="91"/>
    </row>
    <row r="2173" spans="2:8">
      <c r="B2173" s="80"/>
      <c r="C2173" s="36"/>
      <c r="D2173" s="91"/>
      <c r="E2173" s="80"/>
      <c r="F2173" s="80"/>
      <c r="G2173" s="91"/>
      <c r="H2173" s="91"/>
    </row>
    <row r="2174" spans="2:8">
      <c r="B2174" s="80"/>
      <c r="C2174" s="36"/>
      <c r="D2174" s="91"/>
      <c r="E2174" s="80"/>
      <c r="F2174" s="80"/>
      <c r="G2174" s="91"/>
      <c r="H2174" s="91"/>
    </row>
    <row r="2175" spans="2:8">
      <c r="B2175" s="80"/>
      <c r="C2175" s="36"/>
      <c r="D2175" s="91"/>
      <c r="E2175" s="80"/>
      <c r="F2175" s="80"/>
      <c r="G2175" s="91"/>
      <c r="H2175" s="91"/>
    </row>
    <row r="2176" spans="2:8">
      <c r="B2176" s="80"/>
      <c r="C2176" s="36"/>
      <c r="D2176" s="91"/>
      <c r="E2176" s="80"/>
      <c r="F2176" s="80"/>
      <c r="G2176" s="91"/>
      <c r="H2176" s="91"/>
    </row>
    <row r="2177" spans="2:8">
      <c r="B2177" s="80"/>
      <c r="C2177" s="36"/>
      <c r="D2177" s="91"/>
      <c r="E2177" s="80"/>
      <c r="F2177" s="80"/>
      <c r="G2177" s="91"/>
      <c r="H2177" s="91"/>
    </row>
    <row r="2178" spans="2:8">
      <c r="B2178" s="80"/>
      <c r="C2178" s="36"/>
      <c r="D2178" s="91"/>
      <c r="E2178" s="80"/>
      <c r="F2178" s="80"/>
      <c r="G2178" s="91"/>
      <c r="H2178" s="91"/>
    </row>
    <row r="2179" spans="2:8">
      <c r="B2179" s="80"/>
      <c r="C2179" s="36"/>
      <c r="D2179" s="91"/>
      <c r="E2179" s="80"/>
      <c r="F2179" s="80"/>
      <c r="G2179" s="91"/>
      <c r="H2179" s="91"/>
    </row>
    <row r="2180" spans="2:8">
      <c r="B2180" s="80"/>
      <c r="C2180" s="36"/>
      <c r="D2180" s="91"/>
      <c r="E2180" s="80"/>
      <c r="F2180" s="80"/>
      <c r="G2180" s="91"/>
      <c r="H2180" s="91"/>
    </row>
    <row r="2181" spans="2:8">
      <c r="B2181" s="80"/>
      <c r="C2181" s="36"/>
      <c r="D2181" s="91"/>
      <c r="E2181" s="80"/>
      <c r="F2181" s="80"/>
      <c r="G2181" s="91"/>
      <c r="H2181" s="91"/>
    </row>
    <row r="2182" spans="2:8">
      <c r="B2182" s="80"/>
      <c r="C2182" s="36"/>
      <c r="D2182" s="91"/>
      <c r="E2182" s="80"/>
      <c r="F2182" s="80"/>
      <c r="G2182" s="91"/>
      <c r="H2182" s="91"/>
    </row>
    <row r="2183" spans="2:8">
      <c r="B2183" s="80"/>
      <c r="C2183" s="36"/>
      <c r="D2183" s="91"/>
      <c r="E2183" s="80"/>
      <c r="F2183" s="80"/>
      <c r="G2183" s="91"/>
      <c r="H2183" s="91"/>
    </row>
    <row r="2184" spans="2:8">
      <c r="B2184" s="80"/>
      <c r="C2184" s="36"/>
      <c r="D2184" s="91"/>
      <c r="E2184" s="80"/>
      <c r="F2184" s="80"/>
      <c r="G2184" s="91"/>
      <c r="H2184" s="91"/>
    </row>
    <row r="2185" spans="2:8">
      <c r="B2185" s="80"/>
      <c r="C2185" s="36"/>
      <c r="D2185" s="91"/>
      <c r="E2185" s="80"/>
      <c r="F2185" s="80"/>
      <c r="G2185" s="91"/>
      <c r="H2185" s="91"/>
    </row>
    <row r="2186" spans="2:8">
      <c r="B2186" s="80"/>
      <c r="C2186" s="36"/>
      <c r="D2186" s="91"/>
      <c r="E2186" s="80"/>
      <c r="F2186" s="80"/>
      <c r="G2186" s="91"/>
      <c r="H2186" s="91"/>
    </row>
    <row r="2187" spans="2:8">
      <c r="B2187" s="80"/>
      <c r="C2187" s="36"/>
      <c r="D2187" s="91"/>
      <c r="E2187" s="80"/>
      <c r="F2187" s="80"/>
      <c r="G2187" s="91"/>
      <c r="H2187" s="91"/>
    </row>
    <row r="2188" spans="2:8">
      <c r="B2188" s="80"/>
      <c r="C2188" s="36"/>
      <c r="D2188" s="91"/>
      <c r="E2188" s="80"/>
      <c r="F2188" s="80"/>
      <c r="G2188" s="91"/>
      <c r="H2188" s="91"/>
    </row>
    <row r="2189" spans="2:8">
      <c r="B2189" s="80"/>
      <c r="C2189" s="36"/>
      <c r="D2189" s="91"/>
      <c r="E2189" s="80"/>
      <c r="F2189" s="80"/>
      <c r="G2189" s="91"/>
      <c r="H2189" s="91"/>
    </row>
    <row r="2190" spans="2:8">
      <c r="B2190" s="80"/>
      <c r="C2190" s="36"/>
      <c r="D2190" s="91"/>
      <c r="E2190" s="80"/>
      <c r="F2190" s="80"/>
      <c r="G2190" s="91"/>
      <c r="H2190" s="91"/>
    </row>
    <row r="2191" spans="2:8">
      <c r="B2191" s="80"/>
      <c r="C2191" s="36"/>
      <c r="D2191" s="91"/>
      <c r="E2191" s="80"/>
      <c r="F2191" s="80"/>
      <c r="G2191" s="91"/>
      <c r="H2191" s="91"/>
    </row>
    <row r="2192" spans="2:8">
      <c r="B2192" s="80"/>
      <c r="C2192" s="36"/>
      <c r="D2192" s="91"/>
      <c r="E2192" s="80"/>
      <c r="F2192" s="80"/>
      <c r="G2192" s="91"/>
      <c r="H2192" s="91"/>
    </row>
    <row r="2193" spans="2:8">
      <c r="B2193" s="80"/>
      <c r="C2193" s="36"/>
      <c r="D2193" s="91"/>
      <c r="E2193" s="80"/>
      <c r="F2193" s="80"/>
      <c r="G2193" s="91"/>
      <c r="H2193" s="91"/>
    </row>
    <row r="2194" spans="2:8">
      <c r="B2194" s="80"/>
      <c r="C2194" s="36"/>
      <c r="D2194" s="91"/>
      <c r="E2194" s="80"/>
      <c r="F2194" s="80"/>
      <c r="G2194" s="91"/>
      <c r="H2194" s="91"/>
    </row>
    <row r="2195" spans="2:8">
      <c r="B2195" s="80"/>
      <c r="C2195" s="36"/>
      <c r="D2195" s="91"/>
      <c r="E2195" s="80"/>
      <c r="F2195" s="80"/>
      <c r="G2195" s="91"/>
      <c r="H2195" s="91"/>
    </row>
    <row r="2196" spans="2:8">
      <c r="B2196" s="80"/>
      <c r="C2196" s="36"/>
      <c r="D2196" s="91"/>
      <c r="E2196" s="80"/>
      <c r="F2196" s="80"/>
      <c r="G2196" s="91"/>
      <c r="H2196" s="91"/>
    </row>
    <row r="2197" spans="2:8">
      <c r="B2197" s="80"/>
      <c r="C2197" s="36"/>
      <c r="D2197" s="91"/>
      <c r="E2197" s="80"/>
      <c r="F2197" s="80"/>
      <c r="G2197" s="91"/>
      <c r="H2197" s="91"/>
    </row>
    <row r="2198" spans="2:8">
      <c r="B2198" s="80"/>
      <c r="C2198" s="36"/>
      <c r="D2198" s="91"/>
      <c r="E2198" s="80"/>
      <c r="F2198" s="80"/>
      <c r="G2198" s="91"/>
      <c r="H2198" s="91"/>
    </row>
    <row r="2199" spans="2:8">
      <c r="B2199" s="80"/>
      <c r="C2199" s="36"/>
      <c r="D2199" s="91"/>
      <c r="E2199" s="80"/>
      <c r="F2199" s="80"/>
      <c r="G2199" s="91"/>
      <c r="H2199" s="91"/>
    </row>
    <row r="2200" spans="2:8">
      <c r="B2200" s="80"/>
      <c r="C2200" s="36"/>
      <c r="D2200" s="91"/>
      <c r="E2200" s="80"/>
      <c r="F2200" s="80"/>
      <c r="G2200" s="91"/>
      <c r="H2200" s="91"/>
    </row>
    <row r="2201" spans="2:8">
      <c r="B2201" s="80"/>
      <c r="C2201" s="36"/>
      <c r="D2201" s="91"/>
      <c r="E2201" s="80"/>
      <c r="F2201" s="80"/>
      <c r="G2201" s="91"/>
      <c r="H2201" s="91"/>
    </row>
    <row r="2202" spans="2:8">
      <c r="B2202" s="80"/>
      <c r="C2202" s="36"/>
      <c r="D2202" s="91"/>
      <c r="E2202" s="80"/>
      <c r="F2202" s="80"/>
      <c r="G2202" s="91"/>
      <c r="H2202" s="91"/>
    </row>
    <row r="2203" spans="2:8">
      <c r="B2203" s="80"/>
      <c r="C2203" s="36"/>
      <c r="D2203" s="91"/>
      <c r="E2203" s="80"/>
      <c r="F2203" s="80"/>
      <c r="G2203" s="91"/>
      <c r="H2203" s="91"/>
    </row>
    <row r="2204" spans="2:8">
      <c r="B2204" s="80"/>
      <c r="C2204" s="36"/>
      <c r="D2204" s="91"/>
      <c r="E2204" s="80"/>
      <c r="F2204" s="80"/>
      <c r="G2204" s="91"/>
      <c r="H2204" s="91"/>
    </row>
    <row r="2205" spans="2:8">
      <c r="B2205" s="80"/>
      <c r="C2205" s="36"/>
      <c r="D2205" s="91"/>
      <c r="E2205" s="80"/>
      <c r="F2205" s="80"/>
      <c r="G2205" s="91"/>
      <c r="H2205" s="91"/>
    </row>
    <row r="2206" spans="2:8">
      <c r="B2206" s="80"/>
      <c r="C2206" s="36"/>
      <c r="D2206" s="91"/>
      <c r="E2206" s="80"/>
      <c r="F2206" s="80"/>
      <c r="G2206" s="91"/>
      <c r="H2206" s="91"/>
    </row>
    <row r="2207" spans="2:8">
      <c r="B2207" s="80"/>
      <c r="C2207" s="36"/>
      <c r="D2207" s="91"/>
      <c r="E2207" s="80"/>
      <c r="F2207" s="80"/>
      <c r="G2207" s="91"/>
      <c r="H2207" s="91"/>
    </row>
    <row r="2208" spans="2:8">
      <c r="B2208" s="80"/>
      <c r="C2208" s="36"/>
      <c r="D2208" s="91"/>
      <c r="E2208" s="80"/>
      <c r="F2208" s="80"/>
      <c r="G2208" s="91"/>
      <c r="H2208" s="91"/>
    </row>
    <row r="2209" spans="2:8">
      <c r="B2209" s="80"/>
      <c r="C2209" s="36"/>
      <c r="D2209" s="91"/>
      <c r="E2209" s="80"/>
      <c r="F2209" s="80"/>
      <c r="G2209" s="91"/>
      <c r="H2209" s="91"/>
    </row>
    <row r="2210" spans="2:8">
      <c r="B2210" s="80"/>
      <c r="C2210" s="36"/>
      <c r="D2210" s="91"/>
      <c r="E2210" s="80"/>
      <c r="F2210" s="80"/>
      <c r="G2210" s="91"/>
      <c r="H2210" s="91"/>
    </row>
    <row r="2211" spans="2:8">
      <c r="B2211" s="80"/>
      <c r="C2211" s="36"/>
      <c r="D2211" s="91"/>
      <c r="E2211" s="80"/>
      <c r="F2211" s="80"/>
      <c r="G2211" s="91"/>
      <c r="H2211" s="91"/>
    </row>
    <row r="2212" spans="2:8">
      <c r="B2212" s="80"/>
      <c r="C2212" s="36"/>
      <c r="D2212" s="91"/>
      <c r="E2212" s="80"/>
      <c r="F2212" s="80"/>
      <c r="G2212" s="91"/>
      <c r="H2212" s="91"/>
    </row>
    <row r="2213" spans="2:8">
      <c r="B2213" s="80"/>
      <c r="C2213" s="36"/>
      <c r="D2213" s="91"/>
      <c r="E2213" s="80"/>
      <c r="F2213" s="80"/>
      <c r="G2213" s="91"/>
      <c r="H2213" s="91"/>
    </row>
    <row r="2214" spans="2:8">
      <c r="B2214" s="80"/>
      <c r="C2214" s="36"/>
      <c r="D2214" s="91"/>
      <c r="E2214" s="80"/>
      <c r="F2214" s="80"/>
      <c r="G2214" s="91"/>
      <c r="H2214" s="91"/>
    </row>
    <row r="2215" spans="2:8">
      <c r="B2215" s="80"/>
      <c r="C2215" s="36"/>
      <c r="D2215" s="91"/>
      <c r="E2215" s="80"/>
      <c r="F2215" s="80"/>
      <c r="G2215" s="91"/>
      <c r="H2215" s="91"/>
    </row>
    <row r="2216" spans="2:8">
      <c r="B2216" s="80"/>
      <c r="C2216" s="36"/>
      <c r="D2216" s="91"/>
      <c r="E2216" s="80"/>
      <c r="F2216" s="80"/>
      <c r="G2216" s="91"/>
      <c r="H2216" s="91"/>
    </row>
    <row r="2217" spans="2:8">
      <c r="B2217" s="80"/>
      <c r="C2217" s="36"/>
      <c r="D2217" s="91"/>
      <c r="E2217" s="80"/>
      <c r="F2217" s="80"/>
      <c r="G2217" s="91"/>
      <c r="H2217" s="91"/>
    </row>
    <row r="2218" spans="2:8">
      <c r="B2218" s="80"/>
      <c r="C2218" s="36"/>
      <c r="D2218" s="91"/>
      <c r="E2218" s="80"/>
      <c r="F2218" s="80"/>
      <c r="G2218" s="91"/>
      <c r="H2218" s="91"/>
    </row>
    <row r="2219" spans="2:8">
      <c r="B2219" s="80"/>
      <c r="C2219" s="36"/>
      <c r="D2219" s="91"/>
      <c r="E2219" s="80"/>
      <c r="F2219" s="80"/>
      <c r="G2219" s="91"/>
      <c r="H2219" s="91"/>
    </row>
    <row r="2220" spans="2:8">
      <c r="B2220" s="80"/>
      <c r="C2220" s="36"/>
      <c r="D2220" s="91"/>
      <c r="E2220" s="80"/>
      <c r="F2220" s="80"/>
      <c r="G2220" s="91"/>
      <c r="H2220" s="91"/>
    </row>
    <row r="2221" spans="2:8">
      <c r="B2221" s="80"/>
      <c r="C2221" s="36"/>
      <c r="D2221" s="91"/>
      <c r="E2221" s="80"/>
      <c r="F2221" s="80"/>
      <c r="G2221" s="91"/>
      <c r="H2221" s="91"/>
    </row>
    <row r="2222" spans="2:8">
      <c r="B2222" s="80"/>
      <c r="C2222" s="36"/>
      <c r="D2222" s="91"/>
      <c r="E2222" s="80"/>
      <c r="F2222" s="80"/>
      <c r="G2222" s="91"/>
      <c r="H2222" s="91"/>
    </row>
    <row r="2223" spans="2:8">
      <c r="B2223" s="80"/>
      <c r="C2223" s="36"/>
      <c r="D2223" s="91"/>
      <c r="E2223" s="80"/>
      <c r="F2223" s="80"/>
      <c r="G2223" s="91"/>
      <c r="H2223" s="91"/>
    </row>
    <row r="2224" spans="2:8">
      <c r="B2224" s="80"/>
      <c r="C2224" s="36"/>
      <c r="D2224" s="91"/>
      <c r="E2224" s="80"/>
      <c r="F2224" s="80"/>
      <c r="G2224" s="91"/>
      <c r="H2224" s="91"/>
    </row>
    <row r="2225" spans="2:8">
      <c r="B2225" s="80"/>
      <c r="C2225" s="36"/>
      <c r="D2225" s="91"/>
      <c r="E2225" s="80"/>
      <c r="F2225" s="80"/>
      <c r="G2225" s="91"/>
      <c r="H2225" s="91"/>
    </row>
    <row r="2226" spans="2:8">
      <c r="B2226" s="80"/>
      <c r="C2226" s="36"/>
      <c r="D2226" s="91"/>
      <c r="E2226" s="80"/>
      <c r="F2226" s="80"/>
      <c r="G2226" s="91"/>
      <c r="H2226" s="91"/>
    </row>
    <row r="2227" spans="2:8">
      <c r="B2227" s="80"/>
      <c r="C2227" s="36"/>
      <c r="D2227" s="91"/>
      <c r="E2227" s="80"/>
      <c r="F2227" s="80"/>
      <c r="G2227" s="91"/>
      <c r="H2227" s="91"/>
    </row>
    <row r="2228" spans="2:8">
      <c r="B2228" s="80"/>
      <c r="C2228" s="36"/>
      <c r="D2228" s="91"/>
      <c r="E2228" s="80"/>
      <c r="F2228" s="80"/>
      <c r="G2228" s="91"/>
      <c r="H2228" s="91"/>
    </row>
    <row r="2229" spans="2:8">
      <c r="B2229" s="80"/>
      <c r="C2229" s="36"/>
      <c r="D2229" s="91"/>
      <c r="E2229" s="80"/>
      <c r="F2229" s="80"/>
      <c r="G2229" s="91"/>
      <c r="H2229" s="91"/>
    </row>
    <row r="2230" spans="2:8">
      <c r="B2230" s="80"/>
      <c r="C2230" s="36"/>
      <c r="D2230" s="91"/>
      <c r="E2230" s="80"/>
      <c r="F2230" s="80"/>
      <c r="G2230" s="91"/>
      <c r="H2230" s="91"/>
    </row>
    <row r="2231" spans="2:8">
      <c r="B2231" s="80"/>
      <c r="C2231" s="36"/>
      <c r="D2231" s="91"/>
      <c r="E2231" s="80"/>
      <c r="F2231" s="80"/>
      <c r="G2231" s="91"/>
      <c r="H2231" s="91"/>
    </row>
    <row r="2232" spans="2:8">
      <c r="B2232" s="80"/>
      <c r="C2232" s="36"/>
      <c r="D2232" s="91"/>
      <c r="E2232" s="80"/>
      <c r="F2232" s="80"/>
      <c r="G2232" s="91"/>
      <c r="H2232" s="91"/>
    </row>
    <row r="2233" spans="2:8">
      <c r="B2233" s="80"/>
      <c r="C2233" s="36"/>
      <c r="D2233" s="91"/>
      <c r="E2233" s="80"/>
      <c r="F2233" s="80"/>
      <c r="G2233" s="91"/>
      <c r="H2233" s="91"/>
    </row>
    <row r="2234" spans="2:8">
      <c r="B2234" s="80"/>
      <c r="C2234" s="36"/>
      <c r="D2234" s="91"/>
      <c r="E2234" s="80"/>
      <c r="F2234" s="80"/>
      <c r="G2234" s="91"/>
      <c r="H2234" s="91"/>
    </row>
    <row r="2235" spans="2:8">
      <c r="B2235" s="80"/>
      <c r="C2235" s="36"/>
      <c r="D2235" s="91"/>
      <c r="E2235" s="80"/>
      <c r="F2235" s="80"/>
      <c r="G2235" s="91"/>
      <c r="H2235" s="91"/>
    </row>
    <row r="2236" spans="2:8">
      <c r="B2236" s="80"/>
      <c r="C2236" s="36"/>
      <c r="D2236" s="91"/>
      <c r="E2236" s="80"/>
      <c r="F2236" s="80"/>
      <c r="G2236" s="91"/>
      <c r="H2236" s="91"/>
    </row>
    <row r="2237" spans="2:8">
      <c r="B2237" s="80"/>
      <c r="C2237" s="36"/>
      <c r="D2237" s="91"/>
      <c r="E2237" s="80"/>
      <c r="F2237" s="80"/>
      <c r="G2237" s="91"/>
      <c r="H2237" s="91"/>
    </row>
    <row r="2238" spans="2:8">
      <c r="B2238" s="80"/>
      <c r="C2238" s="36"/>
      <c r="D2238" s="91"/>
      <c r="E2238" s="80"/>
      <c r="F2238" s="80"/>
      <c r="G2238" s="91"/>
      <c r="H2238" s="91"/>
    </row>
    <row r="2239" spans="2:8">
      <c r="B2239" s="80"/>
      <c r="C2239" s="36"/>
      <c r="D2239" s="91"/>
      <c r="E2239" s="80"/>
      <c r="F2239" s="80"/>
      <c r="G2239" s="91"/>
      <c r="H2239" s="91"/>
    </row>
    <row r="2240" spans="2:8">
      <c r="B2240" s="80"/>
      <c r="C2240" s="36"/>
      <c r="D2240" s="91"/>
      <c r="E2240" s="80"/>
      <c r="F2240" s="80"/>
      <c r="G2240" s="91"/>
      <c r="H2240" s="91"/>
    </row>
    <row r="2241" spans="2:8">
      <c r="B2241" s="80"/>
      <c r="C2241" s="36"/>
      <c r="D2241" s="91"/>
      <c r="E2241" s="80"/>
      <c r="F2241" s="80"/>
      <c r="G2241" s="91"/>
      <c r="H2241" s="91"/>
    </row>
    <row r="2242" spans="2:8">
      <c r="B2242" s="80"/>
      <c r="C2242" s="36"/>
      <c r="D2242" s="91"/>
      <c r="E2242" s="80"/>
      <c r="F2242" s="80"/>
      <c r="G2242" s="91"/>
      <c r="H2242" s="91"/>
    </row>
    <row r="2243" spans="2:8">
      <c r="B2243" s="80"/>
      <c r="C2243" s="36"/>
      <c r="D2243" s="91"/>
      <c r="E2243" s="80"/>
      <c r="F2243" s="80"/>
      <c r="G2243" s="91"/>
      <c r="H2243" s="91"/>
    </row>
    <row r="2244" spans="2:8">
      <c r="B2244" s="80"/>
      <c r="C2244" s="36"/>
      <c r="D2244" s="91"/>
      <c r="E2244" s="80"/>
      <c r="F2244" s="80"/>
      <c r="G2244" s="91"/>
      <c r="H2244" s="91"/>
    </row>
    <row r="2245" spans="2:8">
      <c r="B2245" s="80"/>
      <c r="C2245" s="36"/>
      <c r="D2245" s="91"/>
      <c r="E2245" s="80"/>
      <c r="F2245" s="80"/>
      <c r="G2245" s="91"/>
      <c r="H2245" s="91"/>
    </row>
    <row r="2246" spans="2:8">
      <c r="B2246" s="80"/>
      <c r="C2246" s="36"/>
      <c r="D2246" s="91"/>
      <c r="E2246" s="80"/>
      <c r="F2246" s="80"/>
      <c r="G2246" s="91"/>
      <c r="H2246" s="91"/>
    </row>
    <row r="2247" spans="2:8">
      <c r="B2247" s="80"/>
      <c r="C2247" s="36"/>
      <c r="D2247" s="91"/>
      <c r="E2247" s="80"/>
      <c r="F2247" s="80"/>
      <c r="G2247" s="91"/>
      <c r="H2247" s="91"/>
    </row>
    <row r="2248" spans="2:8">
      <c r="B2248" s="80"/>
      <c r="C2248" s="36"/>
      <c r="D2248" s="91"/>
      <c r="E2248" s="80"/>
      <c r="F2248" s="80"/>
      <c r="G2248" s="91"/>
      <c r="H2248" s="91"/>
    </row>
    <row r="2249" spans="2:8">
      <c r="B2249" s="80"/>
      <c r="C2249" s="36"/>
      <c r="D2249" s="91"/>
      <c r="E2249" s="80"/>
      <c r="F2249" s="80"/>
      <c r="G2249" s="91"/>
      <c r="H2249" s="91"/>
    </row>
    <row r="2250" spans="2:8">
      <c r="B2250" s="80"/>
      <c r="C2250" s="36"/>
      <c r="D2250" s="91"/>
      <c r="E2250" s="80"/>
      <c r="F2250" s="80"/>
      <c r="G2250" s="91"/>
      <c r="H2250" s="91"/>
    </row>
    <row r="2251" spans="2:8">
      <c r="B2251" s="80"/>
      <c r="C2251" s="36"/>
      <c r="D2251" s="91"/>
      <c r="E2251" s="80"/>
      <c r="F2251" s="80"/>
      <c r="G2251" s="91"/>
      <c r="H2251" s="91"/>
    </row>
    <row r="2252" spans="2:8">
      <c r="B2252" s="80"/>
      <c r="C2252" s="36"/>
      <c r="D2252" s="91"/>
      <c r="E2252" s="80"/>
      <c r="F2252" s="80"/>
      <c r="G2252" s="91"/>
      <c r="H2252" s="91"/>
    </row>
    <row r="2253" spans="2:8">
      <c r="B2253" s="80"/>
      <c r="C2253" s="36"/>
      <c r="D2253" s="91"/>
      <c r="E2253" s="80"/>
      <c r="F2253" s="80"/>
      <c r="G2253" s="91"/>
      <c r="H2253" s="91"/>
    </row>
    <row r="2254" spans="2:8">
      <c r="B2254" s="80"/>
      <c r="C2254" s="36"/>
      <c r="D2254" s="91"/>
      <c r="E2254" s="80"/>
      <c r="F2254" s="80"/>
      <c r="G2254" s="91"/>
      <c r="H2254" s="91"/>
    </row>
    <row r="2255" spans="2:8">
      <c r="B2255" s="80"/>
      <c r="C2255" s="36"/>
      <c r="D2255" s="91"/>
      <c r="E2255" s="80"/>
      <c r="F2255" s="80"/>
      <c r="G2255" s="91"/>
      <c r="H2255" s="91"/>
    </row>
    <row r="2256" spans="2:8">
      <c r="B2256" s="80"/>
      <c r="C2256" s="36"/>
      <c r="D2256" s="91"/>
      <c r="E2256" s="80"/>
      <c r="F2256" s="80"/>
      <c r="G2256" s="91"/>
      <c r="H2256" s="91"/>
    </row>
    <row r="2257" spans="2:8">
      <c r="B2257" s="80"/>
      <c r="C2257" s="36"/>
      <c r="D2257" s="91"/>
      <c r="E2257" s="80"/>
      <c r="F2257" s="80"/>
      <c r="G2257" s="91"/>
      <c r="H2257" s="91"/>
    </row>
    <row r="2258" spans="2:8">
      <c r="B2258" s="80"/>
      <c r="C2258" s="36"/>
      <c r="D2258" s="91"/>
      <c r="E2258" s="80"/>
      <c r="F2258" s="80"/>
      <c r="G2258" s="91"/>
      <c r="H2258" s="91"/>
    </row>
    <row r="2259" spans="2:8">
      <c r="B2259" s="80"/>
      <c r="C2259" s="36"/>
      <c r="D2259" s="91"/>
      <c r="E2259" s="80"/>
      <c r="F2259" s="80"/>
      <c r="G2259" s="91"/>
      <c r="H2259" s="91"/>
    </row>
    <row r="2260" spans="2:8">
      <c r="B2260" s="80"/>
      <c r="C2260" s="36"/>
      <c r="D2260" s="91"/>
      <c r="E2260" s="80"/>
      <c r="F2260" s="80"/>
      <c r="G2260" s="91"/>
      <c r="H2260" s="91"/>
    </row>
    <row r="2261" spans="2:8">
      <c r="B2261" s="80"/>
      <c r="C2261" s="36"/>
      <c r="D2261" s="91"/>
      <c r="E2261" s="80"/>
      <c r="F2261" s="80"/>
      <c r="G2261" s="91"/>
      <c r="H2261" s="91"/>
    </row>
    <row r="2262" spans="2:8">
      <c r="B2262" s="80"/>
      <c r="C2262" s="36"/>
      <c r="D2262" s="91"/>
      <c r="E2262" s="80"/>
      <c r="F2262" s="80"/>
      <c r="G2262" s="91"/>
      <c r="H2262" s="91"/>
    </row>
    <row r="2263" spans="2:8">
      <c r="B2263" s="80"/>
      <c r="C2263" s="36"/>
      <c r="D2263" s="91"/>
      <c r="E2263" s="80"/>
      <c r="F2263" s="80"/>
      <c r="G2263" s="91"/>
      <c r="H2263" s="91"/>
    </row>
    <row r="2264" spans="2:8">
      <c r="B2264" s="80"/>
      <c r="C2264" s="36"/>
      <c r="D2264" s="91"/>
      <c r="E2264" s="80"/>
      <c r="F2264" s="80"/>
      <c r="G2264" s="91"/>
      <c r="H2264" s="91"/>
    </row>
    <row r="2265" spans="2:8">
      <c r="B2265" s="80"/>
      <c r="C2265" s="36"/>
      <c r="D2265" s="91"/>
      <c r="E2265" s="80"/>
      <c r="F2265" s="80"/>
      <c r="G2265" s="91"/>
      <c r="H2265" s="91"/>
    </row>
    <row r="2266" spans="2:8">
      <c r="B2266" s="80"/>
      <c r="C2266" s="36"/>
      <c r="D2266" s="91"/>
      <c r="E2266" s="80"/>
      <c r="F2266" s="80"/>
      <c r="G2266" s="91"/>
      <c r="H2266" s="91"/>
    </row>
    <row r="2267" spans="2:8">
      <c r="B2267" s="80"/>
      <c r="C2267" s="36"/>
      <c r="D2267" s="91"/>
      <c r="E2267" s="80"/>
      <c r="F2267" s="80"/>
      <c r="G2267" s="91"/>
      <c r="H2267" s="91"/>
    </row>
    <row r="2268" spans="2:8">
      <c r="B2268" s="80"/>
      <c r="C2268" s="36"/>
      <c r="D2268" s="91"/>
      <c r="E2268" s="80"/>
      <c r="F2268" s="80"/>
      <c r="G2268" s="91"/>
      <c r="H2268" s="91"/>
    </row>
    <row r="2269" spans="2:8">
      <c r="B2269" s="80"/>
      <c r="C2269" s="36"/>
      <c r="D2269" s="91"/>
      <c r="E2269" s="80"/>
      <c r="F2269" s="80"/>
      <c r="G2269" s="91"/>
      <c r="H2269" s="91"/>
    </row>
    <row r="2270" spans="2:8">
      <c r="B2270" s="80"/>
      <c r="C2270" s="36"/>
      <c r="D2270" s="91"/>
      <c r="E2270" s="80"/>
      <c r="F2270" s="80"/>
      <c r="G2270" s="91"/>
      <c r="H2270" s="91"/>
    </row>
    <row r="2271" spans="2:8">
      <c r="B2271" s="80"/>
      <c r="C2271" s="36"/>
      <c r="D2271" s="91"/>
      <c r="E2271" s="80"/>
      <c r="F2271" s="80"/>
      <c r="G2271" s="91"/>
      <c r="H2271" s="91"/>
    </row>
    <row r="2272" spans="2:8">
      <c r="B2272" s="80"/>
      <c r="C2272" s="36"/>
      <c r="D2272" s="91"/>
      <c r="E2272" s="80"/>
      <c r="F2272" s="80"/>
      <c r="G2272" s="91"/>
      <c r="H2272" s="91"/>
    </row>
    <row r="2273" spans="2:8">
      <c r="B2273" s="80"/>
      <c r="C2273" s="36"/>
      <c r="D2273" s="91"/>
      <c r="E2273" s="80"/>
      <c r="F2273" s="80"/>
      <c r="G2273" s="91"/>
      <c r="H2273" s="91"/>
    </row>
    <row r="2274" spans="2:8">
      <c r="B2274" s="80"/>
      <c r="C2274" s="36"/>
      <c r="D2274" s="91"/>
      <c r="E2274" s="80"/>
      <c r="F2274" s="80"/>
      <c r="G2274" s="91"/>
      <c r="H2274" s="91"/>
    </row>
    <row r="2275" spans="2:8">
      <c r="B2275" s="80"/>
      <c r="C2275" s="36"/>
      <c r="D2275" s="91"/>
      <c r="E2275" s="80"/>
      <c r="F2275" s="80"/>
      <c r="G2275" s="91"/>
      <c r="H2275" s="91"/>
    </row>
    <row r="2276" spans="2:8">
      <c r="B2276" s="80"/>
      <c r="C2276" s="36"/>
      <c r="D2276" s="91"/>
      <c r="E2276" s="80"/>
      <c r="F2276" s="80"/>
      <c r="G2276" s="91"/>
      <c r="H2276" s="91"/>
    </row>
    <row r="2277" spans="2:8">
      <c r="B2277" s="80"/>
      <c r="C2277" s="36"/>
      <c r="D2277" s="91"/>
      <c r="E2277" s="80"/>
      <c r="F2277" s="80"/>
      <c r="G2277" s="91"/>
      <c r="H2277" s="91"/>
    </row>
    <row r="2278" spans="2:8">
      <c r="B2278" s="80"/>
      <c r="C2278" s="36"/>
      <c r="D2278" s="91"/>
      <c r="E2278" s="80"/>
      <c r="F2278" s="80"/>
      <c r="G2278" s="91"/>
      <c r="H2278" s="91"/>
    </row>
    <row r="2279" spans="2:8">
      <c r="B2279" s="80"/>
      <c r="C2279" s="36"/>
      <c r="D2279" s="91"/>
      <c r="E2279" s="80"/>
      <c r="F2279" s="80"/>
      <c r="G2279" s="91"/>
      <c r="H2279" s="91"/>
    </row>
    <row r="2280" spans="2:8">
      <c r="B2280" s="80"/>
      <c r="C2280" s="36"/>
      <c r="D2280" s="91"/>
      <c r="E2280" s="80"/>
      <c r="F2280" s="80"/>
      <c r="G2280" s="91"/>
      <c r="H2280" s="91"/>
    </row>
    <row r="2281" spans="2:8">
      <c r="B2281" s="80"/>
      <c r="C2281" s="36"/>
      <c r="D2281" s="91"/>
      <c r="E2281" s="80"/>
      <c r="F2281" s="80"/>
      <c r="G2281" s="91"/>
      <c r="H2281" s="91"/>
    </row>
    <row r="2282" spans="2:8">
      <c r="B2282" s="80"/>
      <c r="C2282" s="36"/>
      <c r="D2282" s="91"/>
      <c r="E2282" s="80"/>
      <c r="F2282" s="80"/>
      <c r="G2282" s="91"/>
      <c r="H2282" s="91"/>
    </row>
    <row r="2283" spans="2:8">
      <c r="B2283" s="80"/>
      <c r="C2283" s="36"/>
      <c r="D2283" s="91"/>
      <c r="E2283" s="80"/>
      <c r="F2283" s="80"/>
      <c r="G2283" s="91"/>
      <c r="H2283" s="91"/>
    </row>
    <row r="2284" spans="2:8">
      <c r="B2284" s="80"/>
      <c r="C2284" s="36"/>
      <c r="D2284" s="91"/>
      <c r="E2284" s="80"/>
      <c r="F2284" s="80"/>
      <c r="G2284" s="91"/>
      <c r="H2284" s="91"/>
    </row>
    <row r="2285" spans="2:8">
      <c r="B2285" s="80"/>
      <c r="C2285" s="36"/>
      <c r="D2285" s="91"/>
      <c r="E2285" s="80"/>
      <c r="F2285" s="80"/>
      <c r="G2285" s="91"/>
      <c r="H2285" s="91"/>
    </row>
    <row r="2286" spans="2:8">
      <c r="B2286" s="80"/>
      <c r="C2286" s="36"/>
      <c r="D2286" s="91"/>
      <c r="E2286" s="80"/>
      <c r="F2286" s="80"/>
      <c r="G2286" s="91"/>
      <c r="H2286" s="91"/>
    </row>
    <row r="2287" spans="2:8">
      <c r="B2287" s="80"/>
      <c r="C2287" s="36"/>
      <c r="D2287" s="91"/>
      <c r="E2287" s="80"/>
      <c r="F2287" s="80"/>
      <c r="G2287" s="91"/>
      <c r="H2287" s="91"/>
    </row>
    <row r="2288" spans="2:8">
      <c r="B2288" s="80"/>
      <c r="C2288" s="36"/>
      <c r="D2288" s="91"/>
      <c r="E2288" s="80"/>
      <c r="F2288" s="80"/>
      <c r="G2288" s="91"/>
      <c r="H2288" s="91"/>
    </row>
    <row r="2289" spans="2:8">
      <c r="B2289" s="80"/>
      <c r="C2289" s="36"/>
      <c r="D2289" s="91"/>
      <c r="E2289" s="80"/>
      <c r="F2289" s="80"/>
      <c r="G2289" s="91"/>
      <c r="H2289" s="91"/>
    </row>
    <row r="2290" spans="2:8">
      <c r="B2290" s="80"/>
      <c r="C2290" s="36"/>
      <c r="D2290" s="91"/>
      <c r="E2290" s="80"/>
      <c r="F2290" s="80"/>
      <c r="G2290" s="91"/>
      <c r="H2290" s="91"/>
    </row>
    <row r="2291" spans="2:8">
      <c r="B2291" s="80"/>
      <c r="C2291" s="36"/>
      <c r="D2291" s="91"/>
      <c r="E2291" s="80"/>
      <c r="F2291" s="80"/>
      <c r="G2291" s="91"/>
      <c r="H2291" s="91"/>
    </row>
    <row r="2292" spans="2:8">
      <c r="B2292" s="80"/>
      <c r="C2292" s="36"/>
      <c r="D2292" s="91"/>
      <c r="E2292" s="80"/>
      <c r="F2292" s="80"/>
      <c r="G2292" s="91"/>
      <c r="H2292" s="91"/>
    </row>
    <row r="2293" spans="2:8">
      <c r="B2293" s="80"/>
      <c r="C2293" s="36"/>
      <c r="D2293" s="91"/>
      <c r="E2293" s="80"/>
      <c r="F2293" s="80"/>
      <c r="G2293" s="91"/>
      <c r="H2293" s="91"/>
    </row>
    <row r="2294" spans="2:8">
      <c r="B2294" s="80"/>
      <c r="C2294" s="36"/>
      <c r="D2294" s="91"/>
      <c r="E2294" s="80"/>
      <c r="F2294" s="80"/>
      <c r="G2294" s="91"/>
      <c r="H2294" s="91"/>
    </row>
    <row r="2295" spans="2:8">
      <c r="B2295" s="80"/>
      <c r="C2295" s="36"/>
      <c r="D2295" s="91"/>
      <c r="E2295" s="80"/>
      <c r="F2295" s="80"/>
      <c r="G2295" s="91"/>
      <c r="H2295" s="91"/>
    </row>
    <row r="2296" spans="2:8">
      <c r="B2296" s="80"/>
      <c r="C2296" s="36"/>
      <c r="D2296" s="91"/>
      <c r="E2296" s="80"/>
      <c r="F2296" s="80"/>
      <c r="G2296" s="91"/>
      <c r="H2296" s="91"/>
    </row>
    <row r="2297" spans="2:8">
      <c r="B2297" s="80"/>
      <c r="C2297" s="36"/>
      <c r="D2297" s="91"/>
      <c r="E2297" s="80"/>
      <c r="F2297" s="80"/>
      <c r="G2297" s="91"/>
      <c r="H2297" s="91"/>
    </row>
    <row r="2298" spans="2:8">
      <c r="B2298" s="80"/>
      <c r="C2298" s="36"/>
      <c r="D2298" s="91"/>
      <c r="E2298" s="80"/>
      <c r="F2298" s="80"/>
      <c r="G2298" s="91"/>
      <c r="H2298" s="91"/>
    </row>
    <row r="2299" spans="2:8">
      <c r="B2299" s="80"/>
      <c r="C2299" s="36"/>
      <c r="D2299" s="91"/>
      <c r="E2299" s="80"/>
      <c r="F2299" s="80"/>
      <c r="G2299" s="91"/>
      <c r="H2299" s="91"/>
    </row>
    <row r="2300" spans="2:8">
      <c r="B2300" s="80"/>
      <c r="C2300" s="36"/>
      <c r="D2300" s="91"/>
      <c r="E2300" s="80"/>
      <c r="F2300" s="80"/>
      <c r="G2300" s="91"/>
      <c r="H2300" s="91"/>
    </row>
    <row r="2301" spans="2:8">
      <c r="B2301" s="80"/>
      <c r="C2301" s="36"/>
      <c r="D2301" s="91"/>
      <c r="E2301" s="80"/>
      <c r="F2301" s="80"/>
      <c r="G2301" s="91"/>
      <c r="H2301" s="91"/>
    </row>
    <row r="2302" spans="2:8">
      <c r="B2302" s="80"/>
      <c r="C2302" s="36"/>
      <c r="D2302" s="91"/>
      <c r="E2302" s="80"/>
      <c r="F2302" s="80"/>
      <c r="G2302" s="91"/>
      <c r="H2302" s="91"/>
    </row>
    <row r="2303" spans="2:8">
      <c r="B2303" s="80"/>
      <c r="C2303" s="36"/>
      <c r="D2303" s="91"/>
      <c r="E2303" s="80"/>
      <c r="F2303" s="80"/>
      <c r="G2303" s="91"/>
      <c r="H2303" s="91"/>
    </row>
    <row r="2304" spans="2:8">
      <c r="B2304" s="80"/>
      <c r="C2304" s="36"/>
      <c r="D2304" s="91"/>
      <c r="E2304" s="80"/>
      <c r="F2304" s="80"/>
      <c r="G2304" s="91"/>
      <c r="H2304" s="91"/>
    </row>
    <row r="2305" spans="2:8">
      <c r="B2305" s="80"/>
      <c r="C2305" s="36"/>
      <c r="D2305" s="91"/>
      <c r="E2305" s="80"/>
      <c r="F2305" s="80"/>
      <c r="G2305" s="91"/>
      <c r="H2305" s="91"/>
    </row>
    <row r="2306" spans="2:8">
      <c r="B2306" s="80"/>
      <c r="C2306" s="36"/>
      <c r="D2306" s="91"/>
      <c r="E2306" s="80"/>
      <c r="F2306" s="80"/>
      <c r="G2306" s="91"/>
      <c r="H2306" s="91"/>
    </row>
    <row r="2307" spans="2:8">
      <c r="B2307" s="80"/>
      <c r="C2307" s="36"/>
      <c r="D2307" s="91"/>
      <c r="E2307" s="80"/>
      <c r="F2307" s="80"/>
      <c r="G2307" s="91"/>
      <c r="H2307" s="91"/>
    </row>
    <row r="2308" spans="2:8">
      <c r="B2308" s="80"/>
      <c r="C2308" s="36"/>
      <c r="D2308" s="91"/>
      <c r="E2308" s="80"/>
      <c r="F2308" s="80"/>
      <c r="G2308" s="91"/>
      <c r="H2308" s="91"/>
    </row>
    <row r="2309" spans="2:8">
      <c r="B2309" s="80"/>
      <c r="C2309" s="36"/>
      <c r="D2309" s="91"/>
      <c r="E2309" s="80"/>
      <c r="F2309" s="80"/>
      <c r="G2309" s="91"/>
      <c r="H2309" s="91"/>
    </row>
    <row r="2310" spans="2:8">
      <c r="B2310" s="80"/>
      <c r="C2310" s="36"/>
      <c r="D2310" s="91"/>
      <c r="E2310" s="80"/>
      <c r="F2310" s="80"/>
      <c r="G2310" s="91"/>
      <c r="H2310" s="91"/>
    </row>
    <row r="2311" spans="2:8">
      <c r="B2311" s="80"/>
      <c r="C2311" s="36"/>
      <c r="D2311" s="91"/>
      <c r="E2311" s="80"/>
      <c r="F2311" s="80"/>
      <c r="G2311" s="91"/>
      <c r="H2311" s="91"/>
    </row>
    <row r="2312" spans="2:8">
      <c r="B2312" s="80"/>
      <c r="C2312" s="36"/>
      <c r="D2312" s="91"/>
      <c r="E2312" s="80"/>
      <c r="F2312" s="80"/>
      <c r="G2312" s="91"/>
      <c r="H2312" s="91"/>
    </row>
    <row r="2313" spans="2:8">
      <c r="B2313" s="80"/>
      <c r="C2313" s="36"/>
      <c r="D2313" s="91"/>
      <c r="E2313" s="80"/>
      <c r="F2313" s="80"/>
      <c r="G2313" s="91"/>
      <c r="H2313" s="91"/>
    </row>
    <row r="2314" spans="2:8">
      <c r="B2314" s="80"/>
      <c r="C2314" s="36"/>
      <c r="D2314" s="91"/>
      <c r="E2314" s="80"/>
      <c r="F2314" s="80"/>
      <c r="G2314" s="91"/>
      <c r="H2314" s="91"/>
    </row>
    <row r="2315" spans="2:8">
      <c r="B2315" s="80"/>
      <c r="C2315" s="36"/>
      <c r="D2315" s="91"/>
      <c r="E2315" s="80"/>
      <c r="F2315" s="80"/>
      <c r="G2315" s="91"/>
      <c r="H2315" s="91"/>
    </row>
    <row r="2316" spans="2:8">
      <c r="B2316" s="80"/>
      <c r="C2316" s="36"/>
      <c r="D2316" s="91"/>
      <c r="E2316" s="80"/>
      <c r="F2316" s="80"/>
      <c r="G2316" s="91"/>
      <c r="H2316" s="91"/>
    </row>
    <row r="2317" spans="2:8">
      <c r="B2317" s="80"/>
      <c r="C2317" s="36"/>
      <c r="D2317" s="91"/>
      <c r="E2317" s="80"/>
      <c r="F2317" s="80"/>
      <c r="G2317" s="91"/>
      <c r="H2317" s="91"/>
    </row>
    <row r="2318" spans="2:8">
      <c r="B2318" s="80"/>
      <c r="C2318" s="36"/>
      <c r="D2318" s="91"/>
      <c r="E2318" s="80"/>
      <c r="F2318" s="80"/>
      <c r="G2318" s="91"/>
      <c r="H2318" s="91"/>
    </row>
    <row r="2319" spans="2:8">
      <c r="B2319" s="80"/>
      <c r="C2319" s="36"/>
      <c r="D2319" s="91"/>
      <c r="E2319" s="80"/>
      <c r="F2319" s="80"/>
      <c r="G2319" s="91"/>
      <c r="H2319" s="91"/>
    </row>
    <row r="2320" spans="2:8">
      <c r="B2320" s="80"/>
      <c r="C2320" s="36"/>
      <c r="D2320" s="91"/>
      <c r="E2320" s="80"/>
      <c r="F2320" s="80"/>
      <c r="G2320" s="91"/>
      <c r="H2320" s="91"/>
    </row>
    <row r="2321" spans="2:8">
      <c r="B2321" s="80"/>
      <c r="C2321" s="36"/>
      <c r="D2321" s="91"/>
      <c r="E2321" s="80"/>
      <c r="F2321" s="80"/>
      <c r="G2321" s="91"/>
      <c r="H2321" s="91"/>
    </row>
    <row r="2322" spans="2:8">
      <c r="B2322" s="80"/>
      <c r="C2322" s="36"/>
      <c r="D2322" s="91"/>
      <c r="E2322" s="80"/>
      <c r="F2322" s="80"/>
      <c r="G2322" s="91"/>
      <c r="H2322" s="91"/>
    </row>
    <row r="2323" spans="2:8">
      <c r="B2323" s="80"/>
      <c r="C2323" s="36"/>
      <c r="D2323" s="91"/>
      <c r="E2323" s="80"/>
      <c r="F2323" s="80"/>
      <c r="G2323" s="91"/>
      <c r="H2323" s="91"/>
    </row>
    <row r="2324" spans="2:8">
      <c r="B2324" s="80"/>
      <c r="C2324" s="36"/>
      <c r="D2324" s="91"/>
      <c r="E2324" s="80"/>
      <c r="F2324" s="80"/>
      <c r="G2324" s="91"/>
      <c r="H2324" s="91"/>
    </row>
    <row r="2325" spans="2:8">
      <c r="B2325" s="80"/>
      <c r="C2325" s="36"/>
      <c r="D2325" s="91"/>
      <c r="E2325" s="80"/>
      <c r="F2325" s="80"/>
      <c r="G2325" s="91"/>
      <c r="H2325" s="91"/>
    </row>
    <row r="2326" spans="2:8">
      <c r="B2326" s="80"/>
      <c r="C2326" s="36"/>
      <c r="D2326" s="91"/>
      <c r="E2326" s="80"/>
      <c r="F2326" s="80"/>
      <c r="G2326" s="91"/>
      <c r="H2326" s="91"/>
    </row>
    <row r="2327" spans="2:8">
      <c r="B2327" s="80"/>
      <c r="C2327" s="36"/>
      <c r="D2327" s="91"/>
      <c r="E2327" s="80"/>
      <c r="F2327" s="80"/>
      <c r="G2327" s="91"/>
      <c r="H2327" s="91"/>
    </row>
    <row r="2328" spans="2:8">
      <c r="B2328" s="80"/>
      <c r="C2328" s="36"/>
      <c r="D2328" s="91"/>
      <c r="E2328" s="80"/>
      <c r="F2328" s="80"/>
      <c r="G2328" s="91"/>
      <c r="H2328" s="91"/>
    </row>
    <row r="2329" spans="2:8">
      <c r="B2329" s="80"/>
      <c r="C2329" s="36"/>
      <c r="D2329" s="91"/>
      <c r="E2329" s="80"/>
      <c r="F2329" s="80"/>
      <c r="G2329" s="91"/>
      <c r="H2329" s="91"/>
    </row>
    <row r="2330" spans="2:8">
      <c r="B2330" s="80"/>
      <c r="C2330" s="36"/>
      <c r="D2330" s="91"/>
      <c r="E2330" s="80"/>
      <c r="F2330" s="80"/>
      <c r="G2330" s="91"/>
      <c r="H2330" s="91"/>
    </row>
    <row r="2331" spans="2:8">
      <c r="B2331" s="80"/>
      <c r="C2331" s="36"/>
      <c r="D2331" s="91"/>
      <c r="E2331" s="80"/>
      <c r="F2331" s="80"/>
      <c r="G2331" s="91"/>
      <c r="H2331" s="91"/>
    </row>
    <row r="2332" spans="2:8">
      <c r="B2332" s="80"/>
      <c r="C2332" s="36"/>
      <c r="D2332" s="91"/>
      <c r="E2332" s="80"/>
      <c r="F2332" s="80"/>
      <c r="G2332" s="91"/>
      <c r="H2332" s="91"/>
    </row>
    <row r="2333" spans="2:8">
      <c r="B2333" s="80"/>
      <c r="C2333" s="36"/>
      <c r="D2333" s="91"/>
      <c r="E2333" s="80"/>
      <c r="F2333" s="80"/>
      <c r="G2333" s="91"/>
      <c r="H2333" s="91"/>
    </row>
    <row r="2334" spans="2:8">
      <c r="B2334" s="80"/>
      <c r="C2334" s="36"/>
      <c r="D2334" s="91"/>
      <c r="E2334" s="80"/>
      <c r="F2334" s="80"/>
      <c r="G2334" s="91"/>
      <c r="H2334" s="91"/>
    </row>
    <row r="2335" spans="2:8">
      <c r="B2335" s="80"/>
      <c r="C2335" s="36"/>
      <c r="D2335" s="91"/>
      <c r="E2335" s="80"/>
      <c r="F2335" s="80"/>
      <c r="G2335" s="91"/>
      <c r="H2335" s="91"/>
    </row>
    <row r="2336" spans="2:8">
      <c r="B2336" s="80"/>
      <c r="C2336" s="36"/>
      <c r="D2336" s="91"/>
      <c r="E2336" s="80"/>
      <c r="F2336" s="80"/>
      <c r="G2336" s="91"/>
      <c r="H2336" s="91"/>
    </row>
    <row r="2337" spans="2:8">
      <c r="B2337" s="80"/>
      <c r="C2337" s="36"/>
      <c r="D2337" s="91"/>
      <c r="E2337" s="80"/>
      <c r="F2337" s="80"/>
      <c r="G2337" s="91"/>
      <c r="H2337" s="91"/>
    </row>
    <row r="2338" spans="2:8">
      <c r="B2338" s="80"/>
      <c r="C2338" s="36"/>
      <c r="D2338" s="91"/>
      <c r="E2338" s="80"/>
      <c r="F2338" s="80"/>
      <c r="G2338" s="91"/>
      <c r="H2338" s="91"/>
    </row>
    <row r="2339" spans="2:8">
      <c r="B2339" s="80"/>
      <c r="C2339" s="36"/>
      <c r="D2339" s="91"/>
      <c r="E2339" s="80"/>
      <c r="F2339" s="80"/>
      <c r="G2339" s="91"/>
      <c r="H2339" s="91"/>
    </row>
    <row r="2340" spans="2:8">
      <c r="B2340" s="80"/>
      <c r="C2340" s="36"/>
      <c r="D2340" s="91"/>
      <c r="E2340" s="80"/>
      <c r="F2340" s="80"/>
      <c r="G2340" s="91"/>
      <c r="H2340" s="91"/>
    </row>
    <row r="2341" spans="2:8">
      <c r="B2341" s="80"/>
      <c r="C2341" s="36"/>
      <c r="D2341" s="91"/>
      <c r="E2341" s="80"/>
      <c r="F2341" s="80"/>
      <c r="G2341" s="91"/>
      <c r="H2341" s="91"/>
    </row>
    <row r="2342" spans="2:8">
      <c r="B2342" s="80"/>
      <c r="C2342" s="36"/>
      <c r="D2342" s="91"/>
      <c r="E2342" s="80"/>
      <c r="F2342" s="80"/>
      <c r="G2342" s="91"/>
      <c r="H2342" s="91"/>
    </row>
    <row r="2343" spans="2:8">
      <c r="B2343" s="80"/>
      <c r="C2343" s="36"/>
      <c r="D2343" s="91"/>
      <c r="E2343" s="80"/>
      <c r="F2343" s="80"/>
      <c r="G2343" s="91"/>
      <c r="H2343" s="91"/>
    </row>
    <row r="2344" spans="2:8">
      <c r="B2344" s="80"/>
      <c r="C2344" s="36"/>
      <c r="D2344" s="91"/>
      <c r="E2344" s="80"/>
      <c r="F2344" s="80"/>
      <c r="G2344" s="91"/>
      <c r="H2344" s="91"/>
    </row>
    <row r="2345" spans="2:8">
      <c r="B2345" s="80"/>
      <c r="C2345" s="36"/>
      <c r="D2345" s="91"/>
      <c r="E2345" s="80"/>
      <c r="F2345" s="80"/>
      <c r="G2345" s="91"/>
      <c r="H2345" s="91"/>
    </row>
    <row r="2346" spans="2:8">
      <c r="B2346" s="80"/>
      <c r="C2346" s="36"/>
      <c r="D2346" s="91"/>
      <c r="E2346" s="80"/>
      <c r="F2346" s="80"/>
      <c r="G2346" s="91"/>
      <c r="H2346" s="91"/>
    </row>
    <row r="2347" spans="2:8">
      <c r="B2347" s="80"/>
      <c r="C2347" s="36"/>
      <c r="D2347" s="91"/>
      <c r="E2347" s="80"/>
      <c r="F2347" s="80"/>
      <c r="G2347" s="91"/>
      <c r="H2347" s="91"/>
    </row>
    <row r="2348" spans="2:8">
      <c r="B2348" s="80"/>
      <c r="C2348" s="36"/>
      <c r="D2348" s="91"/>
      <c r="E2348" s="80"/>
      <c r="F2348" s="80"/>
      <c r="G2348" s="91"/>
      <c r="H2348" s="91"/>
    </row>
    <row r="2349" spans="2:8">
      <c r="B2349" s="80"/>
      <c r="C2349" s="36"/>
      <c r="D2349" s="91"/>
      <c r="E2349" s="80"/>
      <c r="F2349" s="80"/>
      <c r="G2349" s="91"/>
      <c r="H2349" s="91"/>
    </row>
    <row r="2350" spans="2:8">
      <c r="B2350" s="80"/>
      <c r="C2350" s="36"/>
      <c r="D2350" s="91"/>
      <c r="E2350" s="80"/>
      <c r="F2350" s="80"/>
      <c r="G2350" s="91"/>
      <c r="H2350" s="91"/>
    </row>
    <row r="2351" spans="2:8">
      <c r="B2351" s="80"/>
      <c r="C2351" s="36"/>
      <c r="D2351" s="91"/>
      <c r="E2351" s="80"/>
      <c r="F2351" s="80"/>
      <c r="G2351" s="91"/>
      <c r="H2351" s="91"/>
    </row>
    <row r="2352" spans="2:8">
      <c r="B2352" s="80"/>
      <c r="C2352" s="36"/>
      <c r="D2352" s="91"/>
      <c r="E2352" s="80"/>
      <c r="F2352" s="80"/>
      <c r="G2352" s="91"/>
      <c r="H2352" s="91"/>
    </row>
    <row r="2353" spans="2:8">
      <c r="B2353" s="80"/>
      <c r="C2353" s="36"/>
      <c r="D2353" s="91"/>
      <c r="E2353" s="80"/>
      <c r="F2353" s="80"/>
      <c r="G2353" s="91"/>
      <c r="H2353" s="91"/>
    </row>
    <row r="2354" spans="2:8">
      <c r="B2354" s="80"/>
      <c r="C2354" s="36"/>
      <c r="D2354" s="91"/>
      <c r="E2354" s="80"/>
      <c r="F2354" s="80"/>
      <c r="G2354" s="91"/>
      <c r="H2354" s="91"/>
    </row>
    <row r="2355" spans="2:8">
      <c r="B2355" s="80"/>
      <c r="C2355" s="36"/>
      <c r="D2355" s="91"/>
      <c r="E2355" s="80"/>
      <c r="F2355" s="80"/>
      <c r="G2355" s="91"/>
      <c r="H2355" s="91"/>
    </row>
    <row r="2356" spans="2:8">
      <c r="B2356" s="80"/>
      <c r="C2356" s="36"/>
      <c r="D2356" s="91"/>
      <c r="E2356" s="80"/>
      <c r="F2356" s="80"/>
      <c r="G2356" s="91"/>
      <c r="H2356" s="91"/>
    </row>
    <row r="2357" spans="2:8">
      <c r="B2357" s="80"/>
      <c r="C2357" s="36"/>
      <c r="D2357" s="91"/>
      <c r="E2357" s="80"/>
      <c r="F2357" s="80"/>
      <c r="G2357" s="91"/>
      <c r="H2357" s="91"/>
    </row>
    <row r="2358" spans="2:8">
      <c r="B2358" s="80"/>
      <c r="C2358" s="36"/>
      <c r="D2358" s="91"/>
      <c r="E2358" s="80"/>
      <c r="F2358" s="80"/>
      <c r="G2358" s="91"/>
      <c r="H2358" s="91"/>
    </row>
    <row r="2359" spans="2:8">
      <c r="B2359" s="80"/>
      <c r="C2359" s="36"/>
      <c r="D2359" s="91"/>
      <c r="E2359" s="80"/>
      <c r="F2359" s="80"/>
      <c r="G2359" s="91"/>
      <c r="H2359" s="91"/>
    </row>
    <row r="2360" spans="2:8">
      <c r="B2360" s="80"/>
      <c r="C2360" s="36"/>
      <c r="D2360" s="91"/>
      <c r="E2360" s="80"/>
      <c r="F2360" s="80"/>
      <c r="G2360" s="91"/>
      <c r="H2360" s="91"/>
    </row>
    <row r="2361" spans="2:8">
      <c r="B2361" s="80"/>
      <c r="C2361" s="36"/>
      <c r="D2361" s="91"/>
      <c r="E2361" s="80"/>
      <c r="F2361" s="80"/>
      <c r="G2361" s="91"/>
      <c r="H2361" s="91"/>
    </row>
    <row r="2362" spans="2:8">
      <c r="B2362" s="80"/>
      <c r="C2362" s="36"/>
      <c r="D2362" s="91"/>
      <c r="E2362" s="80"/>
      <c r="F2362" s="80"/>
      <c r="G2362" s="91"/>
      <c r="H2362" s="91"/>
    </row>
    <row r="2363" spans="2:8">
      <c r="B2363" s="80"/>
      <c r="C2363" s="36"/>
      <c r="D2363" s="91"/>
      <c r="E2363" s="80"/>
      <c r="F2363" s="80"/>
      <c r="G2363" s="91"/>
      <c r="H2363" s="91"/>
    </row>
    <row r="2364" spans="2:8">
      <c r="B2364" s="80"/>
      <c r="C2364" s="36"/>
      <c r="D2364" s="91"/>
      <c r="E2364" s="80"/>
      <c r="F2364" s="80"/>
      <c r="G2364" s="91"/>
      <c r="H2364" s="91"/>
    </row>
    <row r="2365" spans="2:8">
      <c r="B2365" s="80"/>
      <c r="C2365" s="36"/>
      <c r="D2365" s="91"/>
      <c r="E2365" s="80"/>
      <c r="F2365" s="80"/>
      <c r="G2365" s="91"/>
      <c r="H2365" s="91"/>
    </row>
    <row r="2366" spans="2:8">
      <c r="B2366" s="80"/>
      <c r="C2366" s="36"/>
      <c r="D2366" s="91"/>
      <c r="E2366" s="80"/>
      <c r="F2366" s="80"/>
      <c r="G2366" s="91"/>
      <c r="H2366" s="91"/>
    </row>
    <row r="2367" spans="2:8">
      <c r="B2367" s="80"/>
      <c r="C2367" s="36"/>
      <c r="D2367" s="91"/>
      <c r="E2367" s="80"/>
      <c r="F2367" s="80"/>
      <c r="G2367" s="91"/>
      <c r="H2367" s="91"/>
    </row>
    <row r="2368" spans="2:8">
      <c r="B2368" s="80"/>
      <c r="C2368" s="36"/>
      <c r="D2368" s="91"/>
      <c r="E2368" s="80"/>
      <c r="F2368" s="80"/>
      <c r="G2368" s="91"/>
      <c r="H2368" s="91"/>
    </row>
    <row r="2369" spans="2:8">
      <c r="B2369" s="80"/>
      <c r="C2369" s="36"/>
      <c r="D2369" s="91"/>
      <c r="E2369" s="80"/>
      <c r="F2369" s="80"/>
      <c r="G2369" s="91"/>
      <c r="H2369" s="91"/>
    </row>
    <row r="2370" spans="2:8">
      <c r="B2370" s="80"/>
      <c r="C2370" s="36"/>
      <c r="D2370" s="91"/>
      <c r="E2370" s="80"/>
      <c r="F2370" s="80"/>
      <c r="G2370" s="91"/>
      <c r="H2370" s="91"/>
    </row>
    <row r="2371" spans="2:8">
      <c r="B2371" s="80"/>
      <c r="C2371" s="36"/>
      <c r="D2371" s="91"/>
      <c r="E2371" s="80"/>
      <c r="F2371" s="80"/>
      <c r="G2371" s="91"/>
      <c r="H2371" s="91"/>
    </row>
    <row r="2372" spans="2:8">
      <c r="B2372" s="80"/>
      <c r="C2372" s="36"/>
      <c r="D2372" s="91"/>
      <c r="E2372" s="80"/>
      <c r="F2372" s="80"/>
      <c r="G2372" s="91"/>
      <c r="H2372" s="91"/>
    </row>
    <row r="2373" spans="2:8">
      <c r="B2373" s="80"/>
      <c r="C2373" s="36"/>
      <c r="D2373" s="91"/>
      <c r="E2373" s="80"/>
      <c r="F2373" s="80"/>
      <c r="G2373" s="91"/>
      <c r="H2373" s="91"/>
    </row>
    <row r="2374" spans="2:8">
      <c r="B2374" s="80"/>
      <c r="C2374" s="36"/>
      <c r="D2374" s="91"/>
      <c r="E2374" s="80"/>
      <c r="F2374" s="80"/>
      <c r="G2374" s="91"/>
      <c r="H2374" s="91"/>
    </row>
    <row r="2375" spans="2:8">
      <c r="B2375" s="80"/>
      <c r="C2375" s="36"/>
      <c r="D2375" s="91"/>
      <c r="E2375" s="80"/>
      <c r="F2375" s="80"/>
      <c r="G2375" s="91"/>
      <c r="H2375" s="91"/>
    </row>
    <row r="2376" spans="2:8">
      <c r="B2376" s="80"/>
      <c r="C2376" s="36"/>
      <c r="D2376" s="91"/>
      <c r="E2376" s="80"/>
      <c r="F2376" s="80"/>
      <c r="G2376" s="91"/>
      <c r="H2376" s="91"/>
    </row>
    <row r="2377" spans="2:8">
      <c r="B2377" s="80"/>
      <c r="C2377" s="36"/>
      <c r="D2377" s="91"/>
      <c r="E2377" s="80"/>
      <c r="F2377" s="80"/>
      <c r="G2377" s="91"/>
      <c r="H2377" s="91"/>
    </row>
    <row r="2378" spans="2:8">
      <c r="B2378" s="80"/>
      <c r="C2378" s="36"/>
      <c r="D2378" s="91"/>
      <c r="E2378" s="80"/>
      <c r="F2378" s="80"/>
      <c r="G2378" s="91"/>
      <c r="H2378" s="91"/>
    </row>
    <row r="2379" spans="2:8">
      <c r="B2379" s="80"/>
      <c r="C2379" s="36"/>
      <c r="D2379" s="91"/>
      <c r="E2379" s="80"/>
      <c r="F2379" s="80"/>
      <c r="G2379" s="91"/>
      <c r="H2379" s="91"/>
    </row>
    <row r="2380" spans="2:8">
      <c r="B2380" s="80"/>
      <c r="C2380" s="36"/>
      <c r="D2380" s="91"/>
      <c r="E2380" s="80"/>
      <c r="F2380" s="80"/>
      <c r="G2380" s="91"/>
      <c r="H2380" s="91"/>
    </row>
    <row r="2381" spans="2:8">
      <c r="B2381" s="80"/>
      <c r="C2381" s="36"/>
      <c r="D2381" s="91"/>
      <c r="E2381" s="80"/>
      <c r="F2381" s="80"/>
      <c r="G2381" s="91"/>
      <c r="H2381" s="91"/>
    </row>
    <row r="2382" spans="2:8">
      <c r="B2382" s="80"/>
      <c r="C2382" s="36"/>
      <c r="D2382" s="91"/>
      <c r="E2382" s="80"/>
      <c r="F2382" s="80"/>
      <c r="G2382" s="91"/>
      <c r="H2382" s="91"/>
    </row>
    <row r="2383" spans="2:8">
      <c r="B2383" s="80"/>
      <c r="C2383" s="36"/>
      <c r="D2383" s="91"/>
      <c r="E2383" s="80"/>
      <c r="F2383" s="80"/>
      <c r="G2383" s="91"/>
      <c r="H2383" s="91"/>
    </row>
    <row r="2384" spans="2:8">
      <c r="B2384" s="80"/>
      <c r="C2384" s="36"/>
      <c r="D2384" s="91"/>
      <c r="E2384" s="80"/>
      <c r="F2384" s="80"/>
      <c r="G2384" s="91"/>
      <c r="H2384" s="91"/>
    </row>
    <row r="2385" spans="2:8">
      <c r="B2385" s="80"/>
      <c r="C2385" s="36"/>
      <c r="D2385" s="91"/>
      <c r="E2385" s="80"/>
      <c r="F2385" s="80"/>
      <c r="G2385" s="91"/>
      <c r="H2385" s="91"/>
    </row>
    <row r="2386" spans="2:8">
      <c r="B2386" s="80"/>
      <c r="C2386" s="36"/>
      <c r="D2386" s="91"/>
      <c r="E2386" s="80"/>
      <c r="F2386" s="80"/>
      <c r="G2386" s="91"/>
      <c r="H2386" s="91"/>
    </row>
    <row r="2387" spans="2:8">
      <c r="B2387" s="80"/>
      <c r="C2387" s="36"/>
      <c r="D2387" s="91"/>
      <c r="E2387" s="80"/>
      <c r="F2387" s="80"/>
      <c r="G2387" s="91"/>
      <c r="H2387" s="91"/>
    </row>
    <row r="2388" spans="2:8">
      <c r="B2388" s="80"/>
      <c r="C2388" s="36"/>
      <c r="D2388" s="91"/>
      <c r="E2388" s="80"/>
      <c r="F2388" s="80"/>
      <c r="G2388" s="91"/>
      <c r="H2388" s="91"/>
    </row>
    <row r="2389" spans="2:8">
      <c r="B2389" s="80"/>
      <c r="C2389" s="36"/>
      <c r="D2389" s="91"/>
      <c r="E2389" s="80"/>
      <c r="F2389" s="80"/>
      <c r="G2389" s="91"/>
      <c r="H2389" s="91"/>
    </row>
    <row r="2390" spans="2:8">
      <c r="B2390" s="80"/>
      <c r="C2390" s="36"/>
      <c r="D2390" s="91"/>
      <c r="E2390" s="80"/>
      <c r="F2390" s="80"/>
      <c r="G2390" s="91"/>
      <c r="H2390" s="91"/>
    </row>
    <row r="2391" spans="2:8">
      <c r="B2391" s="80"/>
      <c r="C2391" s="36"/>
      <c r="D2391" s="91"/>
      <c r="E2391" s="80"/>
      <c r="F2391" s="80"/>
      <c r="G2391" s="91"/>
      <c r="H2391" s="91"/>
    </row>
    <row r="2392" spans="2:8">
      <c r="B2392" s="80"/>
      <c r="C2392" s="36"/>
      <c r="D2392" s="91"/>
      <c r="E2392" s="80"/>
      <c r="F2392" s="80"/>
      <c r="G2392" s="91"/>
      <c r="H2392" s="91"/>
    </row>
    <row r="2393" spans="2:8">
      <c r="B2393" s="80"/>
      <c r="C2393" s="36"/>
      <c r="D2393" s="91"/>
      <c r="E2393" s="80"/>
      <c r="F2393" s="80"/>
      <c r="G2393" s="91"/>
      <c r="H2393" s="91"/>
    </row>
    <row r="2394" spans="2:8">
      <c r="B2394" s="80"/>
      <c r="C2394" s="36"/>
      <c r="D2394" s="91"/>
      <c r="E2394" s="80"/>
      <c r="F2394" s="80"/>
      <c r="G2394" s="91"/>
      <c r="H2394" s="91"/>
    </row>
    <row r="2395" spans="2:8">
      <c r="B2395" s="80"/>
      <c r="C2395" s="36"/>
      <c r="D2395" s="91"/>
      <c r="E2395" s="80"/>
      <c r="F2395" s="80"/>
      <c r="G2395" s="91"/>
      <c r="H2395" s="91"/>
    </row>
    <row r="2396" spans="2:8">
      <c r="B2396" s="80"/>
      <c r="C2396" s="36"/>
      <c r="D2396" s="91"/>
      <c r="E2396" s="80"/>
      <c r="F2396" s="80"/>
      <c r="G2396" s="91"/>
      <c r="H2396" s="91"/>
    </row>
    <row r="2397" spans="2:8">
      <c r="B2397" s="80"/>
      <c r="C2397" s="36"/>
      <c r="D2397" s="91"/>
      <c r="E2397" s="80"/>
      <c r="F2397" s="80"/>
      <c r="G2397" s="91"/>
      <c r="H2397" s="91"/>
    </row>
    <row r="2398" spans="2:8">
      <c r="B2398" s="80"/>
      <c r="C2398" s="36"/>
      <c r="D2398" s="91"/>
      <c r="E2398" s="80"/>
      <c r="F2398" s="80"/>
      <c r="G2398" s="91"/>
      <c r="H2398" s="91"/>
    </row>
    <row r="2399" spans="2:8">
      <c r="B2399" s="80"/>
      <c r="C2399" s="36"/>
      <c r="D2399" s="91"/>
      <c r="E2399" s="80"/>
      <c r="F2399" s="80"/>
      <c r="G2399" s="91"/>
      <c r="H2399" s="91"/>
    </row>
    <row r="2400" spans="2:8">
      <c r="B2400" s="80"/>
      <c r="C2400" s="36"/>
      <c r="D2400" s="91"/>
      <c r="E2400" s="80"/>
      <c r="F2400" s="80"/>
      <c r="G2400" s="91"/>
      <c r="H2400" s="91"/>
    </row>
    <row r="2401" spans="2:8">
      <c r="B2401" s="80"/>
      <c r="C2401" s="36"/>
      <c r="D2401" s="91"/>
      <c r="E2401" s="80"/>
      <c r="F2401" s="80"/>
      <c r="G2401" s="91"/>
      <c r="H2401" s="91"/>
    </row>
    <row r="2402" spans="2:8">
      <c r="B2402" s="80"/>
      <c r="C2402" s="36"/>
      <c r="D2402" s="91"/>
      <c r="E2402" s="80"/>
      <c r="F2402" s="80"/>
      <c r="G2402" s="91"/>
      <c r="H2402" s="91"/>
    </row>
    <row r="2403" spans="2:8">
      <c r="B2403" s="80"/>
      <c r="C2403" s="36"/>
      <c r="D2403" s="91"/>
      <c r="E2403" s="80"/>
      <c r="F2403" s="80"/>
      <c r="G2403" s="91"/>
      <c r="H2403" s="91"/>
    </row>
    <row r="2404" spans="2:8">
      <c r="B2404" s="80"/>
      <c r="C2404" s="36"/>
      <c r="D2404" s="91"/>
      <c r="E2404" s="80"/>
      <c r="F2404" s="80"/>
      <c r="G2404" s="91"/>
      <c r="H2404" s="91"/>
    </row>
    <row r="2405" spans="2:8">
      <c r="B2405" s="80"/>
      <c r="C2405" s="36"/>
      <c r="D2405" s="91"/>
      <c r="E2405" s="80"/>
      <c r="F2405" s="80"/>
      <c r="G2405" s="91"/>
      <c r="H2405" s="91"/>
    </row>
    <row r="2406" spans="2:8">
      <c r="B2406" s="80"/>
      <c r="C2406" s="36"/>
      <c r="D2406" s="91"/>
      <c r="E2406" s="80"/>
      <c r="F2406" s="80"/>
      <c r="G2406" s="91"/>
      <c r="H2406" s="91"/>
    </row>
    <row r="2407" spans="2:8">
      <c r="B2407" s="80"/>
      <c r="C2407" s="36"/>
      <c r="D2407" s="91"/>
      <c r="E2407" s="80"/>
      <c r="F2407" s="80"/>
      <c r="G2407" s="91"/>
      <c r="H2407" s="91"/>
    </row>
    <row r="2408" spans="2:8">
      <c r="B2408" s="80"/>
      <c r="C2408" s="36"/>
      <c r="D2408" s="91"/>
      <c r="E2408" s="80"/>
      <c r="F2408" s="80"/>
      <c r="G2408" s="91"/>
      <c r="H2408" s="91"/>
    </row>
    <row r="2409" spans="2:8">
      <c r="B2409" s="80"/>
      <c r="C2409" s="36"/>
      <c r="D2409" s="91"/>
      <c r="E2409" s="80"/>
      <c r="F2409" s="80"/>
      <c r="G2409" s="91"/>
      <c r="H2409" s="91"/>
    </row>
    <row r="2410" spans="2:8">
      <c r="B2410" s="80"/>
      <c r="C2410" s="36"/>
      <c r="D2410" s="91"/>
      <c r="E2410" s="80"/>
      <c r="F2410" s="80"/>
      <c r="G2410" s="91"/>
      <c r="H2410" s="91"/>
    </row>
    <row r="2411" spans="2:8">
      <c r="B2411" s="80"/>
      <c r="C2411" s="36"/>
      <c r="D2411" s="91"/>
      <c r="E2411" s="80"/>
      <c r="F2411" s="80"/>
      <c r="G2411" s="91"/>
      <c r="H2411" s="91"/>
    </row>
    <row r="2412" spans="2:8">
      <c r="B2412" s="80"/>
      <c r="C2412" s="36"/>
      <c r="D2412" s="91"/>
      <c r="E2412" s="80"/>
      <c r="F2412" s="80"/>
      <c r="G2412" s="91"/>
      <c r="H2412" s="91"/>
    </row>
    <row r="2413" spans="2:8">
      <c r="B2413" s="80"/>
      <c r="C2413" s="36"/>
      <c r="D2413" s="91"/>
      <c r="E2413" s="80"/>
      <c r="F2413" s="80"/>
      <c r="G2413" s="91"/>
      <c r="H2413" s="91"/>
    </row>
    <row r="2414" spans="2:8">
      <c r="B2414" s="80"/>
      <c r="C2414" s="36"/>
      <c r="D2414" s="91"/>
      <c r="E2414" s="80"/>
      <c r="F2414" s="80"/>
      <c r="G2414" s="91"/>
      <c r="H2414" s="91"/>
    </row>
    <row r="2415" spans="2:8">
      <c r="B2415" s="80"/>
      <c r="C2415" s="36"/>
      <c r="D2415" s="91"/>
      <c r="E2415" s="80"/>
      <c r="F2415" s="80"/>
      <c r="G2415" s="91"/>
      <c r="H2415" s="91"/>
    </row>
    <row r="2416" spans="2:8">
      <c r="B2416" s="80"/>
      <c r="C2416" s="36"/>
      <c r="D2416" s="91"/>
      <c r="E2416" s="80"/>
      <c r="F2416" s="80"/>
      <c r="G2416" s="91"/>
      <c r="H2416" s="91"/>
    </row>
    <row r="2417" spans="2:8">
      <c r="B2417" s="80"/>
      <c r="C2417" s="36"/>
      <c r="D2417" s="91"/>
      <c r="E2417" s="80"/>
      <c r="F2417" s="80"/>
      <c r="G2417" s="91"/>
      <c r="H2417" s="91"/>
    </row>
    <row r="2418" spans="2:8">
      <c r="B2418" s="80"/>
      <c r="C2418" s="36"/>
      <c r="D2418" s="91"/>
      <c r="E2418" s="80"/>
      <c r="F2418" s="80"/>
      <c r="G2418" s="91"/>
      <c r="H2418" s="91"/>
    </row>
    <row r="2419" spans="2:8">
      <c r="B2419" s="80"/>
      <c r="C2419" s="36"/>
      <c r="D2419" s="91"/>
      <c r="E2419" s="80"/>
      <c r="F2419" s="80"/>
      <c r="G2419" s="91"/>
      <c r="H2419" s="91"/>
    </row>
    <row r="2420" spans="2:8">
      <c r="B2420" s="80"/>
      <c r="C2420" s="36"/>
      <c r="D2420" s="91"/>
      <c r="E2420" s="80"/>
      <c r="F2420" s="80"/>
      <c r="G2420" s="91"/>
      <c r="H2420" s="91"/>
    </row>
    <row r="2421" spans="2:8">
      <c r="B2421" s="80"/>
      <c r="C2421" s="36"/>
      <c r="D2421" s="91"/>
      <c r="E2421" s="80"/>
      <c r="F2421" s="80"/>
      <c r="G2421" s="91"/>
      <c r="H2421" s="91"/>
    </row>
    <row r="2422" spans="2:8">
      <c r="B2422" s="80"/>
      <c r="C2422" s="36"/>
      <c r="D2422" s="91"/>
      <c r="E2422" s="80"/>
      <c r="F2422" s="80"/>
      <c r="G2422" s="91"/>
      <c r="H2422" s="91"/>
    </row>
    <row r="2423" spans="2:8">
      <c r="B2423" s="80"/>
      <c r="C2423" s="36"/>
      <c r="D2423" s="91"/>
      <c r="E2423" s="80"/>
      <c r="F2423" s="80"/>
      <c r="G2423" s="91"/>
      <c r="H2423" s="91"/>
    </row>
    <row r="2424" spans="2:8">
      <c r="B2424" s="80"/>
      <c r="C2424" s="36"/>
      <c r="D2424" s="91"/>
      <c r="E2424" s="80"/>
      <c r="F2424" s="80"/>
      <c r="G2424" s="91"/>
      <c r="H2424" s="91"/>
    </row>
    <row r="2425" spans="2:8">
      <c r="B2425" s="80"/>
      <c r="C2425" s="36"/>
      <c r="D2425" s="91"/>
      <c r="E2425" s="80"/>
      <c r="F2425" s="80"/>
      <c r="G2425" s="91"/>
      <c r="H2425" s="91"/>
    </row>
    <row r="2426" spans="2:8">
      <c r="B2426" s="80"/>
      <c r="C2426" s="36"/>
      <c r="D2426" s="91"/>
      <c r="E2426" s="80"/>
      <c r="F2426" s="80"/>
      <c r="G2426" s="91"/>
      <c r="H2426" s="91"/>
    </row>
    <row r="2427" spans="2:8">
      <c r="B2427" s="80"/>
      <c r="C2427" s="36"/>
      <c r="D2427" s="91"/>
      <c r="E2427" s="80"/>
      <c r="F2427" s="80"/>
      <c r="G2427" s="91"/>
      <c r="H2427" s="91"/>
    </row>
    <row r="2428" spans="2:8">
      <c r="B2428" s="80"/>
      <c r="C2428" s="36"/>
      <c r="D2428" s="91"/>
      <c r="E2428" s="80"/>
      <c r="F2428" s="80"/>
      <c r="G2428" s="91"/>
      <c r="H2428" s="91"/>
    </row>
    <row r="2429" spans="2:8">
      <c r="B2429" s="80"/>
      <c r="C2429" s="36"/>
      <c r="D2429" s="91"/>
      <c r="E2429" s="80"/>
      <c r="F2429" s="80"/>
      <c r="G2429" s="91"/>
      <c r="H2429" s="91"/>
    </row>
    <row r="2430" spans="2:8">
      <c r="B2430" s="80"/>
      <c r="C2430" s="36"/>
      <c r="D2430" s="91"/>
      <c r="E2430" s="80"/>
      <c r="F2430" s="80"/>
      <c r="G2430" s="91"/>
      <c r="H2430" s="91"/>
    </row>
    <row r="2431" spans="2:8">
      <c r="B2431" s="80"/>
      <c r="C2431" s="36"/>
      <c r="D2431" s="91"/>
      <c r="E2431" s="80"/>
      <c r="F2431" s="80"/>
      <c r="G2431" s="91"/>
      <c r="H2431" s="91"/>
    </row>
    <row r="2432" spans="2:8">
      <c r="B2432" s="80"/>
      <c r="C2432" s="36"/>
      <c r="D2432" s="91"/>
      <c r="E2432" s="80"/>
      <c r="F2432" s="80"/>
      <c r="G2432" s="91"/>
      <c r="H2432" s="91"/>
    </row>
    <row r="2433" spans="2:8">
      <c r="B2433" s="80"/>
      <c r="C2433" s="36"/>
      <c r="D2433" s="91"/>
      <c r="E2433" s="80"/>
      <c r="F2433" s="80"/>
      <c r="G2433" s="91"/>
      <c r="H2433" s="91"/>
    </row>
    <row r="2434" spans="2:8">
      <c r="B2434" s="80"/>
      <c r="C2434" s="36"/>
      <c r="D2434" s="91"/>
      <c r="E2434" s="80"/>
      <c r="F2434" s="80"/>
      <c r="G2434" s="91"/>
      <c r="H2434" s="91"/>
    </row>
    <row r="2435" spans="2:8">
      <c r="B2435" s="80"/>
      <c r="C2435" s="36"/>
      <c r="D2435" s="91"/>
      <c r="E2435" s="80"/>
      <c r="F2435" s="80"/>
      <c r="G2435" s="91"/>
      <c r="H2435" s="91"/>
    </row>
    <row r="2436" spans="2:8">
      <c r="B2436" s="80"/>
      <c r="C2436" s="36"/>
      <c r="D2436" s="91"/>
      <c r="E2436" s="80"/>
      <c r="F2436" s="80"/>
      <c r="G2436" s="91"/>
      <c r="H2436" s="91"/>
    </row>
    <row r="2437" spans="2:8">
      <c r="B2437" s="80"/>
      <c r="C2437" s="36"/>
      <c r="D2437" s="91"/>
      <c r="E2437" s="80"/>
      <c r="F2437" s="80"/>
      <c r="G2437" s="91"/>
      <c r="H2437" s="91"/>
    </row>
    <row r="2438" spans="2:8">
      <c r="B2438" s="80"/>
      <c r="C2438" s="36"/>
      <c r="D2438" s="91"/>
      <c r="E2438" s="80"/>
      <c r="F2438" s="80"/>
      <c r="G2438" s="91"/>
      <c r="H2438" s="91"/>
    </row>
    <row r="2439" spans="2:8">
      <c r="B2439" s="80"/>
      <c r="C2439" s="36"/>
      <c r="D2439" s="91"/>
      <c r="E2439" s="80"/>
      <c r="F2439" s="80"/>
      <c r="G2439" s="91"/>
      <c r="H2439" s="91"/>
    </row>
    <row r="2440" spans="2:8">
      <c r="B2440" s="80"/>
      <c r="C2440" s="36"/>
      <c r="D2440" s="91"/>
      <c r="E2440" s="80"/>
      <c r="F2440" s="80"/>
      <c r="G2440" s="91"/>
      <c r="H2440" s="91"/>
    </row>
    <row r="2441" spans="2:8">
      <c r="B2441" s="80"/>
      <c r="C2441" s="36"/>
      <c r="D2441" s="91"/>
      <c r="E2441" s="80"/>
      <c r="F2441" s="80"/>
      <c r="G2441" s="91"/>
      <c r="H2441" s="91"/>
    </row>
    <row r="2442" spans="2:8">
      <c r="B2442" s="80"/>
      <c r="C2442" s="36"/>
      <c r="D2442" s="91"/>
      <c r="E2442" s="80"/>
      <c r="F2442" s="80"/>
      <c r="G2442" s="91"/>
      <c r="H2442" s="91"/>
    </row>
    <row r="2443" spans="2:8">
      <c r="B2443" s="80"/>
      <c r="C2443" s="36"/>
      <c r="D2443" s="91"/>
      <c r="E2443" s="80"/>
      <c r="F2443" s="80"/>
      <c r="G2443" s="91"/>
      <c r="H2443" s="91"/>
    </row>
    <row r="2444" spans="2:8">
      <c r="B2444" s="80"/>
      <c r="C2444" s="36"/>
      <c r="D2444" s="91"/>
      <c r="E2444" s="80"/>
      <c r="F2444" s="80"/>
      <c r="G2444" s="91"/>
      <c r="H2444" s="91"/>
    </row>
    <row r="2445" spans="2:8">
      <c r="B2445" s="80"/>
      <c r="C2445" s="36"/>
      <c r="D2445" s="91"/>
      <c r="E2445" s="80"/>
      <c r="F2445" s="80"/>
      <c r="G2445" s="91"/>
      <c r="H2445" s="91"/>
    </row>
    <row r="2446" spans="2:8">
      <c r="B2446" s="80"/>
      <c r="C2446" s="36"/>
      <c r="D2446" s="91"/>
      <c r="E2446" s="80"/>
      <c r="F2446" s="80"/>
      <c r="G2446" s="91"/>
      <c r="H2446" s="91"/>
    </row>
    <row r="2447" spans="2:8">
      <c r="B2447" s="80"/>
      <c r="C2447" s="36"/>
      <c r="D2447" s="91"/>
      <c r="E2447" s="80"/>
      <c r="F2447" s="80"/>
      <c r="G2447" s="91"/>
      <c r="H2447" s="91"/>
    </row>
    <row r="2448" spans="2:8">
      <c r="B2448" s="80"/>
      <c r="C2448" s="36"/>
      <c r="D2448" s="91"/>
      <c r="E2448" s="80"/>
      <c r="F2448" s="80"/>
      <c r="G2448" s="91"/>
      <c r="H2448" s="91"/>
    </row>
    <row r="2449" spans="2:8">
      <c r="B2449" s="80"/>
      <c r="C2449" s="36"/>
      <c r="D2449" s="91"/>
      <c r="E2449" s="80"/>
      <c r="F2449" s="80"/>
      <c r="G2449" s="91"/>
      <c r="H2449" s="91"/>
    </row>
    <row r="2450" spans="2:8">
      <c r="B2450" s="80"/>
      <c r="C2450" s="36"/>
      <c r="D2450" s="91"/>
      <c r="E2450" s="80"/>
      <c r="F2450" s="80"/>
      <c r="G2450" s="91"/>
      <c r="H2450" s="91"/>
    </row>
    <row r="2451" spans="2:8">
      <c r="B2451" s="80"/>
      <c r="C2451" s="36"/>
      <c r="D2451" s="91"/>
      <c r="E2451" s="80"/>
      <c r="F2451" s="80"/>
      <c r="G2451" s="91"/>
      <c r="H2451" s="91"/>
    </row>
    <row r="2452" spans="2:8">
      <c r="B2452" s="80"/>
      <c r="C2452" s="36"/>
      <c r="D2452" s="91"/>
      <c r="E2452" s="80"/>
      <c r="F2452" s="80"/>
      <c r="G2452" s="91"/>
      <c r="H2452" s="91"/>
    </row>
    <row r="2453" spans="2:8">
      <c r="B2453" s="80"/>
      <c r="C2453" s="36"/>
      <c r="D2453" s="91"/>
      <c r="E2453" s="80"/>
      <c r="F2453" s="80"/>
      <c r="G2453" s="91"/>
      <c r="H2453" s="91"/>
    </row>
    <row r="2454" spans="2:8">
      <c r="B2454" s="80"/>
      <c r="C2454" s="36"/>
      <c r="D2454" s="91"/>
      <c r="E2454" s="80"/>
      <c r="F2454" s="80"/>
      <c r="G2454" s="91"/>
      <c r="H2454" s="91"/>
    </row>
    <row r="2455" spans="2:8">
      <c r="B2455" s="80"/>
      <c r="C2455" s="36"/>
      <c r="D2455" s="91"/>
      <c r="E2455" s="80"/>
      <c r="F2455" s="80"/>
      <c r="G2455" s="91"/>
      <c r="H2455" s="91"/>
    </row>
    <row r="2456" spans="2:8">
      <c r="B2456" s="80"/>
      <c r="C2456" s="36"/>
      <c r="D2456" s="91"/>
      <c r="E2456" s="80"/>
      <c r="F2456" s="80"/>
      <c r="G2456" s="91"/>
      <c r="H2456" s="91"/>
    </row>
    <row r="2457" spans="2:8">
      <c r="B2457" s="80"/>
      <c r="C2457" s="36"/>
      <c r="D2457" s="91"/>
      <c r="E2457" s="80"/>
      <c r="F2457" s="80"/>
      <c r="G2457" s="91"/>
      <c r="H2457" s="91"/>
    </row>
    <row r="2458" spans="2:8">
      <c r="B2458" s="80"/>
      <c r="C2458" s="36"/>
      <c r="D2458" s="91"/>
      <c r="E2458" s="80"/>
      <c r="F2458" s="80"/>
      <c r="G2458" s="91"/>
      <c r="H2458" s="91"/>
    </row>
    <row r="2459" spans="2:8">
      <c r="B2459" s="80"/>
      <c r="C2459" s="36"/>
      <c r="D2459" s="91"/>
      <c r="E2459" s="80"/>
      <c r="F2459" s="80"/>
      <c r="G2459" s="91"/>
      <c r="H2459" s="91"/>
    </row>
    <row r="2460" spans="2:8">
      <c r="B2460" s="80"/>
      <c r="C2460" s="36"/>
      <c r="D2460" s="91"/>
      <c r="E2460" s="80"/>
      <c r="F2460" s="80"/>
      <c r="G2460" s="91"/>
      <c r="H2460" s="91"/>
    </row>
    <row r="2461" spans="2:8">
      <c r="B2461" s="80"/>
      <c r="C2461" s="36"/>
      <c r="D2461" s="91"/>
      <c r="E2461" s="80"/>
      <c r="F2461" s="80"/>
      <c r="G2461" s="91"/>
      <c r="H2461" s="91"/>
    </row>
    <row r="2462" spans="2:8">
      <c r="B2462" s="80"/>
      <c r="C2462" s="36"/>
      <c r="D2462" s="91"/>
      <c r="E2462" s="80"/>
      <c r="F2462" s="80"/>
      <c r="G2462" s="91"/>
      <c r="H2462" s="91"/>
    </row>
    <row r="2463" spans="2:8">
      <c r="B2463" s="80"/>
      <c r="C2463" s="36"/>
      <c r="D2463" s="91"/>
      <c r="E2463" s="80"/>
      <c r="F2463" s="80"/>
      <c r="G2463" s="91"/>
      <c r="H2463" s="91"/>
    </row>
    <row r="2464" spans="2:8">
      <c r="B2464" s="80"/>
      <c r="C2464" s="36"/>
      <c r="D2464" s="91"/>
      <c r="E2464" s="80"/>
      <c r="F2464" s="80"/>
      <c r="G2464" s="91"/>
      <c r="H2464" s="91"/>
    </row>
    <row r="2465" spans="2:8">
      <c r="B2465" s="80"/>
      <c r="C2465" s="36"/>
      <c r="D2465" s="91"/>
      <c r="E2465" s="80"/>
      <c r="F2465" s="80"/>
      <c r="G2465" s="91"/>
      <c r="H2465" s="91"/>
    </row>
    <row r="2466" spans="2:8">
      <c r="B2466" s="80"/>
      <c r="C2466" s="36"/>
      <c r="D2466" s="91"/>
      <c r="E2466" s="80"/>
      <c r="F2466" s="80"/>
      <c r="G2466" s="91"/>
      <c r="H2466" s="91"/>
    </row>
    <row r="2467" spans="2:8">
      <c r="B2467" s="80"/>
      <c r="C2467" s="36"/>
      <c r="D2467" s="91"/>
      <c r="E2467" s="80"/>
      <c r="F2467" s="80"/>
      <c r="G2467" s="91"/>
      <c r="H2467" s="91"/>
    </row>
    <row r="2468" spans="2:8">
      <c r="B2468" s="80"/>
      <c r="C2468" s="36"/>
      <c r="D2468" s="91"/>
      <c r="E2468" s="80"/>
      <c r="F2468" s="80"/>
      <c r="G2468" s="91"/>
      <c r="H2468" s="91"/>
    </row>
    <row r="2469" spans="2:8">
      <c r="B2469" s="80"/>
      <c r="C2469" s="36"/>
      <c r="D2469" s="91"/>
      <c r="E2469" s="80"/>
      <c r="F2469" s="80"/>
      <c r="G2469" s="91"/>
      <c r="H2469" s="91"/>
    </row>
    <row r="2470" spans="2:8">
      <c r="B2470" s="80"/>
      <c r="C2470" s="36"/>
      <c r="D2470" s="91"/>
      <c r="E2470" s="80"/>
      <c r="F2470" s="80"/>
      <c r="G2470" s="91"/>
      <c r="H2470" s="91"/>
    </row>
    <row r="2471" spans="2:8">
      <c r="B2471" s="80"/>
      <c r="C2471" s="36"/>
      <c r="D2471" s="91"/>
      <c r="E2471" s="80"/>
      <c r="F2471" s="80"/>
      <c r="G2471" s="91"/>
      <c r="H2471" s="91"/>
    </row>
    <row r="2472" spans="2:8">
      <c r="B2472" s="80"/>
      <c r="C2472" s="36"/>
      <c r="D2472" s="91"/>
      <c r="E2472" s="80"/>
      <c r="F2472" s="80"/>
      <c r="G2472" s="91"/>
      <c r="H2472" s="91"/>
    </row>
    <row r="2473" spans="2:8">
      <c r="B2473" s="80"/>
      <c r="C2473" s="36"/>
      <c r="D2473" s="91"/>
      <c r="E2473" s="80"/>
      <c r="F2473" s="80"/>
      <c r="G2473" s="91"/>
      <c r="H2473" s="91"/>
    </row>
    <row r="2474" spans="2:8">
      <c r="B2474" s="80"/>
      <c r="C2474" s="36"/>
      <c r="D2474" s="91"/>
      <c r="E2474" s="80"/>
      <c r="F2474" s="80"/>
      <c r="G2474" s="91"/>
      <c r="H2474" s="91"/>
    </row>
    <row r="2475" spans="2:8">
      <c r="B2475" s="80"/>
      <c r="C2475" s="36"/>
      <c r="D2475" s="91"/>
      <c r="E2475" s="80"/>
      <c r="F2475" s="80"/>
      <c r="G2475" s="91"/>
      <c r="H2475" s="91"/>
    </row>
    <row r="2476" spans="2:8">
      <c r="B2476" s="80"/>
      <c r="C2476" s="36"/>
      <c r="D2476" s="91"/>
      <c r="E2476" s="80"/>
      <c r="F2476" s="80"/>
      <c r="G2476" s="91"/>
      <c r="H2476" s="91"/>
    </row>
    <row r="2477" spans="2:8">
      <c r="B2477" s="80"/>
      <c r="C2477" s="36"/>
      <c r="D2477" s="91"/>
      <c r="E2477" s="80"/>
      <c r="F2477" s="80"/>
      <c r="G2477" s="91"/>
      <c r="H2477" s="91"/>
    </row>
    <row r="2478" spans="2:8">
      <c r="B2478" s="80"/>
      <c r="C2478" s="36"/>
      <c r="D2478" s="91"/>
      <c r="E2478" s="80"/>
      <c r="F2478" s="80"/>
      <c r="G2478" s="91"/>
      <c r="H2478" s="91"/>
    </row>
    <row r="2479" spans="2:8">
      <c r="B2479" s="80"/>
      <c r="C2479" s="36"/>
      <c r="D2479" s="91"/>
      <c r="E2479" s="80"/>
      <c r="F2479" s="80"/>
      <c r="G2479" s="91"/>
      <c r="H2479" s="91"/>
    </row>
    <row r="2480" spans="2:8">
      <c r="B2480" s="80"/>
      <c r="C2480" s="36"/>
      <c r="D2480" s="91"/>
      <c r="E2480" s="80"/>
      <c r="F2480" s="80"/>
      <c r="G2480" s="91"/>
      <c r="H2480" s="91"/>
    </row>
    <row r="2481" spans="2:8">
      <c r="B2481" s="80"/>
      <c r="C2481" s="36"/>
      <c r="D2481" s="91"/>
      <c r="E2481" s="80"/>
      <c r="F2481" s="80"/>
      <c r="G2481" s="91"/>
      <c r="H2481" s="91"/>
    </row>
    <row r="2482" spans="2:8">
      <c r="B2482" s="80"/>
      <c r="C2482" s="36"/>
      <c r="D2482" s="91"/>
      <c r="E2482" s="80"/>
      <c r="F2482" s="80"/>
      <c r="G2482" s="91"/>
      <c r="H2482" s="91"/>
    </row>
    <row r="2483" spans="2:8">
      <c r="B2483" s="80"/>
      <c r="C2483" s="36"/>
      <c r="D2483" s="91"/>
      <c r="E2483" s="80"/>
      <c r="F2483" s="80"/>
      <c r="G2483" s="91"/>
      <c r="H2483" s="91"/>
    </row>
    <row r="2484" spans="2:8">
      <c r="B2484" s="80"/>
      <c r="C2484" s="36"/>
      <c r="D2484" s="91"/>
      <c r="E2484" s="80"/>
      <c r="F2484" s="80"/>
      <c r="G2484" s="91"/>
      <c r="H2484" s="91"/>
    </row>
    <row r="2485" spans="2:8">
      <c r="B2485" s="80"/>
      <c r="C2485" s="36"/>
      <c r="D2485" s="91"/>
      <c r="E2485" s="80"/>
      <c r="F2485" s="80"/>
      <c r="G2485" s="91"/>
      <c r="H2485" s="91"/>
    </row>
    <row r="2486" spans="2:8">
      <c r="B2486" s="80"/>
      <c r="C2486" s="36"/>
      <c r="D2486" s="91"/>
      <c r="E2486" s="80"/>
      <c r="F2486" s="80"/>
      <c r="G2486" s="91"/>
      <c r="H2486" s="91"/>
    </row>
    <row r="2487" spans="2:8">
      <c r="B2487" s="80"/>
      <c r="C2487" s="36"/>
      <c r="D2487" s="91"/>
      <c r="E2487" s="80"/>
      <c r="F2487" s="80"/>
      <c r="G2487" s="91"/>
      <c r="H2487" s="91"/>
    </row>
    <row r="2488" spans="2:8">
      <c r="B2488" s="80"/>
      <c r="C2488" s="36"/>
      <c r="D2488" s="91"/>
      <c r="E2488" s="80"/>
      <c r="F2488" s="80"/>
      <c r="G2488" s="91"/>
      <c r="H2488" s="91"/>
    </row>
    <row r="2489" spans="2:8">
      <c r="B2489" s="80"/>
      <c r="C2489" s="36"/>
      <c r="D2489" s="91"/>
      <c r="E2489" s="80"/>
      <c r="F2489" s="80"/>
      <c r="G2489" s="91"/>
      <c r="H2489" s="91"/>
    </row>
    <row r="2490" spans="2:8">
      <c r="B2490" s="80"/>
      <c r="C2490" s="36"/>
      <c r="D2490" s="91"/>
      <c r="E2490" s="80"/>
      <c r="F2490" s="80"/>
      <c r="G2490" s="91"/>
      <c r="H2490" s="91"/>
    </row>
    <row r="2491" spans="2:8">
      <c r="B2491" s="80"/>
      <c r="C2491" s="36"/>
      <c r="D2491" s="91"/>
      <c r="E2491" s="80"/>
      <c r="F2491" s="80"/>
      <c r="G2491" s="91"/>
      <c r="H2491" s="91"/>
    </row>
    <row r="2492" spans="2:8">
      <c r="B2492" s="80"/>
      <c r="C2492" s="36"/>
      <c r="D2492" s="91"/>
      <c r="E2492" s="80"/>
      <c r="F2492" s="80"/>
      <c r="G2492" s="91"/>
      <c r="H2492" s="91"/>
    </row>
    <row r="2493" spans="2:8">
      <c r="B2493" s="80"/>
      <c r="C2493" s="36"/>
      <c r="D2493" s="91"/>
      <c r="E2493" s="80"/>
      <c r="F2493" s="80"/>
      <c r="G2493" s="91"/>
      <c r="H2493" s="91"/>
    </row>
    <row r="2494" spans="2:8">
      <c r="B2494" s="80"/>
      <c r="C2494" s="36"/>
      <c r="D2494" s="91"/>
      <c r="E2494" s="80"/>
      <c r="F2494" s="80"/>
      <c r="G2494" s="91"/>
      <c r="H2494" s="91"/>
    </row>
    <row r="2495" spans="2:8">
      <c r="B2495" s="80"/>
      <c r="C2495" s="36"/>
      <c r="D2495" s="91"/>
      <c r="E2495" s="80"/>
      <c r="F2495" s="80"/>
      <c r="G2495" s="91"/>
      <c r="H2495" s="91"/>
    </row>
    <row r="2496" spans="2:8">
      <c r="B2496" s="80"/>
      <c r="C2496" s="36"/>
      <c r="D2496" s="91"/>
      <c r="E2496" s="80"/>
      <c r="F2496" s="80"/>
      <c r="G2496" s="91"/>
      <c r="H2496" s="91"/>
    </row>
    <row r="2497" spans="2:8">
      <c r="B2497" s="80"/>
      <c r="C2497" s="36"/>
      <c r="D2497" s="91"/>
      <c r="E2497" s="80"/>
      <c r="F2497" s="80"/>
      <c r="G2497" s="91"/>
      <c r="H2497" s="91"/>
    </row>
    <row r="2498" spans="2:8">
      <c r="B2498" s="80"/>
      <c r="C2498" s="36"/>
      <c r="D2498" s="91"/>
      <c r="E2498" s="80"/>
      <c r="F2498" s="80"/>
      <c r="G2498" s="91"/>
      <c r="H2498" s="91"/>
    </row>
    <row r="2499" spans="2:8">
      <c r="B2499" s="80"/>
      <c r="C2499" s="36"/>
      <c r="D2499" s="91"/>
      <c r="E2499" s="80"/>
      <c r="F2499" s="80"/>
      <c r="G2499" s="91"/>
      <c r="H2499" s="91"/>
    </row>
    <row r="2500" spans="2:8">
      <c r="B2500" s="80"/>
      <c r="C2500" s="36"/>
      <c r="D2500" s="91"/>
      <c r="E2500" s="80"/>
      <c r="F2500" s="80"/>
      <c r="G2500" s="91"/>
      <c r="H2500" s="91"/>
    </row>
    <row r="2501" spans="2:8">
      <c r="B2501" s="80"/>
      <c r="C2501" s="36"/>
      <c r="D2501" s="91"/>
      <c r="E2501" s="80"/>
      <c r="F2501" s="80"/>
      <c r="G2501" s="91"/>
      <c r="H2501" s="91"/>
    </row>
    <row r="2502" spans="2:8">
      <c r="B2502" s="80"/>
      <c r="C2502" s="36"/>
      <c r="D2502" s="91"/>
      <c r="E2502" s="80"/>
      <c r="F2502" s="80"/>
      <c r="G2502" s="91"/>
      <c r="H2502" s="91"/>
    </row>
    <row r="2503" spans="2:8">
      <c r="B2503" s="80"/>
      <c r="C2503" s="36"/>
      <c r="D2503" s="91"/>
      <c r="E2503" s="80"/>
      <c r="F2503" s="80"/>
      <c r="G2503" s="91"/>
      <c r="H2503" s="91"/>
    </row>
    <row r="2504" spans="2:8">
      <c r="B2504" s="80"/>
      <c r="C2504" s="36"/>
      <c r="D2504" s="91"/>
      <c r="E2504" s="80"/>
      <c r="F2504" s="80"/>
      <c r="G2504" s="91"/>
      <c r="H2504" s="91"/>
    </row>
    <row r="2505" spans="2:8">
      <c r="B2505" s="80"/>
      <c r="C2505" s="36"/>
      <c r="D2505" s="91"/>
      <c r="E2505" s="80"/>
      <c r="F2505" s="80"/>
      <c r="G2505" s="91"/>
      <c r="H2505" s="91"/>
    </row>
    <row r="2506" spans="2:8">
      <c r="B2506" s="80"/>
      <c r="C2506" s="36"/>
      <c r="D2506" s="91"/>
      <c r="E2506" s="80"/>
      <c r="F2506" s="80"/>
      <c r="G2506" s="91"/>
      <c r="H2506" s="91"/>
    </row>
    <row r="2507" spans="2:8">
      <c r="B2507" s="80"/>
      <c r="C2507" s="36"/>
      <c r="D2507" s="91"/>
      <c r="E2507" s="80"/>
      <c r="F2507" s="80"/>
      <c r="G2507" s="91"/>
      <c r="H2507" s="91"/>
    </row>
    <row r="2508" spans="2:8">
      <c r="B2508" s="80"/>
      <c r="C2508" s="36"/>
      <c r="D2508" s="91"/>
      <c r="E2508" s="80"/>
      <c r="F2508" s="80"/>
      <c r="G2508" s="91"/>
      <c r="H2508" s="91"/>
    </row>
    <row r="2509" spans="2:8">
      <c r="B2509" s="80"/>
      <c r="C2509" s="36"/>
      <c r="D2509" s="91"/>
      <c r="E2509" s="80"/>
      <c r="F2509" s="80"/>
      <c r="G2509" s="91"/>
      <c r="H2509" s="91"/>
    </row>
    <row r="2510" spans="2:8">
      <c r="B2510" s="80"/>
      <c r="C2510" s="36"/>
      <c r="D2510" s="91"/>
      <c r="E2510" s="80"/>
      <c r="F2510" s="80"/>
      <c r="G2510" s="91"/>
      <c r="H2510" s="91"/>
    </row>
    <row r="2511" spans="2:8">
      <c r="B2511" s="80"/>
      <c r="C2511" s="36"/>
      <c r="D2511" s="91"/>
      <c r="E2511" s="80"/>
      <c r="F2511" s="80"/>
      <c r="G2511" s="91"/>
      <c r="H2511" s="91"/>
    </row>
    <row r="2512" spans="2:8">
      <c r="B2512" s="80"/>
      <c r="C2512" s="36"/>
      <c r="D2512" s="91"/>
      <c r="E2512" s="80"/>
      <c r="F2512" s="80"/>
      <c r="G2512" s="91"/>
      <c r="H2512" s="91"/>
    </row>
    <row r="2513" spans="2:8">
      <c r="B2513" s="80"/>
      <c r="C2513" s="36"/>
      <c r="D2513" s="91"/>
      <c r="E2513" s="80"/>
      <c r="F2513" s="80"/>
      <c r="G2513" s="91"/>
      <c r="H2513" s="91"/>
    </row>
    <row r="2514" spans="2:8">
      <c r="B2514" s="80"/>
      <c r="C2514" s="36"/>
      <c r="D2514" s="91"/>
      <c r="E2514" s="80"/>
      <c r="F2514" s="80"/>
      <c r="G2514" s="91"/>
      <c r="H2514" s="91"/>
    </row>
    <row r="2515" spans="2:8">
      <c r="B2515" s="80"/>
      <c r="C2515" s="36"/>
      <c r="D2515" s="91"/>
      <c r="E2515" s="80"/>
      <c r="F2515" s="80"/>
      <c r="G2515" s="91"/>
      <c r="H2515" s="91"/>
    </row>
    <row r="2516" spans="2:8">
      <c r="B2516" s="80"/>
      <c r="C2516" s="36"/>
      <c r="D2516" s="91"/>
      <c r="E2516" s="80"/>
      <c r="F2516" s="80"/>
      <c r="G2516" s="91"/>
      <c r="H2516" s="91"/>
    </row>
    <row r="2517" spans="2:8">
      <c r="B2517" s="80"/>
      <c r="C2517" s="36"/>
      <c r="D2517" s="91"/>
      <c r="E2517" s="80"/>
      <c r="F2517" s="80"/>
      <c r="G2517" s="91"/>
      <c r="H2517" s="91"/>
    </row>
    <row r="2518" spans="2:8">
      <c r="B2518" s="80"/>
      <c r="C2518" s="36"/>
      <c r="D2518" s="91"/>
      <c r="E2518" s="80"/>
      <c r="F2518" s="80"/>
      <c r="G2518" s="91"/>
      <c r="H2518" s="91"/>
    </row>
    <row r="2519" spans="2:8">
      <c r="B2519" s="80"/>
      <c r="C2519" s="36"/>
      <c r="D2519" s="91"/>
      <c r="E2519" s="80"/>
      <c r="F2519" s="80"/>
      <c r="G2519" s="91"/>
      <c r="H2519" s="91"/>
    </row>
    <row r="2520" spans="2:8">
      <c r="B2520" s="80"/>
      <c r="C2520" s="36"/>
      <c r="D2520" s="91"/>
      <c r="E2520" s="80"/>
      <c r="F2520" s="80"/>
      <c r="G2520" s="91"/>
      <c r="H2520" s="91"/>
    </row>
    <row r="2521" spans="2:8">
      <c r="B2521" s="80"/>
      <c r="C2521" s="36"/>
      <c r="D2521" s="91"/>
      <c r="E2521" s="80"/>
      <c r="F2521" s="80"/>
      <c r="G2521" s="91"/>
      <c r="H2521" s="91"/>
    </row>
    <row r="2522" spans="2:8">
      <c r="B2522" s="80"/>
      <c r="C2522" s="36"/>
      <c r="D2522" s="91"/>
      <c r="E2522" s="80"/>
      <c r="F2522" s="80"/>
      <c r="G2522" s="91"/>
      <c r="H2522" s="91"/>
    </row>
    <row r="2523" spans="2:8">
      <c r="B2523" s="80"/>
      <c r="C2523" s="36"/>
      <c r="D2523" s="91"/>
      <c r="E2523" s="80"/>
      <c r="F2523" s="80"/>
      <c r="G2523" s="91"/>
      <c r="H2523" s="91"/>
    </row>
    <row r="2524" spans="2:8">
      <c r="B2524" s="80"/>
      <c r="C2524" s="36"/>
      <c r="D2524" s="91"/>
      <c r="E2524" s="80"/>
      <c r="F2524" s="80"/>
      <c r="G2524" s="91"/>
      <c r="H2524" s="91"/>
    </row>
    <row r="2525" spans="2:8">
      <c r="B2525" s="80"/>
      <c r="C2525" s="36"/>
      <c r="D2525" s="91"/>
      <c r="E2525" s="80"/>
      <c r="F2525" s="80"/>
      <c r="G2525" s="91"/>
      <c r="H2525" s="91"/>
    </row>
    <row r="2526" spans="2:8">
      <c r="B2526" s="80"/>
      <c r="C2526" s="36"/>
      <c r="D2526" s="91"/>
      <c r="E2526" s="80"/>
      <c r="F2526" s="80"/>
      <c r="G2526" s="91"/>
      <c r="H2526" s="91"/>
    </row>
    <row r="2527" spans="2:8">
      <c r="B2527" s="80"/>
      <c r="C2527" s="36"/>
      <c r="D2527" s="91"/>
      <c r="E2527" s="80"/>
      <c r="F2527" s="80"/>
      <c r="G2527" s="91"/>
      <c r="H2527" s="91"/>
    </row>
    <row r="2528" spans="2:8">
      <c r="B2528" s="80"/>
      <c r="C2528" s="36"/>
      <c r="D2528" s="91"/>
      <c r="E2528" s="80"/>
      <c r="F2528" s="80"/>
      <c r="G2528" s="91"/>
      <c r="H2528" s="91"/>
    </row>
    <row r="2529" spans="2:8">
      <c r="B2529" s="80"/>
      <c r="C2529" s="36"/>
      <c r="D2529" s="91"/>
      <c r="E2529" s="80"/>
      <c r="F2529" s="80"/>
      <c r="G2529" s="91"/>
      <c r="H2529" s="91"/>
    </row>
    <row r="2530" spans="2:8">
      <c r="B2530" s="80"/>
      <c r="C2530" s="36"/>
      <c r="D2530" s="91"/>
      <c r="E2530" s="80"/>
      <c r="F2530" s="80"/>
      <c r="G2530" s="91"/>
      <c r="H2530" s="91"/>
    </row>
    <row r="2531" spans="2:8">
      <c r="B2531" s="80"/>
      <c r="C2531" s="36"/>
      <c r="D2531" s="91"/>
      <c r="E2531" s="80"/>
      <c r="F2531" s="80"/>
      <c r="G2531" s="91"/>
      <c r="H2531" s="91"/>
    </row>
    <row r="2532" spans="2:8">
      <c r="B2532" s="80"/>
      <c r="C2532" s="36"/>
      <c r="D2532" s="91"/>
      <c r="E2532" s="80"/>
      <c r="F2532" s="80"/>
      <c r="G2532" s="91"/>
      <c r="H2532" s="91"/>
    </row>
    <row r="2533" spans="2:8">
      <c r="B2533" s="80"/>
      <c r="C2533" s="36"/>
      <c r="D2533" s="91"/>
      <c r="E2533" s="80"/>
      <c r="F2533" s="80"/>
      <c r="G2533" s="91"/>
      <c r="H2533" s="91"/>
    </row>
    <row r="2534" spans="2:8">
      <c r="B2534" s="80"/>
      <c r="C2534" s="36"/>
      <c r="D2534" s="91"/>
      <c r="E2534" s="80"/>
      <c r="F2534" s="80"/>
      <c r="G2534" s="91"/>
      <c r="H2534" s="91"/>
    </row>
    <row r="2535" spans="2:8">
      <c r="B2535" s="80"/>
      <c r="C2535" s="36"/>
      <c r="D2535" s="91"/>
      <c r="E2535" s="80"/>
      <c r="F2535" s="80"/>
      <c r="G2535" s="91"/>
      <c r="H2535" s="91"/>
    </row>
    <row r="2536" spans="2:8">
      <c r="B2536" s="80"/>
      <c r="C2536" s="36"/>
      <c r="D2536" s="91"/>
      <c r="E2536" s="80"/>
      <c r="F2536" s="80"/>
      <c r="G2536" s="91"/>
      <c r="H2536" s="91"/>
    </row>
    <row r="2537" spans="2:8">
      <c r="B2537" s="80"/>
      <c r="C2537" s="36"/>
      <c r="D2537" s="91"/>
      <c r="E2537" s="80"/>
      <c r="F2537" s="80"/>
      <c r="G2537" s="91"/>
      <c r="H2537" s="91"/>
    </row>
    <row r="2538" spans="2:8">
      <c r="B2538" s="80"/>
      <c r="C2538" s="36"/>
      <c r="D2538" s="91"/>
      <c r="E2538" s="80"/>
      <c r="F2538" s="80"/>
      <c r="G2538" s="91"/>
      <c r="H2538" s="91"/>
    </row>
    <row r="2539" spans="2:8">
      <c r="B2539" s="80"/>
      <c r="C2539" s="36"/>
      <c r="D2539" s="91"/>
      <c r="E2539" s="80"/>
      <c r="F2539" s="80"/>
      <c r="G2539" s="91"/>
      <c r="H2539" s="91"/>
    </row>
    <row r="2540" spans="2:8">
      <c r="B2540" s="80"/>
      <c r="C2540" s="36"/>
      <c r="D2540" s="91"/>
      <c r="E2540" s="80"/>
      <c r="F2540" s="80"/>
      <c r="G2540" s="91"/>
      <c r="H2540" s="91"/>
    </row>
    <row r="2541" spans="2:8">
      <c r="B2541" s="80"/>
      <c r="C2541" s="36"/>
      <c r="D2541" s="91"/>
      <c r="E2541" s="80"/>
      <c r="F2541" s="80"/>
      <c r="G2541" s="91"/>
      <c r="H2541" s="91"/>
    </row>
    <row r="2542" spans="2:8">
      <c r="B2542" s="80"/>
      <c r="C2542" s="36"/>
      <c r="D2542" s="91"/>
      <c r="E2542" s="80"/>
      <c r="F2542" s="80"/>
      <c r="G2542" s="91"/>
      <c r="H2542" s="91"/>
    </row>
    <row r="2543" spans="2:8">
      <c r="B2543" s="80"/>
      <c r="C2543" s="36"/>
      <c r="D2543" s="91"/>
      <c r="E2543" s="80"/>
      <c r="F2543" s="80"/>
      <c r="G2543" s="91"/>
      <c r="H2543" s="91"/>
    </row>
    <row r="2544" spans="2:8">
      <c r="B2544" s="80"/>
      <c r="C2544" s="36"/>
      <c r="D2544" s="91"/>
      <c r="E2544" s="80"/>
      <c r="F2544" s="80"/>
      <c r="G2544" s="91"/>
      <c r="H2544" s="91"/>
    </row>
    <row r="2545" spans="2:8">
      <c r="B2545" s="80"/>
      <c r="C2545" s="36"/>
      <c r="D2545" s="91"/>
      <c r="E2545" s="80"/>
      <c r="F2545" s="80"/>
      <c r="G2545" s="91"/>
      <c r="H2545" s="91"/>
    </row>
    <row r="2546" spans="2:8">
      <c r="B2546" s="80"/>
      <c r="C2546" s="36"/>
      <c r="D2546" s="91"/>
      <c r="E2546" s="80"/>
      <c r="F2546" s="80"/>
      <c r="G2546" s="91"/>
      <c r="H2546" s="91"/>
    </row>
    <row r="2547" spans="2:8">
      <c r="B2547" s="80"/>
      <c r="C2547" s="36"/>
      <c r="D2547" s="91"/>
      <c r="E2547" s="80"/>
      <c r="F2547" s="80"/>
      <c r="G2547" s="91"/>
      <c r="H2547" s="91"/>
    </row>
    <row r="2548" spans="2:8">
      <c r="B2548" s="80"/>
      <c r="C2548" s="36"/>
      <c r="D2548" s="91"/>
      <c r="E2548" s="80"/>
      <c r="F2548" s="80"/>
      <c r="G2548" s="91"/>
      <c r="H2548" s="91"/>
    </row>
    <row r="2549" spans="2:8">
      <c r="B2549" s="80"/>
      <c r="C2549" s="36"/>
      <c r="D2549" s="91"/>
      <c r="E2549" s="80"/>
      <c r="F2549" s="80"/>
      <c r="G2549" s="91"/>
      <c r="H2549" s="91"/>
    </row>
    <row r="2550" spans="2:8">
      <c r="B2550" s="80"/>
      <c r="C2550" s="36"/>
      <c r="D2550" s="91"/>
      <c r="E2550" s="80"/>
      <c r="F2550" s="80"/>
      <c r="G2550" s="91"/>
      <c r="H2550" s="91"/>
    </row>
    <row r="2551" spans="2:8">
      <c r="B2551" s="80"/>
      <c r="C2551" s="36"/>
      <c r="D2551" s="91"/>
      <c r="E2551" s="80"/>
      <c r="F2551" s="80"/>
      <c r="G2551" s="91"/>
      <c r="H2551" s="91"/>
    </row>
    <row r="2552" spans="2:8">
      <c r="B2552" s="80"/>
      <c r="C2552" s="36"/>
      <c r="D2552" s="91"/>
      <c r="E2552" s="80"/>
      <c r="F2552" s="80"/>
      <c r="G2552" s="91"/>
      <c r="H2552" s="91"/>
    </row>
    <row r="2553" spans="2:8">
      <c r="B2553" s="80"/>
      <c r="C2553" s="36"/>
      <c r="D2553" s="91"/>
      <c r="E2553" s="80"/>
      <c r="F2553" s="80"/>
      <c r="G2553" s="91"/>
      <c r="H2553" s="91"/>
    </row>
    <row r="2554" spans="2:8">
      <c r="B2554" s="80"/>
      <c r="C2554" s="36"/>
      <c r="D2554" s="91"/>
      <c r="E2554" s="80"/>
      <c r="F2554" s="80"/>
      <c r="G2554" s="91"/>
      <c r="H2554" s="91"/>
    </row>
    <row r="2555" spans="2:8">
      <c r="B2555" s="80"/>
      <c r="C2555" s="36"/>
      <c r="D2555" s="91"/>
      <c r="E2555" s="80"/>
      <c r="F2555" s="80"/>
      <c r="G2555" s="91"/>
      <c r="H2555" s="91"/>
    </row>
    <row r="2556" spans="2:8">
      <c r="B2556" s="80"/>
      <c r="C2556" s="36"/>
      <c r="D2556" s="91"/>
      <c r="E2556" s="80"/>
      <c r="F2556" s="80"/>
      <c r="G2556" s="91"/>
      <c r="H2556" s="91"/>
    </row>
    <row r="2557" spans="2:8">
      <c r="B2557" s="80"/>
      <c r="C2557" s="36"/>
      <c r="D2557" s="91"/>
      <c r="E2557" s="80"/>
      <c r="F2557" s="80"/>
      <c r="G2557" s="91"/>
      <c r="H2557" s="91"/>
    </row>
    <row r="2558" spans="2:8">
      <c r="B2558" s="80"/>
      <c r="C2558" s="36"/>
      <c r="D2558" s="91"/>
      <c r="E2558" s="80"/>
      <c r="F2558" s="80"/>
      <c r="G2558" s="91"/>
      <c r="H2558" s="91"/>
    </row>
    <row r="2559" spans="2:8">
      <c r="B2559" s="80"/>
      <c r="C2559" s="36"/>
      <c r="D2559" s="91"/>
      <c r="E2559" s="80"/>
      <c r="F2559" s="80"/>
      <c r="G2559" s="91"/>
      <c r="H2559" s="91"/>
    </row>
    <row r="2560" spans="2:8">
      <c r="B2560" s="80"/>
      <c r="C2560" s="36"/>
      <c r="D2560" s="91"/>
      <c r="E2560" s="80"/>
      <c r="F2560" s="80"/>
      <c r="G2560" s="91"/>
      <c r="H2560" s="91"/>
    </row>
    <row r="2561" spans="2:8">
      <c r="B2561" s="80"/>
      <c r="C2561" s="36"/>
      <c r="D2561" s="91"/>
      <c r="E2561" s="80"/>
      <c r="F2561" s="80"/>
      <c r="G2561" s="91"/>
      <c r="H2561" s="91"/>
    </row>
    <row r="2562" spans="2:8">
      <c r="B2562" s="80"/>
      <c r="C2562" s="36"/>
      <c r="D2562" s="91"/>
      <c r="E2562" s="80"/>
      <c r="F2562" s="80"/>
      <c r="G2562" s="91"/>
      <c r="H2562" s="91"/>
    </row>
    <row r="2563" spans="2:8">
      <c r="B2563" s="80"/>
      <c r="C2563" s="36"/>
      <c r="D2563" s="91"/>
      <c r="E2563" s="80"/>
      <c r="F2563" s="80"/>
      <c r="G2563" s="91"/>
      <c r="H2563" s="91"/>
    </row>
    <row r="2564" spans="2:8">
      <c r="B2564" s="80"/>
      <c r="C2564" s="36"/>
      <c r="D2564" s="91"/>
      <c r="E2564" s="80"/>
      <c r="F2564" s="80"/>
      <c r="G2564" s="91"/>
      <c r="H2564" s="91"/>
    </row>
    <row r="2565" spans="2:8">
      <c r="B2565" s="80"/>
      <c r="C2565" s="36"/>
      <c r="D2565" s="91"/>
      <c r="E2565" s="80"/>
      <c r="F2565" s="80"/>
      <c r="G2565" s="91"/>
      <c r="H2565" s="91"/>
    </row>
    <row r="2566" spans="2:8">
      <c r="B2566" s="80"/>
      <c r="C2566" s="36"/>
      <c r="D2566" s="91"/>
      <c r="E2566" s="80"/>
      <c r="F2566" s="80"/>
      <c r="G2566" s="91"/>
      <c r="H2566" s="91"/>
    </row>
    <row r="2567" spans="2:8">
      <c r="B2567" s="80"/>
      <c r="C2567" s="36"/>
      <c r="D2567" s="91"/>
      <c r="E2567" s="80"/>
      <c r="F2567" s="80"/>
      <c r="G2567" s="91"/>
      <c r="H2567" s="91"/>
    </row>
    <row r="2568" spans="2:8">
      <c r="B2568" s="80"/>
      <c r="C2568" s="36"/>
      <c r="D2568" s="91"/>
      <c r="E2568" s="80"/>
      <c r="F2568" s="80"/>
      <c r="G2568" s="91"/>
      <c r="H2568" s="91"/>
    </row>
    <row r="2569" spans="2:8">
      <c r="B2569" s="80"/>
      <c r="C2569" s="36"/>
      <c r="D2569" s="91"/>
      <c r="E2569" s="80"/>
      <c r="F2569" s="80"/>
      <c r="G2569" s="91"/>
      <c r="H2569" s="91"/>
    </row>
    <row r="2570" spans="2:8">
      <c r="B2570" s="80"/>
      <c r="C2570" s="36"/>
      <c r="D2570" s="91"/>
      <c r="E2570" s="80"/>
      <c r="F2570" s="80"/>
      <c r="G2570" s="91"/>
      <c r="H2570" s="91"/>
    </row>
    <row r="2571" spans="2:8">
      <c r="B2571" s="80"/>
      <c r="C2571" s="36"/>
      <c r="D2571" s="91"/>
      <c r="E2571" s="80"/>
      <c r="F2571" s="80"/>
      <c r="G2571" s="91"/>
      <c r="H2571" s="91"/>
    </row>
    <row r="2572" spans="2:8">
      <c r="B2572" s="80"/>
      <c r="C2572" s="36"/>
      <c r="D2572" s="91"/>
      <c r="E2572" s="80"/>
      <c r="F2572" s="80"/>
      <c r="G2572" s="91"/>
      <c r="H2572" s="91"/>
    </row>
    <row r="2573" spans="2:8">
      <c r="B2573" s="80"/>
      <c r="C2573" s="36"/>
      <c r="D2573" s="91"/>
      <c r="E2573" s="80"/>
      <c r="F2573" s="80"/>
      <c r="G2573" s="91"/>
      <c r="H2573" s="91"/>
    </row>
    <row r="2574" spans="2:8">
      <c r="B2574" s="80"/>
      <c r="C2574" s="36"/>
      <c r="D2574" s="91"/>
      <c r="E2574" s="80"/>
      <c r="F2574" s="80"/>
      <c r="G2574" s="91"/>
      <c r="H2574" s="91"/>
    </row>
    <row r="2575" spans="2:8">
      <c r="B2575" s="80"/>
      <c r="C2575" s="36"/>
      <c r="D2575" s="91"/>
      <c r="E2575" s="80"/>
      <c r="F2575" s="80"/>
      <c r="G2575" s="91"/>
      <c r="H2575" s="91"/>
    </row>
    <row r="2576" spans="2:8">
      <c r="B2576" s="80"/>
      <c r="C2576" s="36"/>
      <c r="D2576" s="91"/>
      <c r="E2576" s="80"/>
      <c r="F2576" s="80"/>
      <c r="G2576" s="91"/>
      <c r="H2576" s="91"/>
    </row>
    <row r="2577" spans="2:8">
      <c r="B2577" s="80"/>
      <c r="C2577" s="36"/>
      <c r="D2577" s="91"/>
      <c r="E2577" s="80"/>
      <c r="F2577" s="80"/>
      <c r="G2577" s="91"/>
      <c r="H2577" s="91"/>
    </row>
    <row r="2578" spans="2:8">
      <c r="B2578" s="80"/>
      <c r="C2578" s="36"/>
      <c r="D2578" s="91"/>
      <c r="E2578" s="80"/>
      <c r="F2578" s="80"/>
      <c r="G2578" s="91"/>
      <c r="H2578" s="91"/>
    </row>
    <row r="2579" spans="2:8">
      <c r="B2579" s="80"/>
      <c r="C2579" s="36"/>
      <c r="D2579" s="91"/>
      <c r="E2579" s="80"/>
      <c r="F2579" s="80"/>
      <c r="G2579" s="91"/>
      <c r="H2579" s="91"/>
    </row>
    <row r="2580" spans="2:8">
      <c r="B2580" s="80"/>
      <c r="C2580" s="36"/>
      <c r="D2580" s="91"/>
      <c r="E2580" s="80"/>
      <c r="F2580" s="80"/>
      <c r="G2580" s="91"/>
      <c r="H2580" s="91"/>
    </row>
    <row r="2581" spans="2:8">
      <c r="B2581" s="80"/>
      <c r="C2581" s="36"/>
      <c r="D2581" s="91"/>
      <c r="E2581" s="80"/>
      <c r="F2581" s="80"/>
      <c r="G2581" s="91"/>
      <c r="H2581" s="91"/>
    </row>
    <row r="2582" spans="2:8">
      <c r="B2582" s="80"/>
      <c r="C2582" s="36"/>
      <c r="D2582" s="91"/>
      <c r="E2582" s="80"/>
      <c r="F2582" s="80"/>
      <c r="G2582" s="91"/>
      <c r="H2582" s="91"/>
    </row>
    <row r="2583" spans="2:8">
      <c r="B2583" s="80"/>
      <c r="C2583" s="36"/>
      <c r="D2583" s="91"/>
      <c r="E2583" s="80"/>
      <c r="F2583" s="80"/>
      <c r="G2583" s="91"/>
      <c r="H2583" s="91"/>
    </row>
    <row r="2584" spans="2:8">
      <c r="B2584" s="80"/>
      <c r="C2584" s="36"/>
      <c r="D2584" s="91"/>
      <c r="E2584" s="80"/>
      <c r="F2584" s="80"/>
      <c r="G2584" s="91"/>
      <c r="H2584" s="91"/>
    </row>
    <row r="2585" spans="2:8">
      <c r="B2585" s="80"/>
      <c r="C2585" s="36"/>
      <c r="D2585" s="91"/>
      <c r="E2585" s="80"/>
      <c r="F2585" s="80"/>
      <c r="G2585" s="91"/>
      <c r="H2585" s="91"/>
    </row>
    <row r="2586" spans="2:8">
      <c r="B2586" s="80"/>
      <c r="C2586" s="36"/>
      <c r="D2586" s="91"/>
      <c r="E2586" s="80"/>
      <c r="F2586" s="80"/>
      <c r="G2586" s="91"/>
      <c r="H2586" s="91"/>
    </row>
    <row r="2587" spans="2:8">
      <c r="B2587" s="80"/>
      <c r="C2587" s="36"/>
      <c r="D2587" s="91"/>
      <c r="E2587" s="80"/>
      <c r="F2587" s="80"/>
      <c r="G2587" s="91"/>
      <c r="H2587" s="91"/>
    </row>
    <row r="2588" spans="2:8">
      <c r="B2588" s="80"/>
      <c r="C2588" s="36"/>
      <c r="D2588" s="91"/>
      <c r="E2588" s="80"/>
      <c r="F2588" s="80"/>
      <c r="G2588" s="91"/>
      <c r="H2588" s="91"/>
    </row>
    <row r="2589" spans="2:8">
      <c r="B2589" s="80"/>
      <c r="C2589" s="36"/>
      <c r="D2589" s="91"/>
      <c r="E2589" s="80"/>
      <c r="F2589" s="80"/>
      <c r="G2589" s="91"/>
      <c r="H2589" s="91"/>
    </row>
    <row r="2590" spans="2:8">
      <c r="B2590" s="80"/>
      <c r="C2590" s="36"/>
      <c r="D2590" s="91"/>
      <c r="E2590" s="80"/>
      <c r="F2590" s="80"/>
      <c r="G2590" s="91"/>
      <c r="H2590" s="91"/>
    </row>
    <row r="2591" spans="2:8">
      <c r="B2591" s="80"/>
      <c r="C2591" s="36"/>
      <c r="D2591" s="91"/>
      <c r="E2591" s="80"/>
      <c r="F2591" s="80"/>
      <c r="G2591" s="91"/>
      <c r="H2591" s="91"/>
    </row>
    <row r="2592" spans="2:8">
      <c r="B2592" s="80"/>
      <c r="C2592" s="36"/>
      <c r="D2592" s="91"/>
      <c r="E2592" s="80"/>
      <c r="F2592" s="80"/>
      <c r="G2592" s="91"/>
      <c r="H2592" s="91"/>
    </row>
    <row r="2593" spans="2:8">
      <c r="B2593" s="80"/>
      <c r="C2593" s="36"/>
      <c r="D2593" s="91"/>
      <c r="E2593" s="80"/>
      <c r="F2593" s="80"/>
      <c r="G2593" s="91"/>
      <c r="H2593" s="91"/>
    </row>
    <row r="2594" spans="2:8">
      <c r="B2594" s="80"/>
      <c r="C2594" s="36"/>
      <c r="D2594" s="91"/>
      <c r="E2594" s="80"/>
      <c r="F2594" s="80"/>
      <c r="G2594" s="91"/>
      <c r="H2594" s="91"/>
    </row>
    <row r="2595" spans="2:8">
      <c r="B2595" s="80"/>
      <c r="C2595" s="36"/>
      <c r="D2595" s="91"/>
      <c r="E2595" s="80"/>
      <c r="F2595" s="80"/>
      <c r="G2595" s="91"/>
      <c r="H2595" s="91"/>
    </row>
    <row r="2596" spans="2:8">
      <c r="B2596" s="80"/>
      <c r="C2596" s="36"/>
      <c r="D2596" s="91"/>
      <c r="E2596" s="80"/>
      <c r="F2596" s="80"/>
      <c r="G2596" s="91"/>
      <c r="H2596" s="91"/>
    </row>
    <row r="2597" spans="2:8">
      <c r="B2597" s="80"/>
      <c r="C2597" s="36"/>
      <c r="D2597" s="91"/>
      <c r="E2597" s="80"/>
      <c r="F2597" s="80"/>
      <c r="G2597" s="91"/>
      <c r="H2597" s="91"/>
    </row>
    <row r="2598" spans="2:8">
      <c r="B2598" s="80"/>
      <c r="C2598" s="36"/>
      <c r="D2598" s="91"/>
      <c r="E2598" s="80"/>
      <c r="F2598" s="80"/>
      <c r="G2598" s="91"/>
      <c r="H2598" s="91"/>
    </row>
    <row r="2599" spans="2:8">
      <c r="B2599" s="80"/>
      <c r="C2599" s="36"/>
      <c r="D2599" s="91"/>
      <c r="E2599" s="80"/>
      <c r="F2599" s="80"/>
      <c r="G2599" s="91"/>
      <c r="H2599" s="91"/>
    </row>
    <row r="2600" spans="2:8">
      <c r="B2600" s="80"/>
      <c r="C2600" s="36"/>
      <c r="D2600" s="91"/>
      <c r="E2600" s="80"/>
      <c r="F2600" s="80"/>
      <c r="G2600" s="91"/>
      <c r="H2600" s="91"/>
    </row>
    <row r="2601" spans="2:8">
      <c r="B2601" s="80"/>
      <c r="C2601" s="36"/>
      <c r="D2601" s="91"/>
      <c r="E2601" s="80"/>
      <c r="F2601" s="80"/>
      <c r="G2601" s="91"/>
      <c r="H2601" s="91"/>
    </row>
    <row r="2602" spans="2:8">
      <c r="B2602" s="80"/>
      <c r="C2602" s="36"/>
      <c r="D2602" s="91"/>
      <c r="E2602" s="80"/>
      <c r="F2602" s="80"/>
      <c r="G2602" s="91"/>
      <c r="H2602" s="91"/>
    </row>
    <row r="2603" spans="2:8">
      <c r="B2603" s="80"/>
      <c r="C2603" s="36"/>
      <c r="D2603" s="91"/>
      <c r="E2603" s="80"/>
      <c r="F2603" s="80"/>
      <c r="G2603" s="91"/>
      <c r="H2603" s="91"/>
    </row>
    <row r="2604" spans="2:8">
      <c r="B2604" s="80"/>
      <c r="C2604" s="36"/>
      <c r="D2604" s="91"/>
      <c r="E2604" s="80"/>
      <c r="F2604" s="80"/>
      <c r="G2604" s="91"/>
      <c r="H2604" s="91"/>
    </row>
    <row r="2605" spans="2:8">
      <c r="B2605" s="80"/>
      <c r="C2605" s="36"/>
      <c r="D2605" s="91"/>
      <c r="E2605" s="80"/>
      <c r="F2605" s="80"/>
      <c r="G2605" s="91"/>
      <c r="H2605" s="91"/>
    </row>
    <row r="2606" spans="2:8">
      <c r="B2606" s="80"/>
      <c r="C2606" s="36"/>
      <c r="D2606" s="91"/>
      <c r="E2606" s="80"/>
      <c r="F2606" s="80"/>
      <c r="G2606" s="91"/>
      <c r="H2606" s="91"/>
    </row>
    <row r="2607" spans="2:8">
      <c r="B2607" s="80"/>
      <c r="C2607" s="36"/>
      <c r="D2607" s="91"/>
      <c r="E2607" s="80"/>
      <c r="F2607" s="80"/>
      <c r="G2607" s="91"/>
      <c r="H2607" s="91"/>
    </row>
    <row r="2608" spans="2:8">
      <c r="B2608" s="80"/>
      <c r="C2608" s="36"/>
      <c r="D2608" s="91"/>
      <c r="E2608" s="80"/>
      <c r="F2608" s="80"/>
      <c r="G2608" s="91"/>
      <c r="H2608" s="91"/>
    </row>
    <row r="2609" spans="2:8">
      <c r="B2609" s="80"/>
      <c r="C2609" s="36"/>
      <c r="D2609" s="91"/>
      <c r="E2609" s="80"/>
      <c r="F2609" s="80"/>
      <c r="G2609" s="91"/>
      <c r="H2609" s="91"/>
    </row>
    <row r="2610" spans="2:8">
      <c r="B2610" s="80"/>
      <c r="C2610" s="36"/>
      <c r="D2610" s="91"/>
      <c r="E2610" s="80"/>
      <c r="F2610" s="80"/>
      <c r="G2610" s="91"/>
      <c r="H2610" s="91"/>
    </row>
    <row r="2611" spans="2:8">
      <c r="B2611" s="80"/>
      <c r="C2611" s="36"/>
      <c r="D2611" s="91"/>
      <c r="E2611" s="80"/>
      <c r="F2611" s="80"/>
      <c r="G2611" s="91"/>
      <c r="H2611" s="91"/>
    </row>
    <row r="2612" spans="2:8">
      <c r="B2612" s="80"/>
      <c r="C2612" s="36"/>
      <c r="D2612" s="91"/>
      <c r="E2612" s="80"/>
      <c r="F2612" s="80"/>
      <c r="G2612" s="91"/>
      <c r="H2612" s="91"/>
    </row>
    <row r="2613" spans="2:8">
      <c r="B2613" s="80"/>
      <c r="C2613" s="36"/>
      <c r="D2613" s="91"/>
      <c r="E2613" s="80"/>
      <c r="F2613" s="80"/>
      <c r="G2613" s="91"/>
      <c r="H2613" s="91"/>
    </row>
    <row r="2614" spans="2:8">
      <c r="B2614" s="80"/>
      <c r="C2614" s="36"/>
      <c r="D2614" s="91"/>
      <c r="E2614" s="80"/>
      <c r="F2614" s="80"/>
      <c r="G2614" s="91"/>
      <c r="H2614" s="91"/>
    </row>
    <row r="2615" spans="2:8">
      <c r="B2615" s="80"/>
      <c r="C2615" s="36"/>
      <c r="D2615" s="91"/>
      <c r="E2615" s="80"/>
      <c r="F2615" s="80"/>
      <c r="G2615" s="91"/>
      <c r="H2615" s="91"/>
    </row>
    <row r="2616" spans="2:8">
      <c r="B2616" s="80"/>
      <c r="C2616" s="36"/>
      <c r="D2616" s="91"/>
      <c r="E2616" s="80"/>
      <c r="F2616" s="80"/>
      <c r="G2616" s="91"/>
      <c r="H2616" s="91"/>
    </row>
    <row r="2617" spans="2:8">
      <c r="B2617" s="80"/>
      <c r="C2617" s="36"/>
      <c r="D2617" s="91"/>
      <c r="E2617" s="80"/>
      <c r="F2617" s="80"/>
      <c r="G2617" s="91"/>
      <c r="H2617" s="91"/>
    </row>
    <row r="2618" spans="2:8">
      <c r="B2618" s="80"/>
      <c r="C2618" s="36"/>
      <c r="D2618" s="91"/>
      <c r="E2618" s="80"/>
      <c r="F2618" s="80"/>
      <c r="G2618" s="91"/>
      <c r="H2618" s="91"/>
    </row>
    <row r="2619" spans="2:8">
      <c r="B2619" s="80"/>
      <c r="C2619" s="36"/>
      <c r="D2619" s="91"/>
      <c r="E2619" s="80"/>
      <c r="F2619" s="80"/>
      <c r="G2619" s="91"/>
      <c r="H2619" s="91"/>
    </row>
    <row r="2620" spans="2:8">
      <c r="B2620" s="80"/>
      <c r="C2620" s="36"/>
      <c r="D2620" s="91"/>
      <c r="E2620" s="80"/>
      <c r="F2620" s="80"/>
      <c r="G2620" s="91"/>
      <c r="H2620" s="91"/>
    </row>
    <row r="2621" spans="2:8">
      <c r="B2621" s="80"/>
      <c r="C2621" s="36"/>
      <c r="D2621" s="91"/>
      <c r="E2621" s="80"/>
      <c r="F2621" s="80"/>
      <c r="G2621" s="91"/>
      <c r="H2621" s="91"/>
    </row>
    <row r="2622" spans="2:8">
      <c r="B2622" s="80"/>
      <c r="C2622" s="36"/>
      <c r="D2622" s="91"/>
      <c r="E2622" s="80"/>
      <c r="F2622" s="80"/>
      <c r="G2622" s="91"/>
      <c r="H2622" s="91"/>
    </row>
    <row r="2623" spans="2:8">
      <c r="B2623" s="80"/>
      <c r="C2623" s="36"/>
      <c r="D2623" s="91"/>
      <c r="E2623" s="80"/>
      <c r="F2623" s="80"/>
      <c r="G2623" s="91"/>
      <c r="H2623" s="91"/>
    </row>
    <row r="2624" spans="2:8">
      <c r="B2624" s="80"/>
      <c r="C2624" s="36"/>
      <c r="D2624" s="91"/>
      <c r="E2624" s="80"/>
      <c r="F2624" s="80"/>
      <c r="G2624" s="91"/>
      <c r="H2624" s="91"/>
    </row>
    <row r="2625" spans="2:8">
      <c r="B2625" s="80"/>
      <c r="C2625" s="36"/>
      <c r="D2625" s="91"/>
      <c r="E2625" s="80"/>
      <c r="F2625" s="80"/>
      <c r="G2625" s="91"/>
      <c r="H2625" s="91"/>
    </row>
    <row r="2626" spans="2:8">
      <c r="B2626" s="80"/>
      <c r="C2626" s="36"/>
      <c r="D2626" s="91"/>
      <c r="E2626" s="80"/>
      <c r="F2626" s="80"/>
      <c r="G2626" s="91"/>
      <c r="H2626" s="91"/>
    </row>
    <row r="2627" spans="2:8">
      <c r="B2627" s="80"/>
      <c r="C2627" s="36"/>
      <c r="D2627" s="91"/>
      <c r="E2627" s="80"/>
      <c r="F2627" s="80"/>
      <c r="G2627" s="91"/>
      <c r="H2627" s="91"/>
    </row>
    <row r="2628" spans="2:8">
      <c r="B2628" s="80"/>
      <c r="C2628" s="36"/>
      <c r="D2628" s="91"/>
      <c r="E2628" s="80"/>
      <c r="F2628" s="80"/>
      <c r="G2628" s="91"/>
      <c r="H2628" s="91"/>
    </row>
    <row r="2629" spans="2:8">
      <c r="B2629" s="80"/>
      <c r="C2629" s="36"/>
      <c r="D2629" s="91"/>
      <c r="E2629" s="80"/>
      <c r="F2629" s="80"/>
      <c r="G2629" s="91"/>
      <c r="H2629" s="91"/>
    </row>
    <row r="2630" spans="2:8">
      <c r="B2630" s="80"/>
      <c r="C2630" s="36"/>
      <c r="D2630" s="91"/>
      <c r="E2630" s="80"/>
      <c r="F2630" s="80"/>
      <c r="G2630" s="91"/>
      <c r="H2630" s="91"/>
    </row>
    <row r="2631" spans="2:8">
      <c r="B2631" s="80"/>
      <c r="C2631" s="36"/>
      <c r="D2631" s="91"/>
      <c r="E2631" s="80"/>
      <c r="F2631" s="80"/>
      <c r="G2631" s="91"/>
      <c r="H2631" s="91"/>
    </row>
    <row r="2632" spans="2:8">
      <c r="B2632" s="80"/>
      <c r="C2632" s="36"/>
      <c r="D2632" s="91"/>
      <c r="E2632" s="80"/>
      <c r="F2632" s="80"/>
      <c r="G2632" s="91"/>
      <c r="H2632" s="91"/>
    </row>
    <row r="2633" spans="2:8">
      <c r="B2633" s="80"/>
      <c r="C2633" s="36"/>
      <c r="D2633" s="91"/>
      <c r="E2633" s="80"/>
      <c r="F2633" s="80"/>
      <c r="G2633" s="91"/>
      <c r="H2633" s="91"/>
    </row>
    <row r="2634" spans="2:8">
      <c r="B2634" s="80"/>
      <c r="C2634" s="36"/>
      <c r="D2634" s="91"/>
      <c r="E2634" s="80"/>
      <c r="F2634" s="80"/>
      <c r="G2634" s="91"/>
      <c r="H2634" s="91"/>
    </row>
    <row r="2635" spans="2:8">
      <c r="B2635" s="80"/>
      <c r="C2635" s="36"/>
      <c r="D2635" s="91"/>
      <c r="E2635" s="80"/>
      <c r="F2635" s="80"/>
      <c r="G2635" s="91"/>
      <c r="H2635" s="91"/>
    </row>
    <row r="2636" spans="2:8">
      <c r="B2636" s="80"/>
      <c r="C2636" s="36"/>
      <c r="D2636" s="91"/>
      <c r="E2636" s="80"/>
      <c r="F2636" s="80"/>
      <c r="G2636" s="91"/>
      <c r="H2636" s="91"/>
    </row>
    <row r="2637" spans="2:8">
      <c r="B2637" s="80"/>
      <c r="C2637" s="36"/>
      <c r="D2637" s="91"/>
      <c r="E2637" s="80"/>
      <c r="F2637" s="80"/>
      <c r="G2637" s="91"/>
      <c r="H2637" s="91"/>
    </row>
    <row r="2638" spans="2:8">
      <c r="B2638" s="80"/>
      <c r="C2638" s="36"/>
      <c r="D2638" s="91"/>
      <c r="E2638" s="80"/>
      <c r="F2638" s="80"/>
      <c r="G2638" s="91"/>
      <c r="H2638" s="91"/>
    </row>
    <row r="2639" spans="2:8">
      <c r="B2639" s="80"/>
      <c r="C2639" s="36"/>
      <c r="D2639" s="91"/>
      <c r="E2639" s="80"/>
      <c r="F2639" s="80"/>
      <c r="G2639" s="91"/>
      <c r="H2639" s="91"/>
    </row>
    <row r="2640" spans="2:8">
      <c r="B2640" s="80"/>
      <c r="C2640" s="36"/>
      <c r="D2640" s="91"/>
      <c r="E2640" s="80"/>
      <c r="F2640" s="80"/>
      <c r="G2640" s="91"/>
      <c r="H2640" s="91"/>
    </row>
    <row r="2641" spans="2:8">
      <c r="B2641" s="80"/>
      <c r="C2641" s="36"/>
      <c r="D2641" s="91"/>
      <c r="E2641" s="80"/>
      <c r="F2641" s="80"/>
      <c r="G2641" s="91"/>
      <c r="H2641" s="91"/>
    </row>
    <row r="2642" spans="2:8">
      <c r="B2642" s="80"/>
      <c r="C2642" s="36"/>
      <c r="D2642" s="91"/>
      <c r="E2642" s="80"/>
      <c r="F2642" s="80"/>
      <c r="G2642" s="91"/>
      <c r="H2642" s="91"/>
    </row>
    <row r="2643" spans="2:8">
      <c r="B2643" s="80"/>
      <c r="C2643" s="36"/>
      <c r="D2643" s="91"/>
      <c r="E2643" s="80"/>
      <c r="F2643" s="80"/>
      <c r="G2643" s="91"/>
      <c r="H2643" s="91"/>
    </row>
    <row r="2644" spans="2:8">
      <c r="B2644" s="80"/>
      <c r="C2644" s="36"/>
      <c r="D2644" s="91"/>
      <c r="E2644" s="80"/>
      <c r="F2644" s="80"/>
      <c r="G2644" s="91"/>
      <c r="H2644" s="91"/>
    </row>
    <row r="2645" spans="2:8">
      <c r="B2645" s="80"/>
      <c r="C2645" s="36"/>
      <c r="D2645" s="91"/>
      <c r="E2645" s="80"/>
      <c r="F2645" s="80"/>
      <c r="G2645" s="91"/>
      <c r="H2645" s="91"/>
    </row>
    <row r="2646" spans="2:8">
      <c r="B2646" s="80"/>
      <c r="C2646" s="36"/>
      <c r="D2646" s="91"/>
      <c r="E2646" s="80"/>
      <c r="F2646" s="80"/>
      <c r="G2646" s="91"/>
      <c r="H2646" s="91"/>
    </row>
    <row r="2647" spans="2:8">
      <c r="B2647" s="80"/>
      <c r="C2647" s="36"/>
      <c r="D2647" s="91"/>
      <c r="E2647" s="80"/>
      <c r="F2647" s="80"/>
      <c r="G2647" s="91"/>
      <c r="H2647" s="91"/>
    </row>
    <row r="2648" spans="2:8">
      <c r="B2648" s="80"/>
      <c r="C2648" s="36"/>
      <c r="D2648" s="91"/>
      <c r="E2648" s="80"/>
      <c r="F2648" s="80"/>
      <c r="G2648" s="91"/>
      <c r="H2648" s="91"/>
    </row>
    <row r="2649" spans="2:8">
      <c r="B2649" s="80"/>
      <c r="C2649" s="36"/>
      <c r="D2649" s="91"/>
      <c r="E2649" s="80"/>
      <c r="F2649" s="80"/>
      <c r="G2649" s="91"/>
      <c r="H2649" s="91"/>
    </row>
    <row r="2650" spans="2:8">
      <c r="B2650" s="80"/>
      <c r="C2650" s="36"/>
      <c r="D2650" s="91"/>
      <c r="E2650" s="80"/>
      <c r="F2650" s="80"/>
      <c r="G2650" s="91"/>
      <c r="H2650" s="91"/>
    </row>
    <row r="2651" spans="2:8">
      <c r="B2651" s="80"/>
      <c r="C2651" s="36"/>
      <c r="D2651" s="91"/>
      <c r="E2651" s="80"/>
      <c r="F2651" s="80"/>
      <c r="G2651" s="91"/>
      <c r="H2651" s="91"/>
    </row>
    <row r="2652" spans="2:8">
      <c r="B2652" s="80"/>
      <c r="C2652" s="36"/>
      <c r="D2652" s="91"/>
      <c r="E2652" s="80"/>
      <c r="F2652" s="80"/>
      <c r="G2652" s="91"/>
      <c r="H2652" s="91"/>
    </row>
    <row r="2653" spans="2:8">
      <c r="B2653" s="80"/>
      <c r="C2653" s="36"/>
      <c r="D2653" s="91"/>
      <c r="E2653" s="80"/>
      <c r="F2653" s="80"/>
      <c r="G2653" s="91"/>
      <c r="H2653" s="91"/>
    </row>
    <row r="2654" spans="2:8">
      <c r="B2654" s="80"/>
      <c r="C2654" s="36"/>
      <c r="D2654" s="91"/>
      <c r="E2654" s="80"/>
      <c r="F2654" s="80"/>
      <c r="G2654" s="91"/>
      <c r="H2654" s="91"/>
    </row>
    <row r="2655" spans="2:8">
      <c r="B2655" s="80"/>
      <c r="C2655" s="36"/>
      <c r="D2655" s="91"/>
      <c r="E2655" s="80"/>
      <c r="F2655" s="80"/>
      <c r="G2655" s="91"/>
      <c r="H2655" s="91"/>
    </row>
    <row r="2656" spans="2:8">
      <c r="B2656" s="80"/>
      <c r="C2656" s="36"/>
      <c r="D2656" s="91"/>
      <c r="E2656" s="80"/>
      <c r="F2656" s="80"/>
      <c r="G2656" s="91"/>
      <c r="H2656" s="91"/>
    </row>
    <row r="2657" spans="2:8">
      <c r="B2657" s="80"/>
      <c r="C2657" s="36"/>
      <c r="D2657" s="91"/>
      <c r="E2657" s="80"/>
      <c r="F2657" s="80"/>
      <c r="G2657" s="91"/>
      <c r="H2657" s="91"/>
    </row>
    <row r="2658" spans="2:8">
      <c r="B2658" s="80"/>
      <c r="C2658" s="36"/>
      <c r="D2658" s="91"/>
      <c r="E2658" s="80"/>
      <c r="F2658" s="80"/>
      <c r="G2658" s="91"/>
      <c r="H2658" s="91"/>
    </row>
    <row r="2659" spans="2:8">
      <c r="B2659" s="80"/>
      <c r="C2659" s="36"/>
      <c r="D2659" s="91"/>
      <c r="E2659" s="80"/>
      <c r="F2659" s="80"/>
      <c r="G2659" s="91"/>
      <c r="H2659" s="91"/>
    </row>
    <row r="2660" spans="2:8">
      <c r="B2660" s="80"/>
      <c r="C2660" s="36"/>
      <c r="D2660" s="91"/>
      <c r="E2660" s="80"/>
      <c r="F2660" s="80"/>
      <c r="G2660" s="91"/>
      <c r="H2660" s="91"/>
    </row>
    <row r="2661" spans="2:8">
      <c r="B2661" s="80"/>
      <c r="C2661" s="36"/>
      <c r="D2661" s="91"/>
      <c r="E2661" s="80"/>
      <c r="F2661" s="80"/>
      <c r="G2661" s="91"/>
      <c r="H2661" s="91"/>
    </row>
    <row r="2662" spans="2:8">
      <c r="B2662" s="80"/>
      <c r="C2662" s="36"/>
      <c r="D2662" s="91"/>
      <c r="E2662" s="80"/>
      <c r="F2662" s="80"/>
      <c r="G2662" s="91"/>
      <c r="H2662" s="91"/>
    </row>
    <row r="2663" spans="2:8">
      <c r="B2663" s="80"/>
      <c r="C2663" s="36"/>
      <c r="D2663" s="91"/>
      <c r="E2663" s="80"/>
      <c r="F2663" s="80"/>
      <c r="G2663" s="91"/>
      <c r="H2663" s="91"/>
    </row>
    <row r="2664" spans="2:8">
      <c r="B2664" s="80"/>
      <c r="C2664" s="36"/>
      <c r="D2664" s="91"/>
      <c r="E2664" s="80"/>
      <c r="F2664" s="80"/>
      <c r="G2664" s="91"/>
      <c r="H2664" s="91"/>
    </row>
    <row r="2665" spans="2:8">
      <c r="B2665" s="80"/>
      <c r="C2665" s="36"/>
      <c r="D2665" s="91"/>
      <c r="E2665" s="80"/>
      <c r="F2665" s="80"/>
      <c r="G2665" s="91"/>
      <c r="H2665" s="91"/>
    </row>
    <row r="2666" spans="2:8">
      <c r="B2666" s="80"/>
      <c r="C2666" s="36"/>
      <c r="D2666" s="91"/>
      <c r="E2666" s="80"/>
      <c r="F2666" s="80"/>
      <c r="G2666" s="91"/>
      <c r="H2666" s="91"/>
    </row>
    <row r="2667" spans="2:8">
      <c r="B2667" s="80"/>
      <c r="C2667" s="36"/>
      <c r="D2667" s="91"/>
      <c r="E2667" s="80"/>
      <c r="F2667" s="80"/>
      <c r="G2667" s="91"/>
      <c r="H2667" s="91"/>
    </row>
    <row r="2668" spans="2:8">
      <c r="B2668" s="80"/>
      <c r="C2668" s="36"/>
      <c r="D2668" s="91"/>
      <c r="E2668" s="80"/>
      <c r="F2668" s="80"/>
      <c r="G2668" s="91"/>
      <c r="H2668" s="91"/>
    </row>
    <row r="2669" spans="2:8">
      <c r="B2669" s="80"/>
      <c r="C2669" s="36"/>
      <c r="D2669" s="91"/>
      <c r="E2669" s="80"/>
      <c r="F2669" s="80"/>
      <c r="G2669" s="91"/>
      <c r="H2669" s="91"/>
    </row>
    <row r="2670" spans="2:8">
      <c r="B2670" s="80"/>
      <c r="C2670" s="36"/>
      <c r="D2670" s="91"/>
      <c r="E2670" s="80"/>
      <c r="F2670" s="80"/>
      <c r="G2670" s="91"/>
      <c r="H2670" s="91"/>
    </row>
    <row r="2671" spans="2:8">
      <c r="B2671" s="80"/>
      <c r="C2671" s="36"/>
      <c r="D2671" s="91"/>
      <c r="E2671" s="80"/>
      <c r="F2671" s="80"/>
      <c r="G2671" s="91"/>
      <c r="H2671" s="91"/>
    </row>
    <row r="2672" spans="2:8">
      <c r="B2672" s="80"/>
      <c r="C2672" s="36"/>
      <c r="D2672" s="91"/>
      <c r="E2672" s="80"/>
      <c r="F2672" s="80"/>
      <c r="G2672" s="91"/>
      <c r="H2672" s="91"/>
    </row>
    <row r="2673" spans="2:8">
      <c r="B2673" s="80"/>
      <c r="C2673" s="36"/>
      <c r="D2673" s="91"/>
      <c r="E2673" s="80"/>
      <c r="F2673" s="80"/>
      <c r="G2673" s="91"/>
      <c r="H2673" s="91"/>
    </row>
    <row r="2674" spans="2:8">
      <c r="B2674" s="80"/>
      <c r="C2674" s="36"/>
      <c r="D2674" s="91"/>
      <c r="E2674" s="80"/>
      <c r="F2674" s="80"/>
      <c r="G2674" s="91"/>
      <c r="H2674" s="91"/>
    </row>
    <row r="2675" spans="2:8">
      <c r="B2675" s="80"/>
      <c r="C2675" s="36"/>
      <c r="D2675" s="91"/>
      <c r="E2675" s="80"/>
      <c r="F2675" s="80"/>
      <c r="G2675" s="91"/>
      <c r="H2675" s="91"/>
    </row>
    <row r="2676" spans="2:8">
      <c r="B2676" s="80"/>
      <c r="C2676" s="36"/>
      <c r="D2676" s="91"/>
      <c r="E2676" s="80"/>
      <c r="F2676" s="80"/>
      <c r="G2676" s="91"/>
      <c r="H2676" s="91"/>
    </row>
    <row r="2677" spans="2:8">
      <c r="B2677" s="80"/>
      <c r="C2677" s="36"/>
      <c r="D2677" s="91"/>
      <c r="E2677" s="80"/>
      <c r="F2677" s="80"/>
      <c r="G2677" s="91"/>
      <c r="H2677" s="91"/>
    </row>
    <row r="2678" spans="2:8">
      <c r="B2678" s="80"/>
      <c r="C2678" s="36"/>
      <c r="D2678" s="91"/>
      <c r="E2678" s="80"/>
      <c r="F2678" s="80"/>
      <c r="G2678" s="91"/>
      <c r="H2678" s="91"/>
    </row>
    <row r="2679" spans="2:8">
      <c r="B2679" s="80"/>
      <c r="C2679" s="36"/>
      <c r="D2679" s="91"/>
      <c r="E2679" s="80"/>
      <c r="F2679" s="80"/>
      <c r="G2679" s="91"/>
      <c r="H2679" s="91"/>
    </row>
    <row r="2680" spans="2:8">
      <c r="B2680" s="80"/>
      <c r="C2680" s="36"/>
      <c r="D2680" s="91"/>
      <c r="E2680" s="80"/>
      <c r="F2680" s="80"/>
      <c r="G2680" s="91"/>
      <c r="H2680" s="91"/>
    </row>
    <row r="2681" spans="2:8">
      <c r="B2681" s="80"/>
      <c r="C2681" s="36"/>
      <c r="D2681" s="91"/>
      <c r="E2681" s="80"/>
      <c r="F2681" s="80"/>
      <c r="G2681" s="91"/>
      <c r="H2681" s="91"/>
    </row>
    <row r="2682" spans="2:8">
      <c r="B2682" s="80"/>
      <c r="C2682" s="36"/>
      <c r="D2682" s="91"/>
      <c r="E2682" s="80"/>
      <c r="F2682" s="80"/>
      <c r="G2682" s="91"/>
      <c r="H2682" s="91"/>
    </row>
    <row r="2683" spans="2:8">
      <c r="B2683" s="80"/>
      <c r="C2683" s="36"/>
      <c r="D2683" s="91"/>
      <c r="E2683" s="80"/>
      <c r="F2683" s="80"/>
      <c r="G2683" s="91"/>
      <c r="H2683" s="91"/>
    </row>
    <row r="2684" spans="2:8">
      <c r="B2684" s="80"/>
      <c r="C2684" s="36"/>
      <c r="D2684" s="91"/>
      <c r="E2684" s="80"/>
      <c r="F2684" s="80"/>
      <c r="G2684" s="91"/>
      <c r="H2684" s="91"/>
    </row>
    <row r="2685" spans="2:8">
      <c r="B2685" s="80"/>
      <c r="C2685" s="36"/>
      <c r="D2685" s="91"/>
      <c r="E2685" s="80"/>
      <c r="F2685" s="80"/>
      <c r="G2685" s="91"/>
      <c r="H2685" s="91"/>
    </row>
    <row r="2686" spans="2:8">
      <c r="B2686" s="80"/>
      <c r="C2686" s="36"/>
      <c r="D2686" s="91"/>
      <c r="E2686" s="80"/>
      <c r="F2686" s="80"/>
      <c r="G2686" s="91"/>
      <c r="H2686" s="91"/>
    </row>
    <row r="2687" spans="2:8">
      <c r="B2687" s="80"/>
      <c r="C2687" s="36"/>
      <c r="D2687" s="91"/>
      <c r="E2687" s="80"/>
      <c r="F2687" s="80"/>
      <c r="G2687" s="91"/>
      <c r="H2687" s="91"/>
    </row>
    <row r="2688" spans="2:8">
      <c r="B2688" s="80"/>
      <c r="C2688" s="36"/>
      <c r="D2688" s="91"/>
      <c r="E2688" s="80"/>
      <c r="F2688" s="80"/>
      <c r="G2688" s="91"/>
      <c r="H2688" s="91"/>
    </row>
    <row r="2689" spans="2:8">
      <c r="B2689" s="80"/>
      <c r="C2689" s="36"/>
      <c r="D2689" s="91"/>
      <c r="E2689" s="80"/>
      <c r="F2689" s="80"/>
      <c r="G2689" s="91"/>
      <c r="H2689" s="91"/>
    </row>
    <row r="2690" spans="2:8">
      <c r="B2690" s="80"/>
      <c r="C2690" s="36"/>
      <c r="D2690" s="91"/>
      <c r="E2690" s="80"/>
      <c r="F2690" s="80"/>
      <c r="G2690" s="91"/>
      <c r="H2690" s="91"/>
    </row>
    <row r="2691" spans="2:8">
      <c r="B2691" s="80"/>
      <c r="C2691" s="36"/>
      <c r="D2691" s="91"/>
      <c r="E2691" s="80"/>
      <c r="F2691" s="80"/>
      <c r="G2691" s="91"/>
      <c r="H2691" s="91"/>
    </row>
    <row r="2692" spans="2:8">
      <c r="B2692" s="80"/>
      <c r="C2692" s="36"/>
      <c r="D2692" s="91"/>
      <c r="E2692" s="80"/>
      <c r="F2692" s="80"/>
      <c r="G2692" s="91"/>
      <c r="H2692" s="91"/>
    </row>
    <row r="2693" spans="2:8">
      <c r="B2693" s="80"/>
      <c r="C2693" s="36"/>
      <c r="D2693" s="91"/>
      <c r="E2693" s="80"/>
      <c r="F2693" s="80"/>
      <c r="G2693" s="91"/>
      <c r="H2693" s="91"/>
    </row>
    <row r="2694" spans="2:8">
      <c r="B2694" s="80"/>
      <c r="C2694" s="36"/>
      <c r="D2694" s="91"/>
      <c r="E2694" s="80"/>
      <c r="F2694" s="80"/>
      <c r="G2694" s="91"/>
      <c r="H2694" s="91"/>
    </row>
    <row r="2695" spans="2:8">
      <c r="B2695" s="80"/>
      <c r="C2695" s="36"/>
      <c r="D2695" s="91"/>
      <c r="E2695" s="80"/>
      <c r="F2695" s="80"/>
      <c r="G2695" s="91"/>
      <c r="H2695" s="91"/>
    </row>
    <row r="2696" spans="2:8">
      <c r="B2696" s="80"/>
      <c r="C2696" s="36"/>
      <c r="D2696" s="91"/>
      <c r="E2696" s="80"/>
      <c r="F2696" s="80"/>
      <c r="G2696" s="91"/>
      <c r="H2696" s="91"/>
    </row>
    <row r="2697" spans="2:8">
      <c r="B2697" s="80"/>
      <c r="C2697" s="36"/>
      <c r="D2697" s="91"/>
      <c r="E2697" s="80"/>
      <c r="F2697" s="80"/>
      <c r="G2697" s="91"/>
      <c r="H2697" s="91"/>
    </row>
    <row r="2698" spans="2:8">
      <c r="B2698" s="80"/>
      <c r="C2698" s="36"/>
      <c r="D2698" s="91"/>
      <c r="E2698" s="80"/>
      <c r="F2698" s="80"/>
      <c r="G2698" s="91"/>
      <c r="H2698" s="91"/>
    </row>
    <row r="2699" spans="2:8">
      <c r="B2699" s="80"/>
      <c r="C2699" s="36"/>
      <c r="D2699" s="91"/>
      <c r="E2699" s="80"/>
      <c r="F2699" s="80"/>
      <c r="G2699" s="91"/>
      <c r="H2699" s="91"/>
    </row>
    <row r="2700" spans="2:8">
      <c r="B2700" s="80"/>
      <c r="C2700" s="36"/>
      <c r="D2700" s="91"/>
      <c r="E2700" s="80"/>
      <c r="F2700" s="80"/>
      <c r="G2700" s="91"/>
      <c r="H2700" s="91"/>
    </row>
    <row r="2701" spans="2:8">
      <c r="B2701" s="80"/>
      <c r="C2701" s="36"/>
      <c r="D2701" s="91"/>
      <c r="E2701" s="80"/>
      <c r="F2701" s="80"/>
      <c r="G2701" s="91"/>
      <c r="H2701" s="91"/>
    </row>
    <row r="2702" spans="2:8">
      <c r="B2702" s="80"/>
      <c r="C2702" s="36"/>
      <c r="D2702" s="91"/>
      <c r="E2702" s="80"/>
      <c r="F2702" s="80"/>
      <c r="G2702" s="91"/>
      <c r="H2702" s="91"/>
    </row>
    <row r="2703" spans="2:8">
      <c r="B2703" s="80"/>
      <c r="C2703" s="36"/>
      <c r="D2703" s="91"/>
      <c r="E2703" s="80"/>
      <c r="F2703" s="80"/>
      <c r="G2703" s="91"/>
      <c r="H2703" s="91"/>
    </row>
    <row r="2704" spans="2:8">
      <c r="B2704" s="80"/>
      <c r="C2704" s="36"/>
      <c r="D2704" s="91"/>
      <c r="E2704" s="80"/>
      <c r="F2704" s="80"/>
      <c r="G2704" s="91"/>
      <c r="H2704" s="91"/>
    </row>
    <row r="2705" spans="2:8">
      <c r="B2705" s="80"/>
      <c r="C2705" s="36"/>
      <c r="D2705" s="91"/>
      <c r="E2705" s="80"/>
      <c r="F2705" s="80"/>
      <c r="G2705" s="91"/>
      <c r="H2705" s="91"/>
    </row>
    <row r="2706" spans="2:8">
      <c r="B2706" s="80"/>
      <c r="C2706" s="36"/>
      <c r="D2706" s="91"/>
      <c r="E2706" s="80"/>
      <c r="F2706" s="80"/>
      <c r="G2706" s="91"/>
      <c r="H2706" s="91"/>
    </row>
    <row r="2707" spans="2:8">
      <c r="B2707" s="80"/>
      <c r="C2707" s="36"/>
      <c r="D2707" s="91"/>
      <c r="E2707" s="80"/>
      <c r="F2707" s="80"/>
      <c r="G2707" s="91"/>
      <c r="H2707" s="91"/>
    </row>
    <row r="2708" spans="2:8">
      <c r="B2708" s="80"/>
      <c r="C2708" s="36"/>
      <c r="D2708" s="91"/>
      <c r="E2708" s="80"/>
      <c r="F2708" s="80"/>
      <c r="G2708" s="91"/>
      <c r="H2708" s="91"/>
    </row>
    <row r="2709" spans="2:8">
      <c r="B2709" s="80"/>
      <c r="C2709" s="36"/>
      <c r="D2709" s="91"/>
      <c r="E2709" s="80"/>
      <c r="F2709" s="80"/>
      <c r="G2709" s="91"/>
      <c r="H2709" s="91"/>
    </row>
    <row r="2710" spans="2:8">
      <c r="B2710" s="80"/>
      <c r="C2710" s="36"/>
      <c r="D2710" s="91"/>
      <c r="E2710" s="80"/>
      <c r="F2710" s="80"/>
      <c r="G2710" s="91"/>
      <c r="H2710" s="91"/>
    </row>
    <row r="2711" spans="2:8">
      <c r="B2711" s="80"/>
      <c r="C2711" s="36"/>
      <c r="D2711" s="91"/>
      <c r="E2711" s="80"/>
      <c r="F2711" s="80"/>
      <c r="G2711" s="91"/>
      <c r="H2711" s="91"/>
    </row>
    <row r="2712" spans="2:8">
      <c r="B2712" s="80"/>
      <c r="C2712" s="36"/>
      <c r="D2712" s="91"/>
      <c r="E2712" s="80"/>
      <c r="F2712" s="80"/>
      <c r="G2712" s="91"/>
      <c r="H2712" s="91"/>
    </row>
    <row r="2713" spans="2:8">
      <c r="B2713" s="80"/>
      <c r="C2713" s="36"/>
      <c r="D2713" s="91"/>
      <c r="E2713" s="80"/>
      <c r="F2713" s="80"/>
      <c r="G2713" s="91"/>
      <c r="H2713" s="91"/>
    </row>
    <row r="2714" spans="2:8">
      <c r="B2714" s="80"/>
      <c r="C2714" s="36"/>
      <c r="D2714" s="91"/>
      <c r="E2714" s="80"/>
      <c r="F2714" s="80"/>
      <c r="G2714" s="91"/>
      <c r="H2714" s="91"/>
    </row>
    <row r="2715" spans="2:8">
      <c r="B2715" s="80"/>
      <c r="C2715" s="36"/>
      <c r="D2715" s="91"/>
      <c r="E2715" s="80"/>
      <c r="F2715" s="80"/>
      <c r="G2715" s="91"/>
      <c r="H2715" s="91"/>
    </row>
    <row r="2716" spans="2:8">
      <c r="B2716" s="80"/>
      <c r="C2716" s="36"/>
      <c r="D2716" s="91"/>
      <c r="E2716" s="80"/>
      <c r="F2716" s="80"/>
      <c r="G2716" s="91"/>
      <c r="H2716" s="91"/>
    </row>
    <row r="2717" spans="2:8">
      <c r="B2717" s="80"/>
      <c r="C2717" s="36"/>
      <c r="D2717" s="91"/>
      <c r="E2717" s="80"/>
      <c r="F2717" s="80"/>
      <c r="G2717" s="91"/>
      <c r="H2717" s="91"/>
    </row>
    <row r="2718" spans="2:8">
      <c r="B2718" s="80"/>
      <c r="C2718" s="36"/>
      <c r="D2718" s="91"/>
      <c r="E2718" s="80"/>
      <c r="F2718" s="80"/>
      <c r="G2718" s="91"/>
      <c r="H2718" s="91"/>
    </row>
    <row r="2719" spans="2:8">
      <c r="B2719" s="80"/>
      <c r="C2719" s="36"/>
      <c r="D2719" s="91"/>
      <c r="E2719" s="80"/>
      <c r="F2719" s="80"/>
      <c r="G2719" s="91"/>
      <c r="H2719" s="91"/>
    </row>
    <row r="2720" spans="2:8">
      <c r="B2720" s="80"/>
      <c r="C2720" s="36"/>
      <c r="D2720" s="91"/>
      <c r="E2720" s="80"/>
      <c r="F2720" s="80"/>
      <c r="G2720" s="91"/>
      <c r="H2720" s="91"/>
    </row>
    <row r="2721" spans="2:8">
      <c r="B2721" s="80"/>
      <c r="C2721" s="36"/>
      <c r="D2721" s="91"/>
      <c r="E2721" s="80"/>
      <c r="F2721" s="80"/>
      <c r="G2721" s="91"/>
      <c r="H2721" s="91"/>
    </row>
    <row r="2722" spans="2:8">
      <c r="B2722" s="80"/>
      <c r="C2722" s="36"/>
      <c r="D2722" s="91"/>
      <c r="E2722" s="80"/>
      <c r="F2722" s="80"/>
      <c r="G2722" s="91"/>
      <c r="H2722" s="91"/>
    </row>
    <row r="2723" spans="2:8">
      <c r="B2723" s="80"/>
      <c r="C2723" s="36"/>
      <c r="D2723" s="91"/>
      <c r="E2723" s="80"/>
      <c r="F2723" s="80"/>
      <c r="G2723" s="91"/>
      <c r="H2723" s="91"/>
    </row>
    <row r="2724" spans="2:8">
      <c r="B2724" s="80"/>
      <c r="C2724" s="36"/>
      <c r="D2724" s="91"/>
      <c r="E2724" s="80"/>
      <c r="F2724" s="80"/>
      <c r="G2724" s="91"/>
      <c r="H2724" s="91"/>
    </row>
    <row r="2725" spans="2:8">
      <c r="B2725" s="80"/>
      <c r="C2725" s="36"/>
      <c r="D2725" s="91"/>
      <c r="E2725" s="80"/>
      <c r="F2725" s="80"/>
      <c r="G2725" s="91"/>
      <c r="H2725" s="91"/>
    </row>
    <row r="2726" spans="2:8">
      <c r="B2726" s="80"/>
      <c r="C2726" s="36"/>
      <c r="D2726" s="91"/>
      <c r="E2726" s="80"/>
      <c r="F2726" s="80"/>
      <c r="G2726" s="91"/>
      <c r="H2726" s="91"/>
    </row>
    <row r="2727" spans="2:8">
      <c r="B2727" s="80"/>
      <c r="C2727" s="36"/>
      <c r="D2727" s="91"/>
      <c r="E2727" s="80"/>
      <c r="F2727" s="80"/>
      <c r="G2727" s="91"/>
      <c r="H2727" s="91"/>
    </row>
    <row r="2728" spans="2:8">
      <c r="B2728" s="80"/>
      <c r="C2728" s="36"/>
      <c r="D2728" s="91"/>
      <c r="E2728" s="80"/>
      <c r="F2728" s="80"/>
      <c r="G2728" s="91"/>
      <c r="H2728" s="91"/>
    </row>
    <row r="2729" spans="2:8">
      <c r="B2729" s="80"/>
      <c r="C2729" s="36"/>
      <c r="D2729" s="91"/>
      <c r="E2729" s="80"/>
      <c r="F2729" s="80"/>
      <c r="G2729" s="91"/>
      <c r="H2729" s="91"/>
    </row>
    <row r="2730" spans="2:8">
      <c r="B2730" s="80"/>
      <c r="C2730" s="36"/>
      <c r="D2730" s="91"/>
      <c r="E2730" s="80"/>
      <c r="F2730" s="80"/>
      <c r="G2730" s="91"/>
      <c r="H2730" s="91"/>
    </row>
    <row r="2731" spans="2:8">
      <c r="B2731" s="80"/>
      <c r="C2731" s="36"/>
      <c r="D2731" s="91"/>
      <c r="E2731" s="80"/>
      <c r="F2731" s="80"/>
      <c r="G2731" s="91"/>
      <c r="H2731" s="91"/>
    </row>
    <row r="2732" spans="2:8">
      <c r="B2732" s="80"/>
      <c r="C2732" s="36"/>
      <c r="D2732" s="91"/>
      <c r="E2732" s="80"/>
      <c r="F2732" s="80"/>
      <c r="G2732" s="91"/>
      <c r="H2732" s="91"/>
    </row>
    <row r="2733" spans="2:8">
      <c r="B2733" s="80"/>
      <c r="C2733" s="36"/>
      <c r="D2733" s="91"/>
      <c r="E2733" s="80"/>
      <c r="F2733" s="80"/>
      <c r="G2733" s="91"/>
      <c r="H2733" s="91"/>
    </row>
    <row r="2734" spans="2:8">
      <c r="B2734" s="80"/>
      <c r="C2734" s="36"/>
      <c r="D2734" s="91"/>
      <c r="E2734" s="80"/>
      <c r="F2734" s="80"/>
      <c r="G2734" s="91"/>
      <c r="H2734" s="91"/>
    </row>
    <row r="2735" spans="2:8">
      <c r="B2735" s="80"/>
      <c r="C2735" s="36"/>
      <c r="D2735" s="91"/>
      <c r="E2735" s="80"/>
      <c r="F2735" s="80"/>
      <c r="G2735" s="91"/>
      <c r="H2735" s="91"/>
    </row>
    <row r="2736" spans="2:8">
      <c r="B2736" s="80"/>
      <c r="C2736" s="36"/>
      <c r="D2736" s="91"/>
      <c r="E2736" s="80"/>
      <c r="F2736" s="80"/>
      <c r="G2736" s="91"/>
      <c r="H2736" s="91"/>
    </row>
    <row r="2737" spans="2:8">
      <c r="B2737" s="80"/>
      <c r="C2737" s="36"/>
      <c r="D2737" s="91"/>
      <c r="E2737" s="80"/>
      <c r="F2737" s="80"/>
      <c r="G2737" s="91"/>
      <c r="H2737" s="91"/>
    </row>
    <row r="2738" spans="2:8">
      <c r="B2738" s="80"/>
      <c r="C2738" s="36"/>
      <c r="D2738" s="91"/>
      <c r="E2738" s="80"/>
      <c r="F2738" s="80"/>
      <c r="G2738" s="91"/>
      <c r="H2738" s="91"/>
    </row>
    <row r="2739" spans="2:8">
      <c r="B2739" s="80"/>
      <c r="C2739" s="36"/>
      <c r="D2739" s="91"/>
      <c r="E2739" s="80"/>
      <c r="F2739" s="80"/>
      <c r="G2739" s="91"/>
      <c r="H2739" s="91"/>
    </row>
    <row r="2740" spans="2:8">
      <c r="B2740" s="80"/>
      <c r="C2740" s="36"/>
      <c r="D2740" s="91"/>
      <c r="E2740" s="80"/>
      <c r="F2740" s="80"/>
      <c r="G2740" s="91"/>
      <c r="H2740" s="91"/>
    </row>
    <row r="2741" spans="2:8">
      <c r="B2741" s="80"/>
      <c r="C2741" s="36"/>
      <c r="D2741" s="91"/>
      <c r="E2741" s="80"/>
      <c r="F2741" s="80"/>
      <c r="G2741" s="91"/>
      <c r="H2741" s="91"/>
    </row>
    <row r="2742" spans="2:8">
      <c r="B2742" s="80"/>
      <c r="C2742" s="36"/>
      <c r="D2742" s="91"/>
      <c r="E2742" s="80"/>
      <c r="F2742" s="80"/>
      <c r="G2742" s="91"/>
      <c r="H2742" s="91"/>
    </row>
    <row r="2743" spans="2:8">
      <c r="B2743" s="80"/>
      <c r="C2743" s="36"/>
      <c r="D2743" s="91"/>
      <c r="E2743" s="80"/>
      <c r="F2743" s="80"/>
      <c r="G2743" s="91"/>
      <c r="H2743" s="91"/>
    </row>
    <row r="2744" spans="2:8">
      <c r="B2744" s="80"/>
      <c r="C2744" s="36"/>
      <c r="D2744" s="91"/>
      <c r="E2744" s="80"/>
      <c r="F2744" s="80"/>
      <c r="G2744" s="91"/>
      <c r="H2744" s="91"/>
    </row>
    <row r="2745" spans="2:8">
      <c r="B2745" s="80"/>
      <c r="C2745" s="36"/>
      <c r="D2745" s="91"/>
      <c r="E2745" s="80"/>
      <c r="F2745" s="80"/>
      <c r="G2745" s="91"/>
      <c r="H2745" s="91"/>
    </row>
    <row r="2746" spans="2:8">
      <c r="B2746" s="80"/>
      <c r="C2746" s="36"/>
      <c r="D2746" s="91"/>
      <c r="E2746" s="80"/>
      <c r="F2746" s="80"/>
      <c r="G2746" s="91"/>
      <c r="H2746" s="91"/>
    </row>
    <row r="2747" spans="2:8">
      <c r="B2747" s="80"/>
      <c r="C2747" s="36"/>
      <c r="D2747" s="91"/>
      <c r="E2747" s="80"/>
      <c r="F2747" s="80"/>
      <c r="G2747" s="91"/>
      <c r="H2747" s="91"/>
    </row>
    <row r="2748" spans="2:8">
      <c r="B2748" s="80"/>
      <c r="C2748" s="36"/>
      <c r="D2748" s="91"/>
      <c r="E2748" s="80"/>
      <c r="F2748" s="80"/>
      <c r="G2748" s="91"/>
      <c r="H2748" s="91"/>
    </row>
    <row r="2749" spans="2:8">
      <c r="B2749" s="80"/>
      <c r="C2749" s="36"/>
      <c r="D2749" s="91"/>
      <c r="E2749" s="80"/>
      <c r="F2749" s="80"/>
      <c r="G2749" s="91"/>
      <c r="H2749" s="91"/>
    </row>
    <row r="2750" spans="2:8">
      <c r="B2750" s="80"/>
      <c r="C2750" s="36"/>
      <c r="D2750" s="91"/>
      <c r="E2750" s="80"/>
      <c r="F2750" s="80"/>
      <c r="G2750" s="91"/>
      <c r="H2750" s="91"/>
    </row>
    <row r="2751" spans="2:8">
      <c r="B2751" s="80"/>
      <c r="C2751" s="36"/>
      <c r="D2751" s="91"/>
      <c r="E2751" s="80"/>
      <c r="F2751" s="80"/>
      <c r="G2751" s="91"/>
      <c r="H2751" s="91"/>
    </row>
    <row r="2752" spans="2:8">
      <c r="B2752" s="80"/>
      <c r="C2752" s="36"/>
      <c r="D2752" s="91"/>
      <c r="E2752" s="80"/>
      <c r="F2752" s="80"/>
      <c r="G2752" s="91"/>
      <c r="H2752" s="91"/>
    </row>
    <row r="2753" spans="2:8">
      <c r="B2753" s="80"/>
      <c r="C2753" s="36"/>
      <c r="D2753" s="91"/>
      <c r="E2753" s="80"/>
      <c r="F2753" s="80"/>
      <c r="G2753" s="91"/>
      <c r="H2753" s="91"/>
    </row>
    <row r="2754" spans="2:8">
      <c r="B2754" s="80"/>
      <c r="C2754" s="36"/>
      <c r="D2754" s="91"/>
      <c r="E2754" s="80"/>
      <c r="F2754" s="80"/>
      <c r="G2754" s="91"/>
      <c r="H2754" s="91"/>
    </row>
    <row r="2755" spans="2:8">
      <c r="B2755" s="80"/>
      <c r="C2755" s="36"/>
      <c r="D2755" s="91"/>
      <c r="E2755" s="80"/>
      <c r="F2755" s="80"/>
      <c r="G2755" s="91"/>
      <c r="H2755" s="91"/>
    </row>
    <row r="2756" spans="2:8">
      <c r="B2756" s="80"/>
      <c r="C2756" s="36"/>
      <c r="D2756" s="91"/>
      <c r="E2756" s="80"/>
      <c r="F2756" s="80"/>
      <c r="G2756" s="91"/>
      <c r="H2756" s="91"/>
    </row>
    <row r="2757" spans="2:8">
      <c r="B2757" s="80"/>
      <c r="C2757" s="36"/>
      <c r="D2757" s="91"/>
      <c r="E2757" s="80"/>
      <c r="F2757" s="80"/>
      <c r="G2757" s="91"/>
      <c r="H2757" s="91"/>
    </row>
    <row r="2758" spans="2:8">
      <c r="B2758" s="80"/>
      <c r="C2758" s="36"/>
      <c r="D2758" s="91"/>
      <c r="E2758" s="80"/>
      <c r="F2758" s="80"/>
      <c r="G2758" s="91"/>
      <c r="H2758" s="91"/>
    </row>
    <row r="2759" spans="2:8">
      <c r="B2759" s="80"/>
      <c r="C2759" s="36"/>
      <c r="D2759" s="91"/>
      <c r="E2759" s="80"/>
      <c r="F2759" s="80"/>
      <c r="G2759" s="91"/>
      <c r="H2759" s="91"/>
    </row>
    <row r="2760" spans="2:8">
      <c r="B2760" s="80"/>
      <c r="C2760" s="36"/>
      <c r="D2760" s="91"/>
      <c r="E2760" s="80"/>
      <c r="F2760" s="80"/>
      <c r="G2760" s="91"/>
      <c r="H2760" s="91"/>
    </row>
    <row r="2761" spans="2:8">
      <c r="B2761" s="80"/>
      <c r="C2761" s="36"/>
      <c r="D2761" s="91"/>
      <c r="E2761" s="80"/>
      <c r="F2761" s="80"/>
      <c r="G2761" s="91"/>
      <c r="H2761" s="91"/>
    </row>
    <row r="2762" spans="2:8">
      <c r="B2762" s="80"/>
      <c r="C2762" s="36"/>
      <c r="D2762" s="91"/>
      <c r="E2762" s="80"/>
      <c r="F2762" s="80"/>
      <c r="G2762" s="91"/>
      <c r="H2762" s="91"/>
    </row>
    <row r="2763" spans="2:8">
      <c r="B2763" s="80"/>
      <c r="C2763" s="36"/>
      <c r="D2763" s="91"/>
      <c r="E2763" s="80"/>
      <c r="F2763" s="80"/>
      <c r="G2763" s="91"/>
      <c r="H2763" s="91"/>
    </row>
    <row r="2764" spans="2:8">
      <c r="B2764" s="80"/>
      <c r="C2764" s="36"/>
      <c r="D2764" s="91"/>
      <c r="E2764" s="80"/>
      <c r="F2764" s="80"/>
      <c r="G2764" s="91"/>
      <c r="H2764" s="91"/>
    </row>
    <row r="2765" spans="2:8">
      <c r="B2765" s="80"/>
      <c r="C2765" s="36"/>
      <c r="D2765" s="91"/>
      <c r="E2765" s="80"/>
      <c r="F2765" s="80"/>
      <c r="G2765" s="91"/>
      <c r="H2765" s="91"/>
    </row>
    <row r="2766" spans="2:8">
      <c r="B2766" s="80"/>
      <c r="C2766" s="36"/>
      <c r="D2766" s="91"/>
      <c r="E2766" s="80"/>
      <c r="F2766" s="80"/>
      <c r="G2766" s="91"/>
      <c r="H2766" s="91"/>
    </row>
    <row r="2767" spans="2:8">
      <c r="B2767" s="80"/>
      <c r="C2767" s="36"/>
      <c r="D2767" s="91"/>
      <c r="E2767" s="80"/>
      <c r="F2767" s="80"/>
      <c r="G2767" s="91"/>
      <c r="H2767" s="91"/>
    </row>
    <row r="2768" spans="2:8">
      <c r="B2768" s="80"/>
      <c r="C2768" s="36"/>
      <c r="D2768" s="91"/>
      <c r="E2768" s="80"/>
      <c r="F2768" s="80"/>
      <c r="G2768" s="91"/>
      <c r="H2768" s="91"/>
    </row>
    <row r="2769" spans="2:8">
      <c r="B2769" s="80"/>
      <c r="C2769" s="36"/>
      <c r="D2769" s="91"/>
      <c r="E2769" s="80"/>
      <c r="F2769" s="80"/>
      <c r="G2769" s="91"/>
      <c r="H2769" s="91"/>
    </row>
    <row r="2770" spans="2:8">
      <c r="B2770" s="80"/>
      <c r="C2770" s="36"/>
      <c r="D2770" s="91"/>
      <c r="E2770" s="80"/>
      <c r="F2770" s="80"/>
      <c r="G2770" s="91"/>
      <c r="H2770" s="91"/>
    </row>
    <row r="2771" spans="2:8">
      <c r="B2771" s="80"/>
      <c r="C2771" s="36"/>
      <c r="D2771" s="91"/>
      <c r="E2771" s="80"/>
      <c r="F2771" s="80"/>
      <c r="G2771" s="91"/>
      <c r="H2771" s="91"/>
    </row>
    <row r="2772" spans="2:8">
      <c r="B2772" s="80"/>
      <c r="C2772" s="36"/>
      <c r="D2772" s="91"/>
      <c r="E2772" s="80"/>
      <c r="F2772" s="80"/>
      <c r="G2772" s="91"/>
      <c r="H2772" s="91"/>
    </row>
    <row r="2773" spans="2:8">
      <c r="B2773" s="80"/>
      <c r="C2773" s="36"/>
      <c r="D2773" s="91"/>
      <c r="E2773" s="80"/>
      <c r="F2773" s="80"/>
      <c r="G2773" s="91"/>
      <c r="H2773" s="91"/>
    </row>
    <row r="2774" spans="2:8">
      <c r="B2774" s="80"/>
      <c r="C2774" s="36"/>
      <c r="D2774" s="91"/>
      <c r="E2774" s="80"/>
      <c r="F2774" s="80"/>
      <c r="G2774" s="91"/>
      <c r="H2774" s="91"/>
    </row>
    <row r="2775" spans="2:8">
      <c r="B2775" s="80"/>
      <c r="C2775" s="36"/>
      <c r="D2775" s="91"/>
      <c r="E2775" s="80"/>
      <c r="F2775" s="80"/>
      <c r="G2775" s="91"/>
      <c r="H2775" s="91"/>
    </row>
    <row r="2776" spans="2:8">
      <c r="B2776" s="80"/>
      <c r="C2776" s="36"/>
      <c r="D2776" s="91"/>
      <c r="E2776" s="80"/>
      <c r="F2776" s="80"/>
      <c r="G2776" s="91"/>
      <c r="H2776" s="91"/>
    </row>
    <row r="2777" spans="2:8">
      <c r="B2777" s="80"/>
      <c r="C2777" s="36"/>
      <c r="D2777" s="91"/>
      <c r="E2777" s="80"/>
      <c r="F2777" s="80"/>
      <c r="G2777" s="91"/>
      <c r="H2777" s="91"/>
    </row>
    <row r="2778" spans="2:8">
      <c r="B2778" s="80"/>
      <c r="C2778" s="36"/>
      <c r="D2778" s="91"/>
      <c r="E2778" s="80"/>
      <c r="F2778" s="80"/>
      <c r="G2778" s="91"/>
      <c r="H2778" s="91"/>
    </row>
    <row r="2779" spans="2:8">
      <c r="B2779" s="80"/>
      <c r="C2779" s="36"/>
      <c r="D2779" s="91"/>
      <c r="E2779" s="80"/>
      <c r="F2779" s="80"/>
      <c r="G2779" s="91"/>
      <c r="H2779" s="91"/>
    </row>
    <row r="2780" spans="2:8">
      <c r="B2780" s="80"/>
      <c r="C2780" s="36"/>
      <c r="D2780" s="91"/>
      <c r="E2780" s="80"/>
      <c r="F2780" s="80"/>
      <c r="G2780" s="91"/>
      <c r="H2780" s="91"/>
    </row>
    <row r="2781" spans="2:8">
      <c r="B2781" s="80"/>
      <c r="C2781" s="36"/>
      <c r="D2781" s="91"/>
      <c r="E2781" s="80"/>
      <c r="F2781" s="80"/>
      <c r="G2781" s="91"/>
      <c r="H2781" s="91"/>
    </row>
    <row r="2782" spans="2:8">
      <c r="B2782" s="80"/>
      <c r="C2782" s="36"/>
      <c r="D2782" s="91"/>
      <c r="E2782" s="80"/>
      <c r="F2782" s="80"/>
      <c r="G2782" s="91"/>
      <c r="H2782" s="91"/>
    </row>
    <row r="2783" spans="2:8">
      <c r="B2783" s="80"/>
      <c r="C2783" s="36"/>
      <c r="D2783" s="91"/>
      <c r="E2783" s="80"/>
      <c r="F2783" s="80"/>
      <c r="G2783" s="91"/>
      <c r="H2783" s="91"/>
    </row>
    <row r="2784" spans="2:8">
      <c r="B2784" s="80"/>
      <c r="C2784" s="36"/>
      <c r="D2784" s="91"/>
      <c r="E2784" s="80"/>
      <c r="F2784" s="80"/>
      <c r="G2784" s="91"/>
      <c r="H2784" s="91"/>
    </row>
    <row r="2785" spans="2:8">
      <c r="B2785" s="80"/>
      <c r="C2785" s="36"/>
      <c r="D2785" s="91"/>
      <c r="E2785" s="80"/>
      <c r="F2785" s="80"/>
      <c r="G2785" s="91"/>
      <c r="H2785" s="91"/>
    </row>
    <row r="2786" spans="2:8">
      <c r="B2786" s="80"/>
      <c r="C2786" s="36"/>
      <c r="D2786" s="91"/>
      <c r="E2786" s="80"/>
      <c r="F2786" s="80"/>
      <c r="G2786" s="91"/>
      <c r="H2786" s="91"/>
    </row>
    <row r="2787" spans="2:8">
      <c r="B2787" s="80"/>
      <c r="C2787" s="36"/>
      <c r="D2787" s="91"/>
      <c r="E2787" s="80"/>
      <c r="F2787" s="80"/>
      <c r="G2787" s="91"/>
      <c r="H2787" s="91"/>
    </row>
    <row r="2788" spans="2:8">
      <c r="B2788" s="80"/>
      <c r="C2788" s="36"/>
      <c r="D2788" s="91"/>
      <c r="E2788" s="80"/>
      <c r="F2788" s="80"/>
      <c r="G2788" s="91"/>
      <c r="H2788" s="91"/>
    </row>
    <row r="2789" spans="2:8">
      <c r="B2789" s="80"/>
      <c r="C2789" s="36"/>
      <c r="D2789" s="91"/>
      <c r="E2789" s="80"/>
      <c r="F2789" s="80"/>
      <c r="G2789" s="91"/>
      <c r="H2789" s="91"/>
    </row>
    <row r="2790" spans="2:8">
      <c r="B2790" s="80"/>
      <c r="C2790" s="36"/>
      <c r="D2790" s="91"/>
      <c r="E2790" s="80"/>
      <c r="F2790" s="80"/>
      <c r="G2790" s="91"/>
      <c r="H2790" s="91"/>
    </row>
    <row r="2791" spans="2:8">
      <c r="B2791" s="80"/>
      <c r="C2791" s="36"/>
      <c r="D2791" s="91"/>
      <c r="E2791" s="80"/>
      <c r="F2791" s="80"/>
      <c r="G2791" s="91"/>
      <c r="H2791" s="91"/>
    </row>
    <row r="2792" spans="2:8">
      <c r="B2792" s="80"/>
      <c r="C2792" s="36"/>
      <c r="D2792" s="91"/>
      <c r="E2792" s="80"/>
      <c r="F2792" s="80"/>
      <c r="G2792" s="91"/>
      <c r="H2792" s="91"/>
    </row>
    <row r="2793" spans="2:8">
      <c r="B2793" s="80"/>
      <c r="C2793" s="36"/>
      <c r="D2793" s="91"/>
      <c r="E2793" s="80"/>
      <c r="F2793" s="80"/>
      <c r="G2793" s="91"/>
      <c r="H2793" s="91"/>
    </row>
    <row r="2794" spans="2:8">
      <c r="B2794" s="80"/>
      <c r="C2794" s="36"/>
      <c r="D2794" s="91"/>
      <c r="E2794" s="80"/>
      <c r="F2794" s="80"/>
      <c r="G2794" s="91"/>
      <c r="H2794" s="91"/>
    </row>
    <row r="2795" spans="2:8">
      <c r="B2795" s="80"/>
      <c r="C2795" s="36"/>
      <c r="D2795" s="91"/>
      <c r="E2795" s="80"/>
      <c r="F2795" s="80"/>
      <c r="G2795" s="91"/>
      <c r="H2795" s="91"/>
    </row>
    <row r="2796" spans="2:8">
      <c r="B2796" s="80"/>
      <c r="C2796" s="36"/>
      <c r="D2796" s="91"/>
      <c r="E2796" s="80"/>
      <c r="F2796" s="80"/>
      <c r="G2796" s="91"/>
      <c r="H2796" s="91"/>
    </row>
    <row r="2797" spans="2:8">
      <c r="B2797" s="80"/>
      <c r="C2797" s="36"/>
      <c r="D2797" s="91"/>
      <c r="E2797" s="80"/>
      <c r="F2797" s="80"/>
      <c r="G2797" s="91"/>
      <c r="H2797" s="91"/>
    </row>
    <row r="2798" spans="2:8">
      <c r="B2798" s="80"/>
      <c r="C2798" s="36"/>
      <c r="D2798" s="91"/>
      <c r="E2798" s="80"/>
      <c r="F2798" s="80"/>
      <c r="G2798" s="91"/>
      <c r="H2798" s="91"/>
    </row>
    <row r="2799" spans="2:8">
      <c r="B2799" s="80"/>
      <c r="C2799" s="36"/>
      <c r="D2799" s="91"/>
      <c r="E2799" s="80"/>
      <c r="F2799" s="80"/>
      <c r="G2799" s="91"/>
      <c r="H2799" s="91"/>
    </row>
    <row r="2800" spans="2:8">
      <c r="B2800" s="80"/>
      <c r="C2800" s="36"/>
      <c r="D2800" s="91"/>
      <c r="E2800" s="80"/>
      <c r="F2800" s="80"/>
      <c r="G2800" s="91"/>
      <c r="H2800" s="91"/>
    </row>
    <row r="2801" spans="2:8">
      <c r="B2801" s="80"/>
      <c r="C2801" s="36"/>
      <c r="D2801" s="91"/>
      <c r="E2801" s="80"/>
      <c r="F2801" s="80"/>
      <c r="G2801" s="91"/>
      <c r="H2801" s="91"/>
    </row>
    <row r="2802" spans="2:8">
      <c r="B2802" s="80"/>
      <c r="C2802" s="36"/>
      <c r="D2802" s="91"/>
      <c r="E2802" s="80"/>
      <c r="F2802" s="80"/>
      <c r="G2802" s="91"/>
      <c r="H2802" s="91"/>
    </row>
    <row r="2803" spans="2:8">
      <c r="B2803" s="80"/>
      <c r="C2803" s="36"/>
      <c r="D2803" s="91"/>
      <c r="E2803" s="80"/>
      <c r="F2803" s="80"/>
      <c r="G2803" s="91"/>
      <c r="H2803" s="91"/>
    </row>
    <row r="2804" spans="2:8">
      <c r="B2804" s="80"/>
      <c r="C2804" s="36"/>
      <c r="D2804" s="91"/>
      <c r="E2804" s="80"/>
      <c r="F2804" s="80"/>
      <c r="G2804" s="91"/>
      <c r="H2804" s="91"/>
    </row>
    <row r="2805" spans="2:8">
      <c r="B2805" s="80"/>
      <c r="C2805" s="36"/>
      <c r="D2805" s="91"/>
      <c r="E2805" s="80"/>
      <c r="F2805" s="80"/>
      <c r="G2805" s="91"/>
      <c r="H2805" s="91"/>
    </row>
    <row r="2806" spans="2:8">
      <c r="B2806" s="80"/>
      <c r="C2806" s="36"/>
      <c r="D2806" s="91"/>
      <c r="E2806" s="80"/>
      <c r="F2806" s="80"/>
      <c r="G2806" s="91"/>
      <c r="H2806" s="91"/>
    </row>
    <row r="2807" spans="2:8">
      <c r="B2807" s="80"/>
      <c r="C2807" s="36"/>
      <c r="D2807" s="91"/>
      <c r="E2807" s="80"/>
      <c r="F2807" s="80"/>
      <c r="G2807" s="91"/>
      <c r="H2807" s="91"/>
    </row>
    <row r="2808" spans="2:8">
      <c r="B2808" s="80"/>
      <c r="C2808" s="36"/>
      <c r="D2808" s="91"/>
      <c r="E2808" s="80"/>
      <c r="F2808" s="80"/>
      <c r="G2808" s="91"/>
      <c r="H2808" s="91"/>
    </row>
    <row r="2809" spans="2:8">
      <c r="B2809" s="80"/>
      <c r="C2809" s="36"/>
      <c r="D2809" s="91"/>
      <c r="E2809" s="80"/>
      <c r="F2809" s="80"/>
      <c r="G2809" s="91"/>
      <c r="H2809" s="91"/>
    </row>
    <row r="2810" spans="2:8">
      <c r="B2810" s="80"/>
      <c r="C2810" s="36"/>
      <c r="D2810" s="91"/>
      <c r="E2810" s="80"/>
      <c r="F2810" s="80"/>
      <c r="G2810" s="91"/>
      <c r="H2810" s="91"/>
    </row>
    <row r="2811" spans="2:8">
      <c r="B2811" s="80"/>
      <c r="C2811" s="36"/>
      <c r="D2811" s="91"/>
      <c r="E2811" s="80"/>
      <c r="F2811" s="80"/>
      <c r="G2811" s="91"/>
      <c r="H2811" s="91"/>
    </row>
    <row r="2812" spans="2:8">
      <c r="B2812" s="80"/>
      <c r="C2812" s="36"/>
      <c r="D2812" s="91"/>
      <c r="E2812" s="80"/>
      <c r="F2812" s="80"/>
      <c r="G2812" s="91"/>
      <c r="H2812" s="91"/>
    </row>
    <row r="2813" spans="2:8">
      <c r="B2813" s="80"/>
      <c r="C2813" s="36"/>
      <c r="D2813" s="91"/>
      <c r="E2813" s="80"/>
      <c r="F2813" s="80"/>
      <c r="G2813" s="91"/>
      <c r="H2813" s="91"/>
    </row>
    <row r="2814" spans="2:8">
      <c r="B2814" s="80"/>
      <c r="C2814" s="36"/>
      <c r="D2814" s="91"/>
      <c r="E2814" s="80"/>
      <c r="F2814" s="80"/>
      <c r="G2814" s="91"/>
      <c r="H2814" s="91"/>
    </row>
    <row r="2815" spans="2:8">
      <c r="B2815" s="80"/>
      <c r="C2815" s="36"/>
      <c r="D2815" s="91"/>
      <c r="E2815" s="80"/>
      <c r="F2815" s="80"/>
      <c r="G2815" s="91"/>
      <c r="H2815" s="91"/>
    </row>
    <row r="2816" spans="2:8">
      <c r="B2816" s="80"/>
      <c r="C2816" s="36"/>
      <c r="D2816" s="91"/>
      <c r="E2816" s="80"/>
      <c r="F2816" s="80"/>
      <c r="G2816" s="91"/>
      <c r="H2816" s="91"/>
    </row>
    <row r="2817" spans="2:8">
      <c r="B2817" s="80"/>
      <c r="C2817" s="36"/>
      <c r="D2817" s="91"/>
      <c r="E2817" s="80"/>
      <c r="F2817" s="80"/>
      <c r="G2817" s="91"/>
      <c r="H2817" s="91"/>
    </row>
    <row r="2818" spans="2:8">
      <c r="B2818" s="80"/>
      <c r="C2818" s="36"/>
      <c r="D2818" s="91"/>
      <c r="E2818" s="80"/>
      <c r="F2818" s="80"/>
      <c r="G2818" s="91"/>
      <c r="H2818" s="91"/>
    </row>
    <row r="2819" spans="2:8">
      <c r="B2819" s="80"/>
      <c r="C2819" s="36"/>
      <c r="D2819" s="91"/>
      <c r="E2819" s="80"/>
      <c r="F2819" s="80"/>
      <c r="G2819" s="91"/>
      <c r="H2819" s="91"/>
    </row>
    <row r="2820" spans="2:8">
      <c r="B2820" s="80"/>
      <c r="C2820" s="36"/>
      <c r="D2820" s="91"/>
      <c r="E2820" s="80"/>
      <c r="F2820" s="80"/>
      <c r="G2820" s="91"/>
      <c r="H2820" s="91"/>
    </row>
    <row r="2821" spans="2:8">
      <c r="B2821" s="80"/>
      <c r="C2821" s="36"/>
      <c r="D2821" s="91"/>
      <c r="E2821" s="80"/>
      <c r="F2821" s="80"/>
      <c r="G2821" s="91"/>
      <c r="H2821" s="91"/>
    </row>
    <row r="2822" spans="2:8">
      <c r="B2822" s="80"/>
      <c r="C2822" s="36"/>
      <c r="D2822" s="91"/>
      <c r="E2822" s="80"/>
      <c r="F2822" s="80"/>
      <c r="G2822" s="91"/>
      <c r="H2822" s="91"/>
    </row>
    <row r="2823" spans="2:8">
      <c r="B2823" s="80"/>
      <c r="C2823" s="36"/>
      <c r="D2823" s="91"/>
      <c r="E2823" s="80"/>
      <c r="F2823" s="80"/>
      <c r="G2823" s="91"/>
      <c r="H2823" s="91"/>
    </row>
    <row r="2824" spans="2:8">
      <c r="B2824" s="80"/>
      <c r="C2824" s="36"/>
      <c r="D2824" s="91"/>
      <c r="E2824" s="80"/>
      <c r="F2824" s="80"/>
      <c r="G2824" s="91"/>
      <c r="H2824" s="91"/>
    </row>
    <row r="2825" spans="2:8">
      <c r="B2825" s="80"/>
      <c r="C2825" s="36"/>
      <c r="D2825" s="91"/>
      <c r="E2825" s="80"/>
      <c r="F2825" s="80"/>
      <c r="G2825" s="91"/>
      <c r="H2825" s="91"/>
    </row>
    <row r="2826" spans="2:8">
      <c r="B2826" s="80"/>
      <c r="C2826" s="36"/>
      <c r="D2826" s="91"/>
      <c r="E2826" s="80"/>
      <c r="F2826" s="80"/>
      <c r="G2826" s="91"/>
      <c r="H2826" s="91"/>
    </row>
    <row r="2827" spans="2:8">
      <c r="B2827" s="80"/>
      <c r="C2827" s="36"/>
      <c r="D2827" s="91"/>
      <c r="E2827" s="80"/>
      <c r="F2827" s="80"/>
      <c r="G2827" s="91"/>
      <c r="H2827" s="91"/>
    </row>
    <row r="2828" spans="2:8">
      <c r="B2828" s="80"/>
      <c r="C2828" s="36"/>
      <c r="D2828" s="91"/>
      <c r="E2828" s="80"/>
      <c r="F2828" s="80"/>
      <c r="G2828" s="91"/>
      <c r="H2828" s="91"/>
    </row>
    <row r="2829" spans="2:8">
      <c r="B2829" s="80"/>
      <c r="C2829" s="36"/>
      <c r="D2829" s="91"/>
      <c r="E2829" s="80"/>
      <c r="F2829" s="80"/>
      <c r="G2829" s="91"/>
      <c r="H2829" s="91"/>
    </row>
    <row r="2830" spans="2:8">
      <c r="B2830" s="80"/>
      <c r="C2830" s="36"/>
      <c r="D2830" s="91"/>
      <c r="E2830" s="80"/>
      <c r="F2830" s="80"/>
      <c r="G2830" s="91"/>
      <c r="H2830" s="91"/>
    </row>
    <row r="2831" spans="2:8">
      <c r="B2831" s="80"/>
      <c r="C2831" s="36"/>
      <c r="D2831" s="91"/>
      <c r="E2831" s="80"/>
      <c r="F2831" s="80"/>
      <c r="G2831" s="91"/>
      <c r="H2831" s="91"/>
    </row>
    <row r="2832" spans="2:8">
      <c r="B2832" s="80"/>
      <c r="C2832" s="36"/>
      <c r="D2832" s="91"/>
      <c r="E2832" s="80"/>
      <c r="F2832" s="80"/>
      <c r="G2832" s="91"/>
      <c r="H2832" s="91"/>
    </row>
    <row r="2833" spans="2:8">
      <c r="B2833" s="80"/>
      <c r="C2833" s="36"/>
      <c r="D2833" s="91"/>
      <c r="E2833" s="80"/>
      <c r="F2833" s="80"/>
      <c r="G2833" s="91"/>
      <c r="H2833" s="91"/>
    </row>
    <row r="2834" spans="2:8">
      <c r="B2834" s="80"/>
      <c r="C2834" s="36"/>
      <c r="D2834" s="91"/>
      <c r="E2834" s="80"/>
      <c r="F2834" s="80"/>
      <c r="G2834" s="91"/>
      <c r="H2834" s="91"/>
    </row>
    <row r="2835" spans="2:8">
      <c r="B2835" s="80"/>
      <c r="C2835" s="36"/>
      <c r="D2835" s="91"/>
      <c r="E2835" s="80"/>
      <c r="F2835" s="80"/>
      <c r="G2835" s="91"/>
      <c r="H2835" s="91"/>
    </row>
    <row r="2836" spans="2:8">
      <c r="B2836" s="80"/>
      <c r="C2836" s="36"/>
      <c r="D2836" s="91"/>
      <c r="E2836" s="80"/>
      <c r="F2836" s="80"/>
      <c r="G2836" s="91"/>
      <c r="H2836" s="91"/>
    </row>
    <row r="2837" spans="2:8">
      <c r="B2837" s="80"/>
      <c r="C2837" s="36"/>
      <c r="D2837" s="91"/>
      <c r="E2837" s="80"/>
      <c r="F2837" s="80"/>
      <c r="G2837" s="91"/>
      <c r="H2837" s="91"/>
    </row>
    <row r="2838" spans="2:8">
      <c r="B2838" s="80"/>
      <c r="C2838" s="36"/>
      <c r="D2838" s="91"/>
      <c r="E2838" s="80"/>
      <c r="F2838" s="80"/>
      <c r="G2838" s="91"/>
      <c r="H2838" s="91"/>
    </row>
    <row r="2839" spans="2:8">
      <c r="B2839" s="80"/>
      <c r="C2839" s="36"/>
      <c r="D2839" s="91"/>
      <c r="E2839" s="80"/>
      <c r="F2839" s="80"/>
      <c r="G2839" s="91"/>
      <c r="H2839" s="91"/>
    </row>
    <row r="2840" spans="2:8">
      <c r="B2840" s="80"/>
      <c r="C2840" s="36"/>
      <c r="D2840" s="91"/>
      <c r="E2840" s="80"/>
      <c r="F2840" s="80"/>
      <c r="G2840" s="91"/>
      <c r="H2840" s="91"/>
    </row>
    <row r="2841" spans="2:8">
      <c r="B2841" s="80"/>
      <c r="C2841" s="36"/>
      <c r="D2841" s="91"/>
      <c r="E2841" s="80"/>
      <c r="F2841" s="80"/>
      <c r="G2841" s="91"/>
      <c r="H2841" s="91"/>
    </row>
    <row r="2842" spans="2:8">
      <c r="B2842" s="80"/>
      <c r="C2842" s="36"/>
      <c r="D2842" s="91"/>
      <c r="E2842" s="80"/>
      <c r="F2842" s="80"/>
      <c r="G2842" s="91"/>
      <c r="H2842" s="91"/>
    </row>
    <row r="2843" spans="2:8">
      <c r="B2843" s="80"/>
      <c r="C2843" s="36"/>
      <c r="D2843" s="91"/>
      <c r="E2843" s="80"/>
      <c r="F2843" s="80"/>
      <c r="G2843" s="91"/>
      <c r="H2843" s="91"/>
    </row>
    <row r="2844" spans="2:8">
      <c r="B2844" s="80"/>
      <c r="C2844" s="36"/>
      <c r="D2844" s="91"/>
      <c r="E2844" s="80"/>
      <c r="F2844" s="80"/>
      <c r="G2844" s="91"/>
      <c r="H2844" s="91"/>
    </row>
    <row r="2845" spans="2:8">
      <c r="B2845" s="80"/>
      <c r="C2845" s="36"/>
      <c r="D2845" s="91"/>
      <c r="E2845" s="80"/>
      <c r="F2845" s="80"/>
      <c r="G2845" s="91"/>
      <c r="H2845" s="91"/>
    </row>
    <row r="2846" spans="2:8">
      <c r="B2846" s="80"/>
      <c r="C2846" s="36"/>
      <c r="D2846" s="91"/>
      <c r="E2846" s="80"/>
      <c r="F2846" s="80"/>
      <c r="G2846" s="91"/>
      <c r="H2846" s="91"/>
    </row>
    <row r="2847" spans="2:8">
      <c r="B2847" s="80"/>
      <c r="C2847" s="36"/>
      <c r="D2847" s="91"/>
      <c r="E2847" s="80"/>
      <c r="F2847" s="80"/>
      <c r="G2847" s="91"/>
      <c r="H2847" s="91"/>
    </row>
    <row r="2848" spans="2:8">
      <c r="B2848" s="80"/>
      <c r="C2848" s="36"/>
      <c r="D2848" s="91"/>
      <c r="E2848" s="80"/>
      <c r="F2848" s="80"/>
      <c r="G2848" s="91"/>
      <c r="H2848" s="91"/>
    </row>
    <row r="2849" spans="2:8">
      <c r="B2849" s="80"/>
      <c r="C2849" s="36"/>
      <c r="D2849" s="91"/>
      <c r="E2849" s="80"/>
      <c r="F2849" s="80"/>
      <c r="G2849" s="91"/>
      <c r="H2849" s="91"/>
    </row>
    <row r="2850" spans="2:8">
      <c r="B2850" s="80"/>
      <c r="C2850" s="36"/>
      <c r="D2850" s="91"/>
      <c r="E2850" s="80"/>
      <c r="F2850" s="80"/>
      <c r="G2850" s="91"/>
      <c r="H2850" s="91"/>
    </row>
    <row r="2851" spans="2:8">
      <c r="B2851" s="80"/>
      <c r="C2851" s="36"/>
      <c r="D2851" s="91"/>
      <c r="E2851" s="80"/>
      <c r="F2851" s="80"/>
      <c r="G2851" s="91"/>
      <c r="H2851" s="91"/>
    </row>
    <row r="2852" spans="2:8">
      <c r="B2852" s="80"/>
      <c r="C2852" s="36"/>
      <c r="D2852" s="91"/>
      <c r="E2852" s="80"/>
      <c r="F2852" s="80"/>
      <c r="G2852" s="91"/>
      <c r="H2852" s="91"/>
    </row>
    <row r="2853" spans="2:8">
      <c r="B2853" s="80"/>
      <c r="C2853" s="36"/>
      <c r="D2853" s="91"/>
      <c r="E2853" s="80"/>
      <c r="F2853" s="80"/>
      <c r="G2853" s="91"/>
      <c r="H2853" s="91"/>
    </row>
    <row r="2854" spans="2:8">
      <c r="B2854" s="80"/>
      <c r="C2854" s="36"/>
      <c r="D2854" s="91"/>
      <c r="E2854" s="80"/>
      <c r="F2854" s="80"/>
      <c r="G2854" s="91"/>
      <c r="H2854" s="91"/>
    </row>
    <row r="2855" spans="2:8">
      <c r="B2855" s="80"/>
      <c r="C2855" s="36"/>
      <c r="D2855" s="91"/>
      <c r="E2855" s="80"/>
      <c r="F2855" s="80"/>
      <c r="G2855" s="91"/>
      <c r="H2855" s="91"/>
    </row>
    <row r="2856" spans="2:8">
      <c r="B2856" s="80"/>
      <c r="C2856" s="36"/>
      <c r="D2856" s="91"/>
      <c r="E2856" s="80"/>
      <c r="F2856" s="80"/>
      <c r="G2856" s="91"/>
      <c r="H2856" s="91"/>
    </row>
    <row r="2857" spans="2:8">
      <c r="B2857" s="80"/>
      <c r="C2857" s="36"/>
      <c r="D2857" s="91"/>
      <c r="E2857" s="80"/>
      <c r="F2857" s="80"/>
      <c r="G2857" s="91"/>
      <c r="H2857" s="91"/>
    </row>
    <row r="2858" spans="2:8">
      <c r="B2858" s="80"/>
      <c r="C2858" s="36"/>
      <c r="D2858" s="91"/>
      <c r="E2858" s="80"/>
      <c r="F2858" s="80"/>
      <c r="G2858" s="91"/>
      <c r="H2858" s="91"/>
    </row>
    <row r="2859" spans="2:8">
      <c r="B2859" s="80"/>
      <c r="C2859" s="36"/>
      <c r="D2859" s="91"/>
      <c r="E2859" s="80"/>
      <c r="F2859" s="80"/>
      <c r="G2859" s="91"/>
      <c r="H2859" s="91"/>
    </row>
    <row r="2860" spans="2:8">
      <c r="B2860" s="80"/>
      <c r="C2860" s="36"/>
      <c r="D2860" s="91"/>
      <c r="E2860" s="80"/>
      <c r="F2860" s="80"/>
      <c r="G2860" s="91"/>
      <c r="H2860" s="91"/>
    </row>
    <row r="2861" spans="2:8">
      <c r="B2861" s="80"/>
      <c r="C2861" s="36"/>
      <c r="D2861" s="91"/>
      <c r="E2861" s="80"/>
      <c r="F2861" s="80"/>
      <c r="G2861" s="91"/>
      <c r="H2861" s="91"/>
    </row>
    <row r="2862" spans="2:8">
      <c r="B2862" s="80"/>
      <c r="C2862" s="36"/>
      <c r="D2862" s="91"/>
      <c r="E2862" s="80"/>
      <c r="F2862" s="80"/>
      <c r="G2862" s="91"/>
      <c r="H2862" s="91"/>
    </row>
    <row r="2863" spans="2:8">
      <c r="B2863" s="80"/>
      <c r="C2863" s="36"/>
      <c r="D2863" s="91"/>
      <c r="E2863" s="80"/>
      <c r="F2863" s="80"/>
      <c r="G2863" s="91"/>
      <c r="H2863" s="91"/>
    </row>
    <row r="2864" spans="2:8">
      <c r="B2864" s="80"/>
      <c r="C2864" s="36"/>
      <c r="D2864" s="91"/>
      <c r="E2864" s="80"/>
      <c r="F2864" s="80"/>
      <c r="G2864" s="91"/>
      <c r="H2864" s="91"/>
    </row>
    <row r="2865" spans="2:8">
      <c r="B2865" s="80"/>
      <c r="C2865" s="36"/>
      <c r="D2865" s="91"/>
      <c r="E2865" s="80"/>
      <c r="F2865" s="80"/>
      <c r="G2865" s="91"/>
      <c r="H2865" s="91"/>
    </row>
    <row r="2866" spans="2:8">
      <c r="B2866" s="80"/>
      <c r="C2866" s="36"/>
      <c r="D2866" s="91"/>
      <c r="E2866" s="80"/>
      <c r="F2866" s="80"/>
      <c r="G2866" s="91"/>
      <c r="H2866" s="91"/>
    </row>
    <row r="2867" spans="2:8">
      <c r="B2867" s="80"/>
      <c r="C2867" s="36"/>
      <c r="D2867" s="91"/>
      <c r="E2867" s="80"/>
      <c r="F2867" s="80"/>
      <c r="G2867" s="91"/>
      <c r="H2867" s="91"/>
    </row>
    <row r="2868" spans="2:8">
      <c r="B2868" s="80"/>
      <c r="C2868" s="36"/>
      <c r="D2868" s="91"/>
      <c r="E2868" s="80"/>
      <c r="F2868" s="80"/>
      <c r="G2868" s="91"/>
      <c r="H2868" s="91"/>
    </row>
    <row r="2869" spans="2:8">
      <c r="B2869" s="80"/>
      <c r="C2869" s="36"/>
      <c r="D2869" s="91"/>
      <c r="E2869" s="80"/>
      <c r="F2869" s="80"/>
      <c r="G2869" s="91"/>
      <c r="H2869" s="91"/>
    </row>
    <row r="2870" spans="2:8">
      <c r="B2870" s="80"/>
      <c r="C2870" s="36"/>
      <c r="D2870" s="91"/>
      <c r="E2870" s="80"/>
      <c r="F2870" s="80"/>
      <c r="G2870" s="91"/>
      <c r="H2870" s="91"/>
    </row>
    <row r="2871" spans="2:8">
      <c r="B2871" s="80"/>
      <c r="C2871" s="36"/>
      <c r="D2871" s="91"/>
      <c r="E2871" s="80"/>
      <c r="F2871" s="80"/>
      <c r="G2871" s="91"/>
      <c r="H2871" s="91"/>
    </row>
    <row r="2872" spans="2:8">
      <c r="B2872" s="80"/>
      <c r="C2872" s="36"/>
      <c r="D2872" s="91"/>
      <c r="E2872" s="80"/>
      <c r="F2872" s="80"/>
      <c r="G2872" s="91"/>
      <c r="H2872" s="91"/>
    </row>
    <row r="2873" spans="2:8">
      <c r="B2873" s="80"/>
      <c r="C2873" s="36"/>
      <c r="D2873" s="91"/>
      <c r="E2873" s="80"/>
      <c r="F2873" s="80"/>
      <c r="G2873" s="91"/>
      <c r="H2873" s="91"/>
    </row>
    <row r="2874" spans="2:8">
      <c r="B2874" s="80"/>
      <c r="C2874" s="36"/>
      <c r="D2874" s="91"/>
      <c r="E2874" s="80"/>
      <c r="F2874" s="80"/>
      <c r="G2874" s="91"/>
      <c r="H2874" s="91"/>
    </row>
    <row r="2875" spans="2:8">
      <c r="B2875" s="80"/>
      <c r="C2875" s="36"/>
      <c r="D2875" s="91"/>
      <c r="E2875" s="80"/>
      <c r="F2875" s="80"/>
      <c r="G2875" s="91"/>
      <c r="H2875" s="91"/>
    </row>
    <row r="2876" spans="2:8">
      <c r="B2876" s="80"/>
      <c r="C2876" s="36"/>
      <c r="D2876" s="91"/>
      <c r="E2876" s="80"/>
      <c r="F2876" s="80"/>
      <c r="G2876" s="91"/>
      <c r="H2876" s="91"/>
    </row>
    <row r="2877" spans="2:8">
      <c r="B2877" s="80"/>
      <c r="C2877" s="36"/>
      <c r="D2877" s="91"/>
      <c r="E2877" s="80"/>
      <c r="F2877" s="80"/>
      <c r="G2877" s="91"/>
      <c r="H2877" s="91"/>
    </row>
    <row r="2878" spans="2:8">
      <c r="B2878" s="80"/>
      <c r="C2878" s="36"/>
      <c r="D2878" s="91"/>
      <c r="E2878" s="80"/>
      <c r="F2878" s="80"/>
      <c r="G2878" s="91"/>
      <c r="H2878" s="91"/>
    </row>
    <row r="2879" spans="2:8">
      <c r="B2879" s="80"/>
      <c r="C2879" s="36"/>
      <c r="D2879" s="91"/>
      <c r="E2879" s="80"/>
      <c r="F2879" s="80"/>
      <c r="G2879" s="91"/>
      <c r="H2879" s="91"/>
    </row>
    <row r="2880" spans="2:8">
      <c r="B2880" s="80"/>
      <c r="C2880" s="36"/>
      <c r="D2880" s="91"/>
      <c r="E2880" s="80"/>
      <c r="F2880" s="80"/>
      <c r="G2880" s="91"/>
      <c r="H2880" s="91"/>
    </row>
    <row r="2881" spans="2:8">
      <c r="B2881" s="80"/>
      <c r="C2881" s="36"/>
      <c r="D2881" s="91"/>
      <c r="E2881" s="80"/>
      <c r="F2881" s="80"/>
      <c r="G2881" s="91"/>
      <c r="H2881" s="91"/>
    </row>
    <row r="2882" spans="2:8">
      <c r="B2882" s="80"/>
      <c r="C2882" s="36"/>
      <c r="D2882" s="91"/>
      <c r="E2882" s="80"/>
      <c r="F2882" s="80"/>
      <c r="G2882" s="91"/>
      <c r="H2882" s="91"/>
    </row>
    <row r="2883" spans="2:8">
      <c r="B2883" s="80"/>
      <c r="C2883" s="36"/>
      <c r="D2883" s="91"/>
      <c r="E2883" s="80"/>
      <c r="F2883" s="80"/>
      <c r="G2883" s="91"/>
      <c r="H2883" s="91"/>
    </row>
    <row r="2884" spans="2:8">
      <c r="B2884" s="80"/>
      <c r="C2884" s="36"/>
      <c r="D2884" s="91"/>
      <c r="E2884" s="80"/>
      <c r="F2884" s="80"/>
      <c r="G2884" s="91"/>
      <c r="H2884" s="91"/>
    </row>
    <row r="2885" spans="2:8">
      <c r="B2885" s="80"/>
      <c r="C2885" s="36"/>
      <c r="D2885" s="91"/>
      <c r="E2885" s="80"/>
      <c r="F2885" s="80"/>
      <c r="G2885" s="91"/>
      <c r="H2885" s="91"/>
    </row>
    <row r="2886" spans="2:8">
      <c r="B2886" s="80"/>
      <c r="C2886" s="36"/>
      <c r="D2886" s="91"/>
      <c r="E2886" s="80"/>
      <c r="F2886" s="80"/>
      <c r="G2886" s="91"/>
      <c r="H2886" s="91"/>
    </row>
    <row r="2887" spans="2:8">
      <c r="B2887" s="80"/>
      <c r="C2887" s="36"/>
      <c r="D2887" s="91"/>
      <c r="E2887" s="80"/>
      <c r="F2887" s="80"/>
      <c r="G2887" s="91"/>
      <c r="H2887" s="91"/>
    </row>
    <row r="2888" spans="2:8">
      <c r="B2888" s="80"/>
      <c r="C2888" s="36"/>
      <c r="D2888" s="91"/>
      <c r="E2888" s="80"/>
      <c r="F2888" s="80"/>
      <c r="G2888" s="91"/>
      <c r="H2888" s="91"/>
    </row>
    <row r="2889" spans="2:8">
      <c r="B2889" s="80"/>
      <c r="C2889" s="36"/>
      <c r="D2889" s="91"/>
      <c r="E2889" s="80"/>
      <c r="F2889" s="80"/>
      <c r="G2889" s="91"/>
      <c r="H2889" s="91"/>
    </row>
    <row r="2890" spans="2:8">
      <c r="B2890" s="80"/>
      <c r="C2890" s="36"/>
      <c r="D2890" s="91"/>
      <c r="E2890" s="80"/>
      <c r="F2890" s="80"/>
      <c r="G2890" s="91"/>
      <c r="H2890" s="91"/>
    </row>
    <row r="2891" spans="2:8">
      <c r="B2891" s="80"/>
      <c r="C2891" s="36"/>
      <c r="D2891" s="91"/>
      <c r="E2891" s="80"/>
      <c r="F2891" s="80"/>
      <c r="G2891" s="91"/>
      <c r="H2891" s="91"/>
    </row>
    <row r="2892" spans="2:8">
      <c r="B2892" s="80"/>
      <c r="C2892" s="36"/>
      <c r="D2892" s="91"/>
      <c r="E2892" s="80"/>
      <c r="F2892" s="80"/>
      <c r="G2892" s="91"/>
      <c r="H2892" s="91"/>
    </row>
    <row r="2893" spans="2:8">
      <c r="B2893" s="80"/>
      <c r="C2893" s="36"/>
      <c r="D2893" s="91"/>
      <c r="E2893" s="80"/>
      <c r="F2893" s="80"/>
      <c r="G2893" s="91"/>
      <c r="H2893" s="91"/>
    </row>
    <row r="2894" spans="2:8">
      <c r="B2894" s="80"/>
      <c r="C2894" s="36"/>
      <c r="D2894" s="91"/>
      <c r="E2894" s="80"/>
      <c r="F2894" s="80"/>
      <c r="G2894" s="91"/>
      <c r="H2894" s="91"/>
    </row>
    <row r="2895" spans="2:8">
      <c r="B2895" s="80"/>
      <c r="C2895" s="36"/>
      <c r="D2895" s="91"/>
      <c r="E2895" s="80"/>
      <c r="F2895" s="80"/>
      <c r="G2895" s="91"/>
      <c r="H2895" s="91"/>
    </row>
    <row r="2896" spans="2:8">
      <c r="B2896" s="80"/>
      <c r="C2896" s="36"/>
      <c r="D2896" s="91"/>
      <c r="E2896" s="80"/>
      <c r="F2896" s="80"/>
      <c r="G2896" s="91"/>
      <c r="H2896" s="91"/>
    </row>
    <row r="2897" spans="2:8">
      <c r="B2897" s="80"/>
      <c r="C2897" s="36"/>
      <c r="D2897" s="91"/>
      <c r="E2897" s="80"/>
      <c r="F2897" s="80"/>
      <c r="G2897" s="91"/>
      <c r="H2897" s="91"/>
    </row>
    <row r="2898" spans="2:8">
      <c r="B2898" s="80"/>
      <c r="C2898" s="36"/>
      <c r="D2898" s="91"/>
      <c r="E2898" s="80"/>
      <c r="F2898" s="80"/>
      <c r="G2898" s="91"/>
      <c r="H2898" s="91"/>
    </row>
    <row r="2899" spans="2:8">
      <c r="B2899" s="80"/>
      <c r="C2899" s="36"/>
      <c r="D2899" s="91"/>
      <c r="E2899" s="80"/>
      <c r="F2899" s="80"/>
      <c r="G2899" s="91"/>
      <c r="H2899" s="91"/>
    </row>
    <row r="2900" spans="2:8">
      <c r="B2900" s="80"/>
      <c r="C2900" s="36"/>
      <c r="D2900" s="91"/>
      <c r="E2900" s="80"/>
      <c r="F2900" s="80"/>
      <c r="G2900" s="91"/>
      <c r="H2900" s="91"/>
    </row>
    <row r="2901" spans="2:8">
      <c r="B2901" s="80"/>
      <c r="C2901" s="36"/>
      <c r="D2901" s="91"/>
      <c r="E2901" s="80"/>
      <c r="F2901" s="80"/>
      <c r="G2901" s="91"/>
      <c r="H2901" s="91"/>
    </row>
    <row r="2902" spans="2:8">
      <c r="B2902" s="80"/>
      <c r="C2902" s="36"/>
      <c r="D2902" s="91"/>
      <c r="E2902" s="80"/>
      <c r="F2902" s="80"/>
      <c r="G2902" s="91"/>
      <c r="H2902" s="91"/>
    </row>
    <row r="2903" spans="2:8">
      <c r="B2903" s="80"/>
      <c r="C2903" s="36"/>
      <c r="D2903" s="91"/>
      <c r="E2903" s="80"/>
      <c r="F2903" s="80"/>
      <c r="G2903" s="91"/>
      <c r="H2903" s="91"/>
    </row>
    <row r="2904" spans="2:8">
      <c r="B2904" s="80"/>
      <c r="C2904" s="36"/>
      <c r="D2904" s="91"/>
      <c r="E2904" s="80"/>
      <c r="F2904" s="80"/>
      <c r="G2904" s="91"/>
      <c r="H2904" s="91"/>
    </row>
    <row r="2905" spans="2:8">
      <c r="B2905" s="80"/>
      <c r="C2905" s="36"/>
      <c r="D2905" s="91"/>
      <c r="E2905" s="80"/>
      <c r="F2905" s="80"/>
      <c r="G2905" s="91"/>
      <c r="H2905" s="91"/>
    </row>
    <row r="2906" spans="2:8">
      <c r="B2906" s="80"/>
      <c r="C2906" s="36"/>
      <c r="D2906" s="91"/>
      <c r="E2906" s="80"/>
      <c r="F2906" s="80"/>
      <c r="G2906" s="91"/>
      <c r="H2906" s="91"/>
    </row>
    <row r="2907" spans="2:8">
      <c r="B2907" s="80"/>
      <c r="C2907" s="36"/>
      <c r="D2907" s="91"/>
      <c r="E2907" s="80"/>
      <c r="F2907" s="80"/>
      <c r="G2907" s="91"/>
      <c r="H2907" s="91"/>
    </row>
    <row r="2908" spans="2:8">
      <c r="B2908" s="80"/>
      <c r="C2908" s="36"/>
      <c r="D2908" s="91"/>
      <c r="E2908" s="80"/>
      <c r="F2908" s="80"/>
      <c r="G2908" s="91"/>
      <c r="H2908" s="91"/>
    </row>
    <row r="2909" spans="2:8">
      <c r="B2909" s="80"/>
      <c r="C2909" s="36"/>
      <c r="D2909" s="91"/>
      <c r="E2909" s="80"/>
      <c r="F2909" s="80"/>
      <c r="G2909" s="91"/>
      <c r="H2909" s="91"/>
    </row>
    <row r="2910" spans="2:8">
      <c r="B2910" s="80"/>
      <c r="C2910" s="36"/>
      <c r="D2910" s="91"/>
      <c r="E2910" s="80"/>
      <c r="F2910" s="80"/>
      <c r="G2910" s="91"/>
      <c r="H2910" s="91"/>
    </row>
    <row r="2911" spans="2:8">
      <c r="B2911" s="80"/>
      <c r="C2911" s="36"/>
      <c r="D2911" s="91"/>
      <c r="E2911" s="80"/>
      <c r="F2911" s="80"/>
      <c r="G2911" s="91"/>
      <c r="H2911" s="91"/>
    </row>
    <row r="2912" spans="2:8">
      <c r="B2912" s="80"/>
      <c r="C2912" s="36"/>
      <c r="D2912" s="91"/>
      <c r="E2912" s="80"/>
      <c r="F2912" s="80"/>
      <c r="G2912" s="91"/>
      <c r="H2912" s="91"/>
    </row>
    <row r="2913" spans="2:8">
      <c r="B2913" s="80"/>
      <c r="C2913" s="36"/>
      <c r="D2913" s="91"/>
      <c r="E2913" s="80"/>
      <c r="F2913" s="80"/>
      <c r="G2913" s="91"/>
      <c r="H2913" s="91"/>
    </row>
    <row r="2914" spans="2:8">
      <c r="B2914" s="80"/>
      <c r="C2914" s="36"/>
      <c r="D2914" s="91"/>
      <c r="E2914" s="80"/>
      <c r="F2914" s="80"/>
      <c r="G2914" s="91"/>
      <c r="H2914" s="91"/>
    </row>
    <row r="2915" spans="2:8">
      <c r="B2915" s="80"/>
      <c r="C2915" s="36"/>
      <c r="D2915" s="91"/>
      <c r="E2915" s="80"/>
      <c r="F2915" s="80"/>
      <c r="G2915" s="91"/>
      <c r="H2915" s="91"/>
    </row>
    <row r="2916" spans="2:8">
      <c r="B2916" s="80"/>
      <c r="C2916" s="36"/>
      <c r="D2916" s="91"/>
      <c r="E2916" s="80"/>
      <c r="F2916" s="80"/>
      <c r="G2916" s="91"/>
      <c r="H2916" s="91"/>
    </row>
    <row r="2917" spans="2:8">
      <c r="B2917" s="80"/>
      <c r="C2917" s="36"/>
      <c r="D2917" s="91"/>
      <c r="E2917" s="80"/>
      <c r="F2917" s="80"/>
      <c r="G2917" s="91"/>
      <c r="H2917" s="91"/>
    </row>
    <row r="2918" spans="2:8">
      <c r="B2918" s="80"/>
      <c r="C2918" s="36"/>
      <c r="D2918" s="91"/>
      <c r="E2918" s="80"/>
      <c r="F2918" s="80"/>
      <c r="G2918" s="91"/>
      <c r="H2918" s="91"/>
    </row>
    <row r="2919" spans="2:8">
      <c r="B2919" s="80"/>
      <c r="C2919" s="36"/>
      <c r="D2919" s="91"/>
      <c r="E2919" s="80"/>
      <c r="F2919" s="80"/>
      <c r="G2919" s="91"/>
      <c r="H2919" s="91"/>
    </row>
    <row r="2920" spans="2:8">
      <c r="B2920" s="80"/>
      <c r="C2920" s="36"/>
      <c r="D2920" s="91"/>
      <c r="E2920" s="80"/>
      <c r="F2920" s="80"/>
      <c r="G2920" s="91"/>
      <c r="H2920" s="91"/>
    </row>
    <row r="2921" spans="2:8">
      <c r="B2921" s="80"/>
      <c r="C2921" s="36"/>
      <c r="D2921" s="91"/>
      <c r="E2921" s="80"/>
      <c r="F2921" s="80"/>
      <c r="G2921" s="91"/>
      <c r="H2921" s="91"/>
    </row>
    <row r="2922" spans="2:8">
      <c r="B2922" s="80"/>
      <c r="C2922" s="36"/>
      <c r="D2922" s="91"/>
      <c r="E2922" s="80"/>
      <c r="F2922" s="80"/>
      <c r="G2922" s="91"/>
      <c r="H2922" s="91"/>
    </row>
    <row r="2923" spans="2:8">
      <c r="B2923" s="80"/>
      <c r="C2923" s="36"/>
      <c r="D2923" s="91"/>
      <c r="E2923" s="80"/>
      <c r="F2923" s="80"/>
      <c r="G2923" s="91"/>
      <c r="H2923" s="91"/>
    </row>
    <row r="2924" spans="2:8">
      <c r="B2924" s="80"/>
      <c r="C2924" s="36"/>
      <c r="D2924" s="91"/>
      <c r="E2924" s="80"/>
      <c r="F2924" s="80"/>
      <c r="G2924" s="91"/>
      <c r="H2924" s="91"/>
    </row>
    <row r="2925" spans="2:8">
      <c r="B2925" s="80"/>
      <c r="C2925" s="36"/>
      <c r="D2925" s="91"/>
      <c r="E2925" s="80"/>
      <c r="F2925" s="80"/>
      <c r="G2925" s="91"/>
      <c r="H2925" s="91"/>
    </row>
    <row r="2926" spans="2:8">
      <c r="B2926" s="80"/>
      <c r="C2926" s="36"/>
      <c r="D2926" s="91"/>
      <c r="E2926" s="80"/>
      <c r="F2926" s="80"/>
      <c r="G2926" s="91"/>
      <c r="H2926" s="91"/>
    </row>
    <row r="2927" spans="2:8">
      <c r="B2927" s="80"/>
      <c r="C2927" s="36"/>
      <c r="D2927" s="91"/>
      <c r="E2927" s="80"/>
      <c r="F2927" s="80"/>
      <c r="G2927" s="91"/>
      <c r="H2927" s="91"/>
    </row>
    <row r="2928" spans="2:8">
      <c r="B2928" s="80"/>
      <c r="C2928" s="36"/>
      <c r="D2928" s="91"/>
      <c r="E2928" s="80"/>
      <c r="F2928" s="80"/>
      <c r="G2928" s="91"/>
      <c r="H2928" s="91"/>
    </row>
    <row r="2929" spans="2:8">
      <c r="B2929" s="80"/>
      <c r="C2929" s="36"/>
      <c r="D2929" s="91"/>
      <c r="E2929" s="80"/>
      <c r="F2929" s="80"/>
      <c r="G2929" s="91"/>
      <c r="H2929" s="91"/>
    </row>
    <row r="2930" spans="2:8">
      <c r="B2930" s="80"/>
      <c r="C2930" s="36"/>
      <c r="D2930" s="91"/>
      <c r="E2930" s="80"/>
      <c r="F2930" s="80"/>
      <c r="G2930" s="91"/>
      <c r="H2930" s="91"/>
    </row>
    <row r="2931" spans="2:8">
      <c r="B2931" s="80"/>
      <c r="C2931" s="36"/>
      <c r="D2931" s="91"/>
      <c r="E2931" s="80"/>
      <c r="F2931" s="80"/>
      <c r="G2931" s="91"/>
      <c r="H2931" s="91"/>
    </row>
    <row r="2932" spans="2:8">
      <c r="B2932" s="80"/>
      <c r="C2932" s="36"/>
      <c r="D2932" s="91"/>
      <c r="E2932" s="80"/>
      <c r="F2932" s="80"/>
      <c r="G2932" s="91"/>
      <c r="H2932" s="91"/>
    </row>
    <row r="2933" spans="2:8">
      <c r="B2933" s="80"/>
      <c r="C2933" s="36"/>
      <c r="D2933" s="91"/>
      <c r="E2933" s="80"/>
      <c r="F2933" s="80"/>
      <c r="G2933" s="91"/>
      <c r="H2933" s="91"/>
    </row>
    <row r="2934" spans="2:8">
      <c r="B2934" s="80"/>
      <c r="C2934" s="36"/>
      <c r="D2934" s="91"/>
      <c r="E2934" s="80"/>
      <c r="F2934" s="80"/>
      <c r="G2934" s="91"/>
      <c r="H2934" s="91"/>
    </row>
    <row r="2935" spans="2:8">
      <c r="B2935" s="80"/>
      <c r="C2935" s="36"/>
      <c r="D2935" s="91"/>
      <c r="E2935" s="80"/>
      <c r="F2935" s="80"/>
      <c r="G2935" s="91"/>
      <c r="H2935" s="91"/>
    </row>
    <row r="2936" spans="2:8">
      <c r="B2936" s="80"/>
      <c r="C2936" s="36"/>
      <c r="D2936" s="91"/>
      <c r="E2936" s="80"/>
      <c r="F2936" s="80"/>
      <c r="G2936" s="91"/>
      <c r="H2936" s="91"/>
    </row>
    <row r="2937" spans="2:8">
      <c r="B2937" s="80"/>
      <c r="C2937" s="36"/>
      <c r="D2937" s="91"/>
      <c r="E2937" s="80"/>
      <c r="F2937" s="80"/>
      <c r="G2937" s="91"/>
      <c r="H2937" s="91"/>
    </row>
    <row r="2938" spans="2:8">
      <c r="B2938" s="80"/>
      <c r="C2938" s="36"/>
      <c r="D2938" s="91"/>
      <c r="E2938" s="80"/>
      <c r="F2938" s="80"/>
      <c r="G2938" s="91"/>
      <c r="H2938" s="91"/>
    </row>
    <row r="2939" spans="2:8">
      <c r="B2939" s="80"/>
      <c r="C2939" s="36"/>
      <c r="D2939" s="91"/>
      <c r="E2939" s="80"/>
      <c r="F2939" s="80"/>
      <c r="G2939" s="91"/>
      <c r="H2939" s="91"/>
    </row>
    <row r="2940" spans="2:8">
      <c r="B2940" s="80"/>
      <c r="C2940" s="36"/>
      <c r="D2940" s="91"/>
      <c r="E2940" s="80"/>
      <c r="F2940" s="80"/>
      <c r="G2940" s="91"/>
      <c r="H2940" s="91"/>
    </row>
    <row r="2941" spans="2:8">
      <c r="B2941" s="80"/>
      <c r="C2941" s="36"/>
      <c r="D2941" s="91"/>
      <c r="E2941" s="80"/>
      <c r="F2941" s="80"/>
      <c r="G2941" s="91"/>
      <c r="H2941" s="91"/>
    </row>
    <row r="2942" spans="2:8">
      <c r="B2942" s="80"/>
      <c r="C2942" s="36"/>
      <c r="D2942" s="91"/>
      <c r="E2942" s="80"/>
      <c r="F2942" s="80"/>
      <c r="G2942" s="91"/>
      <c r="H2942" s="91"/>
    </row>
    <row r="2943" spans="2:8">
      <c r="B2943" s="80"/>
      <c r="C2943" s="36"/>
      <c r="D2943" s="91"/>
      <c r="E2943" s="80"/>
      <c r="F2943" s="80"/>
      <c r="G2943" s="91"/>
      <c r="H2943" s="91"/>
    </row>
    <row r="2944" spans="2:8">
      <c r="B2944" s="80"/>
      <c r="C2944" s="36"/>
      <c r="D2944" s="91"/>
      <c r="E2944" s="80"/>
      <c r="F2944" s="80"/>
      <c r="G2944" s="91"/>
      <c r="H2944" s="91"/>
    </row>
    <row r="2945" spans="2:8">
      <c r="B2945" s="80"/>
      <c r="C2945" s="36"/>
      <c r="D2945" s="91"/>
      <c r="E2945" s="80"/>
      <c r="F2945" s="80"/>
      <c r="G2945" s="91"/>
      <c r="H2945" s="91"/>
    </row>
    <row r="2946" spans="2:8">
      <c r="B2946" s="80"/>
      <c r="C2946" s="36"/>
      <c r="D2946" s="91"/>
      <c r="E2946" s="80"/>
      <c r="F2946" s="80"/>
      <c r="G2946" s="91"/>
      <c r="H2946" s="91"/>
    </row>
    <row r="2947" spans="2:8">
      <c r="B2947" s="80"/>
      <c r="C2947" s="36"/>
      <c r="D2947" s="91"/>
      <c r="E2947" s="80"/>
      <c r="F2947" s="80"/>
      <c r="G2947" s="91"/>
      <c r="H2947" s="91"/>
    </row>
    <row r="2948" spans="2:8">
      <c r="B2948" s="80"/>
      <c r="C2948" s="36"/>
      <c r="D2948" s="91"/>
      <c r="E2948" s="80"/>
      <c r="F2948" s="80"/>
      <c r="G2948" s="91"/>
      <c r="H2948" s="91"/>
    </row>
    <row r="2949" spans="2:8">
      <c r="B2949" s="80"/>
      <c r="C2949" s="36"/>
      <c r="D2949" s="91"/>
      <c r="E2949" s="80"/>
      <c r="F2949" s="80"/>
      <c r="G2949" s="91"/>
      <c r="H2949" s="91"/>
    </row>
    <row r="2950" spans="2:8">
      <c r="B2950" s="80"/>
      <c r="C2950" s="36"/>
      <c r="D2950" s="91"/>
      <c r="E2950" s="80"/>
      <c r="F2950" s="80"/>
      <c r="G2950" s="91"/>
      <c r="H2950" s="91"/>
    </row>
    <row r="2951" spans="2:8">
      <c r="B2951" s="80"/>
      <c r="C2951" s="36"/>
      <c r="D2951" s="91"/>
      <c r="E2951" s="80"/>
      <c r="F2951" s="80"/>
      <c r="G2951" s="91"/>
      <c r="H2951" s="91"/>
    </row>
    <row r="2952" spans="2:8">
      <c r="B2952" s="80"/>
      <c r="C2952" s="36"/>
      <c r="D2952" s="91"/>
      <c r="E2952" s="80"/>
      <c r="F2952" s="80"/>
      <c r="G2952" s="91"/>
      <c r="H2952" s="91"/>
    </row>
    <row r="2953" spans="2:8">
      <c r="B2953" s="80"/>
      <c r="C2953" s="36"/>
      <c r="D2953" s="91"/>
      <c r="E2953" s="80"/>
      <c r="F2953" s="80"/>
      <c r="G2953" s="91"/>
      <c r="H2953" s="91"/>
    </row>
    <row r="2954" spans="2:8">
      <c r="B2954" s="80"/>
      <c r="C2954" s="36"/>
      <c r="D2954" s="91"/>
      <c r="E2954" s="80"/>
      <c r="F2954" s="80"/>
      <c r="G2954" s="91"/>
      <c r="H2954" s="91"/>
    </row>
    <row r="2955" spans="2:8">
      <c r="B2955" s="80"/>
      <c r="C2955" s="36"/>
      <c r="D2955" s="91"/>
      <c r="E2955" s="80"/>
      <c r="F2955" s="80"/>
      <c r="G2955" s="91"/>
      <c r="H2955" s="91"/>
    </row>
    <row r="2956" spans="2:8">
      <c r="B2956" s="80"/>
      <c r="C2956" s="36"/>
      <c r="D2956" s="91"/>
      <c r="E2956" s="80"/>
      <c r="F2956" s="80"/>
      <c r="G2956" s="91"/>
      <c r="H2956" s="91"/>
    </row>
    <row r="2957" spans="2:8">
      <c r="B2957" s="80"/>
      <c r="C2957" s="36"/>
      <c r="D2957" s="91"/>
      <c r="E2957" s="80"/>
      <c r="F2957" s="80"/>
      <c r="G2957" s="91"/>
      <c r="H2957" s="91"/>
    </row>
    <row r="2958" spans="2:8">
      <c r="B2958" s="80"/>
      <c r="C2958" s="36"/>
      <c r="D2958" s="91"/>
      <c r="E2958" s="80"/>
      <c r="F2958" s="80"/>
      <c r="G2958" s="91"/>
      <c r="H2958" s="91"/>
    </row>
    <row r="2959" spans="2:8">
      <c r="B2959" s="80"/>
      <c r="C2959" s="36"/>
      <c r="D2959" s="91"/>
      <c r="E2959" s="80"/>
      <c r="F2959" s="80"/>
      <c r="G2959" s="91"/>
      <c r="H2959" s="91"/>
    </row>
    <row r="2960" spans="2:8">
      <c r="B2960" s="80"/>
      <c r="C2960" s="36"/>
      <c r="D2960" s="91"/>
      <c r="E2960" s="80"/>
      <c r="F2960" s="80"/>
      <c r="G2960" s="91"/>
      <c r="H2960" s="91"/>
    </row>
    <row r="2961" spans="2:8">
      <c r="B2961" s="80"/>
      <c r="C2961" s="36"/>
      <c r="D2961" s="91"/>
      <c r="E2961" s="80"/>
      <c r="F2961" s="80"/>
      <c r="G2961" s="91"/>
      <c r="H2961" s="91"/>
    </row>
    <row r="2962" spans="2:8">
      <c r="B2962" s="80"/>
      <c r="C2962" s="36"/>
      <c r="D2962" s="91"/>
      <c r="E2962" s="80"/>
      <c r="F2962" s="80"/>
      <c r="G2962" s="91"/>
      <c r="H2962" s="91"/>
    </row>
    <row r="2963" spans="2:8">
      <c r="B2963" s="80"/>
      <c r="C2963" s="36"/>
      <c r="D2963" s="91"/>
      <c r="E2963" s="80"/>
      <c r="F2963" s="80"/>
      <c r="G2963" s="91"/>
      <c r="H2963" s="91"/>
    </row>
    <row r="2964" spans="2:8">
      <c r="B2964" s="80"/>
      <c r="C2964" s="36"/>
      <c r="D2964" s="91"/>
      <c r="E2964" s="80"/>
      <c r="F2964" s="80"/>
      <c r="G2964" s="91"/>
      <c r="H2964" s="91"/>
    </row>
    <row r="2965" spans="2:8">
      <c r="B2965" s="80"/>
      <c r="C2965" s="36"/>
      <c r="D2965" s="91"/>
      <c r="E2965" s="80"/>
      <c r="F2965" s="80"/>
      <c r="G2965" s="91"/>
      <c r="H2965" s="91"/>
    </row>
    <row r="2966" spans="2:8">
      <c r="B2966" s="80"/>
      <c r="C2966" s="36"/>
      <c r="D2966" s="91"/>
      <c r="E2966" s="80"/>
      <c r="F2966" s="80"/>
      <c r="G2966" s="91"/>
      <c r="H2966" s="91"/>
    </row>
    <row r="2967" spans="2:8">
      <c r="B2967" s="80"/>
      <c r="C2967" s="36"/>
      <c r="D2967" s="91"/>
      <c r="E2967" s="80"/>
      <c r="F2967" s="80"/>
      <c r="G2967" s="91"/>
      <c r="H2967" s="91"/>
    </row>
    <row r="2968" spans="2:8">
      <c r="B2968" s="80"/>
      <c r="C2968" s="36"/>
      <c r="D2968" s="91"/>
      <c r="E2968" s="80"/>
      <c r="F2968" s="80"/>
      <c r="G2968" s="91"/>
      <c r="H2968" s="91"/>
    </row>
    <row r="2969" spans="2:8">
      <c r="B2969" s="80"/>
      <c r="C2969" s="36"/>
      <c r="D2969" s="91"/>
      <c r="E2969" s="80"/>
      <c r="F2969" s="80"/>
      <c r="G2969" s="91"/>
      <c r="H2969" s="91"/>
    </row>
    <row r="2970" spans="2:8">
      <c r="B2970" s="80"/>
      <c r="C2970" s="36"/>
      <c r="D2970" s="91"/>
      <c r="E2970" s="80"/>
      <c r="F2970" s="80"/>
      <c r="G2970" s="91"/>
      <c r="H2970" s="91"/>
    </row>
    <row r="2971" spans="2:8">
      <c r="B2971" s="80"/>
      <c r="C2971" s="36"/>
      <c r="D2971" s="91"/>
      <c r="E2971" s="80"/>
      <c r="F2971" s="80"/>
      <c r="G2971" s="91"/>
      <c r="H2971" s="91"/>
    </row>
    <row r="2972" spans="2:8">
      <c r="B2972" s="80"/>
      <c r="C2972" s="36"/>
      <c r="D2972" s="91"/>
      <c r="E2972" s="80"/>
      <c r="F2972" s="80"/>
      <c r="G2972" s="91"/>
      <c r="H2972" s="91"/>
    </row>
    <row r="2973" spans="2:8">
      <c r="B2973" s="80"/>
      <c r="C2973" s="36"/>
      <c r="D2973" s="91"/>
      <c r="E2973" s="80"/>
      <c r="F2973" s="80"/>
      <c r="G2973" s="91"/>
      <c r="H2973" s="91"/>
    </row>
    <row r="2974" spans="2:8">
      <c r="B2974" s="80"/>
      <c r="C2974" s="36"/>
      <c r="D2974" s="91"/>
      <c r="E2974" s="80"/>
      <c r="F2974" s="80"/>
      <c r="G2974" s="91"/>
      <c r="H2974" s="91"/>
    </row>
    <row r="2975" spans="2:8">
      <c r="B2975" s="80"/>
      <c r="C2975" s="36"/>
      <c r="D2975" s="91"/>
      <c r="E2975" s="80"/>
      <c r="F2975" s="80"/>
      <c r="G2975" s="91"/>
      <c r="H2975" s="91"/>
    </row>
    <row r="2976" spans="2:8">
      <c r="B2976" s="80"/>
      <c r="C2976" s="36"/>
      <c r="D2976" s="91"/>
      <c r="E2976" s="80"/>
      <c r="F2976" s="80"/>
      <c r="G2976" s="91"/>
      <c r="H2976" s="91"/>
    </row>
    <row r="2977" spans="2:8">
      <c r="B2977" s="80"/>
      <c r="C2977" s="36"/>
      <c r="D2977" s="91"/>
      <c r="E2977" s="80"/>
      <c r="F2977" s="80"/>
      <c r="G2977" s="91"/>
      <c r="H2977" s="91"/>
    </row>
    <row r="2978" spans="2:8">
      <c r="B2978" s="80"/>
      <c r="C2978" s="36"/>
      <c r="D2978" s="91"/>
      <c r="E2978" s="80"/>
      <c r="F2978" s="80"/>
      <c r="G2978" s="91"/>
      <c r="H2978" s="91"/>
    </row>
    <row r="2979" spans="2:8">
      <c r="B2979" s="80"/>
      <c r="C2979" s="36"/>
      <c r="D2979" s="91"/>
      <c r="E2979" s="80"/>
      <c r="F2979" s="80"/>
      <c r="G2979" s="91"/>
      <c r="H2979" s="91"/>
    </row>
    <row r="2980" spans="2:8">
      <c r="B2980" s="80"/>
      <c r="C2980" s="36"/>
      <c r="D2980" s="91"/>
      <c r="E2980" s="80"/>
      <c r="F2980" s="80"/>
      <c r="G2980" s="91"/>
      <c r="H2980" s="91"/>
    </row>
    <row r="2981" spans="2:8">
      <c r="B2981" s="80"/>
      <c r="C2981" s="36"/>
      <c r="D2981" s="91"/>
      <c r="E2981" s="80"/>
      <c r="F2981" s="80"/>
      <c r="G2981" s="91"/>
      <c r="H2981" s="91"/>
    </row>
    <row r="2982" spans="2:8">
      <c r="B2982" s="80"/>
      <c r="C2982" s="36"/>
      <c r="D2982" s="91"/>
      <c r="E2982" s="80"/>
      <c r="F2982" s="80"/>
      <c r="G2982" s="91"/>
      <c r="H2982" s="91"/>
    </row>
    <row r="2983" spans="2:8">
      <c r="B2983" s="80"/>
      <c r="C2983" s="36"/>
      <c r="D2983" s="91"/>
      <c r="E2983" s="80"/>
      <c r="F2983" s="80"/>
      <c r="G2983" s="91"/>
      <c r="H2983" s="91"/>
    </row>
    <row r="2984" spans="2:8">
      <c r="B2984" s="80"/>
      <c r="C2984" s="36"/>
      <c r="D2984" s="91"/>
      <c r="E2984" s="80"/>
      <c r="F2984" s="80"/>
      <c r="G2984" s="91"/>
      <c r="H2984" s="91"/>
    </row>
    <row r="2985" spans="2:8">
      <c r="B2985" s="80"/>
      <c r="C2985" s="36"/>
      <c r="D2985" s="91"/>
      <c r="E2985" s="80"/>
      <c r="F2985" s="80"/>
      <c r="G2985" s="91"/>
      <c r="H2985" s="91"/>
    </row>
    <row r="2986" spans="2:8">
      <c r="B2986" s="80"/>
      <c r="C2986" s="36"/>
      <c r="D2986" s="91"/>
      <c r="E2986" s="80"/>
      <c r="F2986" s="80"/>
      <c r="G2986" s="91"/>
      <c r="H2986" s="91"/>
    </row>
    <row r="2987" spans="2:8">
      <c r="B2987" s="80"/>
      <c r="C2987" s="36"/>
      <c r="D2987" s="91"/>
      <c r="E2987" s="80"/>
      <c r="F2987" s="80"/>
      <c r="G2987" s="91"/>
      <c r="H2987" s="91"/>
    </row>
    <row r="2988" spans="2:8">
      <c r="B2988" s="80"/>
      <c r="C2988" s="36"/>
      <c r="D2988" s="91"/>
      <c r="E2988" s="80"/>
      <c r="F2988" s="80"/>
      <c r="G2988" s="91"/>
      <c r="H2988" s="91"/>
    </row>
    <row r="2989" spans="2:8">
      <c r="B2989" s="80"/>
      <c r="C2989" s="36"/>
      <c r="D2989" s="91"/>
      <c r="E2989" s="80"/>
      <c r="F2989" s="80"/>
      <c r="G2989" s="91"/>
      <c r="H2989" s="91"/>
    </row>
    <row r="2990" spans="2:8">
      <c r="B2990" s="80"/>
      <c r="C2990" s="36"/>
      <c r="D2990" s="91"/>
      <c r="E2990" s="80"/>
      <c r="F2990" s="80"/>
      <c r="G2990" s="91"/>
      <c r="H2990" s="91"/>
    </row>
    <row r="2991" spans="2:8">
      <c r="B2991" s="80"/>
      <c r="C2991" s="36"/>
      <c r="D2991" s="91"/>
      <c r="E2991" s="80"/>
      <c r="F2991" s="80"/>
      <c r="G2991" s="91"/>
      <c r="H2991" s="91"/>
    </row>
    <row r="2992" spans="2:8">
      <c r="B2992" s="80"/>
      <c r="C2992" s="36"/>
      <c r="D2992" s="91"/>
      <c r="E2992" s="80"/>
      <c r="F2992" s="80"/>
      <c r="G2992" s="91"/>
      <c r="H2992" s="91"/>
    </row>
    <row r="2993" spans="2:8">
      <c r="B2993" s="80"/>
      <c r="C2993" s="36"/>
      <c r="D2993" s="91"/>
      <c r="E2993" s="80"/>
      <c r="F2993" s="80"/>
      <c r="G2993" s="91"/>
      <c r="H2993" s="91"/>
    </row>
    <row r="2994" spans="2:8">
      <c r="B2994" s="80"/>
      <c r="C2994" s="36"/>
      <c r="D2994" s="91"/>
      <c r="E2994" s="80"/>
      <c r="F2994" s="80"/>
      <c r="G2994" s="91"/>
      <c r="H2994" s="91"/>
    </row>
    <row r="2995" spans="2:8">
      <c r="B2995" s="80"/>
      <c r="C2995" s="36"/>
      <c r="D2995" s="91"/>
      <c r="E2995" s="80"/>
      <c r="F2995" s="80"/>
      <c r="G2995" s="91"/>
      <c r="H2995" s="91"/>
    </row>
    <row r="2996" spans="2:8">
      <c r="B2996" s="80"/>
      <c r="C2996" s="36"/>
      <c r="D2996" s="91"/>
      <c r="E2996" s="80"/>
      <c r="F2996" s="80"/>
      <c r="G2996" s="91"/>
      <c r="H2996" s="91"/>
    </row>
    <row r="2997" spans="2:8">
      <c r="B2997" s="80"/>
      <c r="C2997" s="36"/>
      <c r="D2997" s="91"/>
      <c r="E2997" s="80"/>
      <c r="F2997" s="80"/>
      <c r="G2997" s="91"/>
      <c r="H2997" s="91"/>
    </row>
    <row r="2998" spans="2:8">
      <c r="B2998" s="80"/>
      <c r="C2998" s="36"/>
      <c r="D2998" s="91"/>
      <c r="E2998" s="80"/>
      <c r="F2998" s="80"/>
      <c r="G2998" s="91"/>
      <c r="H2998" s="91"/>
    </row>
    <row r="2999" spans="2:8">
      <c r="B2999" s="80"/>
      <c r="C2999" s="36"/>
      <c r="D2999" s="91"/>
      <c r="E2999" s="80"/>
      <c r="F2999" s="80"/>
      <c r="G2999" s="91"/>
      <c r="H2999" s="91"/>
    </row>
    <row r="3000" spans="2:8">
      <c r="B3000" s="80"/>
      <c r="C3000" s="36"/>
      <c r="D3000" s="91"/>
      <c r="E3000" s="80"/>
      <c r="F3000" s="80"/>
      <c r="G3000" s="91"/>
      <c r="H3000" s="91"/>
    </row>
    <row r="3001" spans="2:8">
      <c r="B3001" s="80"/>
      <c r="C3001" s="36"/>
      <c r="D3001" s="91"/>
      <c r="E3001" s="80"/>
      <c r="F3001" s="80"/>
      <c r="G3001" s="91"/>
      <c r="H3001" s="91"/>
    </row>
    <row r="3002" spans="2:8">
      <c r="B3002" s="80"/>
      <c r="C3002" s="36"/>
      <c r="D3002" s="91"/>
      <c r="E3002" s="80"/>
      <c r="F3002" s="80"/>
      <c r="G3002" s="91"/>
      <c r="H3002" s="91"/>
    </row>
    <row r="3003" spans="2:8">
      <c r="B3003" s="80"/>
      <c r="C3003" s="36"/>
      <c r="D3003" s="91"/>
      <c r="E3003" s="80"/>
      <c r="F3003" s="80"/>
      <c r="G3003" s="91"/>
      <c r="H3003" s="91"/>
    </row>
    <row r="3004" spans="2:8">
      <c r="B3004" s="80"/>
      <c r="C3004" s="36"/>
      <c r="D3004" s="91"/>
      <c r="E3004" s="80"/>
      <c r="F3004" s="80"/>
      <c r="G3004" s="91"/>
      <c r="H3004" s="91"/>
    </row>
    <row r="3005" spans="2:8">
      <c r="B3005" s="80"/>
      <c r="C3005" s="36"/>
      <c r="D3005" s="91"/>
      <c r="E3005" s="80"/>
      <c r="F3005" s="80"/>
      <c r="G3005" s="91"/>
      <c r="H3005" s="91"/>
    </row>
    <row r="3006" spans="2:8">
      <c r="B3006" s="80"/>
      <c r="C3006" s="36"/>
      <c r="D3006" s="91"/>
      <c r="E3006" s="80"/>
      <c r="F3006" s="80"/>
      <c r="G3006" s="91"/>
      <c r="H3006" s="91"/>
    </row>
    <row r="3007" spans="2:8">
      <c r="B3007" s="80"/>
      <c r="C3007" s="36"/>
      <c r="D3007" s="91"/>
      <c r="E3007" s="80"/>
      <c r="F3007" s="80"/>
      <c r="G3007" s="91"/>
      <c r="H3007" s="91"/>
    </row>
    <row r="3008" spans="2:8">
      <c r="B3008" s="80"/>
      <c r="C3008" s="36"/>
      <c r="D3008" s="91"/>
      <c r="E3008" s="80"/>
      <c r="F3008" s="80"/>
      <c r="G3008" s="91"/>
      <c r="H3008" s="91"/>
    </row>
    <row r="3009" spans="2:8">
      <c r="B3009" s="80"/>
      <c r="C3009" s="36"/>
      <c r="D3009" s="91"/>
      <c r="E3009" s="80"/>
      <c r="F3009" s="80"/>
      <c r="G3009" s="91"/>
      <c r="H3009" s="91"/>
    </row>
    <row r="3010" spans="2:8">
      <c r="B3010" s="80"/>
      <c r="C3010" s="36"/>
      <c r="D3010" s="91"/>
      <c r="E3010" s="80"/>
      <c r="F3010" s="80"/>
      <c r="G3010" s="91"/>
      <c r="H3010" s="91"/>
    </row>
    <row r="3011" spans="2:8">
      <c r="B3011" s="80"/>
      <c r="C3011" s="36"/>
      <c r="D3011" s="91"/>
      <c r="E3011" s="80"/>
      <c r="F3011" s="80"/>
      <c r="G3011" s="91"/>
      <c r="H3011" s="91"/>
    </row>
    <row r="3012" spans="2:8">
      <c r="B3012" s="80"/>
      <c r="C3012" s="36"/>
      <c r="D3012" s="91"/>
      <c r="E3012" s="80"/>
      <c r="F3012" s="80"/>
      <c r="G3012" s="91"/>
      <c r="H3012" s="91"/>
    </row>
    <row r="3013" spans="2:8">
      <c r="B3013" s="80"/>
      <c r="C3013" s="36"/>
      <c r="D3013" s="91"/>
      <c r="E3013" s="80"/>
      <c r="F3013" s="80"/>
      <c r="G3013" s="91"/>
      <c r="H3013" s="91"/>
    </row>
    <row r="3014" spans="2:8">
      <c r="B3014" s="80"/>
      <c r="C3014" s="36"/>
      <c r="D3014" s="91"/>
      <c r="E3014" s="80"/>
      <c r="F3014" s="80"/>
      <c r="G3014" s="91"/>
      <c r="H3014" s="91"/>
    </row>
    <row r="3015" spans="2:8">
      <c r="B3015" s="80"/>
      <c r="C3015" s="36"/>
      <c r="D3015" s="91"/>
      <c r="E3015" s="80"/>
      <c r="F3015" s="80"/>
      <c r="G3015" s="91"/>
      <c r="H3015" s="91"/>
    </row>
    <row r="3016" spans="2:8">
      <c r="B3016" s="80"/>
      <c r="C3016" s="36"/>
      <c r="D3016" s="91"/>
      <c r="E3016" s="80"/>
      <c r="F3016" s="80"/>
      <c r="G3016" s="91"/>
      <c r="H3016" s="91"/>
    </row>
    <row r="3017" spans="2:8">
      <c r="B3017" s="80"/>
      <c r="C3017" s="36"/>
      <c r="D3017" s="91"/>
      <c r="E3017" s="80"/>
      <c r="F3017" s="80"/>
      <c r="G3017" s="91"/>
      <c r="H3017" s="91"/>
    </row>
    <row r="3018" spans="2:8">
      <c r="B3018" s="80"/>
      <c r="C3018" s="36"/>
      <c r="D3018" s="91"/>
      <c r="E3018" s="80"/>
      <c r="F3018" s="80"/>
      <c r="G3018" s="91"/>
      <c r="H3018" s="91"/>
    </row>
    <row r="3019" spans="2:8">
      <c r="B3019" s="80"/>
      <c r="C3019" s="36"/>
      <c r="D3019" s="91"/>
      <c r="E3019" s="80"/>
      <c r="F3019" s="80"/>
      <c r="G3019" s="91"/>
      <c r="H3019" s="91"/>
    </row>
    <row r="3020" spans="2:8">
      <c r="B3020" s="80"/>
      <c r="C3020" s="36"/>
      <c r="D3020" s="91"/>
      <c r="E3020" s="80"/>
      <c r="F3020" s="80"/>
      <c r="G3020" s="91"/>
      <c r="H3020" s="91"/>
    </row>
    <row r="3021" spans="2:8">
      <c r="B3021" s="80"/>
      <c r="C3021" s="36"/>
      <c r="D3021" s="91"/>
      <c r="E3021" s="80"/>
      <c r="F3021" s="80"/>
      <c r="G3021" s="91"/>
      <c r="H3021" s="91"/>
    </row>
    <row r="3022" spans="2:8">
      <c r="B3022" s="80"/>
      <c r="C3022" s="36"/>
      <c r="D3022" s="91"/>
      <c r="E3022" s="80"/>
      <c r="F3022" s="80"/>
      <c r="G3022" s="91"/>
      <c r="H3022" s="91"/>
    </row>
    <row r="3023" spans="2:8">
      <c r="B3023" s="80"/>
      <c r="C3023" s="36"/>
      <c r="D3023" s="91"/>
      <c r="E3023" s="80"/>
      <c r="F3023" s="80"/>
      <c r="G3023" s="91"/>
      <c r="H3023" s="91"/>
    </row>
    <row r="3024" spans="2:8">
      <c r="B3024" s="80"/>
      <c r="C3024" s="36"/>
      <c r="D3024" s="91"/>
      <c r="E3024" s="80"/>
      <c r="F3024" s="80"/>
      <c r="G3024" s="91"/>
      <c r="H3024" s="91"/>
    </row>
    <row r="3025" spans="2:8">
      <c r="B3025" s="80"/>
      <c r="C3025" s="36"/>
      <c r="D3025" s="91"/>
      <c r="E3025" s="80"/>
      <c r="F3025" s="80"/>
      <c r="G3025" s="91"/>
      <c r="H3025" s="91"/>
    </row>
    <row r="3026" spans="2:8">
      <c r="B3026" s="80"/>
      <c r="C3026" s="36"/>
      <c r="D3026" s="91"/>
      <c r="E3026" s="80"/>
      <c r="F3026" s="80"/>
      <c r="G3026" s="91"/>
      <c r="H3026" s="91"/>
    </row>
    <row r="3027" spans="2:8">
      <c r="B3027" s="80"/>
      <c r="C3027" s="36"/>
      <c r="D3027" s="91"/>
      <c r="E3027" s="80"/>
      <c r="F3027" s="80"/>
      <c r="G3027" s="91"/>
      <c r="H3027" s="91"/>
    </row>
    <row r="3028" spans="2:8">
      <c r="B3028" s="80"/>
      <c r="C3028" s="36"/>
      <c r="D3028" s="91"/>
      <c r="E3028" s="80"/>
      <c r="F3028" s="80"/>
      <c r="G3028" s="91"/>
      <c r="H3028" s="91"/>
    </row>
    <row r="3029" spans="2:8">
      <c r="B3029" s="80"/>
      <c r="C3029" s="36"/>
      <c r="D3029" s="91"/>
      <c r="E3029" s="80"/>
      <c r="F3029" s="80"/>
      <c r="G3029" s="91"/>
      <c r="H3029" s="91"/>
    </row>
    <row r="3030" spans="2:8">
      <c r="B3030" s="80"/>
      <c r="C3030" s="36"/>
      <c r="D3030" s="91"/>
      <c r="E3030" s="80"/>
      <c r="F3030" s="80"/>
      <c r="G3030" s="91"/>
      <c r="H3030" s="91"/>
    </row>
    <row r="3031" spans="2:8">
      <c r="B3031" s="80"/>
      <c r="C3031" s="36"/>
      <c r="D3031" s="91"/>
      <c r="E3031" s="80"/>
      <c r="F3031" s="80"/>
      <c r="G3031" s="91"/>
      <c r="H3031" s="91"/>
    </row>
    <row r="3032" spans="2:8">
      <c r="B3032" s="80"/>
      <c r="C3032" s="36"/>
      <c r="D3032" s="91"/>
      <c r="E3032" s="80"/>
      <c r="F3032" s="80"/>
      <c r="G3032" s="91"/>
      <c r="H3032" s="91"/>
    </row>
    <row r="3033" spans="2:8">
      <c r="B3033" s="80"/>
      <c r="C3033" s="36"/>
      <c r="D3033" s="91"/>
      <c r="E3033" s="80"/>
      <c r="F3033" s="80"/>
      <c r="G3033" s="91"/>
      <c r="H3033" s="91"/>
    </row>
    <row r="3034" spans="2:8">
      <c r="B3034" s="80"/>
      <c r="C3034" s="36"/>
      <c r="D3034" s="91"/>
      <c r="E3034" s="80"/>
      <c r="F3034" s="80"/>
      <c r="G3034" s="91"/>
      <c r="H3034" s="91"/>
    </row>
    <row r="3035" spans="2:8">
      <c r="B3035" s="80"/>
      <c r="C3035" s="36"/>
      <c r="D3035" s="91"/>
      <c r="E3035" s="80"/>
      <c r="F3035" s="80"/>
      <c r="G3035" s="91"/>
      <c r="H3035" s="91"/>
    </row>
    <row r="3036" spans="2:8">
      <c r="B3036" s="80"/>
      <c r="C3036" s="36"/>
      <c r="D3036" s="91"/>
      <c r="E3036" s="80"/>
      <c r="F3036" s="80"/>
      <c r="G3036" s="91"/>
      <c r="H3036" s="91"/>
    </row>
    <row r="3037" spans="2:8">
      <c r="B3037" s="80"/>
      <c r="C3037" s="36"/>
      <c r="D3037" s="91"/>
      <c r="E3037" s="80"/>
      <c r="F3037" s="80"/>
      <c r="G3037" s="91"/>
      <c r="H3037" s="91"/>
    </row>
    <row r="3038" spans="2:8">
      <c r="B3038" s="80"/>
      <c r="C3038" s="36"/>
      <c r="D3038" s="91"/>
      <c r="E3038" s="80"/>
      <c r="F3038" s="80"/>
      <c r="G3038" s="91"/>
      <c r="H3038" s="91"/>
    </row>
    <row r="3039" spans="2:8">
      <c r="B3039" s="80"/>
      <c r="C3039" s="36"/>
      <c r="D3039" s="91"/>
      <c r="E3039" s="80"/>
      <c r="F3039" s="80"/>
      <c r="G3039" s="91"/>
      <c r="H3039" s="91"/>
    </row>
    <row r="3040" spans="2:8">
      <c r="B3040" s="80"/>
      <c r="C3040" s="36"/>
      <c r="D3040" s="91"/>
      <c r="E3040" s="80"/>
      <c r="F3040" s="80"/>
      <c r="G3040" s="91"/>
      <c r="H3040" s="91"/>
    </row>
    <row r="3041" spans="2:8">
      <c r="B3041" s="80"/>
      <c r="C3041" s="36"/>
      <c r="D3041" s="91"/>
      <c r="E3041" s="80"/>
      <c r="F3041" s="80"/>
      <c r="G3041" s="91"/>
      <c r="H3041" s="91"/>
    </row>
    <row r="3042" spans="2:8">
      <c r="B3042" s="80"/>
      <c r="C3042" s="36"/>
      <c r="D3042" s="91"/>
      <c r="E3042" s="80"/>
      <c r="F3042" s="80"/>
      <c r="G3042" s="91"/>
      <c r="H3042" s="91"/>
    </row>
    <row r="3043" spans="2:8">
      <c r="B3043" s="80"/>
      <c r="C3043" s="36"/>
      <c r="D3043" s="91"/>
      <c r="E3043" s="80"/>
      <c r="F3043" s="80"/>
      <c r="G3043" s="91"/>
      <c r="H3043" s="91"/>
    </row>
    <row r="3044" spans="2:8">
      <c r="B3044" s="80"/>
      <c r="C3044" s="36"/>
      <c r="D3044" s="91"/>
      <c r="E3044" s="80"/>
      <c r="F3044" s="80"/>
      <c r="G3044" s="91"/>
      <c r="H3044" s="91"/>
    </row>
    <row r="3045" spans="2:8">
      <c r="B3045" s="80"/>
      <c r="C3045" s="36"/>
      <c r="D3045" s="91"/>
      <c r="E3045" s="80"/>
      <c r="F3045" s="80"/>
      <c r="G3045" s="91"/>
      <c r="H3045" s="91"/>
    </row>
    <row r="3046" spans="2:8">
      <c r="B3046" s="80"/>
      <c r="C3046" s="36"/>
      <c r="D3046" s="91"/>
      <c r="E3046" s="80"/>
      <c r="F3046" s="80"/>
      <c r="G3046" s="91"/>
      <c r="H3046" s="91"/>
    </row>
    <row r="3047" spans="2:8">
      <c r="B3047" s="80"/>
      <c r="C3047" s="36"/>
      <c r="D3047" s="91"/>
      <c r="E3047" s="80"/>
      <c r="F3047" s="80"/>
      <c r="G3047" s="91"/>
      <c r="H3047" s="91"/>
    </row>
    <row r="3048" spans="2:8">
      <c r="B3048" s="80"/>
      <c r="C3048" s="36"/>
      <c r="D3048" s="91"/>
      <c r="E3048" s="80"/>
      <c r="F3048" s="80"/>
      <c r="G3048" s="91"/>
      <c r="H3048" s="91"/>
    </row>
    <row r="3049" spans="2:8">
      <c r="B3049" s="80"/>
      <c r="C3049" s="36"/>
      <c r="D3049" s="91"/>
      <c r="E3049" s="80"/>
      <c r="F3049" s="80"/>
      <c r="G3049" s="91"/>
      <c r="H3049" s="91"/>
    </row>
    <row r="3050" spans="2:8">
      <c r="B3050" s="80"/>
      <c r="C3050" s="36"/>
      <c r="D3050" s="91"/>
      <c r="E3050" s="80"/>
      <c r="F3050" s="80"/>
      <c r="G3050" s="91"/>
      <c r="H3050" s="91"/>
    </row>
    <row r="3051" spans="2:8">
      <c r="B3051" s="80"/>
      <c r="C3051" s="36"/>
      <c r="D3051" s="91"/>
      <c r="E3051" s="80"/>
      <c r="F3051" s="80"/>
      <c r="G3051" s="91"/>
      <c r="H3051" s="91"/>
    </row>
    <row r="3052" spans="2:8">
      <c r="B3052" s="80"/>
      <c r="C3052" s="36"/>
      <c r="D3052" s="91"/>
      <c r="E3052" s="80"/>
      <c r="F3052" s="80"/>
      <c r="G3052" s="91"/>
      <c r="H3052" s="91"/>
    </row>
    <row r="3053" spans="2:8">
      <c r="B3053" s="80"/>
      <c r="C3053" s="36"/>
      <c r="D3053" s="91"/>
      <c r="E3053" s="80"/>
      <c r="F3053" s="80"/>
      <c r="G3053" s="91"/>
      <c r="H3053" s="91"/>
    </row>
    <row r="3054" spans="2:8">
      <c r="B3054" s="80"/>
      <c r="C3054" s="36"/>
      <c r="D3054" s="91"/>
      <c r="E3054" s="80"/>
      <c r="F3054" s="80"/>
      <c r="G3054" s="91"/>
      <c r="H3054" s="91"/>
    </row>
    <row r="3055" spans="2:8">
      <c r="B3055" s="80"/>
      <c r="C3055" s="36"/>
      <c r="D3055" s="91"/>
      <c r="E3055" s="80"/>
      <c r="F3055" s="80"/>
      <c r="G3055" s="91"/>
      <c r="H3055" s="91"/>
    </row>
    <row r="3056" spans="2:8">
      <c r="B3056" s="80"/>
      <c r="C3056" s="36"/>
      <c r="D3056" s="91"/>
      <c r="E3056" s="80"/>
      <c r="F3056" s="80"/>
      <c r="G3056" s="91"/>
      <c r="H3056" s="91"/>
    </row>
    <row r="3057" spans="2:8">
      <c r="B3057" s="80"/>
      <c r="C3057" s="36"/>
      <c r="D3057" s="91"/>
      <c r="E3057" s="80"/>
      <c r="F3057" s="80"/>
      <c r="G3057" s="91"/>
      <c r="H3057" s="91"/>
    </row>
    <row r="3058" spans="2:8">
      <c r="B3058" s="80"/>
      <c r="C3058" s="36"/>
      <c r="D3058" s="91"/>
      <c r="E3058" s="80"/>
      <c r="F3058" s="80"/>
      <c r="G3058" s="91"/>
      <c r="H3058" s="91"/>
    </row>
    <row r="3059" spans="2:8">
      <c r="B3059" s="80"/>
      <c r="C3059" s="36"/>
      <c r="D3059" s="91"/>
      <c r="E3059" s="80"/>
      <c r="F3059" s="80"/>
      <c r="G3059" s="91"/>
      <c r="H3059" s="91"/>
    </row>
    <row r="3060" spans="2:8">
      <c r="B3060" s="80"/>
      <c r="C3060" s="36"/>
      <c r="D3060" s="91"/>
      <c r="E3060" s="80"/>
      <c r="F3060" s="80"/>
      <c r="G3060" s="91"/>
      <c r="H3060" s="91"/>
    </row>
    <row r="3061" spans="2:8">
      <c r="B3061" s="80"/>
      <c r="C3061" s="36"/>
      <c r="D3061" s="91"/>
      <c r="E3061" s="80"/>
      <c r="F3061" s="80"/>
      <c r="G3061" s="91"/>
      <c r="H3061" s="91"/>
    </row>
    <row r="3062" spans="2:8">
      <c r="B3062" s="80"/>
      <c r="C3062" s="36"/>
      <c r="D3062" s="91"/>
      <c r="E3062" s="80"/>
      <c r="F3062" s="80"/>
      <c r="G3062" s="91"/>
      <c r="H3062" s="91"/>
    </row>
    <row r="3063" spans="2:8">
      <c r="B3063" s="80"/>
      <c r="C3063" s="36"/>
      <c r="D3063" s="91"/>
      <c r="E3063" s="80"/>
      <c r="F3063" s="80"/>
      <c r="G3063" s="91"/>
      <c r="H3063" s="91"/>
    </row>
    <row r="3064" spans="2:8">
      <c r="B3064" s="80"/>
      <c r="C3064" s="36"/>
      <c r="D3064" s="91"/>
      <c r="E3064" s="80"/>
      <c r="F3064" s="80"/>
      <c r="G3064" s="91"/>
      <c r="H3064" s="91"/>
    </row>
    <row r="3065" spans="2:8">
      <c r="B3065" s="80"/>
      <c r="C3065" s="36"/>
      <c r="D3065" s="91"/>
      <c r="E3065" s="80"/>
      <c r="F3065" s="80"/>
      <c r="G3065" s="91"/>
      <c r="H3065" s="91"/>
    </row>
    <row r="3066" spans="2:8">
      <c r="B3066" s="80"/>
      <c r="C3066" s="36"/>
      <c r="D3066" s="91"/>
      <c r="E3066" s="80"/>
      <c r="F3066" s="80"/>
      <c r="G3066" s="91"/>
      <c r="H3066" s="91"/>
    </row>
    <row r="3067" spans="2:8">
      <c r="B3067" s="80"/>
      <c r="C3067" s="36"/>
      <c r="D3067" s="91"/>
      <c r="E3067" s="80"/>
      <c r="F3067" s="80"/>
      <c r="G3067" s="91"/>
      <c r="H3067" s="91"/>
    </row>
    <row r="3068" spans="2:8">
      <c r="B3068" s="80"/>
      <c r="C3068" s="36"/>
      <c r="D3068" s="91"/>
      <c r="E3068" s="80"/>
      <c r="F3068" s="80"/>
      <c r="G3068" s="91"/>
      <c r="H3068" s="91"/>
    </row>
    <row r="3069" spans="2:8">
      <c r="B3069" s="80"/>
      <c r="C3069" s="36"/>
      <c r="D3069" s="91"/>
      <c r="E3069" s="80"/>
      <c r="F3069" s="80"/>
      <c r="G3069" s="91"/>
      <c r="H3069" s="91"/>
    </row>
    <row r="3070" spans="2:8">
      <c r="B3070" s="80"/>
      <c r="C3070" s="36"/>
      <c r="D3070" s="91"/>
      <c r="E3070" s="80"/>
      <c r="F3070" s="80"/>
      <c r="G3070" s="91"/>
      <c r="H3070" s="91"/>
    </row>
    <row r="3071" spans="2:8">
      <c r="B3071" s="80"/>
      <c r="C3071" s="36"/>
      <c r="D3071" s="91"/>
      <c r="E3071" s="80"/>
      <c r="F3071" s="80"/>
      <c r="G3071" s="91"/>
      <c r="H3071" s="91"/>
    </row>
    <row r="3072" spans="2:8">
      <c r="B3072" s="80"/>
      <c r="C3072" s="36"/>
      <c r="D3072" s="91"/>
      <c r="E3072" s="80"/>
      <c r="F3072" s="80"/>
      <c r="G3072" s="91"/>
      <c r="H3072" s="91"/>
    </row>
    <row r="3073" spans="2:8">
      <c r="B3073" s="80"/>
      <c r="C3073" s="36"/>
      <c r="D3073" s="91"/>
      <c r="E3073" s="80"/>
      <c r="F3073" s="80"/>
      <c r="G3073" s="91"/>
      <c r="H3073" s="91"/>
    </row>
    <row r="3074" spans="2:8">
      <c r="B3074" s="80"/>
      <c r="C3074" s="36"/>
      <c r="D3074" s="91"/>
      <c r="E3074" s="80"/>
      <c r="F3074" s="80"/>
      <c r="G3074" s="91"/>
      <c r="H3074" s="91"/>
    </row>
    <row r="3075" spans="2:8">
      <c r="B3075" s="80"/>
      <c r="C3075" s="36"/>
      <c r="D3075" s="91"/>
      <c r="E3075" s="80"/>
      <c r="F3075" s="80"/>
      <c r="G3075" s="91"/>
      <c r="H3075" s="91"/>
    </row>
    <row r="3076" spans="2:8">
      <c r="B3076" s="80"/>
      <c r="C3076" s="36"/>
      <c r="D3076" s="91"/>
      <c r="E3076" s="80"/>
      <c r="F3076" s="80"/>
      <c r="G3076" s="91"/>
      <c r="H3076" s="91"/>
    </row>
    <row r="3077" spans="2:8">
      <c r="B3077" s="80"/>
      <c r="C3077" s="36"/>
      <c r="D3077" s="91"/>
      <c r="E3077" s="80"/>
      <c r="F3077" s="80"/>
      <c r="G3077" s="91"/>
      <c r="H3077" s="91"/>
    </row>
    <row r="3078" spans="2:8">
      <c r="B3078" s="80"/>
      <c r="C3078" s="36"/>
      <c r="D3078" s="91"/>
      <c r="E3078" s="80"/>
      <c r="F3078" s="80"/>
      <c r="G3078" s="91"/>
      <c r="H3078" s="91"/>
    </row>
    <row r="3079" spans="2:8">
      <c r="B3079" s="80"/>
      <c r="C3079" s="36"/>
      <c r="D3079" s="91"/>
      <c r="E3079" s="80"/>
      <c r="F3079" s="80"/>
      <c r="G3079" s="91"/>
      <c r="H3079" s="91"/>
    </row>
    <row r="3080" spans="2:8">
      <c r="B3080" s="80"/>
      <c r="C3080" s="36"/>
      <c r="D3080" s="91"/>
      <c r="E3080" s="80"/>
      <c r="F3080" s="80"/>
      <c r="G3080" s="91"/>
      <c r="H3080" s="91"/>
    </row>
    <row r="3081" spans="2:8">
      <c r="B3081" s="80"/>
      <c r="C3081" s="36"/>
      <c r="D3081" s="91"/>
      <c r="E3081" s="80"/>
      <c r="F3081" s="80"/>
      <c r="G3081" s="91"/>
      <c r="H3081" s="91"/>
    </row>
    <row r="3082" spans="2:8">
      <c r="B3082" s="80"/>
      <c r="C3082" s="36"/>
      <c r="D3082" s="91"/>
      <c r="E3082" s="80"/>
      <c r="F3082" s="80"/>
      <c r="G3082" s="91"/>
      <c r="H3082" s="91"/>
    </row>
    <row r="3083" spans="2:8">
      <c r="B3083" s="80"/>
      <c r="C3083" s="36"/>
      <c r="D3083" s="91"/>
      <c r="E3083" s="80"/>
      <c r="F3083" s="80"/>
      <c r="G3083" s="91"/>
      <c r="H3083" s="91"/>
    </row>
    <row r="3084" spans="2:8">
      <c r="B3084" s="80"/>
      <c r="C3084" s="36"/>
      <c r="D3084" s="91"/>
      <c r="E3084" s="80"/>
      <c r="F3084" s="80"/>
      <c r="G3084" s="91"/>
      <c r="H3084" s="91"/>
    </row>
    <row r="3085" spans="2:8">
      <c r="B3085" s="80"/>
      <c r="C3085" s="36"/>
      <c r="D3085" s="91"/>
      <c r="E3085" s="80"/>
      <c r="F3085" s="80"/>
      <c r="G3085" s="91"/>
      <c r="H3085" s="91"/>
    </row>
    <row r="3086" spans="2:8">
      <c r="B3086" s="80"/>
      <c r="C3086" s="36"/>
      <c r="D3086" s="91"/>
      <c r="E3086" s="80"/>
      <c r="F3086" s="80"/>
      <c r="G3086" s="91"/>
      <c r="H3086" s="91"/>
    </row>
    <row r="3087" spans="2:8">
      <c r="B3087" s="80"/>
      <c r="C3087" s="36"/>
      <c r="D3087" s="91"/>
      <c r="E3087" s="80"/>
      <c r="F3087" s="80"/>
      <c r="G3087" s="91"/>
      <c r="H3087" s="91"/>
    </row>
    <row r="3088" spans="2:8">
      <c r="B3088" s="80"/>
      <c r="C3088" s="36"/>
      <c r="D3088" s="91"/>
      <c r="E3088" s="80"/>
      <c r="F3088" s="80"/>
      <c r="G3088" s="91"/>
      <c r="H3088" s="91"/>
    </row>
    <row r="3089" spans="2:8">
      <c r="B3089" s="80"/>
      <c r="C3089" s="36"/>
      <c r="D3089" s="91"/>
      <c r="E3089" s="80"/>
      <c r="F3089" s="80"/>
      <c r="G3089" s="91"/>
      <c r="H3089" s="91"/>
    </row>
    <row r="3090" spans="2:8">
      <c r="B3090" s="80"/>
      <c r="C3090" s="36"/>
      <c r="D3090" s="91"/>
      <c r="E3090" s="80"/>
      <c r="F3090" s="80"/>
      <c r="G3090" s="91"/>
      <c r="H3090" s="91"/>
    </row>
    <row r="3091" spans="2:8">
      <c r="B3091" s="80"/>
      <c r="C3091" s="36"/>
      <c r="D3091" s="91"/>
      <c r="E3091" s="80"/>
      <c r="F3091" s="80"/>
      <c r="G3091" s="91"/>
      <c r="H3091" s="91"/>
    </row>
    <row r="3092" spans="2:8">
      <c r="B3092" s="80"/>
      <c r="C3092" s="36"/>
      <c r="D3092" s="91"/>
      <c r="E3092" s="80"/>
      <c r="F3092" s="80"/>
      <c r="G3092" s="91"/>
      <c r="H3092" s="91"/>
    </row>
    <row r="3093" spans="2:8">
      <c r="B3093" s="80"/>
      <c r="C3093" s="36"/>
      <c r="D3093" s="91"/>
      <c r="E3093" s="80"/>
      <c r="F3093" s="80"/>
      <c r="G3093" s="91"/>
      <c r="H3093" s="91"/>
    </row>
    <row r="3094" spans="2:8">
      <c r="B3094" s="80"/>
      <c r="C3094" s="36"/>
      <c r="D3094" s="91"/>
      <c r="E3094" s="80"/>
      <c r="F3094" s="80"/>
      <c r="G3094" s="91"/>
      <c r="H3094" s="91"/>
    </row>
    <row r="3095" spans="2:8">
      <c r="B3095" s="80"/>
      <c r="C3095" s="36"/>
      <c r="D3095" s="91"/>
      <c r="E3095" s="80"/>
      <c r="F3095" s="80"/>
      <c r="G3095" s="91"/>
      <c r="H3095" s="91"/>
    </row>
    <row r="3096" spans="2:8">
      <c r="B3096" s="80"/>
      <c r="C3096" s="36"/>
      <c r="D3096" s="91"/>
      <c r="E3096" s="80"/>
      <c r="F3096" s="80"/>
      <c r="G3096" s="91"/>
      <c r="H3096" s="91"/>
    </row>
    <row r="3097" spans="2:8">
      <c r="B3097" s="80"/>
      <c r="C3097" s="36"/>
      <c r="D3097" s="91"/>
      <c r="E3097" s="80"/>
      <c r="F3097" s="80"/>
      <c r="G3097" s="91"/>
      <c r="H3097" s="91"/>
    </row>
    <row r="3098" spans="2:8">
      <c r="B3098" s="80"/>
      <c r="C3098" s="36"/>
      <c r="D3098" s="91"/>
      <c r="E3098" s="80"/>
      <c r="F3098" s="80"/>
      <c r="G3098" s="91"/>
      <c r="H3098" s="91"/>
    </row>
    <row r="3099" spans="2:8">
      <c r="B3099" s="80"/>
      <c r="C3099" s="36"/>
      <c r="D3099" s="91"/>
      <c r="E3099" s="80"/>
      <c r="F3099" s="80"/>
      <c r="G3099" s="91"/>
      <c r="H3099" s="91"/>
    </row>
    <row r="3100" spans="2:8">
      <c r="B3100" s="80"/>
      <c r="C3100" s="36"/>
      <c r="D3100" s="91"/>
      <c r="E3100" s="80"/>
      <c r="F3100" s="80"/>
      <c r="G3100" s="91"/>
      <c r="H3100" s="91"/>
    </row>
    <row r="3101" spans="2:8">
      <c r="B3101" s="80"/>
      <c r="C3101" s="36"/>
      <c r="D3101" s="91"/>
      <c r="E3101" s="80"/>
      <c r="F3101" s="80"/>
      <c r="G3101" s="91"/>
      <c r="H3101" s="91"/>
    </row>
    <row r="3102" spans="2:8">
      <c r="B3102" s="80"/>
      <c r="C3102" s="36"/>
      <c r="D3102" s="91"/>
      <c r="E3102" s="80"/>
      <c r="F3102" s="80"/>
      <c r="G3102" s="91"/>
      <c r="H3102" s="91"/>
    </row>
    <row r="3103" spans="2:8">
      <c r="B3103" s="80"/>
      <c r="C3103" s="36"/>
      <c r="D3103" s="91"/>
      <c r="E3103" s="80"/>
      <c r="F3103" s="80"/>
      <c r="G3103" s="91"/>
      <c r="H3103" s="91"/>
    </row>
    <row r="3104" spans="2:8">
      <c r="B3104" s="80"/>
      <c r="C3104" s="36"/>
      <c r="D3104" s="91"/>
      <c r="E3104" s="80"/>
      <c r="F3104" s="80"/>
      <c r="G3104" s="91"/>
      <c r="H3104" s="91"/>
    </row>
    <row r="3105" spans="2:8">
      <c r="B3105" s="80"/>
      <c r="C3105" s="36"/>
      <c r="D3105" s="91"/>
      <c r="E3105" s="80"/>
      <c r="F3105" s="80"/>
      <c r="G3105" s="91"/>
      <c r="H3105" s="91"/>
    </row>
    <row r="3106" spans="2:8">
      <c r="B3106" s="80"/>
      <c r="C3106" s="36"/>
      <c r="D3106" s="91"/>
      <c r="E3106" s="80"/>
      <c r="F3106" s="80"/>
      <c r="G3106" s="91"/>
      <c r="H3106" s="91"/>
    </row>
    <row r="3107" spans="2:8">
      <c r="B3107" s="80"/>
      <c r="C3107" s="36"/>
      <c r="D3107" s="91"/>
      <c r="E3107" s="80"/>
      <c r="F3107" s="80"/>
      <c r="G3107" s="91"/>
      <c r="H3107" s="91"/>
    </row>
    <row r="3108" spans="2:8">
      <c r="B3108" s="80"/>
      <c r="C3108" s="36"/>
      <c r="D3108" s="91"/>
      <c r="E3108" s="80"/>
      <c r="F3108" s="80"/>
      <c r="G3108" s="91"/>
      <c r="H3108" s="91"/>
    </row>
    <row r="3109" spans="2:8">
      <c r="B3109" s="80"/>
      <c r="C3109" s="36"/>
      <c r="D3109" s="91"/>
      <c r="E3109" s="80"/>
      <c r="F3109" s="80"/>
      <c r="G3109" s="91"/>
      <c r="H3109" s="91"/>
    </row>
    <row r="3110" spans="2:8">
      <c r="B3110" s="80"/>
      <c r="C3110" s="36"/>
      <c r="D3110" s="91"/>
      <c r="E3110" s="80"/>
      <c r="F3110" s="80"/>
      <c r="G3110" s="91"/>
      <c r="H3110" s="91"/>
    </row>
    <row r="3111" spans="2:8">
      <c r="B3111" s="80"/>
      <c r="C3111" s="36"/>
      <c r="D3111" s="91"/>
      <c r="E3111" s="80"/>
      <c r="F3111" s="80"/>
      <c r="G3111" s="91"/>
      <c r="H3111" s="91"/>
    </row>
    <row r="3112" spans="2:8">
      <c r="B3112" s="80"/>
      <c r="C3112" s="36"/>
      <c r="D3112" s="91"/>
      <c r="E3112" s="80"/>
      <c r="F3112" s="80"/>
      <c r="G3112" s="91"/>
      <c r="H3112" s="91"/>
    </row>
    <row r="3113" spans="2:8">
      <c r="B3113" s="80"/>
      <c r="C3113" s="36"/>
      <c r="D3113" s="91"/>
      <c r="E3113" s="80"/>
      <c r="F3113" s="80"/>
      <c r="G3113" s="91"/>
      <c r="H3113" s="91"/>
    </row>
    <row r="3114" spans="2:8">
      <c r="B3114" s="80"/>
      <c r="C3114" s="36"/>
      <c r="D3114" s="91"/>
      <c r="E3114" s="80"/>
      <c r="F3114" s="80"/>
      <c r="G3114" s="91"/>
      <c r="H3114" s="91"/>
    </row>
    <row r="3115" spans="2:8">
      <c r="B3115" s="80"/>
      <c r="C3115" s="36"/>
      <c r="D3115" s="91"/>
      <c r="E3115" s="80"/>
      <c r="F3115" s="80"/>
      <c r="G3115" s="91"/>
      <c r="H3115" s="91"/>
    </row>
    <row r="3116" spans="2:8">
      <c r="B3116" s="80"/>
      <c r="C3116" s="36"/>
      <c r="D3116" s="91"/>
      <c r="E3116" s="80"/>
      <c r="F3116" s="80"/>
      <c r="G3116" s="91"/>
      <c r="H3116" s="91"/>
    </row>
    <row r="3117" spans="2:8">
      <c r="B3117" s="80"/>
      <c r="C3117" s="36"/>
      <c r="D3117" s="91"/>
      <c r="E3117" s="80"/>
      <c r="F3117" s="80"/>
      <c r="G3117" s="91"/>
      <c r="H3117" s="91"/>
    </row>
    <row r="3118" spans="2:8">
      <c r="B3118" s="80"/>
      <c r="C3118" s="36"/>
      <c r="D3118" s="91"/>
      <c r="E3118" s="80"/>
      <c r="F3118" s="80"/>
      <c r="G3118" s="91"/>
      <c r="H3118" s="91"/>
    </row>
    <row r="3119" spans="2:8">
      <c r="B3119" s="80"/>
      <c r="C3119" s="36"/>
      <c r="D3119" s="91"/>
      <c r="E3119" s="80"/>
      <c r="F3119" s="80"/>
      <c r="G3119" s="91"/>
      <c r="H3119" s="91"/>
    </row>
    <row r="3120" spans="2:8">
      <c r="B3120" s="80"/>
      <c r="C3120" s="36"/>
      <c r="D3120" s="91"/>
      <c r="E3120" s="80"/>
      <c r="F3120" s="80"/>
      <c r="G3120" s="91"/>
      <c r="H3120" s="91"/>
    </row>
    <row r="3121" spans="2:8">
      <c r="B3121" s="80"/>
      <c r="C3121" s="36"/>
      <c r="D3121" s="91"/>
      <c r="E3121" s="80"/>
      <c r="F3121" s="80"/>
      <c r="G3121" s="91"/>
      <c r="H3121" s="91"/>
    </row>
    <row r="3122" spans="2:8">
      <c r="B3122" s="80"/>
      <c r="C3122" s="36"/>
      <c r="D3122" s="91"/>
      <c r="E3122" s="80"/>
      <c r="F3122" s="80"/>
      <c r="G3122" s="91"/>
      <c r="H3122" s="91"/>
    </row>
    <row r="3123" spans="2:8">
      <c r="B3123" s="80"/>
      <c r="C3123" s="36"/>
      <c r="D3123" s="91"/>
      <c r="E3123" s="80"/>
      <c r="F3123" s="80"/>
      <c r="G3123" s="91"/>
      <c r="H3123" s="91"/>
    </row>
    <row r="3124" spans="2:8">
      <c r="B3124" s="80"/>
      <c r="C3124" s="36"/>
      <c r="D3124" s="91"/>
      <c r="E3124" s="80"/>
      <c r="F3124" s="80"/>
      <c r="G3124" s="91"/>
      <c r="H3124" s="91"/>
    </row>
    <row r="3125" spans="2:8">
      <c r="B3125" s="80"/>
      <c r="C3125" s="36"/>
      <c r="D3125" s="91"/>
      <c r="E3125" s="80"/>
      <c r="F3125" s="80"/>
      <c r="G3125" s="91"/>
      <c r="H3125" s="91"/>
    </row>
    <row r="3126" spans="2:8">
      <c r="B3126" s="80"/>
      <c r="C3126" s="36"/>
      <c r="D3126" s="91"/>
      <c r="E3126" s="80"/>
      <c r="F3126" s="80"/>
      <c r="G3126" s="91"/>
      <c r="H3126" s="91"/>
    </row>
    <row r="3127" spans="2:8">
      <c r="B3127" s="80"/>
      <c r="C3127" s="36"/>
      <c r="D3127" s="91"/>
      <c r="E3127" s="80"/>
      <c r="F3127" s="80"/>
      <c r="G3127" s="91"/>
      <c r="H3127" s="91"/>
    </row>
    <row r="3128" spans="2:8">
      <c r="B3128" s="80"/>
      <c r="C3128" s="36"/>
      <c r="D3128" s="91"/>
      <c r="E3128" s="80"/>
      <c r="F3128" s="80"/>
      <c r="G3128" s="91"/>
      <c r="H3128" s="91"/>
    </row>
    <row r="3129" spans="2:8">
      <c r="B3129" s="80"/>
      <c r="C3129" s="36"/>
      <c r="D3129" s="91"/>
      <c r="E3129" s="80"/>
      <c r="F3129" s="80"/>
      <c r="G3129" s="91"/>
      <c r="H3129" s="91"/>
    </row>
    <row r="3130" spans="2:8">
      <c r="B3130" s="80"/>
      <c r="C3130" s="36"/>
      <c r="D3130" s="91"/>
      <c r="E3130" s="80"/>
      <c r="F3130" s="80"/>
      <c r="G3130" s="91"/>
      <c r="H3130" s="91"/>
    </row>
    <row r="3131" spans="2:8">
      <c r="B3131" s="80"/>
      <c r="C3131" s="36"/>
      <c r="D3131" s="91"/>
      <c r="E3131" s="80"/>
      <c r="F3131" s="80"/>
      <c r="G3131" s="91"/>
      <c r="H3131" s="91"/>
    </row>
    <row r="3132" spans="2:8">
      <c r="B3132" s="80"/>
      <c r="C3132" s="36"/>
      <c r="D3132" s="91"/>
      <c r="E3132" s="80"/>
      <c r="F3132" s="80"/>
      <c r="G3132" s="91"/>
      <c r="H3132" s="91"/>
    </row>
    <row r="3133" spans="2:8">
      <c r="B3133" s="80"/>
      <c r="C3133" s="36"/>
      <c r="D3133" s="91"/>
      <c r="E3133" s="80"/>
      <c r="F3133" s="80"/>
      <c r="G3133" s="91"/>
      <c r="H3133" s="91"/>
    </row>
    <row r="3134" spans="2:8">
      <c r="B3134" s="80"/>
      <c r="C3134" s="36"/>
      <c r="D3134" s="91"/>
      <c r="E3134" s="80"/>
      <c r="F3134" s="80"/>
      <c r="G3134" s="91"/>
      <c r="H3134" s="91"/>
    </row>
    <row r="3135" spans="2:8">
      <c r="B3135" s="80"/>
      <c r="C3135" s="36"/>
      <c r="D3135" s="91"/>
      <c r="E3135" s="80"/>
      <c r="F3135" s="80"/>
      <c r="G3135" s="91"/>
      <c r="H3135" s="91"/>
    </row>
    <row r="3136" spans="2:8">
      <c r="B3136" s="80"/>
      <c r="C3136" s="36"/>
      <c r="D3136" s="91"/>
      <c r="E3136" s="80"/>
      <c r="F3136" s="80"/>
      <c r="G3136" s="91"/>
      <c r="H3136" s="91"/>
    </row>
    <row r="3137" spans="2:8">
      <c r="B3137" s="80"/>
      <c r="C3137" s="36"/>
      <c r="D3137" s="91"/>
      <c r="E3137" s="80"/>
      <c r="F3137" s="80"/>
      <c r="G3137" s="91"/>
      <c r="H3137" s="91"/>
    </row>
    <row r="3138" spans="2:8">
      <c r="B3138" s="80"/>
      <c r="C3138" s="36"/>
      <c r="D3138" s="91"/>
      <c r="E3138" s="80"/>
      <c r="F3138" s="80"/>
      <c r="G3138" s="91"/>
      <c r="H3138" s="91"/>
    </row>
    <row r="3139" spans="2:8">
      <c r="B3139" s="80"/>
      <c r="C3139" s="36"/>
      <c r="D3139" s="91"/>
      <c r="E3139" s="80"/>
      <c r="F3139" s="80"/>
      <c r="G3139" s="91"/>
      <c r="H3139" s="91"/>
    </row>
    <row r="3140" spans="2:8">
      <c r="B3140" s="80"/>
      <c r="C3140" s="36"/>
      <c r="D3140" s="91"/>
      <c r="E3140" s="80"/>
      <c r="F3140" s="80"/>
      <c r="G3140" s="91"/>
      <c r="H3140" s="91"/>
    </row>
    <row r="3141" spans="2:8">
      <c r="B3141" s="80"/>
      <c r="C3141" s="36"/>
      <c r="D3141" s="91"/>
      <c r="E3141" s="80"/>
      <c r="F3141" s="80"/>
      <c r="G3141" s="91"/>
      <c r="H3141" s="91"/>
    </row>
    <row r="3142" spans="2:8">
      <c r="B3142" s="80"/>
      <c r="C3142" s="36"/>
      <c r="D3142" s="91"/>
      <c r="E3142" s="80"/>
      <c r="F3142" s="80"/>
      <c r="G3142" s="91"/>
      <c r="H3142" s="91"/>
    </row>
    <row r="3143" spans="2:8">
      <c r="B3143" s="80"/>
      <c r="C3143" s="36"/>
      <c r="D3143" s="91"/>
      <c r="E3143" s="80"/>
      <c r="F3143" s="80"/>
      <c r="G3143" s="91"/>
      <c r="H3143" s="91"/>
    </row>
    <row r="3144" spans="2:8">
      <c r="B3144" s="80"/>
      <c r="C3144" s="36"/>
      <c r="D3144" s="91"/>
      <c r="E3144" s="80"/>
      <c r="F3144" s="80"/>
      <c r="G3144" s="91"/>
      <c r="H3144" s="91"/>
    </row>
    <row r="3145" spans="2:8">
      <c r="B3145" s="80"/>
      <c r="C3145" s="36"/>
      <c r="D3145" s="91"/>
      <c r="E3145" s="80"/>
      <c r="F3145" s="80"/>
      <c r="G3145" s="91"/>
      <c r="H3145" s="91"/>
    </row>
    <row r="3146" spans="2:8">
      <c r="B3146" s="80"/>
      <c r="C3146" s="36"/>
      <c r="D3146" s="91"/>
      <c r="E3146" s="80"/>
      <c r="F3146" s="80"/>
      <c r="G3146" s="91"/>
      <c r="H3146" s="91"/>
    </row>
    <row r="3147" spans="2:8">
      <c r="B3147" s="80"/>
      <c r="C3147" s="36"/>
      <c r="D3147" s="91"/>
      <c r="E3147" s="80"/>
      <c r="F3147" s="80"/>
      <c r="G3147" s="91"/>
      <c r="H3147" s="91"/>
    </row>
    <row r="3148" spans="2:8">
      <c r="B3148" s="80"/>
      <c r="C3148" s="36"/>
      <c r="D3148" s="91"/>
      <c r="E3148" s="80"/>
      <c r="F3148" s="80"/>
      <c r="G3148" s="91"/>
      <c r="H3148" s="91"/>
    </row>
    <row r="3149" spans="2:8">
      <c r="B3149" s="80"/>
      <c r="C3149" s="36"/>
      <c r="D3149" s="91"/>
      <c r="E3149" s="80"/>
      <c r="F3149" s="80"/>
      <c r="G3149" s="91"/>
      <c r="H3149" s="91"/>
    </row>
    <row r="3150" spans="2:8">
      <c r="B3150" s="80"/>
      <c r="C3150" s="36"/>
      <c r="D3150" s="91"/>
      <c r="E3150" s="80"/>
      <c r="F3150" s="80"/>
      <c r="G3150" s="91"/>
      <c r="H3150" s="91"/>
    </row>
    <row r="3151" spans="2:8">
      <c r="B3151" s="80"/>
      <c r="C3151" s="36"/>
      <c r="D3151" s="91"/>
      <c r="E3151" s="80"/>
      <c r="F3151" s="80"/>
      <c r="G3151" s="91"/>
      <c r="H3151" s="91"/>
    </row>
    <row r="3152" spans="2:8">
      <c r="B3152" s="80"/>
      <c r="C3152" s="36"/>
      <c r="D3152" s="91"/>
      <c r="E3152" s="80"/>
      <c r="F3152" s="80"/>
      <c r="G3152" s="91"/>
      <c r="H3152" s="91"/>
    </row>
    <row r="3153" spans="2:8">
      <c r="B3153" s="80"/>
      <c r="C3153" s="36"/>
      <c r="D3153" s="91"/>
      <c r="E3153" s="80"/>
      <c r="F3153" s="80"/>
      <c r="G3153" s="91"/>
      <c r="H3153" s="91"/>
    </row>
    <row r="3154" spans="2:8">
      <c r="B3154" s="80"/>
      <c r="C3154" s="36"/>
      <c r="D3154" s="91"/>
      <c r="E3154" s="80"/>
      <c r="F3154" s="80"/>
      <c r="G3154" s="91"/>
      <c r="H3154" s="91"/>
    </row>
    <row r="3155" spans="2:8">
      <c r="B3155" s="80"/>
      <c r="C3155" s="36"/>
      <c r="D3155" s="91"/>
      <c r="E3155" s="80"/>
      <c r="F3155" s="80"/>
      <c r="G3155" s="91"/>
      <c r="H3155" s="91"/>
    </row>
    <row r="3156" spans="2:8">
      <c r="B3156" s="80"/>
      <c r="C3156" s="36"/>
      <c r="D3156" s="91"/>
      <c r="E3156" s="80"/>
      <c r="F3156" s="80"/>
      <c r="G3156" s="91"/>
      <c r="H3156" s="91"/>
    </row>
    <row r="3157" spans="2:8">
      <c r="B3157" s="80"/>
      <c r="C3157" s="36"/>
      <c r="D3157" s="91"/>
      <c r="E3157" s="80"/>
      <c r="F3157" s="80"/>
      <c r="G3157" s="91"/>
      <c r="H3157" s="91"/>
    </row>
    <row r="3158" spans="2:8">
      <c r="B3158" s="80"/>
      <c r="C3158" s="36"/>
      <c r="D3158" s="91"/>
      <c r="E3158" s="80"/>
      <c r="F3158" s="80"/>
      <c r="G3158" s="91"/>
      <c r="H3158" s="91"/>
    </row>
    <row r="3159" spans="2:8">
      <c r="B3159" s="80"/>
      <c r="C3159" s="36"/>
      <c r="D3159" s="91"/>
      <c r="E3159" s="80"/>
      <c r="F3159" s="80"/>
      <c r="G3159" s="91"/>
      <c r="H3159" s="91"/>
    </row>
    <row r="3160" spans="2:8">
      <c r="B3160" s="80"/>
      <c r="C3160" s="36"/>
      <c r="D3160" s="91"/>
      <c r="E3160" s="80"/>
      <c r="F3160" s="80"/>
      <c r="G3160" s="91"/>
      <c r="H3160" s="91"/>
    </row>
    <row r="3161" spans="2:8">
      <c r="B3161" s="80"/>
      <c r="C3161" s="36"/>
      <c r="D3161" s="91"/>
      <c r="E3161" s="80"/>
      <c r="F3161" s="80"/>
      <c r="G3161" s="91"/>
      <c r="H3161" s="91"/>
    </row>
    <row r="3162" spans="2:8">
      <c r="B3162" s="80"/>
      <c r="C3162" s="36"/>
      <c r="D3162" s="91"/>
      <c r="E3162" s="80"/>
      <c r="F3162" s="80"/>
      <c r="G3162" s="91"/>
      <c r="H3162" s="91"/>
    </row>
    <row r="3163" spans="2:8">
      <c r="B3163" s="80"/>
      <c r="C3163" s="36"/>
      <c r="D3163" s="91"/>
      <c r="E3163" s="80"/>
      <c r="F3163" s="80"/>
      <c r="G3163" s="91"/>
      <c r="H3163" s="91"/>
    </row>
    <row r="3164" spans="2:8">
      <c r="B3164" s="80"/>
      <c r="C3164" s="36"/>
      <c r="D3164" s="91"/>
      <c r="E3164" s="80"/>
      <c r="F3164" s="80"/>
      <c r="G3164" s="91"/>
      <c r="H3164" s="91"/>
    </row>
    <row r="3165" spans="2:8">
      <c r="B3165" s="80"/>
      <c r="C3165" s="36"/>
      <c r="D3165" s="91"/>
      <c r="E3165" s="80"/>
      <c r="F3165" s="80"/>
      <c r="G3165" s="91"/>
      <c r="H3165" s="91"/>
    </row>
    <row r="3166" spans="2:8">
      <c r="B3166" s="80"/>
      <c r="C3166" s="36"/>
      <c r="D3166" s="91"/>
      <c r="E3166" s="80"/>
      <c r="F3166" s="80"/>
      <c r="G3166" s="91"/>
      <c r="H3166" s="91"/>
    </row>
    <row r="3167" spans="2:8">
      <c r="B3167" s="80"/>
      <c r="C3167" s="36"/>
      <c r="D3167" s="91"/>
      <c r="E3167" s="80"/>
      <c r="F3167" s="80"/>
      <c r="G3167" s="91"/>
      <c r="H3167" s="91"/>
    </row>
    <row r="3168" spans="2:8">
      <c r="B3168" s="80"/>
      <c r="C3168" s="36"/>
      <c r="D3168" s="91"/>
      <c r="E3168" s="80"/>
      <c r="F3168" s="80"/>
      <c r="G3168" s="91"/>
      <c r="H3168" s="91"/>
    </row>
    <row r="3169" spans="2:8">
      <c r="B3169" s="80"/>
      <c r="C3169" s="36"/>
      <c r="D3169" s="91"/>
      <c r="E3169" s="80"/>
      <c r="F3169" s="80"/>
      <c r="G3169" s="91"/>
      <c r="H3169" s="91"/>
    </row>
    <row r="3170" spans="2:8">
      <c r="B3170" s="80"/>
      <c r="C3170" s="36"/>
      <c r="D3170" s="91"/>
      <c r="E3170" s="80"/>
      <c r="F3170" s="80"/>
      <c r="G3170" s="91"/>
      <c r="H3170" s="91"/>
    </row>
    <row r="3171" spans="2:8">
      <c r="B3171" s="80"/>
      <c r="C3171" s="36"/>
      <c r="D3171" s="91"/>
      <c r="E3171" s="80"/>
      <c r="F3171" s="80"/>
      <c r="G3171" s="91"/>
      <c r="H3171" s="91"/>
    </row>
    <row r="3172" spans="2:8">
      <c r="B3172" s="80"/>
      <c r="C3172" s="36"/>
      <c r="D3172" s="91"/>
      <c r="E3172" s="80"/>
      <c r="F3172" s="80"/>
      <c r="G3172" s="91"/>
      <c r="H3172" s="91"/>
    </row>
    <row r="3173" spans="2:8">
      <c r="B3173" s="80"/>
      <c r="C3173" s="36"/>
      <c r="D3173" s="91"/>
      <c r="E3173" s="80"/>
      <c r="F3173" s="80"/>
      <c r="G3173" s="91"/>
      <c r="H3173" s="91"/>
    </row>
    <row r="3174" spans="2:8">
      <c r="B3174" s="80"/>
      <c r="C3174" s="36"/>
      <c r="D3174" s="91"/>
      <c r="E3174" s="80"/>
      <c r="F3174" s="80"/>
      <c r="G3174" s="91"/>
      <c r="H3174" s="91"/>
    </row>
    <row r="3175" spans="2:8">
      <c r="B3175" s="80"/>
      <c r="C3175" s="36"/>
      <c r="D3175" s="91"/>
      <c r="E3175" s="80"/>
      <c r="F3175" s="80"/>
      <c r="G3175" s="91"/>
      <c r="H3175" s="91"/>
    </row>
    <row r="3176" spans="2:8">
      <c r="B3176" s="80"/>
      <c r="C3176" s="36"/>
      <c r="D3176" s="91"/>
      <c r="E3176" s="80"/>
      <c r="F3176" s="80"/>
      <c r="G3176" s="91"/>
      <c r="H3176" s="91"/>
    </row>
    <row r="3177" spans="2:8">
      <c r="B3177" s="80"/>
      <c r="C3177" s="36"/>
      <c r="D3177" s="91"/>
      <c r="E3177" s="80"/>
      <c r="F3177" s="80"/>
      <c r="G3177" s="91"/>
      <c r="H3177" s="91"/>
    </row>
    <row r="3178" spans="2:8">
      <c r="B3178" s="80"/>
      <c r="C3178" s="36"/>
      <c r="D3178" s="91"/>
      <c r="E3178" s="80"/>
      <c r="F3178" s="80"/>
      <c r="G3178" s="91"/>
      <c r="H3178" s="91"/>
    </row>
    <row r="3179" spans="2:8">
      <c r="B3179" s="80"/>
      <c r="C3179" s="36"/>
      <c r="D3179" s="91"/>
      <c r="E3179" s="80"/>
      <c r="F3179" s="80"/>
      <c r="G3179" s="91"/>
      <c r="H3179" s="91"/>
    </row>
    <row r="3180" spans="2:8">
      <c r="B3180" s="80"/>
      <c r="C3180" s="36"/>
      <c r="D3180" s="91"/>
      <c r="E3180" s="80"/>
      <c r="F3180" s="80"/>
      <c r="G3180" s="91"/>
      <c r="H3180" s="91"/>
    </row>
    <row r="3181" spans="2:8">
      <c r="B3181" s="80"/>
      <c r="C3181" s="36"/>
      <c r="D3181" s="91"/>
      <c r="E3181" s="80"/>
      <c r="F3181" s="80"/>
      <c r="G3181" s="91"/>
      <c r="H3181" s="91"/>
    </row>
    <row r="3182" spans="2:8">
      <c r="B3182" s="80"/>
      <c r="C3182" s="36"/>
      <c r="D3182" s="91"/>
      <c r="E3182" s="80"/>
      <c r="F3182" s="80"/>
      <c r="G3182" s="91"/>
      <c r="H3182" s="91"/>
    </row>
    <row r="3183" spans="2:8">
      <c r="B3183" s="80"/>
      <c r="C3183" s="36"/>
      <c r="D3183" s="91"/>
      <c r="E3183" s="80"/>
      <c r="F3183" s="80"/>
      <c r="G3183" s="91"/>
      <c r="H3183" s="91"/>
    </row>
    <row r="3184" spans="2:8">
      <c r="B3184" s="80"/>
      <c r="C3184" s="36"/>
      <c r="D3184" s="91"/>
      <c r="E3184" s="80"/>
      <c r="F3184" s="80"/>
      <c r="G3184" s="91"/>
      <c r="H3184" s="91"/>
    </row>
    <row r="3185" spans="2:8">
      <c r="B3185" s="80"/>
      <c r="C3185" s="36"/>
      <c r="D3185" s="91"/>
      <c r="E3185" s="80"/>
      <c r="F3185" s="80"/>
      <c r="G3185" s="91"/>
      <c r="H3185" s="91"/>
    </row>
    <row r="3186" spans="2:8">
      <c r="B3186" s="80"/>
      <c r="C3186" s="36"/>
      <c r="D3186" s="91"/>
      <c r="E3186" s="80"/>
      <c r="F3186" s="80"/>
      <c r="G3186" s="91"/>
      <c r="H3186" s="91"/>
    </row>
    <row r="3187" spans="2:8">
      <c r="B3187" s="80"/>
      <c r="C3187" s="36"/>
      <c r="D3187" s="91"/>
      <c r="E3187" s="80"/>
      <c r="F3187" s="80"/>
      <c r="G3187" s="91"/>
      <c r="H3187" s="91"/>
    </row>
    <row r="3188" spans="2:8">
      <c r="B3188" s="80"/>
      <c r="C3188" s="36"/>
      <c r="D3188" s="91"/>
      <c r="E3188" s="80"/>
      <c r="F3188" s="80"/>
      <c r="G3188" s="91"/>
      <c r="H3188" s="91"/>
    </row>
    <row r="3189" spans="2:8">
      <c r="B3189" s="80"/>
      <c r="C3189" s="36"/>
      <c r="D3189" s="91"/>
      <c r="E3189" s="80"/>
      <c r="F3189" s="80"/>
      <c r="G3189" s="91"/>
      <c r="H3189" s="91"/>
    </row>
    <row r="3190" spans="2:8">
      <c r="B3190" s="80"/>
      <c r="C3190" s="36"/>
      <c r="D3190" s="91"/>
      <c r="E3190" s="80"/>
      <c r="F3190" s="80"/>
      <c r="G3190" s="91"/>
      <c r="H3190" s="91"/>
    </row>
    <row r="3191" spans="2:8">
      <c r="B3191" s="80"/>
      <c r="C3191" s="36"/>
      <c r="D3191" s="91"/>
      <c r="E3191" s="80"/>
      <c r="F3191" s="80"/>
      <c r="G3191" s="91"/>
      <c r="H3191" s="91"/>
    </row>
    <row r="3192" spans="2:8">
      <c r="B3192" s="80"/>
      <c r="C3192" s="36"/>
      <c r="D3192" s="91"/>
      <c r="E3192" s="80"/>
      <c r="F3192" s="80"/>
      <c r="G3192" s="91"/>
      <c r="H3192" s="91"/>
    </row>
    <row r="3193" spans="2:8">
      <c r="B3193" s="80"/>
      <c r="C3193" s="36"/>
      <c r="D3193" s="91"/>
      <c r="E3193" s="80"/>
      <c r="F3193" s="80"/>
      <c r="G3193" s="91"/>
      <c r="H3193" s="91"/>
    </row>
    <row r="3194" spans="2:8">
      <c r="B3194" s="80"/>
      <c r="C3194" s="36"/>
      <c r="D3194" s="91"/>
      <c r="E3194" s="80"/>
      <c r="F3194" s="80"/>
      <c r="G3194" s="91"/>
      <c r="H3194" s="91"/>
    </row>
    <row r="3195" spans="2:8">
      <c r="B3195" s="80"/>
      <c r="C3195" s="36"/>
      <c r="D3195" s="91"/>
      <c r="E3195" s="80"/>
      <c r="F3195" s="80"/>
      <c r="G3195" s="91"/>
      <c r="H3195" s="91"/>
    </row>
    <row r="3196" spans="2:8">
      <c r="B3196" s="80"/>
      <c r="C3196" s="36"/>
      <c r="D3196" s="91"/>
      <c r="E3196" s="80"/>
      <c r="F3196" s="80"/>
      <c r="G3196" s="91"/>
      <c r="H3196" s="91"/>
    </row>
    <row r="3197" spans="2:8">
      <c r="B3197" s="80"/>
      <c r="C3197" s="36"/>
      <c r="D3197" s="91"/>
      <c r="E3197" s="80"/>
      <c r="F3197" s="80"/>
      <c r="G3197" s="91"/>
      <c r="H3197" s="91"/>
    </row>
    <row r="3198" spans="2:8">
      <c r="B3198" s="80"/>
      <c r="C3198" s="36"/>
      <c r="D3198" s="91"/>
      <c r="E3198" s="80"/>
      <c r="F3198" s="80"/>
      <c r="G3198" s="91"/>
      <c r="H3198" s="91"/>
    </row>
    <row r="3199" spans="2:8">
      <c r="B3199" s="80"/>
      <c r="C3199" s="36"/>
      <c r="D3199" s="91"/>
      <c r="E3199" s="80"/>
      <c r="F3199" s="80"/>
      <c r="G3199" s="91"/>
      <c r="H3199" s="91"/>
    </row>
    <row r="3200" spans="2:8">
      <c r="B3200" s="80"/>
      <c r="C3200" s="36"/>
      <c r="D3200" s="91"/>
      <c r="E3200" s="80"/>
      <c r="F3200" s="80"/>
      <c r="G3200" s="91"/>
      <c r="H3200" s="91"/>
    </row>
    <row r="3201" spans="2:8">
      <c r="B3201" s="80"/>
      <c r="C3201" s="36"/>
      <c r="D3201" s="91"/>
      <c r="E3201" s="80"/>
      <c r="F3201" s="80"/>
      <c r="G3201" s="91"/>
      <c r="H3201" s="91"/>
    </row>
    <row r="3202" spans="2:8">
      <c r="B3202" s="80"/>
      <c r="C3202" s="36"/>
      <c r="D3202" s="91"/>
      <c r="E3202" s="80"/>
      <c r="F3202" s="80"/>
      <c r="G3202" s="91"/>
      <c r="H3202" s="91"/>
    </row>
    <row r="3203" spans="2:8">
      <c r="B3203" s="80"/>
      <c r="C3203" s="36"/>
      <c r="D3203" s="91"/>
      <c r="E3203" s="80"/>
      <c r="F3203" s="80"/>
      <c r="G3203" s="91"/>
      <c r="H3203" s="91"/>
    </row>
    <row r="3204" spans="2:8">
      <c r="B3204" s="80"/>
      <c r="C3204" s="36"/>
      <c r="D3204" s="91"/>
      <c r="E3204" s="80"/>
      <c r="F3204" s="80"/>
      <c r="G3204" s="91"/>
      <c r="H3204" s="91"/>
    </row>
    <row r="3205" spans="2:8">
      <c r="B3205" s="80"/>
      <c r="C3205" s="36"/>
      <c r="D3205" s="91"/>
      <c r="E3205" s="80"/>
      <c r="F3205" s="80"/>
      <c r="G3205" s="91"/>
      <c r="H3205" s="91"/>
    </row>
    <row r="3206" spans="2:8">
      <c r="B3206" s="80"/>
      <c r="C3206" s="36"/>
      <c r="D3206" s="91"/>
      <c r="E3206" s="80"/>
      <c r="F3206" s="80"/>
      <c r="G3206" s="91"/>
      <c r="H3206" s="91"/>
    </row>
    <row r="3207" spans="2:8">
      <c r="B3207" s="80"/>
      <c r="C3207" s="36"/>
      <c r="D3207" s="91"/>
      <c r="E3207" s="80"/>
      <c r="F3207" s="80"/>
      <c r="G3207" s="91"/>
      <c r="H3207" s="91"/>
    </row>
    <row r="3208" spans="2:8">
      <c r="B3208" s="80"/>
      <c r="C3208" s="36"/>
      <c r="D3208" s="91"/>
      <c r="E3208" s="80"/>
      <c r="F3208" s="80"/>
      <c r="G3208" s="91"/>
      <c r="H3208" s="91"/>
    </row>
    <row r="3209" spans="2:8">
      <c r="B3209" s="80"/>
      <c r="C3209" s="36"/>
      <c r="D3209" s="91"/>
      <c r="E3209" s="80"/>
      <c r="F3209" s="80"/>
      <c r="G3209" s="91"/>
      <c r="H3209" s="91"/>
    </row>
    <row r="3210" spans="2:8">
      <c r="B3210" s="80"/>
      <c r="C3210" s="36"/>
      <c r="D3210" s="91"/>
      <c r="E3210" s="80"/>
      <c r="F3210" s="80"/>
      <c r="G3210" s="91"/>
      <c r="H3210" s="91"/>
    </row>
    <row r="3211" spans="2:8">
      <c r="B3211" s="80"/>
      <c r="C3211" s="36"/>
      <c r="D3211" s="91"/>
      <c r="E3211" s="80"/>
      <c r="F3211" s="80"/>
      <c r="G3211" s="91"/>
      <c r="H3211" s="91"/>
    </row>
    <row r="3212" spans="2:8">
      <c r="B3212" s="80"/>
      <c r="C3212" s="36"/>
      <c r="D3212" s="91"/>
      <c r="E3212" s="80"/>
      <c r="F3212" s="80"/>
      <c r="G3212" s="91"/>
      <c r="H3212" s="91"/>
    </row>
    <row r="3213" spans="2:8">
      <c r="B3213" s="80"/>
      <c r="C3213" s="36"/>
      <c r="D3213" s="91"/>
      <c r="E3213" s="80"/>
      <c r="F3213" s="80"/>
      <c r="G3213" s="91"/>
      <c r="H3213" s="91"/>
    </row>
    <row r="3214" spans="2:8">
      <c r="B3214" s="80"/>
      <c r="C3214" s="36"/>
      <c r="D3214" s="91"/>
      <c r="E3214" s="80"/>
      <c r="F3214" s="80"/>
      <c r="G3214" s="91"/>
      <c r="H3214" s="91"/>
    </row>
    <row r="3215" spans="2:8">
      <c r="B3215" s="80"/>
      <c r="C3215" s="36"/>
      <c r="D3215" s="91"/>
      <c r="E3215" s="80"/>
      <c r="F3215" s="80"/>
      <c r="G3215" s="91"/>
      <c r="H3215" s="91"/>
    </row>
    <row r="3216" spans="2:8">
      <c r="B3216" s="80"/>
      <c r="C3216" s="36"/>
      <c r="D3216" s="91"/>
      <c r="E3216" s="80"/>
      <c r="F3216" s="80"/>
      <c r="G3216" s="91"/>
      <c r="H3216" s="91"/>
    </row>
    <row r="3217" spans="2:8">
      <c r="B3217" s="80"/>
      <c r="C3217" s="36"/>
      <c r="D3217" s="91"/>
      <c r="E3217" s="80"/>
      <c r="F3217" s="80"/>
      <c r="G3217" s="91"/>
      <c r="H3217" s="91"/>
    </row>
    <row r="3218" spans="2:8">
      <c r="B3218" s="80"/>
      <c r="C3218" s="36"/>
      <c r="D3218" s="91"/>
      <c r="E3218" s="80"/>
      <c r="F3218" s="80"/>
      <c r="G3218" s="91"/>
      <c r="H3218" s="91"/>
    </row>
    <row r="3219" spans="2:8">
      <c r="B3219" s="80"/>
      <c r="C3219" s="36"/>
      <c r="D3219" s="91"/>
      <c r="E3219" s="80"/>
      <c r="F3219" s="80"/>
      <c r="G3219" s="91"/>
      <c r="H3219" s="91"/>
    </row>
    <row r="3220" spans="2:8">
      <c r="B3220" s="80"/>
      <c r="C3220" s="36"/>
      <c r="D3220" s="91"/>
      <c r="E3220" s="80"/>
      <c r="F3220" s="80"/>
      <c r="G3220" s="91"/>
      <c r="H3220" s="91"/>
    </row>
    <row r="3221" spans="2:8">
      <c r="B3221" s="80"/>
      <c r="C3221" s="36"/>
      <c r="D3221" s="91"/>
      <c r="E3221" s="80"/>
      <c r="F3221" s="80"/>
      <c r="G3221" s="91"/>
      <c r="H3221" s="91"/>
    </row>
    <row r="3222" spans="2:8">
      <c r="B3222" s="80"/>
      <c r="C3222" s="36"/>
      <c r="D3222" s="91"/>
      <c r="E3222" s="80"/>
      <c r="F3222" s="80"/>
      <c r="G3222" s="91"/>
      <c r="H3222" s="91"/>
    </row>
    <row r="3223" spans="2:8">
      <c r="B3223" s="80"/>
      <c r="C3223" s="36"/>
      <c r="D3223" s="91"/>
      <c r="E3223" s="80"/>
      <c r="F3223" s="80"/>
      <c r="G3223" s="91"/>
      <c r="H3223" s="91"/>
    </row>
    <row r="3224" spans="2:8">
      <c r="B3224" s="80"/>
      <c r="C3224" s="36"/>
      <c r="D3224" s="91"/>
      <c r="E3224" s="80"/>
      <c r="F3224" s="80"/>
      <c r="G3224" s="91"/>
      <c r="H3224" s="91"/>
    </row>
    <row r="3225" spans="2:8">
      <c r="B3225" s="80"/>
      <c r="C3225" s="36"/>
      <c r="D3225" s="91"/>
      <c r="E3225" s="80"/>
      <c r="F3225" s="80"/>
      <c r="G3225" s="91"/>
      <c r="H3225" s="91"/>
    </row>
    <row r="3226" spans="2:8">
      <c r="B3226" s="80"/>
      <c r="C3226" s="36"/>
      <c r="D3226" s="91"/>
      <c r="E3226" s="80"/>
      <c r="F3226" s="80"/>
      <c r="G3226" s="91"/>
      <c r="H3226" s="91"/>
    </row>
    <row r="3227" spans="2:8">
      <c r="B3227" s="80"/>
      <c r="C3227" s="36"/>
      <c r="D3227" s="91"/>
      <c r="E3227" s="80"/>
      <c r="F3227" s="80"/>
      <c r="G3227" s="91"/>
      <c r="H3227" s="91"/>
    </row>
    <row r="3228" spans="2:8">
      <c r="B3228" s="80"/>
      <c r="C3228" s="36"/>
      <c r="D3228" s="91"/>
      <c r="E3228" s="80"/>
      <c r="F3228" s="80"/>
      <c r="G3228" s="91"/>
      <c r="H3228" s="91"/>
    </row>
    <row r="3229" spans="2:8">
      <c r="B3229" s="80"/>
      <c r="C3229" s="36"/>
      <c r="D3229" s="91"/>
      <c r="E3229" s="80"/>
      <c r="F3229" s="80"/>
      <c r="G3229" s="91"/>
      <c r="H3229" s="91"/>
    </row>
    <row r="3230" spans="2:8">
      <c r="B3230" s="80"/>
      <c r="C3230" s="36"/>
      <c r="D3230" s="91"/>
      <c r="E3230" s="80"/>
      <c r="F3230" s="80"/>
      <c r="G3230" s="91"/>
      <c r="H3230" s="91"/>
    </row>
    <row r="3231" spans="2:8">
      <c r="B3231" s="80"/>
      <c r="C3231" s="36"/>
      <c r="D3231" s="91"/>
      <c r="E3231" s="80"/>
      <c r="F3231" s="80"/>
      <c r="G3231" s="91"/>
      <c r="H3231" s="91"/>
    </row>
    <row r="3232" spans="2:8">
      <c r="B3232" s="80"/>
      <c r="C3232" s="36"/>
      <c r="D3232" s="91"/>
      <c r="E3232" s="80"/>
      <c r="F3232" s="80"/>
      <c r="G3232" s="91"/>
      <c r="H3232" s="91"/>
    </row>
    <row r="3233" spans="2:8">
      <c r="B3233" s="80"/>
      <c r="C3233" s="36"/>
      <c r="D3233" s="91"/>
      <c r="E3233" s="80"/>
      <c r="F3233" s="80"/>
      <c r="G3233" s="91"/>
      <c r="H3233" s="91"/>
    </row>
    <row r="3234" spans="2:8">
      <c r="B3234" s="80"/>
      <c r="C3234" s="36"/>
      <c r="D3234" s="91"/>
      <c r="E3234" s="80"/>
      <c r="F3234" s="80"/>
      <c r="G3234" s="91"/>
      <c r="H3234" s="91"/>
    </row>
    <row r="3235" spans="2:8">
      <c r="B3235" s="80"/>
      <c r="C3235" s="36"/>
      <c r="D3235" s="91"/>
      <c r="E3235" s="80"/>
      <c r="F3235" s="80"/>
      <c r="G3235" s="91"/>
      <c r="H3235" s="91"/>
    </row>
    <row r="3236" spans="2:8">
      <c r="B3236" s="80"/>
      <c r="C3236" s="36"/>
      <c r="D3236" s="91"/>
      <c r="E3236" s="80"/>
      <c r="F3236" s="80"/>
      <c r="G3236" s="91"/>
      <c r="H3236" s="91"/>
    </row>
    <row r="3237" spans="2:8">
      <c r="B3237" s="80"/>
      <c r="C3237" s="36"/>
      <c r="D3237" s="91"/>
      <c r="E3237" s="80"/>
      <c r="F3237" s="80"/>
      <c r="G3237" s="91"/>
      <c r="H3237" s="91"/>
    </row>
    <row r="3238" spans="2:8">
      <c r="B3238" s="80"/>
      <c r="C3238" s="36"/>
      <c r="D3238" s="91"/>
      <c r="E3238" s="80"/>
      <c r="F3238" s="80"/>
      <c r="G3238" s="91"/>
      <c r="H3238" s="91"/>
    </row>
    <row r="3239" spans="2:8">
      <c r="B3239" s="80"/>
      <c r="C3239" s="36"/>
      <c r="D3239" s="91"/>
      <c r="E3239" s="80"/>
      <c r="F3239" s="80"/>
      <c r="G3239" s="91"/>
      <c r="H3239" s="91"/>
    </row>
    <row r="3240" spans="2:8">
      <c r="B3240" s="80"/>
      <c r="C3240" s="36"/>
      <c r="D3240" s="91"/>
      <c r="E3240" s="80"/>
      <c r="F3240" s="80"/>
      <c r="G3240" s="91"/>
      <c r="H3240" s="91"/>
    </row>
    <row r="3241" spans="2:8">
      <c r="B3241" s="80"/>
      <c r="C3241" s="36"/>
      <c r="D3241" s="91"/>
      <c r="E3241" s="80"/>
      <c r="F3241" s="80"/>
      <c r="G3241" s="91"/>
      <c r="H3241" s="91"/>
    </row>
    <row r="3242" spans="2:8">
      <c r="B3242" s="80"/>
      <c r="C3242" s="36"/>
      <c r="D3242" s="91"/>
      <c r="E3242" s="80"/>
      <c r="F3242" s="80"/>
      <c r="G3242" s="91"/>
      <c r="H3242" s="91"/>
    </row>
    <row r="3243" spans="2:8">
      <c r="B3243" s="80"/>
      <c r="C3243" s="36"/>
      <c r="D3243" s="91"/>
      <c r="E3243" s="80"/>
      <c r="F3243" s="80"/>
      <c r="G3243" s="91"/>
      <c r="H3243" s="91"/>
    </row>
    <row r="3244" spans="2:8">
      <c r="B3244" s="80"/>
      <c r="C3244" s="36"/>
      <c r="D3244" s="91"/>
      <c r="E3244" s="80"/>
      <c r="F3244" s="80"/>
      <c r="G3244" s="91"/>
      <c r="H3244" s="91"/>
    </row>
    <row r="3245" spans="2:8">
      <c r="B3245" s="80"/>
      <c r="C3245" s="36"/>
      <c r="D3245" s="91"/>
      <c r="E3245" s="80"/>
      <c r="F3245" s="80"/>
      <c r="G3245" s="91"/>
      <c r="H3245" s="91"/>
    </row>
    <row r="3246" spans="2:8">
      <c r="B3246" s="80"/>
      <c r="C3246" s="36"/>
      <c r="D3246" s="91"/>
      <c r="E3246" s="80"/>
      <c r="F3246" s="80"/>
      <c r="G3246" s="91"/>
      <c r="H3246" s="91"/>
    </row>
    <row r="3247" spans="2:8">
      <c r="B3247" s="80"/>
      <c r="C3247" s="36"/>
      <c r="D3247" s="91"/>
      <c r="E3247" s="80"/>
      <c r="F3247" s="80"/>
      <c r="G3247" s="91"/>
      <c r="H3247" s="91"/>
    </row>
    <row r="3248" spans="2:8">
      <c r="B3248" s="80"/>
      <c r="C3248" s="36"/>
      <c r="D3248" s="91"/>
      <c r="E3248" s="80"/>
      <c r="F3248" s="80"/>
      <c r="G3248" s="91"/>
      <c r="H3248" s="91"/>
    </row>
    <row r="3249" spans="2:8">
      <c r="B3249" s="80"/>
      <c r="C3249" s="36"/>
      <c r="D3249" s="91"/>
      <c r="E3249" s="80"/>
      <c r="F3249" s="80"/>
      <c r="G3249" s="91"/>
      <c r="H3249" s="91"/>
    </row>
    <row r="3250" spans="2:8">
      <c r="B3250" s="80"/>
      <c r="C3250" s="36"/>
      <c r="D3250" s="91"/>
      <c r="E3250" s="80"/>
      <c r="F3250" s="80"/>
      <c r="G3250" s="91"/>
      <c r="H3250" s="91"/>
    </row>
    <row r="3251" spans="2:8">
      <c r="B3251" s="80"/>
      <c r="C3251" s="36"/>
      <c r="D3251" s="91"/>
      <c r="E3251" s="80"/>
      <c r="F3251" s="80"/>
      <c r="G3251" s="91"/>
      <c r="H3251" s="91"/>
    </row>
    <row r="3252" spans="2:8">
      <c r="B3252" s="80"/>
      <c r="C3252" s="36"/>
      <c r="D3252" s="91"/>
      <c r="E3252" s="80"/>
      <c r="F3252" s="80"/>
      <c r="G3252" s="91"/>
      <c r="H3252" s="91"/>
    </row>
    <row r="3253" spans="2:8">
      <c r="B3253" s="80"/>
      <c r="C3253" s="36"/>
      <c r="D3253" s="91"/>
      <c r="E3253" s="80"/>
      <c r="F3253" s="80"/>
      <c r="G3253" s="91"/>
      <c r="H3253" s="91"/>
    </row>
    <row r="3254" spans="2:8">
      <c r="B3254" s="80"/>
      <c r="C3254" s="36"/>
      <c r="D3254" s="91"/>
      <c r="E3254" s="80"/>
      <c r="F3254" s="80"/>
      <c r="G3254" s="91"/>
      <c r="H3254" s="91"/>
    </row>
    <row r="3255" spans="2:8">
      <c r="B3255" s="80"/>
      <c r="C3255" s="36"/>
      <c r="D3255" s="91"/>
      <c r="E3255" s="80"/>
      <c r="F3255" s="80"/>
      <c r="G3255" s="91"/>
      <c r="H3255" s="91"/>
    </row>
    <row r="3256" spans="2:8">
      <c r="B3256" s="80"/>
      <c r="C3256" s="36"/>
      <c r="D3256" s="91"/>
      <c r="E3256" s="80"/>
      <c r="F3256" s="80"/>
      <c r="G3256" s="91"/>
      <c r="H3256" s="91"/>
    </row>
    <row r="3257" spans="2:8">
      <c r="B3257" s="80"/>
      <c r="C3257" s="36"/>
      <c r="D3257" s="91"/>
      <c r="E3257" s="80"/>
      <c r="F3257" s="80"/>
      <c r="G3257" s="91"/>
      <c r="H3257" s="91"/>
    </row>
    <row r="3258" spans="2:8">
      <c r="B3258" s="80"/>
      <c r="C3258" s="36"/>
      <c r="D3258" s="91"/>
      <c r="E3258" s="80"/>
      <c r="F3258" s="80"/>
      <c r="G3258" s="91"/>
      <c r="H3258" s="91"/>
    </row>
    <row r="3259" spans="2:8">
      <c r="B3259" s="80"/>
      <c r="C3259" s="36"/>
      <c r="D3259" s="91"/>
      <c r="E3259" s="80"/>
      <c r="F3259" s="80"/>
      <c r="G3259" s="91"/>
      <c r="H3259" s="91"/>
    </row>
    <row r="3260" spans="2:8">
      <c r="B3260" s="80"/>
      <c r="C3260" s="36"/>
      <c r="D3260" s="91"/>
      <c r="E3260" s="80"/>
      <c r="F3260" s="80"/>
      <c r="G3260" s="91"/>
      <c r="H3260" s="91"/>
    </row>
    <row r="3261" spans="2:8">
      <c r="B3261" s="80"/>
      <c r="C3261" s="36"/>
      <c r="D3261" s="91"/>
      <c r="E3261" s="80"/>
      <c r="F3261" s="80"/>
      <c r="G3261" s="91"/>
      <c r="H3261" s="91"/>
    </row>
    <row r="3262" spans="2:8">
      <c r="B3262" s="80"/>
      <c r="C3262" s="36"/>
      <c r="D3262" s="91"/>
      <c r="E3262" s="80"/>
      <c r="F3262" s="80"/>
      <c r="G3262" s="91"/>
      <c r="H3262" s="91"/>
    </row>
    <row r="3263" spans="2:8">
      <c r="B3263" s="80"/>
      <c r="C3263" s="36"/>
      <c r="D3263" s="91"/>
      <c r="E3263" s="80"/>
      <c r="F3263" s="80"/>
      <c r="G3263" s="91"/>
      <c r="H3263" s="91"/>
    </row>
    <row r="3264" spans="2:8">
      <c r="B3264" s="80"/>
      <c r="C3264" s="36"/>
      <c r="D3264" s="91"/>
      <c r="E3264" s="80"/>
      <c r="F3264" s="80"/>
      <c r="G3264" s="91"/>
      <c r="H3264" s="91"/>
    </row>
    <row r="3265" spans="2:8">
      <c r="B3265" s="80"/>
      <c r="C3265" s="36"/>
      <c r="D3265" s="91"/>
      <c r="E3265" s="80"/>
      <c r="F3265" s="80"/>
      <c r="G3265" s="91"/>
      <c r="H3265" s="91"/>
    </row>
    <row r="3266" spans="2:8">
      <c r="B3266" s="80"/>
      <c r="C3266" s="36"/>
      <c r="D3266" s="91"/>
      <c r="E3266" s="80"/>
      <c r="F3266" s="80"/>
      <c r="G3266" s="91"/>
      <c r="H3266" s="91"/>
    </row>
    <row r="3267" spans="2:8">
      <c r="B3267" s="80"/>
      <c r="C3267" s="36"/>
      <c r="D3267" s="91"/>
      <c r="E3267" s="80"/>
      <c r="F3267" s="80"/>
      <c r="G3267" s="91"/>
      <c r="H3267" s="91"/>
    </row>
    <row r="3268" spans="2:8">
      <c r="B3268" s="80"/>
      <c r="C3268" s="36"/>
      <c r="D3268" s="91"/>
      <c r="E3268" s="80"/>
      <c r="F3268" s="80"/>
      <c r="G3268" s="91"/>
      <c r="H3268" s="91"/>
    </row>
    <row r="3269" spans="2:8">
      <c r="B3269" s="80"/>
      <c r="C3269" s="36"/>
      <c r="D3269" s="91"/>
      <c r="E3269" s="80"/>
      <c r="F3269" s="80"/>
      <c r="G3269" s="91"/>
      <c r="H3269" s="91"/>
    </row>
    <row r="3270" spans="2:8">
      <c r="B3270" s="80"/>
      <c r="C3270" s="36"/>
      <c r="D3270" s="91"/>
      <c r="E3270" s="80"/>
      <c r="F3270" s="80"/>
      <c r="G3270" s="91"/>
      <c r="H3270" s="91"/>
    </row>
    <row r="3271" spans="2:8">
      <c r="B3271" s="80"/>
      <c r="C3271" s="36"/>
      <c r="D3271" s="91"/>
      <c r="E3271" s="80"/>
      <c r="F3271" s="80"/>
      <c r="G3271" s="91"/>
      <c r="H3271" s="91"/>
    </row>
    <row r="3272" spans="2:8">
      <c r="B3272" s="80"/>
      <c r="C3272" s="36"/>
      <c r="D3272" s="91"/>
      <c r="E3272" s="80"/>
      <c r="F3272" s="80"/>
      <c r="G3272" s="91"/>
      <c r="H3272" s="91"/>
    </row>
    <row r="3273" spans="2:8">
      <c r="B3273" s="80"/>
      <c r="C3273" s="36"/>
      <c r="D3273" s="91"/>
      <c r="E3273" s="80"/>
      <c r="F3273" s="80"/>
      <c r="G3273" s="91"/>
      <c r="H3273" s="91"/>
    </row>
    <row r="3274" spans="2:8">
      <c r="B3274" s="80"/>
      <c r="C3274" s="36"/>
      <c r="D3274" s="91"/>
      <c r="E3274" s="80"/>
      <c r="F3274" s="80"/>
      <c r="G3274" s="91"/>
      <c r="H3274" s="91"/>
    </row>
    <row r="3275" spans="2:8">
      <c r="B3275" s="80"/>
      <c r="C3275" s="36"/>
      <c r="D3275" s="91"/>
      <c r="E3275" s="80"/>
      <c r="F3275" s="80"/>
      <c r="G3275" s="91"/>
      <c r="H3275" s="91"/>
    </row>
    <row r="3276" spans="2:8">
      <c r="B3276" s="80"/>
      <c r="C3276" s="36"/>
      <c r="D3276" s="91"/>
      <c r="E3276" s="80"/>
      <c r="F3276" s="80"/>
      <c r="G3276" s="91"/>
      <c r="H3276" s="91"/>
    </row>
    <row r="3277" spans="2:8">
      <c r="B3277" s="80"/>
      <c r="C3277" s="36"/>
      <c r="D3277" s="91"/>
      <c r="E3277" s="80"/>
      <c r="F3277" s="80"/>
      <c r="G3277" s="91"/>
      <c r="H3277" s="91"/>
    </row>
    <row r="3278" spans="2:8">
      <c r="B3278" s="80"/>
      <c r="C3278" s="36"/>
      <c r="D3278" s="91"/>
      <c r="E3278" s="80"/>
      <c r="F3278" s="80"/>
      <c r="G3278" s="91"/>
      <c r="H3278" s="91"/>
    </row>
    <row r="3279" spans="2:8">
      <c r="B3279" s="80"/>
      <c r="C3279" s="36"/>
      <c r="D3279" s="91"/>
      <c r="E3279" s="80"/>
      <c r="F3279" s="80"/>
      <c r="G3279" s="91"/>
      <c r="H3279" s="91"/>
    </row>
    <row r="3280" spans="2:8">
      <c r="B3280" s="80"/>
      <c r="C3280" s="36"/>
      <c r="D3280" s="91"/>
      <c r="E3280" s="80"/>
      <c r="F3280" s="80"/>
      <c r="G3280" s="91"/>
      <c r="H3280" s="91"/>
    </row>
    <row r="3281" spans="2:8">
      <c r="B3281" s="80"/>
      <c r="C3281" s="36"/>
      <c r="D3281" s="91"/>
      <c r="E3281" s="80"/>
      <c r="F3281" s="80"/>
      <c r="G3281" s="91"/>
      <c r="H3281" s="91"/>
    </row>
    <row r="3282" spans="2:8">
      <c r="B3282" s="80"/>
      <c r="C3282" s="36"/>
      <c r="D3282" s="91"/>
      <c r="E3282" s="80"/>
      <c r="F3282" s="80"/>
      <c r="G3282" s="91"/>
      <c r="H3282" s="91"/>
    </row>
    <row r="3283" spans="2:8">
      <c r="B3283" s="80"/>
      <c r="C3283" s="36"/>
      <c r="D3283" s="91"/>
      <c r="E3283" s="80"/>
      <c r="F3283" s="80"/>
      <c r="G3283" s="91"/>
      <c r="H3283" s="91"/>
    </row>
    <row r="3284" spans="2:8">
      <c r="B3284" s="80"/>
      <c r="C3284" s="36"/>
      <c r="D3284" s="91"/>
      <c r="E3284" s="80"/>
      <c r="F3284" s="80"/>
      <c r="G3284" s="91"/>
      <c r="H3284" s="91"/>
    </row>
    <row r="3285" spans="2:8">
      <c r="B3285" s="80"/>
      <c r="C3285" s="36"/>
      <c r="D3285" s="91"/>
      <c r="E3285" s="80"/>
      <c r="F3285" s="80"/>
      <c r="G3285" s="91"/>
      <c r="H3285" s="91"/>
    </row>
    <row r="3286" spans="2:8">
      <c r="B3286" s="80"/>
      <c r="C3286" s="36"/>
      <c r="D3286" s="91"/>
      <c r="E3286" s="80"/>
      <c r="F3286" s="80"/>
      <c r="G3286" s="91"/>
      <c r="H3286" s="91"/>
    </row>
    <row r="3287" spans="2:8">
      <c r="B3287" s="80"/>
      <c r="C3287" s="36"/>
      <c r="D3287" s="91"/>
      <c r="E3287" s="80"/>
      <c r="F3287" s="80"/>
      <c r="G3287" s="91"/>
      <c r="H3287" s="91"/>
    </row>
    <row r="3288" spans="2:8">
      <c r="B3288" s="80"/>
      <c r="C3288" s="36"/>
      <c r="D3288" s="91"/>
      <c r="E3288" s="80"/>
      <c r="F3288" s="80"/>
      <c r="G3288" s="91"/>
      <c r="H3288" s="91"/>
    </row>
    <row r="3289" spans="2:8">
      <c r="B3289" s="80"/>
      <c r="C3289" s="36"/>
      <c r="D3289" s="91"/>
      <c r="E3289" s="80"/>
      <c r="F3289" s="80"/>
      <c r="G3289" s="91"/>
      <c r="H3289" s="91"/>
    </row>
    <row r="3290" spans="2:8">
      <c r="B3290" s="80"/>
      <c r="C3290" s="36"/>
      <c r="D3290" s="91"/>
      <c r="E3290" s="80"/>
      <c r="F3290" s="80"/>
      <c r="G3290" s="91"/>
      <c r="H3290" s="91"/>
    </row>
    <row r="3291" spans="2:8">
      <c r="B3291" s="80"/>
      <c r="C3291" s="36"/>
      <c r="D3291" s="91"/>
      <c r="E3291" s="80"/>
      <c r="F3291" s="80"/>
      <c r="G3291" s="91"/>
      <c r="H3291" s="91"/>
    </row>
    <row r="3292" spans="2:8">
      <c r="B3292" s="80"/>
      <c r="C3292" s="36"/>
      <c r="D3292" s="91"/>
      <c r="E3292" s="80"/>
      <c r="F3292" s="80"/>
      <c r="G3292" s="91"/>
      <c r="H3292" s="91"/>
    </row>
    <row r="3293" spans="2:8">
      <c r="B3293" s="80"/>
      <c r="C3293" s="36"/>
      <c r="D3293" s="91"/>
      <c r="E3293" s="80"/>
      <c r="F3293" s="80"/>
      <c r="G3293" s="91"/>
      <c r="H3293" s="91"/>
    </row>
    <row r="3294" spans="2:8">
      <c r="B3294" s="80"/>
      <c r="C3294" s="36"/>
      <c r="D3294" s="91"/>
      <c r="E3294" s="80"/>
      <c r="F3294" s="80"/>
      <c r="G3294" s="91"/>
      <c r="H3294" s="91"/>
    </row>
    <row r="3295" spans="2:8">
      <c r="B3295" s="80"/>
      <c r="C3295" s="36"/>
      <c r="D3295" s="91"/>
      <c r="E3295" s="80"/>
      <c r="F3295" s="80"/>
      <c r="G3295" s="91"/>
      <c r="H3295" s="91"/>
    </row>
    <row r="3296" spans="2:8">
      <c r="B3296" s="80"/>
      <c r="C3296" s="36"/>
      <c r="D3296" s="91"/>
      <c r="E3296" s="80"/>
      <c r="F3296" s="80"/>
      <c r="G3296" s="91"/>
      <c r="H3296" s="91"/>
    </row>
    <row r="3297" spans="2:8">
      <c r="B3297" s="80"/>
      <c r="C3297" s="36"/>
      <c r="D3297" s="91"/>
      <c r="E3297" s="80"/>
      <c r="F3297" s="80"/>
      <c r="G3297" s="91"/>
      <c r="H3297" s="91"/>
    </row>
    <row r="3298" spans="2:8">
      <c r="B3298" s="80"/>
      <c r="C3298" s="36"/>
      <c r="D3298" s="91"/>
      <c r="E3298" s="80"/>
      <c r="F3298" s="80"/>
      <c r="G3298" s="91"/>
      <c r="H3298" s="91"/>
    </row>
    <row r="3299" spans="2:8">
      <c r="B3299" s="80"/>
      <c r="C3299" s="36"/>
      <c r="D3299" s="91"/>
      <c r="E3299" s="80"/>
      <c r="F3299" s="80"/>
      <c r="G3299" s="91"/>
      <c r="H3299" s="91"/>
    </row>
    <row r="3300" spans="2:8">
      <c r="B3300" s="80"/>
      <c r="C3300" s="36"/>
      <c r="D3300" s="91"/>
      <c r="E3300" s="80"/>
      <c r="F3300" s="80"/>
      <c r="G3300" s="91"/>
      <c r="H3300" s="91"/>
    </row>
    <row r="3301" spans="2:8">
      <c r="B3301" s="80"/>
      <c r="C3301" s="36"/>
      <c r="D3301" s="91"/>
      <c r="E3301" s="80"/>
      <c r="F3301" s="80"/>
      <c r="G3301" s="91"/>
      <c r="H3301" s="91"/>
    </row>
    <row r="3302" spans="2:8">
      <c r="B3302" s="80"/>
      <c r="C3302" s="36"/>
      <c r="D3302" s="91"/>
      <c r="E3302" s="80"/>
      <c r="F3302" s="80"/>
      <c r="G3302" s="91"/>
      <c r="H3302" s="91"/>
    </row>
    <row r="3303" spans="2:8">
      <c r="B3303" s="80"/>
      <c r="C3303" s="36"/>
      <c r="D3303" s="91"/>
      <c r="E3303" s="80"/>
      <c r="F3303" s="80"/>
      <c r="G3303" s="91"/>
      <c r="H3303" s="91"/>
    </row>
    <row r="3304" spans="2:8">
      <c r="B3304" s="80"/>
      <c r="C3304" s="36"/>
      <c r="D3304" s="91"/>
      <c r="E3304" s="80"/>
      <c r="F3304" s="80"/>
      <c r="G3304" s="91"/>
      <c r="H3304" s="91"/>
    </row>
    <row r="3305" spans="2:8">
      <c r="B3305" s="80"/>
      <c r="C3305" s="36"/>
      <c r="D3305" s="91"/>
      <c r="E3305" s="80"/>
      <c r="F3305" s="80"/>
      <c r="G3305" s="91"/>
      <c r="H3305" s="91"/>
    </row>
    <row r="3306" spans="2:8">
      <c r="B3306" s="80"/>
      <c r="C3306" s="36"/>
      <c r="D3306" s="91"/>
      <c r="E3306" s="80"/>
      <c r="F3306" s="80"/>
      <c r="G3306" s="91"/>
      <c r="H3306" s="91"/>
    </row>
    <row r="3307" spans="2:8">
      <c r="B3307" s="80"/>
      <c r="C3307" s="36"/>
      <c r="D3307" s="91"/>
      <c r="E3307" s="80"/>
      <c r="F3307" s="80"/>
      <c r="G3307" s="91"/>
      <c r="H3307" s="91"/>
    </row>
    <row r="3308" spans="2:8">
      <c r="B3308" s="80"/>
      <c r="C3308" s="36"/>
      <c r="D3308" s="91"/>
      <c r="E3308" s="80"/>
      <c r="F3308" s="80"/>
      <c r="G3308" s="91"/>
      <c r="H3308" s="91"/>
    </row>
    <row r="3309" spans="2:8">
      <c r="B3309" s="80"/>
      <c r="C3309" s="36"/>
      <c r="D3309" s="91"/>
      <c r="E3309" s="80"/>
      <c r="F3309" s="80"/>
      <c r="G3309" s="91"/>
      <c r="H3309" s="91"/>
    </row>
    <row r="3310" spans="2:8">
      <c r="B3310" s="80"/>
      <c r="C3310" s="36"/>
      <c r="D3310" s="91"/>
      <c r="E3310" s="80"/>
      <c r="F3310" s="80"/>
      <c r="G3310" s="91"/>
      <c r="H3310" s="91"/>
    </row>
    <row r="3311" spans="2:8">
      <c r="B3311" s="80"/>
      <c r="C3311" s="36"/>
      <c r="D3311" s="91"/>
      <c r="E3311" s="80"/>
      <c r="F3311" s="80"/>
      <c r="G3311" s="91"/>
      <c r="H3311" s="91"/>
    </row>
    <row r="3312" spans="2:8">
      <c r="B3312" s="80"/>
      <c r="C3312" s="36"/>
      <c r="D3312" s="91"/>
      <c r="E3312" s="80"/>
      <c r="F3312" s="80"/>
      <c r="G3312" s="91"/>
      <c r="H3312" s="91"/>
    </row>
    <row r="3313" spans="2:8">
      <c r="B3313" s="80"/>
      <c r="C3313" s="36"/>
      <c r="D3313" s="91"/>
      <c r="E3313" s="80"/>
      <c r="F3313" s="80"/>
      <c r="G3313" s="91"/>
      <c r="H3313" s="91"/>
    </row>
    <row r="3314" spans="2:8">
      <c r="B3314" s="80"/>
      <c r="C3314" s="36"/>
      <c r="D3314" s="91"/>
      <c r="E3314" s="80"/>
      <c r="F3314" s="80"/>
      <c r="G3314" s="91"/>
      <c r="H3314" s="91"/>
    </row>
    <row r="3315" spans="2:8">
      <c r="B3315" s="80"/>
      <c r="C3315" s="36"/>
      <c r="D3315" s="91"/>
      <c r="E3315" s="80"/>
      <c r="F3315" s="80"/>
      <c r="G3315" s="91"/>
      <c r="H3315" s="91"/>
    </row>
    <row r="3316" spans="2:8">
      <c r="B3316" s="80"/>
      <c r="C3316" s="36"/>
      <c r="D3316" s="91"/>
      <c r="E3316" s="80"/>
      <c r="F3316" s="80"/>
      <c r="G3316" s="91"/>
      <c r="H3316" s="91"/>
    </row>
    <row r="3317" spans="2:8">
      <c r="B3317" s="80"/>
      <c r="C3317" s="36"/>
      <c r="D3317" s="91"/>
      <c r="E3317" s="80"/>
      <c r="F3317" s="80"/>
      <c r="G3317" s="91"/>
      <c r="H3317" s="91"/>
    </row>
    <row r="3318" spans="2:8">
      <c r="B3318" s="80"/>
      <c r="C3318" s="36"/>
      <c r="D3318" s="91"/>
      <c r="E3318" s="80"/>
      <c r="F3318" s="80"/>
      <c r="G3318" s="91"/>
      <c r="H3318" s="91"/>
    </row>
    <row r="3319" spans="2:8">
      <c r="B3319" s="80"/>
      <c r="C3319" s="36"/>
      <c r="D3319" s="91"/>
      <c r="E3319" s="80"/>
      <c r="F3319" s="80"/>
      <c r="G3319" s="91"/>
      <c r="H3319" s="91"/>
    </row>
    <row r="3320" spans="2:8">
      <c r="B3320" s="80"/>
      <c r="C3320" s="36"/>
      <c r="D3320" s="91"/>
      <c r="E3320" s="80"/>
      <c r="F3320" s="80"/>
      <c r="G3320" s="91"/>
      <c r="H3320" s="91"/>
    </row>
    <row r="3321" spans="2:8">
      <c r="B3321" s="80"/>
      <c r="C3321" s="36"/>
      <c r="D3321" s="91"/>
      <c r="E3321" s="80"/>
      <c r="F3321" s="80"/>
      <c r="G3321" s="91"/>
      <c r="H3321" s="91"/>
    </row>
    <row r="3322" spans="2:8">
      <c r="B3322" s="80"/>
      <c r="C3322" s="36"/>
      <c r="D3322" s="91"/>
      <c r="E3322" s="80"/>
      <c r="F3322" s="80"/>
      <c r="G3322" s="91"/>
      <c r="H3322" s="91"/>
    </row>
    <row r="3323" spans="2:8">
      <c r="B3323" s="80"/>
      <c r="C3323" s="36"/>
      <c r="D3323" s="91"/>
      <c r="E3323" s="80"/>
      <c r="F3323" s="80"/>
      <c r="G3323" s="91"/>
      <c r="H3323" s="91"/>
    </row>
    <row r="3324" spans="2:8">
      <c r="B3324" s="80"/>
      <c r="C3324" s="36"/>
      <c r="D3324" s="91"/>
      <c r="E3324" s="80"/>
      <c r="F3324" s="80"/>
      <c r="G3324" s="91"/>
      <c r="H3324" s="91"/>
    </row>
    <row r="3325" spans="2:8">
      <c r="B3325" s="80"/>
      <c r="C3325" s="36"/>
      <c r="D3325" s="91"/>
      <c r="E3325" s="80"/>
      <c r="F3325" s="80"/>
      <c r="G3325" s="91"/>
      <c r="H3325" s="91"/>
    </row>
    <row r="3326" spans="2:8">
      <c r="B3326" s="80"/>
      <c r="C3326" s="36"/>
      <c r="D3326" s="91"/>
      <c r="E3326" s="80"/>
      <c r="F3326" s="80"/>
      <c r="G3326" s="91"/>
      <c r="H3326" s="91"/>
    </row>
    <row r="3327" spans="2:8">
      <c r="B3327" s="80"/>
      <c r="C3327" s="36"/>
      <c r="D3327" s="91"/>
      <c r="E3327" s="80"/>
      <c r="F3327" s="80"/>
      <c r="G3327" s="91"/>
      <c r="H3327" s="91"/>
    </row>
    <row r="3328" spans="2:8">
      <c r="B3328" s="80"/>
      <c r="C3328" s="36"/>
      <c r="D3328" s="91"/>
      <c r="E3328" s="80"/>
      <c r="F3328" s="80"/>
      <c r="G3328" s="91"/>
      <c r="H3328" s="91"/>
    </row>
    <row r="3329" spans="2:8">
      <c r="B3329" s="80"/>
      <c r="C3329" s="36"/>
      <c r="D3329" s="91"/>
      <c r="E3329" s="80"/>
      <c r="F3329" s="80"/>
      <c r="G3329" s="91"/>
      <c r="H3329" s="91"/>
    </row>
    <row r="3330" spans="2:8">
      <c r="B3330" s="80"/>
      <c r="C3330" s="36"/>
      <c r="D3330" s="91"/>
      <c r="E3330" s="80"/>
      <c r="F3330" s="80"/>
      <c r="G3330" s="91"/>
      <c r="H3330" s="91"/>
    </row>
    <row r="3331" spans="2:8">
      <c r="B3331" s="80"/>
      <c r="C3331" s="36"/>
      <c r="D3331" s="91"/>
      <c r="E3331" s="80"/>
      <c r="F3331" s="80"/>
      <c r="G3331" s="91"/>
      <c r="H3331" s="91"/>
    </row>
    <row r="3332" spans="2:8">
      <c r="B3332" s="80"/>
      <c r="C3332" s="36"/>
      <c r="D3332" s="91"/>
      <c r="E3332" s="80"/>
      <c r="F3332" s="80"/>
      <c r="G3332" s="91"/>
      <c r="H3332" s="91"/>
    </row>
    <row r="3333" spans="2:8">
      <c r="B3333" s="80"/>
      <c r="C3333" s="36"/>
      <c r="D3333" s="91"/>
      <c r="E3333" s="80"/>
      <c r="F3333" s="80"/>
      <c r="G3333" s="91"/>
      <c r="H3333" s="91"/>
    </row>
    <row r="3334" spans="2:8">
      <c r="B3334" s="80"/>
      <c r="C3334" s="36"/>
      <c r="D3334" s="91"/>
      <c r="E3334" s="80"/>
      <c r="F3334" s="80"/>
      <c r="G3334" s="91"/>
      <c r="H3334" s="91"/>
    </row>
    <row r="3335" spans="2:8">
      <c r="B3335" s="80"/>
      <c r="C3335" s="36"/>
      <c r="D3335" s="91"/>
      <c r="E3335" s="80"/>
      <c r="F3335" s="80"/>
      <c r="G3335" s="91"/>
      <c r="H3335" s="91"/>
    </row>
    <row r="3336" spans="2:8">
      <c r="B3336" s="80"/>
      <c r="C3336" s="36"/>
      <c r="D3336" s="91"/>
      <c r="E3336" s="80"/>
      <c r="F3336" s="80"/>
      <c r="G3336" s="91"/>
      <c r="H3336" s="91"/>
    </row>
    <row r="3337" spans="2:8">
      <c r="B3337" s="80"/>
      <c r="C3337" s="36"/>
      <c r="D3337" s="91"/>
      <c r="E3337" s="80"/>
      <c r="F3337" s="80"/>
      <c r="G3337" s="91"/>
      <c r="H3337" s="91"/>
    </row>
    <row r="3338" spans="2:8">
      <c r="B3338" s="80"/>
      <c r="C3338" s="36"/>
      <c r="D3338" s="91"/>
      <c r="E3338" s="80"/>
      <c r="F3338" s="80"/>
      <c r="G3338" s="91"/>
      <c r="H3338" s="91"/>
    </row>
    <row r="3339" spans="2:8">
      <c r="B3339" s="80"/>
      <c r="C3339" s="36"/>
      <c r="D3339" s="91"/>
      <c r="E3339" s="80"/>
      <c r="F3339" s="80"/>
      <c r="G3339" s="91"/>
      <c r="H3339" s="91"/>
    </row>
    <row r="3340" spans="2:8">
      <c r="B3340" s="80"/>
      <c r="C3340" s="36"/>
      <c r="D3340" s="91"/>
      <c r="E3340" s="80"/>
      <c r="F3340" s="80"/>
      <c r="G3340" s="91"/>
      <c r="H3340" s="91"/>
    </row>
    <row r="3341" spans="2:8">
      <c r="B3341" s="80"/>
      <c r="C3341" s="36"/>
      <c r="D3341" s="91"/>
      <c r="E3341" s="80"/>
      <c r="F3341" s="80"/>
      <c r="G3341" s="91"/>
      <c r="H3341" s="91"/>
    </row>
    <row r="3342" spans="2:8">
      <c r="B3342" s="80"/>
      <c r="C3342" s="36"/>
      <c r="D3342" s="91"/>
      <c r="E3342" s="80"/>
      <c r="F3342" s="80"/>
      <c r="G3342" s="91"/>
      <c r="H3342" s="91"/>
    </row>
    <row r="3343" spans="2:8">
      <c r="B3343" s="80"/>
      <c r="C3343" s="36"/>
      <c r="D3343" s="91"/>
      <c r="E3343" s="80"/>
      <c r="F3343" s="80"/>
      <c r="G3343" s="91"/>
      <c r="H3343" s="91"/>
    </row>
    <row r="3344" spans="2:8">
      <c r="B3344" s="80"/>
      <c r="C3344" s="36"/>
      <c r="D3344" s="91"/>
      <c r="E3344" s="80"/>
      <c r="F3344" s="80"/>
      <c r="G3344" s="91"/>
      <c r="H3344" s="91"/>
    </row>
    <row r="3345" spans="2:8">
      <c r="B3345" s="80"/>
      <c r="C3345" s="36"/>
      <c r="D3345" s="91"/>
      <c r="E3345" s="80"/>
      <c r="F3345" s="80"/>
      <c r="G3345" s="91"/>
      <c r="H3345" s="91"/>
    </row>
    <row r="3346" spans="2:8">
      <c r="B3346" s="80"/>
      <c r="C3346" s="36"/>
      <c r="D3346" s="91"/>
      <c r="E3346" s="80"/>
      <c r="F3346" s="80"/>
      <c r="G3346" s="91"/>
      <c r="H3346" s="91"/>
    </row>
    <row r="3347" spans="2:8">
      <c r="B3347" s="80"/>
      <c r="C3347" s="36"/>
      <c r="D3347" s="91"/>
      <c r="E3347" s="80"/>
      <c r="F3347" s="80"/>
      <c r="G3347" s="91"/>
      <c r="H3347" s="91"/>
    </row>
    <row r="3348" spans="2:8">
      <c r="B3348" s="80"/>
      <c r="C3348" s="36"/>
      <c r="D3348" s="91"/>
      <c r="E3348" s="80"/>
      <c r="F3348" s="80"/>
      <c r="G3348" s="91"/>
      <c r="H3348" s="91"/>
    </row>
    <row r="3349" spans="2:8">
      <c r="B3349" s="80"/>
      <c r="C3349" s="36"/>
      <c r="D3349" s="91"/>
      <c r="E3349" s="80"/>
      <c r="F3349" s="80"/>
      <c r="G3349" s="91"/>
      <c r="H3349" s="91"/>
    </row>
    <row r="3350" spans="2:8">
      <c r="B3350" s="80"/>
      <c r="C3350" s="36"/>
      <c r="D3350" s="91"/>
      <c r="E3350" s="80"/>
      <c r="F3350" s="80"/>
      <c r="G3350" s="91"/>
      <c r="H3350" s="91"/>
    </row>
    <row r="3351" spans="2:8">
      <c r="B3351" s="80"/>
      <c r="C3351" s="36"/>
      <c r="D3351" s="91"/>
      <c r="E3351" s="80"/>
      <c r="F3351" s="80"/>
      <c r="G3351" s="91"/>
      <c r="H3351" s="91"/>
    </row>
    <row r="3352" spans="2:8">
      <c r="B3352" s="80"/>
      <c r="C3352" s="36"/>
      <c r="D3352" s="91"/>
      <c r="E3352" s="80"/>
      <c r="F3352" s="80"/>
      <c r="G3352" s="91"/>
      <c r="H3352" s="91"/>
    </row>
    <row r="3353" spans="2:8">
      <c r="B3353" s="80"/>
      <c r="C3353" s="36"/>
      <c r="D3353" s="91"/>
      <c r="E3353" s="80"/>
      <c r="F3353" s="80"/>
      <c r="G3353" s="91"/>
      <c r="H3353" s="91"/>
    </row>
    <row r="3354" spans="2:8">
      <c r="B3354" s="80"/>
      <c r="C3354" s="36"/>
      <c r="D3354" s="91"/>
      <c r="E3354" s="80"/>
      <c r="F3354" s="80"/>
      <c r="G3354" s="91"/>
      <c r="H3354" s="91"/>
    </row>
    <row r="3355" spans="2:8">
      <c r="B3355" s="80"/>
      <c r="C3355" s="36"/>
      <c r="D3355" s="91"/>
      <c r="E3355" s="80"/>
      <c r="F3355" s="80"/>
      <c r="G3355" s="91"/>
      <c r="H3355" s="91"/>
    </row>
    <row r="3356" spans="2:8">
      <c r="B3356" s="80"/>
      <c r="C3356" s="36"/>
      <c r="D3356" s="91"/>
      <c r="E3356" s="80"/>
      <c r="F3356" s="80"/>
      <c r="G3356" s="91"/>
      <c r="H3356" s="91"/>
    </row>
    <row r="3357" spans="2:8">
      <c r="B3357" s="80"/>
      <c r="C3357" s="36"/>
      <c r="D3357" s="91"/>
      <c r="E3357" s="80"/>
      <c r="F3357" s="80"/>
      <c r="G3357" s="91"/>
      <c r="H3357" s="91"/>
    </row>
    <row r="3358" spans="2:8">
      <c r="B3358" s="80"/>
      <c r="C3358" s="36"/>
      <c r="D3358" s="91"/>
      <c r="E3358" s="80"/>
      <c r="F3358" s="80"/>
      <c r="G3358" s="91"/>
      <c r="H3358" s="91"/>
    </row>
    <row r="3359" spans="2:8">
      <c r="B3359" s="80"/>
      <c r="C3359" s="36"/>
      <c r="D3359" s="91"/>
      <c r="E3359" s="80"/>
      <c r="F3359" s="80"/>
      <c r="G3359" s="91"/>
      <c r="H3359" s="91"/>
    </row>
    <row r="3360" spans="2:8">
      <c r="B3360" s="80"/>
      <c r="C3360" s="36"/>
      <c r="D3360" s="91"/>
      <c r="E3360" s="80"/>
      <c r="F3360" s="80"/>
      <c r="G3360" s="91"/>
      <c r="H3360" s="91"/>
    </row>
    <row r="3361" spans="2:8">
      <c r="B3361" s="80"/>
      <c r="C3361" s="36"/>
      <c r="D3361" s="91"/>
      <c r="E3361" s="80"/>
      <c r="F3361" s="80"/>
      <c r="G3361" s="91"/>
      <c r="H3361" s="91"/>
    </row>
    <row r="3362" spans="2:8">
      <c r="B3362" s="80"/>
      <c r="C3362" s="36"/>
      <c r="D3362" s="91"/>
      <c r="E3362" s="80"/>
      <c r="F3362" s="80"/>
      <c r="G3362" s="91"/>
      <c r="H3362" s="91"/>
    </row>
    <row r="3363" spans="2:8">
      <c r="B3363" s="80"/>
      <c r="C3363" s="36"/>
      <c r="D3363" s="91"/>
      <c r="E3363" s="80"/>
      <c r="F3363" s="80"/>
      <c r="G3363" s="91"/>
      <c r="H3363" s="91"/>
    </row>
    <row r="3364" spans="2:8">
      <c r="B3364" s="80"/>
      <c r="C3364" s="36"/>
      <c r="D3364" s="91"/>
      <c r="E3364" s="80"/>
      <c r="F3364" s="80"/>
      <c r="G3364" s="91"/>
      <c r="H3364" s="91"/>
    </row>
    <row r="3365" spans="2:8">
      <c r="B3365" s="80"/>
      <c r="C3365" s="36"/>
      <c r="D3365" s="91"/>
      <c r="E3365" s="80"/>
      <c r="F3365" s="80"/>
      <c r="G3365" s="91"/>
      <c r="H3365" s="91"/>
    </row>
    <row r="3366" spans="2:8">
      <c r="B3366" s="80"/>
      <c r="C3366" s="36"/>
      <c r="D3366" s="91"/>
      <c r="E3366" s="80"/>
      <c r="F3366" s="80"/>
      <c r="G3366" s="91"/>
      <c r="H3366" s="91"/>
    </row>
    <row r="3367" spans="2:8">
      <c r="B3367" s="80"/>
      <c r="C3367" s="36"/>
      <c r="D3367" s="91"/>
      <c r="E3367" s="80"/>
      <c r="F3367" s="80"/>
      <c r="G3367" s="91"/>
      <c r="H3367" s="91"/>
    </row>
    <row r="3368" spans="2:8">
      <c r="B3368" s="80"/>
      <c r="C3368" s="36"/>
      <c r="D3368" s="91"/>
      <c r="E3368" s="80"/>
      <c r="F3368" s="80"/>
      <c r="G3368" s="91"/>
      <c r="H3368" s="91"/>
    </row>
    <row r="3369" spans="2:8">
      <c r="B3369" s="80"/>
      <c r="C3369" s="36"/>
      <c r="D3369" s="91"/>
      <c r="E3369" s="80"/>
      <c r="F3369" s="80"/>
      <c r="G3369" s="91"/>
      <c r="H3369" s="91"/>
    </row>
    <row r="3370" spans="2:8">
      <c r="B3370" s="80"/>
      <c r="C3370" s="36"/>
      <c r="D3370" s="91"/>
      <c r="E3370" s="80"/>
      <c r="F3370" s="80"/>
      <c r="G3370" s="91"/>
      <c r="H3370" s="91"/>
    </row>
    <row r="3371" spans="2:8">
      <c r="B3371" s="80"/>
      <c r="C3371" s="36"/>
      <c r="D3371" s="91"/>
      <c r="E3371" s="80"/>
      <c r="F3371" s="80"/>
      <c r="G3371" s="91"/>
      <c r="H3371" s="91"/>
    </row>
    <row r="3372" spans="2:8">
      <c r="B3372" s="80"/>
      <c r="C3372" s="36"/>
      <c r="D3372" s="91"/>
      <c r="E3372" s="80"/>
      <c r="F3372" s="80"/>
      <c r="G3372" s="91"/>
      <c r="H3372" s="91"/>
    </row>
    <row r="3373" spans="2:8">
      <c r="B3373" s="80"/>
      <c r="C3373" s="36"/>
      <c r="D3373" s="91"/>
      <c r="E3373" s="80"/>
      <c r="F3373" s="80"/>
      <c r="G3373" s="91"/>
      <c r="H3373" s="91"/>
    </row>
    <row r="3374" spans="2:8">
      <c r="B3374" s="80"/>
      <c r="C3374" s="36"/>
      <c r="D3374" s="91"/>
      <c r="E3374" s="80"/>
      <c r="F3374" s="80"/>
      <c r="G3374" s="91"/>
      <c r="H3374" s="91"/>
    </row>
    <row r="3375" spans="2:8">
      <c r="B3375" s="80"/>
      <c r="C3375" s="36"/>
      <c r="D3375" s="91"/>
      <c r="E3375" s="80"/>
      <c r="F3375" s="80"/>
      <c r="G3375" s="91"/>
      <c r="H3375" s="91"/>
    </row>
    <row r="3376" spans="2:8">
      <c r="B3376" s="80"/>
      <c r="C3376" s="36"/>
      <c r="D3376" s="91"/>
      <c r="E3376" s="80"/>
      <c r="F3376" s="80"/>
      <c r="G3376" s="91"/>
      <c r="H3376" s="91"/>
    </row>
    <row r="3377" spans="2:8">
      <c r="B3377" s="80"/>
      <c r="C3377" s="36"/>
      <c r="D3377" s="91"/>
      <c r="E3377" s="80"/>
      <c r="F3377" s="80"/>
      <c r="G3377" s="91"/>
      <c r="H3377" s="91"/>
    </row>
    <row r="3378" spans="2:8">
      <c r="B3378" s="80"/>
      <c r="C3378" s="36"/>
      <c r="D3378" s="91"/>
      <c r="E3378" s="80"/>
      <c r="F3378" s="80"/>
      <c r="G3378" s="91"/>
      <c r="H3378" s="91"/>
    </row>
    <row r="3379" spans="2:8">
      <c r="B3379" s="80"/>
      <c r="C3379" s="36"/>
      <c r="D3379" s="91"/>
      <c r="E3379" s="80"/>
      <c r="F3379" s="80"/>
      <c r="G3379" s="91"/>
      <c r="H3379" s="91"/>
    </row>
    <row r="3380" spans="2:8">
      <c r="B3380" s="80"/>
      <c r="C3380" s="36"/>
      <c r="D3380" s="91"/>
      <c r="E3380" s="80"/>
      <c r="F3380" s="80"/>
      <c r="G3380" s="91"/>
      <c r="H3380" s="91"/>
    </row>
    <row r="3381" spans="2:8">
      <c r="B3381" s="80"/>
      <c r="C3381" s="36"/>
      <c r="D3381" s="91"/>
      <c r="E3381" s="80"/>
      <c r="F3381" s="80"/>
      <c r="G3381" s="91"/>
      <c r="H3381" s="91"/>
    </row>
    <row r="3382" spans="2:8">
      <c r="B3382" s="80"/>
      <c r="C3382" s="36"/>
      <c r="D3382" s="91"/>
      <c r="E3382" s="80"/>
      <c r="F3382" s="80"/>
      <c r="G3382" s="91"/>
      <c r="H3382" s="91"/>
    </row>
    <row r="3383" spans="2:8">
      <c r="B3383" s="80"/>
      <c r="C3383" s="36"/>
      <c r="D3383" s="91"/>
      <c r="E3383" s="80"/>
      <c r="F3383" s="80"/>
      <c r="G3383" s="91"/>
      <c r="H3383" s="91"/>
    </row>
    <row r="3384" spans="2:8">
      <c r="B3384" s="80"/>
      <c r="C3384" s="36"/>
      <c r="D3384" s="91"/>
      <c r="E3384" s="80"/>
      <c r="F3384" s="80"/>
      <c r="G3384" s="91"/>
      <c r="H3384" s="91"/>
    </row>
    <row r="3385" spans="2:8">
      <c r="B3385" s="80"/>
      <c r="C3385" s="36"/>
      <c r="D3385" s="91"/>
      <c r="E3385" s="80"/>
      <c r="F3385" s="80"/>
      <c r="G3385" s="91"/>
      <c r="H3385" s="91"/>
    </row>
    <row r="3386" spans="2:8">
      <c r="B3386" s="80"/>
      <c r="C3386" s="36"/>
      <c r="D3386" s="91"/>
      <c r="E3386" s="80"/>
      <c r="F3386" s="80"/>
      <c r="G3386" s="91"/>
      <c r="H3386" s="91"/>
    </row>
    <row r="3387" spans="2:8">
      <c r="B3387" s="80"/>
      <c r="C3387" s="36"/>
      <c r="D3387" s="91"/>
      <c r="E3387" s="80"/>
      <c r="F3387" s="80"/>
      <c r="G3387" s="91"/>
      <c r="H3387" s="91"/>
    </row>
    <row r="3388" spans="2:8">
      <c r="B3388" s="80"/>
      <c r="C3388" s="36"/>
      <c r="D3388" s="91"/>
      <c r="E3388" s="80"/>
      <c r="F3388" s="80"/>
      <c r="G3388" s="91"/>
      <c r="H3388" s="91"/>
    </row>
    <row r="3389" spans="2:8">
      <c r="B3389" s="80"/>
      <c r="C3389" s="36"/>
      <c r="D3389" s="91"/>
      <c r="E3389" s="80"/>
      <c r="F3389" s="80"/>
      <c r="G3389" s="91"/>
      <c r="H3389" s="91"/>
    </row>
    <row r="3390" spans="2:8">
      <c r="B3390" s="80"/>
      <c r="C3390" s="36"/>
      <c r="D3390" s="91"/>
      <c r="E3390" s="80"/>
      <c r="F3390" s="80"/>
      <c r="G3390" s="91"/>
      <c r="H3390" s="91"/>
    </row>
    <row r="3391" spans="2:8">
      <c r="B3391" s="80"/>
      <c r="C3391" s="36"/>
      <c r="D3391" s="91"/>
      <c r="E3391" s="80"/>
      <c r="F3391" s="80"/>
      <c r="G3391" s="91"/>
      <c r="H3391" s="91"/>
    </row>
    <row r="3392" spans="2:8">
      <c r="B3392" s="80"/>
      <c r="C3392" s="36"/>
      <c r="D3392" s="91"/>
      <c r="E3392" s="80"/>
      <c r="F3392" s="80"/>
      <c r="G3392" s="91"/>
      <c r="H3392" s="91"/>
    </row>
    <row r="3393" spans="2:8">
      <c r="B3393" s="80"/>
      <c r="C3393" s="36"/>
      <c r="D3393" s="91"/>
      <c r="E3393" s="80"/>
      <c r="F3393" s="80"/>
      <c r="G3393" s="91"/>
      <c r="H3393" s="91"/>
    </row>
    <row r="3394" spans="2:8">
      <c r="B3394" s="80"/>
      <c r="C3394" s="36"/>
      <c r="D3394" s="91"/>
      <c r="E3394" s="80"/>
      <c r="F3394" s="80"/>
      <c r="G3394" s="91"/>
      <c r="H3394" s="91"/>
    </row>
    <row r="3395" spans="2:8">
      <c r="B3395" s="80"/>
      <c r="C3395" s="36"/>
      <c r="D3395" s="91"/>
      <c r="E3395" s="80"/>
      <c r="F3395" s="80"/>
      <c r="G3395" s="91"/>
      <c r="H3395" s="91"/>
    </row>
    <row r="3396" spans="2:8">
      <c r="B3396" s="80"/>
      <c r="C3396" s="36"/>
      <c r="D3396" s="91"/>
      <c r="E3396" s="80"/>
      <c r="F3396" s="80"/>
      <c r="G3396" s="91"/>
      <c r="H3396" s="91"/>
    </row>
    <row r="3397" spans="2:8">
      <c r="B3397" s="80"/>
      <c r="C3397" s="36"/>
      <c r="D3397" s="91"/>
      <c r="E3397" s="80"/>
      <c r="F3397" s="80"/>
      <c r="G3397" s="91"/>
      <c r="H3397" s="91"/>
    </row>
    <row r="3398" spans="2:8">
      <c r="B3398" s="80"/>
      <c r="C3398" s="36"/>
      <c r="D3398" s="91"/>
      <c r="E3398" s="80"/>
      <c r="F3398" s="80"/>
      <c r="G3398" s="91"/>
      <c r="H3398" s="91"/>
    </row>
    <row r="3399" spans="2:8">
      <c r="B3399" s="80"/>
      <c r="C3399" s="36"/>
      <c r="D3399" s="91"/>
      <c r="E3399" s="80"/>
      <c r="F3399" s="80"/>
      <c r="G3399" s="91"/>
      <c r="H3399" s="91"/>
    </row>
    <row r="3400" spans="2:8">
      <c r="B3400" s="80"/>
      <c r="C3400" s="36"/>
      <c r="D3400" s="91"/>
      <c r="E3400" s="80"/>
      <c r="F3400" s="80"/>
      <c r="G3400" s="91"/>
      <c r="H3400" s="91"/>
    </row>
    <row r="3401" spans="2:8">
      <c r="B3401" s="80"/>
      <c r="C3401" s="36"/>
      <c r="D3401" s="91"/>
      <c r="E3401" s="80"/>
      <c r="F3401" s="80"/>
      <c r="G3401" s="91"/>
      <c r="H3401" s="91"/>
    </row>
    <row r="3402" spans="2:8">
      <c r="B3402" s="80"/>
      <c r="C3402" s="36"/>
      <c r="D3402" s="91"/>
      <c r="E3402" s="80"/>
      <c r="F3402" s="80"/>
      <c r="G3402" s="91"/>
      <c r="H3402" s="91"/>
    </row>
    <row r="3403" spans="2:8">
      <c r="B3403" s="80"/>
      <c r="C3403" s="36"/>
      <c r="D3403" s="91"/>
      <c r="E3403" s="80"/>
      <c r="F3403" s="80"/>
      <c r="G3403" s="91"/>
      <c r="H3403" s="91"/>
    </row>
    <row r="3404" spans="2:8">
      <c r="B3404" s="80"/>
      <c r="C3404" s="36"/>
      <c r="D3404" s="91"/>
      <c r="E3404" s="80"/>
      <c r="F3404" s="80"/>
      <c r="G3404" s="91"/>
      <c r="H3404" s="91"/>
    </row>
    <row r="3405" spans="2:8">
      <c r="B3405" s="80"/>
      <c r="C3405" s="36"/>
      <c r="D3405" s="91"/>
      <c r="E3405" s="80"/>
      <c r="F3405" s="80"/>
      <c r="G3405" s="91"/>
      <c r="H3405" s="91"/>
    </row>
    <row r="3406" spans="2:8">
      <c r="B3406" s="80"/>
      <c r="C3406" s="36"/>
      <c r="D3406" s="91"/>
      <c r="E3406" s="80"/>
      <c r="F3406" s="80"/>
      <c r="G3406" s="91"/>
      <c r="H3406" s="91"/>
    </row>
    <row r="3407" spans="2:8">
      <c r="B3407" s="80"/>
      <c r="C3407" s="36"/>
      <c r="D3407" s="91"/>
      <c r="E3407" s="80"/>
      <c r="F3407" s="80"/>
      <c r="G3407" s="91"/>
      <c r="H3407" s="91"/>
    </row>
    <row r="3408" spans="2:8">
      <c r="B3408" s="80"/>
      <c r="C3408" s="36"/>
      <c r="D3408" s="91"/>
      <c r="E3408" s="80"/>
      <c r="F3408" s="80"/>
      <c r="G3408" s="91"/>
      <c r="H3408" s="91"/>
    </row>
    <row r="3409" spans="2:8">
      <c r="B3409" s="80"/>
      <c r="C3409" s="36"/>
      <c r="D3409" s="91"/>
      <c r="E3409" s="80"/>
      <c r="F3409" s="80"/>
      <c r="G3409" s="91"/>
      <c r="H3409" s="91"/>
    </row>
    <row r="3410" spans="2:8">
      <c r="B3410" s="80"/>
      <c r="C3410" s="36"/>
      <c r="D3410" s="91"/>
      <c r="E3410" s="80"/>
      <c r="F3410" s="80"/>
      <c r="G3410" s="91"/>
      <c r="H3410" s="91"/>
    </row>
    <row r="3411" spans="2:8">
      <c r="B3411" s="80"/>
      <c r="C3411" s="36"/>
      <c r="D3411" s="91"/>
      <c r="E3411" s="80"/>
      <c r="F3411" s="80"/>
      <c r="G3411" s="91"/>
      <c r="H3411" s="91"/>
    </row>
    <row r="3412" spans="2:8">
      <c r="B3412" s="80"/>
      <c r="C3412" s="36"/>
      <c r="D3412" s="91"/>
      <c r="E3412" s="80"/>
      <c r="F3412" s="80"/>
      <c r="G3412" s="91"/>
      <c r="H3412" s="91"/>
    </row>
    <row r="3413" spans="2:8">
      <c r="B3413" s="80"/>
      <c r="C3413" s="36"/>
      <c r="D3413" s="91"/>
      <c r="E3413" s="80"/>
      <c r="F3413" s="80"/>
      <c r="G3413" s="91"/>
      <c r="H3413" s="91"/>
    </row>
    <row r="3414" spans="2:8">
      <c r="B3414" s="80"/>
      <c r="C3414" s="36"/>
      <c r="D3414" s="91"/>
      <c r="E3414" s="80"/>
      <c r="F3414" s="80"/>
      <c r="G3414" s="91"/>
      <c r="H3414" s="91"/>
    </row>
    <row r="3415" spans="2:8">
      <c r="B3415" s="80"/>
      <c r="C3415" s="36"/>
      <c r="D3415" s="91"/>
      <c r="E3415" s="80"/>
      <c r="F3415" s="80"/>
      <c r="G3415" s="91"/>
      <c r="H3415" s="91"/>
    </row>
    <row r="3416" spans="2:8">
      <c r="B3416" s="80"/>
      <c r="C3416" s="36"/>
      <c r="D3416" s="91"/>
      <c r="E3416" s="80"/>
      <c r="F3416" s="80"/>
      <c r="G3416" s="91"/>
      <c r="H3416" s="91"/>
    </row>
    <row r="3417" spans="2:8">
      <c r="B3417" s="80"/>
      <c r="C3417" s="36"/>
      <c r="D3417" s="91"/>
      <c r="E3417" s="80"/>
      <c r="F3417" s="80"/>
      <c r="G3417" s="91"/>
      <c r="H3417" s="91"/>
    </row>
    <row r="3418" spans="2:8">
      <c r="B3418" s="80"/>
      <c r="C3418" s="36"/>
      <c r="D3418" s="91"/>
      <c r="E3418" s="80"/>
      <c r="F3418" s="80"/>
      <c r="G3418" s="91"/>
      <c r="H3418" s="91"/>
    </row>
    <row r="3419" spans="2:8">
      <c r="B3419" s="80"/>
      <c r="C3419" s="36"/>
      <c r="D3419" s="91"/>
      <c r="E3419" s="80"/>
      <c r="F3419" s="80"/>
      <c r="G3419" s="91"/>
      <c r="H3419" s="91"/>
    </row>
    <row r="3420" spans="2:8">
      <c r="B3420" s="80"/>
      <c r="C3420" s="36"/>
      <c r="D3420" s="91"/>
      <c r="E3420" s="80"/>
      <c r="F3420" s="80"/>
      <c r="G3420" s="91"/>
      <c r="H3420" s="91"/>
    </row>
    <row r="3421" spans="2:8">
      <c r="B3421" s="80"/>
      <c r="C3421" s="36"/>
      <c r="D3421" s="91"/>
      <c r="E3421" s="80"/>
      <c r="F3421" s="80"/>
      <c r="G3421" s="91"/>
      <c r="H3421" s="91"/>
    </row>
    <row r="3422" spans="2:8">
      <c r="B3422" s="80"/>
      <c r="C3422" s="36"/>
      <c r="D3422" s="91"/>
      <c r="E3422" s="80"/>
      <c r="F3422" s="80"/>
      <c r="G3422" s="91"/>
      <c r="H3422" s="91"/>
    </row>
    <row r="3423" spans="2:8">
      <c r="B3423" s="80"/>
      <c r="C3423" s="36"/>
      <c r="D3423" s="91"/>
      <c r="E3423" s="80"/>
      <c r="F3423" s="80"/>
      <c r="G3423" s="91"/>
      <c r="H3423" s="91"/>
    </row>
    <row r="3424" spans="2:8">
      <c r="B3424" s="80"/>
      <c r="C3424" s="36"/>
      <c r="D3424" s="91"/>
      <c r="E3424" s="80"/>
      <c r="F3424" s="80"/>
      <c r="G3424" s="91"/>
      <c r="H3424" s="91"/>
    </row>
    <row r="3425" spans="2:8">
      <c r="B3425" s="80"/>
      <c r="C3425" s="36"/>
      <c r="D3425" s="91"/>
      <c r="E3425" s="80"/>
      <c r="F3425" s="80"/>
      <c r="G3425" s="91"/>
      <c r="H3425" s="91"/>
    </row>
    <row r="3426" spans="2:8">
      <c r="B3426" s="80"/>
      <c r="C3426" s="36"/>
      <c r="D3426" s="91"/>
      <c r="E3426" s="80"/>
      <c r="F3426" s="80"/>
      <c r="G3426" s="91"/>
      <c r="H3426" s="91"/>
    </row>
    <row r="3427" spans="2:8">
      <c r="B3427" s="80"/>
      <c r="C3427" s="36"/>
      <c r="D3427" s="91"/>
      <c r="E3427" s="80"/>
      <c r="F3427" s="80"/>
      <c r="G3427" s="91"/>
      <c r="H3427" s="91"/>
    </row>
    <row r="3428" spans="2:8">
      <c r="B3428" s="80"/>
      <c r="C3428" s="36"/>
      <c r="D3428" s="91"/>
      <c r="E3428" s="80"/>
      <c r="F3428" s="80"/>
      <c r="G3428" s="91"/>
      <c r="H3428" s="91"/>
    </row>
    <row r="3429" spans="2:8">
      <c r="B3429" s="80"/>
      <c r="C3429" s="36"/>
      <c r="D3429" s="91"/>
      <c r="E3429" s="80"/>
      <c r="F3429" s="80"/>
      <c r="G3429" s="91"/>
      <c r="H3429" s="91"/>
    </row>
    <row r="3430" spans="2:8">
      <c r="B3430" s="80"/>
      <c r="C3430" s="36"/>
      <c r="D3430" s="91"/>
      <c r="E3430" s="80"/>
      <c r="F3430" s="80"/>
      <c r="G3430" s="91"/>
      <c r="H3430" s="91"/>
    </row>
    <row r="3431" spans="2:8">
      <c r="B3431" s="80"/>
      <c r="C3431" s="36"/>
      <c r="D3431" s="91"/>
      <c r="E3431" s="80"/>
      <c r="F3431" s="80"/>
      <c r="G3431" s="91"/>
      <c r="H3431" s="91"/>
    </row>
    <row r="3432" spans="2:8">
      <c r="B3432" s="80"/>
      <c r="C3432" s="36"/>
      <c r="D3432" s="91"/>
      <c r="E3432" s="80"/>
      <c r="F3432" s="80"/>
      <c r="G3432" s="91"/>
      <c r="H3432" s="91"/>
    </row>
    <row r="3433" spans="2:8">
      <c r="B3433" s="80"/>
      <c r="C3433" s="36"/>
      <c r="D3433" s="91"/>
      <c r="E3433" s="80"/>
      <c r="F3433" s="80"/>
      <c r="G3433" s="91"/>
      <c r="H3433" s="91"/>
    </row>
    <row r="3434" spans="2:8">
      <c r="B3434" s="80"/>
      <c r="C3434" s="36"/>
      <c r="D3434" s="91"/>
      <c r="E3434" s="80"/>
      <c r="F3434" s="80"/>
      <c r="G3434" s="91"/>
      <c r="H3434" s="91"/>
    </row>
    <row r="3435" spans="2:8">
      <c r="B3435" s="80"/>
      <c r="C3435" s="36"/>
      <c r="D3435" s="91"/>
      <c r="E3435" s="80"/>
      <c r="F3435" s="80"/>
      <c r="G3435" s="91"/>
      <c r="H3435" s="91"/>
    </row>
    <row r="3436" spans="2:8">
      <c r="B3436" s="80"/>
      <c r="C3436" s="36"/>
      <c r="D3436" s="91"/>
      <c r="E3436" s="80"/>
      <c r="F3436" s="80"/>
      <c r="G3436" s="91"/>
      <c r="H3436" s="91"/>
    </row>
    <row r="3437" spans="2:8">
      <c r="B3437" s="80"/>
      <c r="C3437" s="36"/>
      <c r="D3437" s="91"/>
      <c r="E3437" s="80"/>
      <c r="F3437" s="80"/>
      <c r="G3437" s="91"/>
      <c r="H3437" s="91"/>
    </row>
    <row r="3438" spans="2:8">
      <c r="B3438" s="80"/>
      <c r="C3438" s="36"/>
      <c r="D3438" s="91"/>
      <c r="E3438" s="80"/>
      <c r="F3438" s="80"/>
      <c r="G3438" s="91"/>
      <c r="H3438" s="91"/>
    </row>
    <row r="3439" spans="2:8">
      <c r="B3439" s="80"/>
      <c r="C3439" s="36"/>
      <c r="D3439" s="91"/>
      <c r="E3439" s="80"/>
      <c r="F3439" s="80"/>
      <c r="G3439" s="91"/>
      <c r="H3439" s="91"/>
    </row>
    <row r="3440" spans="2:8">
      <c r="B3440" s="80"/>
      <c r="C3440" s="36"/>
      <c r="D3440" s="91"/>
      <c r="E3440" s="80"/>
      <c r="F3440" s="80"/>
      <c r="G3440" s="91"/>
      <c r="H3440" s="91"/>
    </row>
    <row r="3441" spans="2:8">
      <c r="B3441" s="80"/>
      <c r="C3441" s="36"/>
      <c r="D3441" s="91"/>
      <c r="E3441" s="80"/>
      <c r="F3441" s="80"/>
      <c r="G3441" s="91"/>
      <c r="H3441" s="91"/>
    </row>
    <row r="3442" spans="2:8">
      <c r="B3442" s="80"/>
      <c r="C3442" s="36"/>
      <c r="D3442" s="91"/>
      <c r="E3442" s="80"/>
      <c r="F3442" s="80"/>
      <c r="G3442" s="91"/>
      <c r="H3442" s="91"/>
    </row>
    <row r="3443" spans="2:8">
      <c r="B3443" s="80"/>
      <c r="C3443" s="36"/>
      <c r="D3443" s="91"/>
      <c r="E3443" s="80"/>
      <c r="F3443" s="80"/>
      <c r="G3443" s="91"/>
      <c r="H3443" s="91"/>
    </row>
    <row r="3444" spans="2:8">
      <c r="B3444" s="80"/>
      <c r="C3444" s="36"/>
      <c r="D3444" s="91"/>
      <c r="E3444" s="80"/>
      <c r="F3444" s="80"/>
      <c r="G3444" s="91"/>
      <c r="H3444" s="91"/>
    </row>
    <row r="3445" spans="2:8">
      <c r="B3445" s="80"/>
      <c r="C3445" s="36"/>
      <c r="D3445" s="91"/>
      <c r="E3445" s="80"/>
      <c r="F3445" s="80"/>
      <c r="G3445" s="91"/>
      <c r="H3445" s="91"/>
    </row>
    <row r="3446" spans="2:8">
      <c r="B3446" s="80"/>
      <c r="C3446" s="36"/>
      <c r="D3446" s="91"/>
      <c r="E3446" s="80"/>
      <c r="F3446" s="80"/>
      <c r="G3446" s="91"/>
      <c r="H3446" s="91"/>
    </row>
    <row r="3447" spans="2:8">
      <c r="B3447" s="80"/>
      <c r="C3447" s="36"/>
      <c r="D3447" s="91"/>
      <c r="E3447" s="80"/>
      <c r="F3447" s="80"/>
      <c r="G3447" s="91"/>
      <c r="H3447" s="91"/>
    </row>
    <row r="3448" spans="2:8">
      <c r="B3448" s="80"/>
      <c r="C3448" s="36"/>
      <c r="D3448" s="91"/>
      <c r="E3448" s="80"/>
      <c r="F3448" s="80"/>
      <c r="G3448" s="91"/>
      <c r="H3448" s="91"/>
    </row>
    <row r="3449" spans="2:8">
      <c r="B3449" s="80"/>
      <c r="C3449" s="36"/>
      <c r="D3449" s="91"/>
      <c r="E3449" s="80"/>
      <c r="F3449" s="80"/>
      <c r="G3449" s="91"/>
      <c r="H3449" s="91"/>
    </row>
    <row r="3450" spans="2:8">
      <c r="B3450" s="80"/>
      <c r="C3450" s="36"/>
      <c r="D3450" s="91"/>
      <c r="E3450" s="80"/>
      <c r="F3450" s="80"/>
      <c r="G3450" s="91"/>
      <c r="H3450" s="91"/>
    </row>
    <row r="3451" spans="2:8">
      <c r="B3451" s="80"/>
      <c r="C3451" s="36"/>
      <c r="D3451" s="91"/>
      <c r="E3451" s="80"/>
      <c r="F3451" s="80"/>
      <c r="G3451" s="91"/>
      <c r="H3451" s="91"/>
    </row>
    <row r="3452" spans="2:8">
      <c r="B3452" s="80"/>
      <c r="C3452" s="36"/>
      <c r="D3452" s="91"/>
      <c r="E3452" s="80"/>
      <c r="F3452" s="80"/>
      <c r="G3452" s="91"/>
      <c r="H3452" s="91"/>
    </row>
    <row r="3453" spans="2:8">
      <c r="B3453" s="80"/>
      <c r="C3453" s="36"/>
      <c r="D3453" s="91"/>
      <c r="E3453" s="80"/>
      <c r="F3453" s="80"/>
      <c r="G3453" s="91"/>
      <c r="H3453" s="91"/>
    </row>
    <row r="3454" spans="2:8">
      <c r="B3454" s="80"/>
      <c r="C3454" s="36"/>
      <c r="D3454" s="91"/>
      <c r="E3454" s="80"/>
      <c r="F3454" s="80"/>
      <c r="G3454" s="91"/>
      <c r="H3454" s="91"/>
    </row>
    <row r="3455" spans="2:8">
      <c r="B3455" s="80"/>
      <c r="C3455" s="36"/>
      <c r="D3455" s="91"/>
      <c r="E3455" s="80"/>
      <c r="F3455" s="80"/>
      <c r="G3455" s="91"/>
      <c r="H3455" s="91"/>
    </row>
    <row r="3456" spans="2:8">
      <c r="B3456" s="80"/>
      <c r="C3456" s="36"/>
      <c r="D3456" s="91"/>
      <c r="E3456" s="80"/>
      <c r="F3456" s="80"/>
      <c r="G3456" s="91"/>
      <c r="H3456" s="91"/>
    </row>
    <row r="3457" spans="2:8">
      <c r="B3457" s="80"/>
      <c r="C3457" s="36"/>
      <c r="D3457" s="91"/>
      <c r="E3457" s="80"/>
      <c r="F3457" s="80"/>
      <c r="G3457" s="91"/>
      <c r="H3457" s="91"/>
    </row>
    <row r="3458" spans="2:8">
      <c r="B3458" s="80"/>
      <c r="C3458" s="36"/>
      <c r="D3458" s="91"/>
      <c r="E3458" s="80"/>
      <c r="F3458" s="80"/>
      <c r="G3458" s="91"/>
      <c r="H3458" s="91"/>
    </row>
    <row r="3459" spans="2:8">
      <c r="B3459" s="80"/>
      <c r="C3459" s="36"/>
      <c r="D3459" s="91"/>
      <c r="E3459" s="80"/>
      <c r="F3459" s="80"/>
      <c r="G3459" s="91"/>
      <c r="H3459" s="91"/>
    </row>
    <row r="3460" spans="2:8">
      <c r="B3460" s="80"/>
      <c r="C3460" s="36"/>
      <c r="D3460" s="91"/>
      <c r="E3460" s="80"/>
      <c r="F3460" s="80"/>
      <c r="G3460" s="91"/>
      <c r="H3460" s="91"/>
    </row>
    <row r="3461" spans="2:8">
      <c r="B3461" s="80"/>
      <c r="C3461" s="36"/>
      <c r="D3461" s="91"/>
      <c r="E3461" s="80"/>
      <c r="F3461" s="80"/>
      <c r="G3461" s="91"/>
      <c r="H3461" s="91"/>
    </row>
    <row r="3462" spans="2:8">
      <c r="B3462" s="80"/>
      <c r="C3462" s="36"/>
      <c r="D3462" s="91"/>
      <c r="E3462" s="80"/>
      <c r="F3462" s="80"/>
      <c r="G3462" s="91"/>
      <c r="H3462" s="91"/>
    </row>
    <row r="3463" spans="2:8">
      <c r="B3463" s="80"/>
      <c r="C3463" s="36"/>
      <c r="D3463" s="91"/>
      <c r="E3463" s="80"/>
      <c r="F3463" s="80"/>
      <c r="G3463" s="91"/>
      <c r="H3463" s="91"/>
    </row>
    <row r="3464" spans="2:8">
      <c r="B3464" s="80"/>
      <c r="C3464" s="36"/>
      <c r="D3464" s="91"/>
      <c r="E3464" s="80"/>
      <c r="F3464" s="80"/>
      <c r="G3464" s="91"/>
      <c r="H3464" s="91"/>
    </row>
    <row r="3465" spans="2:8">
      <c r="B3465" s="80"/>
      <c r="C3465" s="36"/>
      <c r="D3465" s="91"/>
      <c r="E3465" s="80"/>
      <c r="F3465" s="80"/>
      <c r="G3465" s="91"/>
      <c r="H3465" s="91"/>
    </row>
    <row r="3466" spans="2:8">
      <c r="B3466" s="80"/>
      <c r="C3466" s="36"/>
      <c r="D3466" s="91"/>
      <c r="E3466" s="80"/>
      <c r="F3466" s="80"/>
      <c r="G3466" s="91"/>
      <c r="H3466" s="91"/>
    </row>
    <row r="3467" spans="2:8">
      <c r="B3467" s="80"/>
      <c r="C3467" s="36"/>
      <c r="D3467" s="91"/>
      <c r="E3467" s="80"/>
      <c r="F3467" s="80"/>
      <c r="G3467" s="91"/>
      <c r="H3467" s="91"/>
    </row>
    <row r="3468" spans="2:8">
      <c r="B3468" s="80"/>
      <c r="C3468" s="36"/>
      <c r="D3468" s="91"/>
      <c r="E3468" s="80"/>
      <c r="F3468" s="80"/>
      <c r="G3468" s="91"/>
      <c r="H3468" s="91"/>
    </row>
    <row r="3469" spans="2:8">
      <c r="B3469" s="80"/>
      <c r="C3469" s="36"/>
      <c r="D3469" s="91"/>
      <c r="E3469" s="80"/>
      <c r="F3469" s="80"/>
      <c r="G3469" s="91"/>
      <c r="H3469" s="91"/>
    </row>
    <row r="3470" spans="2:8">
      <c r="B3470" s="80"/>
      <c r="C3470" s="36"/>
      <c r="D3470" s="91"/>
      <c r="E3470" s="80"/>
      <c r="F3470" s="80"/>
      <c r="G3470" s="91"/>
      <c r="H3470" s="91"/>
    </row>
    <row r="3471" spans="2:8">
      <c r="B3471" s="80"/>
      <c r="C3471" s="36"/>
      <c r="D3471" s="91"/>
      <c r="E3471" s="80"/>
      <c r="F3471" s="80"/>
      <c r="G3471" s="91"/>
      <c r="H3471" s="91"/>
    </row>
    <row r="3472" spans="2:8">
      <c r="B3472" s="80"/>
      <c r="C3472" s="36"/>
      <c r="D3472" s="91"/>
      <c r="E3472" s="80"/>
      <c r="F3472" s="80"/>
      <c r="G3472" s="91"/>
      <c r="H3472" s="91"/>
    </row>
    <row r="3473" spans="2:8">
      <c r="B3473" s="80"/>
      <c r="C3473" s="36"/>
      <c r="D3473" s="91"/>
      <c r="E3473" s="80"/>
      <c r="F3473" s="80"/>
      <c r="G3473" s="91"/>
      <c r="H3473" s="91"/>
    </row>
    <row r="3474" spans="2:8">
      <c r="B3474" s="80"/>
      <c r="C3474" s="36"/>
      <c r="D3474" s="91"/>
      <c r="E3474" s="80"/>
      <c r="F3474" s="80"/>
      <c r="G3474" s="91"/>
      <c r="H3474" s="91"/>
    </row>
    <row r="3475" spans="2:8">
      <c r="B3475" s="80"/>
      <c r="C3475" s="36"/>
      <c r="D3475" s="91"/>
      <c r="E3475" s="80"/>
      <c r="F3475" s="80"/>
      <c r="G3475" s="91"/>
      <c r="H3475" s="91"/>
    </row>
    <row r="3476" spans="2:8">
      <c r="B3476" s="80"/>
      <c r="C3476" s="36"/>
      <c r="D3476" s="91"/>
      <c r="E3476" s="80"/>
      <c r="F3476" s="80"/>
      <c r="G3476" s="91"/>
      <c r="H3476" s="91"/>
    </row>
    <row r="3477" spans="2:8">
      <c r="B3477" s="80"/>
      <c r="C3477" s="36"/>
      <c r="D3477" s="91"/>
      <c r="E3477" s="80"/>
      <c r="F3477" s="80"/>
      <c r="G3477" s="91"/>
      <c r="H3477" s="91"/>
    </row>
    <row r="3478" spans="2:8">
      <c r="B3478" s="80"/>
      <c r="C3478" s="36"/>
      <c r="D3478" s="91"/>
      <c r="E3478" s="80"/>
      <c r="F3478" s="80"/>
      <c r="G3478" s="91"/>
      <c r="H3478" s="91"/>
    </row>
    <row r="3479" spans="2:8">
      <c r="B3479" s="80"/>
      <c r="C3479" s="36"/>
      <c r="D3479" s="91"/>
      <c r="E3479" s="80"/>
      <c r="F3479" s="80"/>
      <c r="G3479" s="91"/>
      <c r="H3479" s="91"/>
    </row>
    <row r="3480" spans="2:8">
      <c r="B3480" s="80"/>
      <c r="C3480" s="36"/>
      <c r="D3480" s="91"/>
      <c r="E3480" s="80"/>
      <c r="F3480" s="80"/>
      <c r="G3480" s="91"/>
      <c r="H3480" s="91"/>
    </row>
    <row r="3481" spans="2:8">
      <c r="B3481" s="80"/>
      <c r="C3481" s="36"/>
      <c r="D3481" s="91"/>
      <c r="E3481" s="80"/>
      <c r="F3481" s="80"/>
      <c r="G3481" s="91"/>
      <c r="H3481" s="91"/>
    </row>
    <row r="3482" spans="2:8">
      <c r="B3482" s="80"/>
      <c r="C3482" s="36"/>
      <c r="D3482" s="91"/>
      <c r="E3482" s="80"/>
      <c r="F3482" s="80"/>
      <c r="G3482" s="91"/>
      <c r="H3482" s="91"/>
    </row>
    <row r="3483" spans="2:8">
      <c r="B3483" s="80"/>
      <c r="C3483" s="36"/>
      <c r="D3483" s="91"/>
      <c r="E3483" s="80"/>
      <c r="F3483" s="80"/>
      <c r="G3483" s="91"/>
      <c r="H3483" s="91"/>
    </row>
    <row r="3484" spans="2:8">
      <c r="B3484" s="80"/>
      <c r="C3484" s="36"/>
      <c r="D3484" s="91"/>
      <c r="E3484" s="80"/>
      <c r="F3484" s="80"/>
      <c r="G3484" s="91"/>
      <c r="H3484" s="91"/>
    </row>
    <row r="3485" spans="2:8">
      <c r="B3485" s="80"/>
      <c r="C3485" s="36"/>
      <c r="D3485" s="91"/>
      <c r="E3485" s="80"/>
      <c r="F3485" s="80"/>
      <c r="G3485" s="91"/>
      <c r="H3485" s="91"/>
    </row>
    <row r="3486" spans="2:8">
      <c r="B3486" s="80"/>
      <c r="C3486" s="36"/>
      <c r="D3486" s="91"/>
      <c r="E3486" s="80"/>
      <c r="F3486" s="80"/>
      <c r="G3486" s="91"/>
      <c r="H3486" s="91"/>
    </row>
    <row r="3487" spans="2:8">
      <c r="B3487" s="80"/>
      <c r="C3487" s="36"/>
      <c r="D3487" s="91"/>
      <c r="E3487" s="80"/>
      <c r="F3487" s="80"/>
      <c r="G3487" s="91"/>
      <c r="H3487" s="91"/>
    </row>
    <row r="3488" spans="2:8">
      <c r="B3488" s="80"/>
      <c r="C3488" s="36"/>
      <c r="D3488" s="91"/>
      <c r="E3488" s="80"/>
      <c r="F3488" s="80"/>
      <c r="G3488" s="91"/>
      <c r="H3488" s="91"/>
    </row>
    <row r="3489" spans="2:8">
      <c r="B3489" s="80"/>
      <c r="C3489" s="36"/>
      <c r="D3489" s="91"/>
      <c r="E3489" s="80"/>
      <c r="F3489" s="80"/>
      <c r="G3489" s="91"/>
      <c r="H3489" s="91"/>
    </row>
    <row r="3490" spans="2:8">
      <c r="B3490" s="80"/>
      <c r="C3490" s="36"/>
      <c r="D3490" s="91"/>
      <c r="E3490" s="80"/>
      <c r="F3490" s="80"/>
      <c r="G3490" s="91"/>
      <c r="H3490" s="91"/>
    </row>
    <row r="3491" spans="2:8">
      <c r="B3491" s="80"/>
      <c r="C3491" s="36"/>
      <c r="D3491" s="91"/>
      <c r="E3491" s="80"/>
      <c r="F3491" s="80"/>
      <c r="G3491" s="91"/>
      <c r="H3491" s="91"/>
    </row>
    <row r="3492" spans="2:8">
      <c r="B3492" s="80"/>
      <c r="C3492" s="36"/>
      <c r="D3492" s="91"/>
      <c r="E3492" s="80"/>
      <c r="F3492" s="80"/>
      <c r="G3492" s="91"/>
      <c r="H3492" s="91"/>
    </row>
    <row r="3493" spans="2:8">
      <c r="B3493" s="80"/>
      <c r="C3493" s="36"/>
      <c r="D3493" s="91"/>
      <c r="E3493" s="80"/>
      <c r="F3493" s="80"/>
      <c r="G3493" s="91"/>
      <c r="H3493" s="91"/>
    </row>
    <row r="3494" spans="2:8">
      <c r="B3494" s="80"/>
      <c r="C3494" s="36"/>
      <c r="D3494" s="91"/>
      <c r="E3494" s="80"/>
      <c r="F3494" s="80"/>
      <c r="G3494" s="91"/>
      <c r="H3494" s="91"/>
    </row>
    <row r="3495" spans="2:8">
      <c r="B3495" s="80"/>
      <c r="C3495" s="36"/>
      <c r="D3495" s="91"/>
      <c r="E3495" s="80"/>
      <c r="F3495" s="80"/>
      <c r="G3495" s="91"/>
      <c r="H3495" s="91"/>
    </row>
    <row r="3496" spans="2:8">
      <c r="B3496" s="80"/>
      <c r="C3496" s="36"/>
      <c r="D3496" s="91"/>
      <c r="E3496" s="80"/>
      <c r="F3496" s="80"/>
      <c r="G3496" s="91"/>
      <c r="H3496" s="91"/>
    </row>
    <row r="3497" spans="2:8">
      <c r="B3497" s="80"/>
      <c r="C3497" s="36"/>
      <c r="D3497" s="91"/>
      <c r="E3497" s="80"/>
      <c r="F3497" s="80"/>
      <c r="G3497" s="91"/>
      <c r="H3497" s="91"/>
    </row>
    <row r="3498" spans="2:8">
      <c r="B3498" s="80"/>
      <c r="C3498" s="36"/>
      <c r="D3498" s="91"/>
      <c r="E3498" s="80"/>
      <c r="F3498" s="80"/>
      <c r="G3498" s="91"/>
      <c r="H3498" s="91"/>
    </row>
    <row r="3499" spans="2:8">
      <c r="B3499" s="80"/>
      <c r="C3499" s="36"/>
      <c r="D3499" s="91"/>
      <c r="E3499" s="80"/>
      <c r="F3499" s="80"/>
      <c r="G3499" s="91"/>
      <c r="H3499" s="91"/>
    </row>
    <row r="3500" spans="2:8">
      <c r="B3500" s="80"/>
      <c r="C3500" s="36"/>
      <c r="D3500" s="91"/>
      <c r="E3500" s="80"/>
      <c r="F3500" s="80"/>
      <c r="G3500" s="91"/>
      <c r="H3500" s="91"/>
    </row>
    <row r="3501" spans="2:8">
      <c r="B3501" s="80"/>
      <c r="C3501" s="36"/>
      <c r="D3501" s="91"/>
      <c r="E3501" s="80"/>
      <c r="F3501" s="80"/>
      <c r="G3501" s="91"/>
      <c r="H3501" s="91"/>
    </row>
    <row r="3502" spans="2:8">
      <c r="B3502" s="80"/>
      <c r="C3502" s="36"/>
      <c r="D3502" s="91"/>
      <c r="E3502" s="80"/>
      <c r="F3502" s="80"/>
      <c r="G3502" s="91"/>
      <c r="H3502" s="91"/>
    </row>
    <row r="3503" spans="2:8">
      <c r="B3503" s="80"/>
      <c r="C3503" s="36"/>
      <c r="D3503" s="91"/>
      <c r="E3503" s="80"/>
      <c r="F3503" s="80"/>
      <c r="G3503" s="91"/>
      <c r="H3503" s="91"/>
    </row>
    <row r="3504" spans="2:8">
      <c r="B3504" s="80"/>
      <c r="C3504" s="36"/>
      <c r="D3504" s="91"/>
      <c r="E3504" s="80"/>
      <c r="F3504" s="80"/>
      <c r="G3504" s="91"/>
      <c r="H3504" s="91"/>
    </row>
    <row r="3505" spans="2:8">
      <c r="B3505" s="80"/>
      <c r="C3505" s="36"/>
      <c r="D3505" s="91"/>
      <c r="E3505" s="80"/>
      <c r="F3505" s="80"/>
      <c r="G3505" s="91"/>
      <c r="H3505" s="91"/>
    </row>
    <row r="3506" spans="2:8">
      <c r="B3506" s="80"/>
      <c r="C3506" s="36"/>
      <c r="D3506" s="91"/>
      <c r="E3506" s="80"/>
      <c r="F3506" s="80"/>
      <c r="G3506" s="91"/>
      <c r="H3506" s="91"/>
    </row>
    <row r="3507" spans="2:8">
      <c r="B3507" s="80"/>
      <c r="C3507" s="36"/>
      <c r="D3507" s="91"/>
      <c r="E3507" s="80"/>
      <c r="F3507" s="80"/>
      <c r="G3507" s="91"/>
      <c r="H3507" s="91"/>
    </row>
    <row r="3508" spans="2:8">
      <c r="B3508" s="80"/>
      <c r="C3508" s="36"/>
      <c r="D3508" s="91"/>
      <c r="E3508" s="80"/>
      <c r="F3508" s="80"/>
      <c r="G3508" s="91"/>
      <c r="H3508" s="91"/>
    </row>
    <row r="3509" spans="2:8">
      <c r="B3509" s="80"/>
      <c r="C3509" s="36"/>
      <c r="D3509" s="91"/>
      <c r="E3509" s="80"/>
      <c r="F3509" s="80"/>
      <c r="G3509" s="91"/>
      <c r="H3509" s="91"/>
    </row>
    <row r="3510" spans="2:8">
      <c r="B3510" s="80"/>
      <c r="C3510" s="36"/>
      <c r="D3510" s="91"/>
      <c r="E3510" s="80"/>
      <c r="F3510" s="80"/>
      <c r="G3510" s="91"/>
      <c r="H3510" s="91"/>
    </row>
    <row r="3511" spans="2:8">
      <c r="B3511" s="80"/>
      <c r="C3511" s="36"/>
      <c r="D3511" s="91"/>
      <c r="E3511" s="80"/>
      <c r="F3511" s="80"/>
      <c r="G3511" s="91"/>
      <c r="H3511" s="91"/>
    </row>
    <row r="3512" spans="2:8">
      <c r="B3512" s="80"/>
      <c r="C3512" s="36"/>
      <c r="D3512" s="91"/>
      <c r="E3512" s="80"/>
      <c r="F3512" s="80"/>
      <c r="G3512" s="91"/>
      <c r="H3512" s="91"/>
    </row>
    <row r="3513" spans="2:8">
      <c r="B3513" s="80"/>
      <c r="C3513" s="36"/>
      <c r="D3513" s="91"/>
      <c r="E3513" s="80"/>
      <c r="F3513" s="80"/>
      <c r="G3513" s="91"/>
      <c r="H3513" s="91"/>
    </row>
    <row r="3514" spans="2:8">
      <c r="B3514" s="80"/>
      <c r="C3514" s="36"/>
      <c r="D3514" s="91"/>
      <c r="E3514" s="80"/>
      <c r="F3514" s="80"/>
      <c r="G3514" s="91"/>
      <c r="H3514" s="91"/>
    </row>
    <row r="3515" spans="2:8">
      <c r="B3515" s="80"/>
      <c r="C3515" s="36"/>
      <c r="D3515" s="91"/>
      <c r="E3515" s="80"/>
      <c r="F3515" s="80"/>
      <c r="G3515" s="91"/>
      <c r="H3515" s="91"/>
    </row>
    <row r="3516" spans="2:8">
      <c r="B3516" s="80"/>
      <c r="C3516" s="36"/>
      <c r="D3516" s="91"/>
      <c r="E3516" s="80"/>
      <c r="F3516" s="80"/>
      <c r="G3516" s="91"/>
      <c r="H3516" s="91"/>
    </row>
    <row r="3517" spans="2:8">
      <c r="B3517" s="80"/>
      <c r="C3517" s="36"/>
      <c r="D3517" s="91"/>
      <c r="E3517" s="80"/>
      <c r="F3517" s="80"/>
      <c r="G3517" s="91"/>
      <c r="H3517" s="91"/>
    </row>
    <row r="3518" spans="2:8">
      <c r="B3518" s="80"/>
      <c r="C3518" s="36"/>
      <c r="D3518" s="91"/>
      <c r="E3518" s="80"/>
      <c r="F3518" s="80"/>
      <c r="G3518" s="91"/>
      <c r="H3518" s="91"/>
    </row>
    <row r="3519" spans="2:8">
      <c r="B3519" s="80"/>
      <c r="C3519" s="36"/>
      <c r="D3519" s="91"/>
      <c r="E3519" s="80"/>
      <c r="F3519" s="80"/>
      <c r="G3519" s="91"/>
      <c r="H3519" s="91"/>
    </row>
    <row r="3520" spans="2:8">
      <c r="B3520" s="80"/>
      <c r="C3520" s="36"/>
      <c r="D3520" s="91"/>
      <c r="E3520" s="80"/>
      <c r="F3520" s="80"/>
      <c r="G3520" s="91"/>
      <c r="H3520" s="91"/>
    </row>
    <row r="3521" spans="2:8">
      <c r="B3521" s="80"/>
      <c r="C3521" s="36"/>
      <c r="D3521" s="91"/>
      <c r="E3521" s="80"/>
      <c r="F3521" s="80"/>
      <c r="G3521" s="91"/>
      <c r="H3521" s="91"/>
    </row>
    <row r="3522" spans="2:8">
      <c r="B3522" s="80"/>
      <c r="C3522" s="36"/>
      <c r="D3522" s="91"/>
      <c r="E3522" s="80"/>
      <c r="F3522" s="80"/>
      <c r="G3522" s="91"/>
      <c r="H3522" s="91"/>
    </row>
    <row r="3523" spans="2:8">
      <c r="B3523" s="80"/>
      <c r="C3523" s="36"/>
      <c r="D3523" s="91"/>
      <c r="E3523" s="80"/>
      <c r="F3523" s="80"/>
      <c r="G3523" s="91"/>
      <c r="H3523" s="91"/>
    </row>
    <row r="3524" spans="2:8">
      <c r="B3524" s="80"/>
      <c r="C3524" s="36"/>
      <c r="D3524" s="91"/>
      <c r="E3524" s="80"/>
      <c r="F3524" s="80"/>
      <c r="G3524" s="91"/>
      <c r="H3524" s="91"/>
    </row>
    <row r="3525" spans="2:8">
      <c r="B3525" s="80"/>
      <c r="C3525" s="36"/>
      <c r="D3525" s="91"/>
      <c r="E3525" s="80"/>
      <c r="F3525" s="80"/>
      <c r="G3525" s="91"/>
      <c r="H3525" s="91"/>
    </row>
    <row r="3526" spans="2:8">
      <c r="B3526" s="80"/>
      <c r="C3526" s="36"/>
      <c r="D3526" s="91"/>
      <c r="E3526" s="80"/>
      <c r="F3526" s="80"/>
      <c r="G3526" s="91"/>
      <c r="H3526" s="91"/>
    </row>
    <row r="3527" spans="2:8">
      <c r="B3527" s="80"/>
      <c r="C3527" s="36"/>
      <c r="D3527" s="91"/>
      <c r="E3527" s="80"/>
      <c r="F3527" s="80"/>
      <c r="G3527" s="91"/>
      <c r="H3527" s="91"/>
    </row>
    <row r="3528" spans="2:8">
      <c r="B3528" s="80"/>
      <c r="C3528" s="36"/>
      <c r="D3528" s="91"/>
      <c r="E3528" s="80"/>
      <c r="F3528" s="80"/>
      <c r="G3528" s="91"/>
      <c r="H3528" s="91"/>
    </row>
    <row r="3529" spans="2:8">
      <c r="B3529" s="80"/>
      <c r="C3529" s="36"/>
      <c r="D3529" s="91"/>
      <c r="E3529" s="80"/>
      <c r="F3529" s="80"/>
      <c r="G3529" s="91"/>
      <c r="H3529" s="91"/>
    </row>
    <row r="3530" spans="2:8">
      <c r="B3530" s="80"/>
      <c r="C3530" s="36"/>
      <c r="D3530" s="91"/>
      <c r="E3530" s="80"/>
      <c r="F3530" s="80"/>
      <c r="G3530" s="91"/>
      <c r="H3530" s="91"/>
    </row>
    <row r="3531" spans="2:8">
      <c r="B3531" s="80"/>
      <c r="C3531" s="36"/>
      <c r="D3531" s="91"/>
      <c r="E3531" s="80"/>
      <c r="F3531" s="80"/>
      <c r="G3531" s="91"/>
      <c r="H3531" s="91"/>
    </row>
    <row r="3532" spans="2:8">
      <c r="B3532" s="80"/>
      <c r="C3532" s="36"/>
      <c r="D3532" s="91"/>
      <c r="E3532" s="80"/>
      <c r="F3532" s="80"/>
      <c r="G3532" s="91"/>
      <c r="H3532" s="91"/>
    </row>
    <row r="3533" spans="2:8">
      <c r="B3533" s="80"/>
      <c r="C3533" s="36"/>
      <c r="D3533" s="91"/>
      <c r="E3533" s="80"/>
      <c r="F3533" s="80"/>
      <c r="G3533" s="91"/>
      <c r="H3533" s="91"/>
    </row>
    <row r="3534" spans="2:8">
      <c r="B3534" s="80"/>
      <c r="C3534" s="36"/>
      <c r="D3534" s="91"/>
      <c r="E3534" s="80"/>
      <c r="F3534" s="80"/>
      <c r="G3534" s="91"/>
      <c r="H3534" s="91"/>
    </row>
    <row r="3535" spans="2:8">
      <c r="B3535" s="80"/>
      <c r="C3535" s="36"/>
      <c r="D3535" s="91"/>
      <c r="E3535" s="80"/>
      <c r="F3535" s="80"/>
      <c r="G3535" s="91"/>
      <c r="H3535" s="91"/>
    </row>
    <row r="3536" spans="2:8">
      <c r="B3536" s="80"/>
      <c r="C3536" s="36"/>
      <c r="D3536" s="91"/>
      <c r="E3536" s="80"/>
      <c r="F3536" s="80"/>
      <c r="G3536" s="91"/>
      <c r="H3536" s="91"/>
    </row>
    <row r="3537" spans="2:8">
      <c r="B3537" s="80"/>
      <c r="C3537" s="36"/>
      <c r="D3537" s="91"/>
      <c r="E3537" s="80"/>
      <c r="F3537" s="80"/>
      <c r="G3537" s="91"/>
      <c r="H3537" s="91"/>
    </row>
    <row r="3538" spans="2:8">
      <c r="B3538" s="80"/>
      <c r="C3538" s="36"/>
      <c r="D3538" s="91"/>
      <c r="E3538" s="80"/>
      <c r="F3538" s="80"/>
      <c r="G3538" s="91"/>
      <c r="H3538" s="91"/>
    </row>
    <row r="3539" spans="2:8">
      <c r="B3539" s="80"/>
      <c r="C3539" s="36"/>
      <c r="D3539" s="91"/>
      <c r="E3539" s="80"/>
      <c r="F3539" s="80"/>
      <c r="G3539" s="91"/>
      <c r="H3539" s="91"/>
    </row>
    <row r="3540" spans="2:8">
      <c r="B3540" s="80"/>
      <c r="C3540" s="36"/>
      <c r="D3540" s="91"/>
      <c r="E3540" s="80"/>
      <c r="F3540" s="80"/>
      <c r="G3540" s="91"/>
      <c r="H3540" s="91"/>
    </row>
    <row r="3541" spans="2:8">
      <c r="B3541" s="80"/>
      <c r="C3541" s="36"/>
      <c r="D3541" s="91"/>
      <c r="E3541" s="80"/>
      <c r="F3541" s="80"/>
      <c r="G3541" s="91"/>
      <c r="H3541" s="91"/>
    </row>
    <row r="3542" spans="2:8">
      <c r="B3542" s="80"/>
      <c r="C3542" s="36"/>
      <c r="D3542" s="91"/>
      <c r="E3542" s="80"/>
      <c r="F3542" s="80"/>
      <c r="G3542" s="91"/>
      <c r="H3542" s="91"/>
    </row>
    <row r="3543" spans="2:8">
      <c r="B3543" s="80"/>
      <c r="C3543" s="36"/>
      <c r="D3543" s="91"/>
      <c r="E3543" s="80"/>
      <c r="F3543" s="80"/>
      <c r="G3543" s="91"/>
      <c r="H3543" s="91"/>
    </row>
    <row r="3544" spans="2:8">
      <c r="B3544" s="80"/>
      <c r="C3544" s="36"/>
      <c r="D3544" s="91"/>
      <c r="E3544" s="80"/>
      <c r="F3544" s="80"/>
      <c r="G3544" s="91"/>
      <c r="H3544" s="91"/>
    </row>
    <row r="3545" spans="2:8">
      <c r="B3545" s="80"/>
      <c r="C3545" s="36"/>
      <c r="D3545" s="91"/>
      <c r="E3545" s="80"/>
      <c r="F3545" s="80"/>
      <c r="G3545" s="91"/>
      <c r="H3545" s="91"/>
    </row>
  </sheetData>
  <sheetProtection selectLockedCells="1"/>
  <mergeCells count="7">
    <mergeCell ref="K1:K2"/>
    <mergeCell ref="B1:B2"/>
    <mergeCell ref="C1:E1"/>
    <mergeCell ref="O1:P1"/>
    <mergeCell ref="L1:M1"/>
    <mergeCell ref="F1:F2"/>
    <mergeCell ref="N1:N2"/>
  </mergeCells>
  <phoneticPr fontId="3" type="noConversion"/>
  <pageMargins left="0.75" right="0.75" top="1" bottom="1" header="0" footer="0"/>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7"/>
  <dimension ref="A1:AA3545"/>
  <sheetViews>
    <sheetView workbookViewId="0">
      <pane xSplit="1" ySplit="2" topLeftCell="D13" activePane="bottomRight" state="frozenSplit"/>
      <selection activeCell="C45" sqref="C45"/>
      <selection pane="topRight" activeCell="C45" sqref="C45"/>
      <selection pane="bottomLeft" activeCell="C45" sqref="C45"/>
      <selection pane="bottomRight" activeCell="I45" sqref="I45"/>
    </sheetView>
  </sheetViews>
  <sheetFormatPr defaultColWidth="11.453125" defaultRowHeight="12.5"/>
  <cols>
    <col min="1" max="1" width="4" style="43" bestFit="1" customWidth="1"/>
    <col min="2" max="2" width="56.7265625" style="62" bestFit="1" customWidth="1"/>
    <col min="3" max="3" width="8.26953125" style="67" bestFit="1" customWidth="1"/>
    <col min="4" max="4" width="56.7265625" style="64" bestFit="1" customWidth="1"/>
    <col min="5" max="5" width="41.26953125" style="62" bestFit="1" customWidth="1"/>
    <col min="6" max="6" width="21.453125" style="79" bestFit="1" customWidth="1"/>
    <col min="7" max="7" width="9.1796875" style="62" bestFit="1" customWidth="1"/>
    <col min="8" max="8" width="20.26953125" style="62" bestFit="1" customWidth="1"/>
    <col min="9" max="9" width="14.453125" style="80" customWidth="1"/>
    <col min="10" max="10" width="23.7265625" style="80" bestFit="1" customWidth="1"/>
    <col min="11" max="11" width="15.54296875" bestFit="1" customWidth="1"/>
    <col min="12" max="12" width="12.26953125" style="44" bestFit="1" customWidth="1"/>
    <col min="13" max="13" width="15.26953125" style="44" bestFit="1" customWidth="1"/>
    <col min="14" max="14" width="16.26953125" style="44" bestFit="1" customWidth="1"/>
    <col min="15" max="15" width="28" style="44" bestFit="1" customWidth="1"/>
    <col min="16" max="16" width="30" style="44" bestFit="1" customWidth="1"/>
    <col min="17" max="17" width="11.54296875" style="44" bestFit="1" customWidth="1"/>
    <col min="18" max="18" width="19.26953125" style="44" bestFit="1" customWidth="1"/>
    <col min="19" max="19" width="30.26953125" style="43" bestFit="1" customWidth="1"/>
    <col min="20" max="20" width="9.1796875" style="43" bestFit="1" customWidth="1"/>
    <col min="21" max="21" width="11.54296875" style="43" customWidth="1"/>
    <col min="22" max="23" width="17.7265625" style="43" bestFit="1" customWidth="1"/>
    <col min="24" max="24" width="12.26953125" style="43" bestFit="1" customWidth="1"/>
    <col min="25" max="16384" width="11.453125" style="43"/>
  </cols>
  <sheetData>
    <row r="1" spans="1:27" ht="12.75" customHeight="1">
      <c r="B1" s="591" t="s">
        <v>48</v>
      </c>
      <c r="C1" s="593" t="s">
        <v>52</v>
      </c>
      <c r="D1" s="505"/>
      <c r="E1" s="505"/>
      <c r="F1" s="598" t="s">
        <v>106</v>
      </c>
      <c r="I1" s="32"/>
      <c r="J1" s="32"/>
      <c r="K1" s="594" t="s">
        <v>99</v>
      </c>
      <c r="L1" s="597" t="s">
        <v>38</v>
      </c>
      <c r="M1" s="596"/>
      <c r="N1" s="697" t="s">
        <v>94</v>
      </c>
      <c r="O1" s="597" t="s">
        <v>35</v>
      </c>
      <c r="P1" s="597"/>
    </row>
    <row r="2" spans="1:27" ht="13" thickBot="1">
      <c r="B2" s="592"/>
      <c r="C2" s="67" t="s">
        <v>17</v>
      </c>
      <c r="D2" s="64" t="s">
        <v>96</v>
      </c>
      <c r="E2" s="62" t="s">
        <v>93</v>
      </c>
      <c r="F2" s="599"/>
      <c r="G2" s="62" t="s">
        <v>12</v>
      </c>
      <c r="H2" s="62" t="s">
        <v>46</v>
      </c>
      <c r="I2" s="80" t="s">
        <v>95</v>
      </c>
      <c r="J2" s="80" t="s">
        <v>73</v>
      </c>
      <c r="K2" s="594"/>
      <c r="L2" s="57" t="s">
        <v>1</v>
      </c>
      <c r="M2" s="57" t="s">
        <v>2</v>
      </c>
      <c r="N2" s="608"/>
      <c r="O2" s="57" t="s">
        <v>36</v>
      </c>
      <c r="P2" s="57" t="s">
        <v>37</v>
      </c>
    </row>
    <row r="3" spans="1:27" ht="13" thickBot="1">
      <c r="A3" s="43">
        <v>1</v>
      </c>
      <c r="B3" s="62">
        <f>IF(controls!$B$40=3,'choose m.p. (endogenous policy)'!$W$3,IF(controls!$B$40=1,'choose m.p. (endogenous policy)'!$W$3*(1+L3),W3*(1+L3)))</f>
        <v>50</v>
      </c>
      <c r="D3" s="64">
        <f>IF(E3-'input own m.p.'!$K$12*'choose m.p. (endogenous policy)'!W5&gt;0,E3-'input own m.p.'!$K$12*'choose m.p. (endogenous policy)'!W5,0.1)</f>
        <v>50</v>
      </c>
      <c r="E3" s="62">
        <f>IF(controls!B40=3,$T$3,$T$3+($T$3-'input own m.p.'!$K$12*'choose m.p. (endogenous policy)'!$W$5)*'choose m.p. (endogenous policy)'!M3)</f>
        <v>51.5</v>
      </c>
      <c r="F3" s="79">
        <f>'choose m.p.'!F3</f>
        <v>0</v>
      </c>
      <c r="G3" s="62">
        <f>'input own m.p.'!K16+'input own m.p.'!K10*(D3-B3)</f>
        <v>2</v>
      </c>
      <c r="H3" s="62">
        <f>IF(I3=0,0,I3-G3)</f>
        <v>2</v>
      </c>
      <c r="I3" s="93">
        <f>IF(G3+J3+(('input own m.p.'!$K$10*'loss level and beta es(outputs)'!$L$5*'input own m.p.'!$K$14)/('input own m.p.'!$K$12*(1+('input own m.p.'!$K$10^2)*'loss level and beta es(outputs)'!$L$5)))*(G3-('input own m.p.'!$K$16/100)*100)&lt;0,0,G3+J3+(('input own m.p.'!$K$10*'loss level and beta es(outputs)'!$L$5*'input own m.p.'!$K$14)/('input own m.p.'!$K$12*(1+('input own m.p.'!$K$10^2)*'loss level and beta es(outputs)'!$L$5)))*(G3-('input own m.p.'!$K$16/100)*100))</f>
        <v>4</v>
      </c>
      <c r="J3" s="81">
        <f>IF(controls!$B$40=1,$W$5,(E3-B3)/'input own m.p.'!$K$12)</f>
        <v>2</v>
      </c>
      <c r="K3" s="97">
        <f>J3+G3</f>
        <v>4</v>
      </c>
      <c r="L3" s="36">
        <f>'choose m.p.'!L3</f>
        <v>0</v>
      </c>
      <c r="M3" s="36">
        <f>'choose m.p.'!M3</f>
        <v>0</v>
      </c>
      <c r="N3" s="36">
        <v>0.05</v>
      </c>
      <c r="O3" s="44">
        <f>D3-W4</f>
        <v>0</v>
      </c>
      <c r="P3" s="44">
        <v>0</v>
      </c>
      <c r="S3" s="55" t="s">
        <v>76</v>
      </c>
      <c r="T3" s="55">
        <f>'choose m.p.'!T3</f>
        <v>51.5</v>
      </c>
      <c r="U3" s="43">
        <v>-0.02</v>
      </c>
      <c r="V3" s="63" t="s">
        <v>47</v>
      </c>
      <c r="W3" s="63">
        <f>'choose m.p.'!W3</f>
        <v>50</v>
      </c>
      <c r="X3" s="63" t="s">
        <v>173</v>
      </c>
      <c r="Y3" s="79">
        <v>3</v>
      </c>
      <c r="Z3" s="67" t="s">
        <v>174</v>
      </c>
      <c r="AA3" s="63">
        <f>W3*(1+Y3/100)</f>
        <v>51.5</v>
      </c>
    </row>
    <row r="4" spans="1:27" ht="13" thickBot="1">
      <c r="A4" s="43">
        <v>2</v>
      </c>
      <c r="B4" s="62">
        <f>IF(controls!$B$40=3,$W$3,IF(controls!$B$40=1,'choose m.p. (endogenous policy)'!$W$3*(1+L4),B3*(1+L4)))</f>
        <v>50</v>
      </c>
      <c r="C4" s="67">
        <f t="shared" ref="C4:C23" si="0">D4/D3-1</f>
        <v>0</v>
      </c>
      <c r="D4" s="64">
        <f>IF(E4-'input own m.p.'!$K$12*'choose m.p. (endogenous policy)'!H3&gt;0,E4-'input own m.p.'!$K$12*'choose m.p. (endogenous policy)'!H3,0.1)</f>
        <v>50</v>
      </c>
      <c r="E4" s="62">
        <f>IF(controls!$B$40=3,$T$3,IF(controls!$B$40=1,'choose m.p. (endogenous policy)'!$T$3+E27+D3*M4,E3+D3*(M4+F4/100)))</f>
        <v>51.5</v>
      </c>
      <c r="F4" s="79">
        <f>'choose m.p.'!F4</f>
        <v>0</v>
      </c>
      <c r="G4" s="62">
        <f>IF(ABS('input own m.p.'!$K$14*G3+(1-'input own m.p.'!$K$14)*('input own m.p.'!$K$16/100)*100+'input own m.p.'!$K$10*(D4-B4)-G3)&lt;0.0000001,G3,'input own m.p.'!$K$14*G3+(1-'input own m.p.'!$K$14)*('input own m.p.'!$K$16/100)*100+'input own m.p.'!$K$10*(D4-B4))</f>
        <v>2</v>
      </c>
      <c r="H4" s="62">
        <f t="shared" ref="H4:H23" si="1">I4-G4</f>
        <v>2</v>
      </c>
      <c r="I4" s="93">
        <f>IF(G4+J4+(('input own m.p.'!$K$10*'loss level and beta es(outputs)'!$L$5*'input own m.p.'!$K$14)/('input own m.p.'!$K$12*(1+('input own m.p.'!$K$10^2)*'loss level and beta es(outputs)'!$L$5)))*(G4-('input own m.p.'!$K$16/100)*100)&lt;0,0,G4+J4+(('input own m.p.'!$K$10*'loss level and beta es(outputs)'!$L$5*'input own m.p.'!$K$14)/('input own m.p.'!$K$12*(1+('input own m.p.'!$K$10^2)*'loss level and beta es(outputs)'!$L$5)))*(G4-('input own m.p.'!$K$16/100)*100))</f>
        <v>4</v>
      </c>
      <c r="J4" s="81">
        <f>IF(controls!$B$40=1,$W$5,(E4-B4)/'input own m.p.'!$K$12)</f>
        <v>2</v>
      </c>
      <c r="K4" s="97">
        <f t="shared" ref="K4:K22" si="2">J4+G4</f>
        <v>4</v>
      </c>
      <c r="L4" s="36">
        <f>'choose m.p.'!L4</f>
        <v>0</v>
      </c>
      <c r="M4" s="36">
        <f>'choose m.p.'!M4</f>
        <v>0</v>
      </c>
      <c r="N4" s="36">
        <v>-0.05</v>
      </c>
      <c r="O4" s="44">
        <f t="shared" ref="O4:O22" si="3">D4-W5</f>
        <v>48</v>
      </c>
      <c r="P4" s="44">
        <v>3.5000000000000003E-2</v>
      </c>
      <c r="S4" s="63" t="s">
        <v>100</v>
      </c>
      <c r="T4" s="56"/>
      <c r="U4" s="52">
        <v>-1.4999999999999999E-2</v>
      </c>
      <c r="V4" s="55" t="s">
        <v>49</v>
      </c>
      <c r="W4" s="63">
        <f>'choose m.p.'!W4</f>
        <v>50</v>
      </c>
      <c r="X4" s="52"/>
      <c r="Y4" s="36"/>
      <c r="Z4" s="36"/>
    </row>
    <row r="5" spans="1:27" ht="13" thickBot="1">
      <c r="A5" s="43">
        <v>3</v>
      </c>
      <c r="B5" s="62">
        <f>IF(controls!$B$40=3,$W$3,IF(controls!$B$40=1,'choose m.p. (endogenous policy)'!$W$3*(1+L5),B4*(1+L5)))</f>
        <v>50</v>
      </c>
      <c r="C5" s="67">
        <f t="shared" si="0"/>
        <v>0</v>
      </c>
      <c r="D5" s="64">
        <f>IF(E5-'input own m.p.'!$K$12*'choose m.p. (endogenous policy)'!H4&gt;0,E5-'input own m.p.'!$K$12*'choose m.p. (endogenous policy)'!H4,0.1)</f>
        <v>50</v>
      </c>
      <c r="E5" s="62">
        <f>IF(controls!$B$40=3,$T$3,IF(controls!$B$40=1,'choose m.p. (endogenous policy)'!$T$3+SUM($E$27:E28)+D4*M5,E4+D4*(M5+F5/100)))</f>
        <v>51.5</v>
      </c>
      <c r="F5" s="79">
        <f>'choose m.p.'!F5</f>
        <v>0</v>
      </c>
      <c r="G5" s="62">
        <f>IF(ABS('input own m.p.'!$K$14*G4+(1-'input own m.p.'!$K$14)*('input own m.p.'!$K$16/100)*100+'input own m.p.'!$K$10*(D5-B5)-G4)&lt;0.0000001,G4,'input own m.p.'!$K$14*G4+(1-'input own m.p.'!$K$14)*('input own m.p.'!$K$16/100)*100+'input own m.p.'!$K$10*(D5-B5))</f>
        <v>2</v>
      </c>
      <c r="H5" s="62">
        <f t="shared" si="1"/>
        <v>2</v>
      </c>
      <c r="I5" s="93">
        <f>IF(G5+J5+(('input own m.p.'!$K$10*'loss level and beta es(outputs)'!$L$5*'input own m.p.'!$K$14)/('input own m.p.'!$K$12*(1+('input own m.p.'!$K$10^2)*'loss level and beta es(outputs)'!$L$5)))*(G5-('input own m.p.'!$K$16/100)*100)&lt;0,0,G5+J5+(('input own m.p.'!$K$10*'loss level and beta es(outputs)'!$L$5*'input own m.p.'!$K$14)/('input own m.p.'!$K$12*(1+('input own m.p.'!$K$10^2)*'loss level and beta es(outputs)'!$L$5)))*(G5-('input own m.p.'!$K$16/100)*100))</f>
        <v>4</v>
      </c>
      <c r="J5" s="81">
        <f>IF(controls!$B$40=1,$W$5,(E5-B5)/'input own m.p.'!$K$12)</f>
        <v>2</v>
      </c>
      <c r="K5" s="97">
        <f t="shared" si="2"/>
        <v>4</v>
      </c>
      <c r="L5" s="36">
        <f>'choose m.p.'!L5</f>
        <v>-0.02</v>
      </c>
      <c r="M5" s="36">
        <f>'choose m.p.'!M5</f>
        <v>0</v>
      </c>
      <c r="N5" s="36">
        <v>4.4999999999999998E-2</v>
      </c>
      <c r="O5" s="44">
        <f t="shared" si="3"/>
        <v>50</v>
      </c>
      <c r="P5" s="44">
        <v>-4.4999999999999998E-2</v>
      </c>
      <c r="S5" s="63" t="s">
        <v>172</v>
      </c>
      <c r="T5" s="55">
        <f>T3*(1+T4/100)</f>
        <v>51.5</v>
      </c>
      <c r="U5" s="52">
        <v>-2.5000000000000001E-2</v>
      </c>
      <c r="V5" s="55" t="s">
        <v>50</v>
      </c>
      <c r="W5" s="55">
        <f>(T3-W3)/'input own m.p.'!$K$12</f>
        <v>2</v>
      </c>
      <c r="X5" s="52"/>
      <c r="Y5" s="36"/>
      <c r="Z5" s="36"/>
    </row>
    <row r="6" spans="1:27" ht="13" thickBot="1">
      <c r="A6" s="43">
        <v>4</v>
      </c>
      <c r="B6" s="62">
        <f>IF(controls!$B$40=3,$W$3,IF(controls!$B$40=1,'choose m.p. (endogenous policy)'!$W$3*(1+L6),B5*(1+L6)))</f>
        <v>50</v>
      </c>
      <c r="C6" s="67">
        <f t="shared" si="0"/>
        <v>0</v>
      </c>
      <c r="D6" s="64">
        <f>IF(E6-'input own m.p.'!$K$12*'choose m.p. (endogenous policy)'!H5&gt;0,E6-'input own m.p.'!$K$12*'choose m.p. (endogenous policy)'!H5,0.1)</f>
        <v>50</v>
      </c>
      <c r="E6" s="62">
        <f>IF(controls!$B$40=3,$T$3,IF(controls!$B$40=1,'choose m.p. (endogenous policy)'!$T$3+SUM($E$27:E29)+D5*M6,E5+D5*(M6+F6/100)))</f>
        <v>51.5</v>
      </c>
      <c r="F6" s="79">
        <f>'choose m.p.'!F6</f>
        <v>0</v>
      </c>
      <c r="G6" s="62">
        <f>IF(ABS('input own m.p.'!$K$14*G5+(1-'input own m.p.'!$K$14)*('input own m.p.'!$K$16/100)*100+'input own m.p.'!$K$10*(D6-B6)-G5)&lt;0.0000001,G5,'input own m.p.'!$K$14*G5+(1-'input own m.p.'!$K$14)*('input own m.p.'!$K$16/100)*100+'input own m.p.'!$K$10*(D6-B6))</f>
        <v>2</v>
      </c>
      <c r="H6" s="62">
        <f t="shared" si="1"/>
        <v>2</v>
      </c>
      <c r="I6" s="93">
        <f>IF(G6+J6+(('input own m.p.'!$K$10*'loss level and beta es(outputs)'!$L$5*'input own m.p.'!$K$14)/('input own m.p.'!$K$12*(1+('input own m.p.'!$K$10^2)*'loss level and beta es(outputs)'!$L$5)))*(G6-('input own m.p.'!$K$16/100)*100)&lt;0,0,G6+J6+(('input own m.p.'!$K$10*'loss level and beta es(outputs)'!$L$5*'input own m.p.'!$K$14)/('input own m.p.'!$K$12*(1+('input own m.p.'!$K$10^2)*'loss level and beta es(outputs)'!$L$5)))*(G6-('input own m.p.'!$K$16/100)*100))</f>
        <v>4</v>
      </c>
      <c r="J6" s="81">
        <f>IF(controls!$B$40=1,$W$5,(E6-B6)/'input own m.p.'!$K$12)</f>
        <v>2</v>
      </c>
      <c r="K6" s="97">
        <f t="shared" si="2"/>
        <v>4</v>
      </c>
      <c r="L6" s="36">
        <f>'choose m.p.'!L6</f>
        <v>0</v>
      </c>
      <c r="M6" s="36">
        <f>'choose m.p.'!M6</f>
        <v>0</v>
      </c>
      <c r="N6" s="36">
        <v>-4.4999999999999998E-2</v>
      </c>
      <c r="O6" s="44">
        <f t="shared" si="3"/>
        <v>50</v>
      </c>
      <c r="P6" s="44">
        <v>-4.4999999999999998E-2</v>
      </c>
      <c r="S6" s="55"/>
      <c r="T6" s="56"/>
      <c r="U6" s="52">
        <v>-2.5000000000000001E-2</v>
      </c>
      <c r="V6" s="52"/>
      <c r="W6" s="52"/>
      <c r="Y6" s="36"/>
      <c r="Z6" s="36"/>
    </row>
    <row r="7" spans="1:27" ht="13" thickBot="1">
      <c r="A7" s="43">
        <v>5</v>
      </c>
      <c r="B7" s="62">
        <f>IF(controls!$B$40=3,$AA$3,IF(controls!$B$40=1,'choose m.p. (endogenous policy)'!$W$3*(1+L7),B6*(1+L7)))</f>
        <v>51.5</v>
      </c>
      <c r="C7" s="67">
        <f t="shared" si="0"/>
        <v>0</v>
      </c>
      <c r="D7" s="64">
        <f>IF(E7-'input own m.p.'!$K$12*'choose m.p. (endogenous policy)'!H6&gt;0,E7-'input own m.p.'!$K$12*'choose m.p. (endogenous policy)'!H6,0.1)</f>
        <v>50</v>
      </c>
      <c r="E7" s="62">
        <f>IF(controls!$B$40=3,$T$5,IF(controls!$B$40=1,'choose m.p. (endogenous policy)'!$T$3+SUM($E$27:E30)+D6*M7,E6+D6*(M7+F7/100)))</f>
        <v>51.5</v>
      </c>
      <c r="F7" s="79">
        <f>'choose m.p.'!F7</f>
        <v>0</v>
      </c>
      <c r="G7" s="62">
        <f>IF(ABS('input own m.p.'!$K$14*G6+(1-'input own m.p.'!$K$14)*('input own m.p.'!$K$16/100)*100+'input own m.p.'!$K$10*(D7-B7)-G6)&lt;0.0000001,G6,'input own m.p.'!$K$14*G6+(1-'input own m.p.'!$K$14)*('input own m.p.'!$K$16/100)*100+'input own m.p.'!$K$10*(D7-B7))</f>
        <v>0.5</v>
      </c>
      <c r="H7" s="62">
        <f t="shared" si="1"/>
        <v>-0.5</v>
      </c>
      <c r="I7" s="93">
        <f>IF(G7+J7+(('input own m.p.'!$K$10*'loss level and beta es(outputs)'!$L$5*'input own m.p.'!$K$14)/('input own m.p.'!$K$12*(1+('input own m.p.'!$K$10^2)*'loss level and beta es(outputs)'!$L$5)))*(G7-('input own m.p.'!$K$16/100)*100)&lt;0,0,G7+J7+(('input own m.p.'!$K$10*'loss level and beta es(outputs)'!$L$5*'input own m.p.'!$K$14)/('input own m.p.'!$K$12*(1+('input own m.p.'!$K$10^2)*'loss level and beta es(outputs)'!$L$5)))*(G7-('input own m.p.'!$K$16/100)*100))</f>
        <v>0</v>
      </c>
      <c r="J7" s="81">
        <f>IF(controls!$B$40=1,$W$5,(E7-B7)/'input own m.p.'!$K$12)</f>
        <v>0</v>
      </c>
      <c r="K7" s="97">
        <f t="shared" si="2"/>
        <v>0.5</v>
      </c>
      <c r="L7" s="36">
        <f>'choose m.p.'!L7</f>
        <v>0</v>
      </c>
      <c r="M7" s="36">
        <f>'choose m.p.'!M7</f>
        <v>0.03</v>
      </c>
      <c r="N7" s="36">
        <v>0.04</v>
      </c>
      <c r="O7" s="44">
        <f t="shared" si="3"/>
        <v>0</v>
      </c>
      <c r="P7" s="44">
        <v>-4.4999999999999998E-2</v>
      </c>
      <c r="R7" s="52"/>
      <c r="S7" s="52"/>
      <c r="T7" s="52"/>
      <c r="U7" s="52">
        <v>-2.5000000000000001E-2</v>
      </c>
      <c r="V7" s="55"/>
      <c r="W7" s="55"/>
      <c r="Y7" s="36"/>
      <c r="Z7" s="36"/>
    </row>
    <row r="8" spans="1:27" ht="13" thickBot="1">
      <c r="A8" s="43">
        <v>6</v>
      </c>
      <c r="B8" s="62">
        <f>IF(controls!$B$40=3,IF(controls!$B$48="temporary",$W$3,$AA$3),IF(controls!$B$40=1,'choose m.p. (endogenous policy)'!$W$3*(1+L8),B7*(1+L8)))</f>
        <v>50</v>
      </c>
      <c r="C8" s="67">
        <f t="shared" si="0"/>
        <v>3.7500000000000089E-2</v>
      </c>
      <c r="D8" s="64">
        <f>IF(E8-'input own m.p.'!$K$12*'choose m.p. (endogenous policy)'!H7&gt;0,E8-'input own m.p.'!$K$12*'choose m.p. (endogenous policy)'!H7,0.1)</f>
        <v>51.875</v>
      </c>
      <c r="E8" s="62">
        <f>IF(controls!$B$40=3,IF(controls!$B$47="temporary",$T$3,$T$5),IF(controls!$B$40=1,'choose m.p. (endogenous policy)'!$T$3+SUM($E$27:E31)+D7*M8,E7+D7*(M8+F8/100)))</f>
        <v>51.5</v>
      </c>
      <c r="F8" s="79">
        <f>'choose m.p.'!F8</f>
        <v>0</v>
      </c>
      <c r="G8" s="62">
        <f>IF(ABS('input own m.p.'!$K$14*G7+(1-'input own m.p.'!$K$14)*('input own m.p.'!$K$16/100)*100+'input own m.p.'!$K$10*(D8-B8)-G7)&lt;0.0000001,G7,'input own m.p.'!$K$14*G7+(1-'input own m.p.'!$K$14)*('input own m.p.'!$K$16/100)*100+'input own m.p.'!$K$10*(D8-B8))</f>
        <v>2.375</v>
      </c>
      <c r="H8" s="62">
        <f t="shared" si="1"/>
        <v>2.3223737965824718</v>
      </c>
      <c r="I8" s="93">
        <f>IF(G8+J8+(('input own m.p.'!$K$10*'loss level and beta es(outputs)'!$L$5*'input own m.p.'!$K$14)/('input own m.p.'!$K$12*(1+('input own m.p.'!$K$10^2)*'loss level and beta es(outputs)'!$L$5)))*(G8-('input own m.p.'!$K$16/100)*100)&lt;0,0,G8+J8+(('input own m.p.'!$K$10*'loss level and beta es(outputs)'!$L$5*'input own m.p.'!$K$14)/('input own m.p.'!$K$12*(1+('input own m.p.'!$K$10^2)*'loss level and beta es(outputs)'!$L$5)))*(G8-('input own m.p.'!$K$16/100)*100))</f>
        <v>4.6973737965824718</v>
      </c>
      <c r="J8" s="81">
        <f>IF(controls!$B$40=1,$W$5,(E8-B8)/'input own m.p.'!$K$12)</f>
        <v>2</v>
      </c>
      <c r="K8" s="97">
        <f t="shared" si="2"/>
        <v>4.375</v>
      </c>
      <c r="L8" s="36">
        <f>'choose m.p.'!L8</f>
        <v>0</v>
      </c>
      <c r="M8" s="36">
        <f>'choose m.p.'!M8</f>
        <v>0</v>
      </c>
      <c r="N8" s="36">
        <v>-0.04</v>
      </c>
      <c r="O8" s="44">
        <f t="shared" si="3"/>
        <v>51.875</v>
      </c>
      <c r="P8" s="44">
        <v>-4.4999999999999998E-2</v>
      </c>
      <c r="Q8" s="44">
        <v>0.01</v>
      </c>
      <c r="S8" s="55" t="s">
        <v>0</v>
      </c>
      <c r="T8" s="55">
        <f>'input own m.p.'!K16</f>
        <v>2</v>
      </c>
      <c r="U8" s="43">
        <v>-2.5000000000000001E-2</v>
      </c>
      <c r="V8" s="55">
        <v>0</v>
      </c>
      <c r="W8" s="63">
        <f>'main page'!G8*'choose m.p. (endogenous policy)'!W3</f>
        <v>50</v>
      </c>
      <c r="Y8" s="36"/>
      <c r="Z8" s="36"/>
    </row>
    <row r="9" spans="1:27" ht="13" thickBot="1">
      <c r="A9" s="43">
        <v>7</v>
      </c>
      <c r="B9" s="62">
        <f>IF(controls!$B$40=3,IF(controls!$B$48="temporary",$W$3,$AA$3),IF(controls!$B$40=1,'choose m.p. (endogenous policy)'!$W$3*(1+L9),B8*(1+L9)))</f>
        <v>50</v>
      </c>
      <c r="C9" s="67">
        <f t="shared" si="0"/>
        <v>-4.0805404287939329E-2</v>
      </c>
      <c r="D9" s="64">
        <f>IF(E9-'input own m.p.'!$K$12*'choose m.p. (endogenous policy)'!H8&gt;0,E9-'input own m.p.'!$K$12*'choose m.p. (endogenous policy)'!H8,0.1)</f>
        <v>49.758219652563149</v>
      </c>
      <c r="E9" s="62">
        <f>IF(controls!$B$40=3,IF(controls!$B$47="temporary",$T$3,$T$5),IF(controls!$B$40=1,'choose m.p. (endogenous policy)'!$T$3+SUM($E$27:E32)+D8*M9,E8+D8*(M9+F9/100)))</f>
        <v>51.5</v>
      </c>
      <c r="F9" s="79">
        <f>'choose m.p.'!F9</f>
        <v>0</v>
      </c>
      <c r="G9" s="62">
        <f>IF(ABS('input own m.p.'!$K$14*G8+(1-'input own m.p.'!$K$14)*('input own m.p.'!$K$16/100)*100+'input own m.p.'!$K$10*(D9-B9)-G8)&lt;0.0000001,G8,'input own m.p.'!$K$14*G8+(1-'input own m.p.'!$K$14)*('input own m.p.'!$K$16/100)*100+'input own m.p.'!$K$10*(D9-B9))</f>
        <v>2.1332196525631488</v>
      </c>
      <c r="H9" s="62">
        <f t="shared" si="1"/>
        <v>2.1145240671364807</v>
      </c>
      <c r="I9" s="93">
        <f>IF(G9+J9+(('input own m.p.'!$K$10*'loss level and beta es(outputs)'!$L$5*'input own m.p.'!$K$14)/('input own m.p.'!$K$12*(1+('input own m.p.'!$K$10^2)*'loss level and beta es(outputs)'!$L$5)))*(G9-('input own m.p.'!$K$16/100)*100)&lt;0,0,G9+J9+(('input own m.p.'!$K$10*'loss level and beta es(outputs)'!$L$5*'input own m.p.'!$K$14)/('input own m.p.'!$K$12*(1+('input own m.p.'!$K$10^2)*'loss level and beta es(outputs)'!$L$5)))*(G9-('input own m.p.'!$K$16/100)*100))</f>
        <v>4.2477437196996295</v>
      </c>
      <c r="J9" s="81">
        <f>IF(controls!$B$40=1,$W$5,(E9-B9)/'input own m.p.'!$K$12)</f>
        <v>2</v>
      </c>
      <c r="K9" s="97">
        <f t="shared" si="2"/>
        <v>4.1332196525631488</v>
      </c>
      <c r="L9" s="36">
        <f>'choose m.p.'!L9</f>
        <v>0</v>
      </c>
      <c r="M9" s="36">
        <f>'choose m.p.'!M9</f>
        <v>0</v>
      </c>
      <c r="N9" s="36">
        <v>3.5000000000000003E-2</v>
      </c>
      <c r="O9" s="44">
        <f t="shared" si="3"/>
        <v>49.758219652563149</v>
      </c>
      <c r="P9" s="44">
        <v>-4.4999999999999998E-2</v>
      </c>
      <c r="Q9" s="44">
        <v>0.01</v>
      </c>
      <c r="U9" s="43">
        <v>-2.5000000000000001E-2</v>
      </c>
      <c r="V9" s="43">
        <v>-0.03</v>
      </c>
      <c r="Y9" s="36"/>
      <c r="Z9" s="36"/>
    </row>
    <row r="10" spans="1:27" ht="13" thickBot="1">
      <c r="A10" s="43">
        <v>8</v>
      </c>
      <c r="B10" s="62">
        <f>IF(controls!$B$40=3,IF(controls!$B$48="temporary",$W$3,$AA$3),IF(controls!$B$40=1,'choose m.p. (endogenous policy)'!$W$3*(1+L10),B9*(1+L10)))</f>
        <v>50</v>
      </c>
      <c r="C10" s="67">
        <f t="shared" si="0"/>
        <v>3.1328953924190106E-3</v>
      </c>
      <c r="D10" s="64">
        <f>IF(E10-'input own m.p.'!$K$12*'choose m.p. (endogenous policy)'!H9&gt;0,E10-'input own m.p.'!$K$12*'choose m.p. (endogenous policy)'!H9,0.1)</f>
        <v>49.914106949647639</v>
      </c>
      <c r="E10" s="62">
        <f>IF(controls!$B$40=3,IF(controls!$B$47="temporary",$T$3,$T$5),IF(controls!$B$40=1,'choose m.p. (endogenous policy)'!$T$3+SUM($E$27:E33)+D9*M10,E9+D9*(M10+F10/100)))</f>
        <v>51.5</v>
      </c>
      <c r="F10" s="79">
        <f>'choose m.p.'!F10</f>
        <v>0</v>
      </c>
      <c r="G10" s="62">
        <f>IF(ABS('input own m.p.'!$K$14*G9+(1-'input own m.p.'!$K$14)*('input own m.p.'!$K$16/100)*100+'input own m.p.'!$K$10*(D10-B10)-G9)&lt;0.0000001,G9,'input own m.p.'!$K$14*G9+(1-'input own m.p.'!$K$14)*('input own m.p.'!$K$16/100)*100+'input own m.p.'!$K$10*(D10-B10))</f>
        <v>2.0473266022107879</v>
      </c>
      <c r="H10" s="62">
        <f t="shared" si="1"/>
        <v>2.0406849504907738</v>
      </c>
      <c r="I10" s="93">
        <f>IF(G10+J10+(('input own m.p.'!$K$10*'loss level and beta es(outputs)'!$L$5*'input own m.p.'!$K$14)/('input own m.p.'!$K$12*(1+('input own m.p.'!$K$10^2)*'loss level and beta es(outputs)'!$L$5)))*(G10-('input own m.p.'!$K$16/100)*100)&lt;0,0,G10+J10+(('input own m.p.'!$K$10*'loss level and beta es(outputs)'!$L$5*'input own m.p.'!$K$14)/('input own m.p.'!$K$12*(1+('input own m.p.'!$K$10^2)*'loss level and beta es(outputs)'!$L$5)))*(G10-('input own m.p.'!$K$16/100)*100))</f>
        <v>4.0880115527015617</v>
      </c>
      <c r="J10" s="81">
        <f>IF(controls!$B$40=1,$W$5,(E10-B10)/'input own m.p.'!$K$12)</f>
        <v>2</v>
      </c>
      <c r="K10" s="97">
        <f t="shared" si="2"/>
        <v>4.0473266022107879</v>
      </c>
      <c r="L10" s="36">
        <f>'choose m.p.'!L10</f>
        <v>-0.05</v>
      </c>
      <c r="M10" s="36">
        <f>'choose m.p.'!M10</f>
        <v>0</v>
      </c>
      <c r="N10" s="36">
        <v>-3.5000000000000003E-2</v>
      </c>
      <c r="O10" s="44">
        <f t="shared" si="3"/>
        <v>49.914106949647639</v>
      </c>
      <c r="P10" s="44">
        <v>-4.4999999999999998E-2</v>
      </c>
      <c r="Q10" s="44">
        <v>-0.04</v>
      </c>
      <c r="U10" s="43">
        <v>-2.5000000000000001E-2</v>
      </c>
      <c r="V10" s="43">
        <v>-0.03</v>
      </c>
      <c r="Y10" s="36"/>
      <c r="Z10" s="36"/>
    </row>
    <row r="11" spans="1:27" ht="13" thickBot="1">
      <c r="A11" s="43">
        <v>9</v>
      </c>
      <c r="B11" s="62">
        <f>IF(controls!$B$40=3,IF(controls!$B$48="temporary",$W$3,$AA$3),IF(controls!$B$40=1,'choose m.p. (endogenous policy)'!$W$3*(1+L11),B10*(1+L11)))</f>
        <v>50</v>
      </c>
      <c r="C11" s="67">
        <f t="shared" si="0"/>
        <v>1.109492703939452E-3</v>
      </c>
      <c r="D11" s="64">
        <f>IF(E11-'input own m.p.'!$K$12*'choose m.p. (endogenous policy)'!H10&gt;0,E11-'input own m.p.'!$K$12*'choose m.p. (endogenous policy)'!H10,0.1)</f>
        <v>49.969486287131922</v>
      </c>
      <c r="E11" s="62">
        <f>IF(controls!$B$40=3,IF(controls!$B$47="temporary",$T$3,$T$5),IF(controls!$B$40=1,'choose m.p. (endogenous policy)'!$T$3+SUM($E$27:E34)+D10*M11,E10+D10*(M11+F11/100)))</f>
        <v>51.5</v>
      </c>
      <c r="F11" s="79">
        <f>'choose m.p.'!F11</f>
        <v>0</v>
      </c>
      <c r="G11" s="62">
        <f>IF(ABS('input own m.p.'!$K$14*G10+(1-'input own m.p.'!$K$14)*('input own m.p.'!$K$16/100)*100+'input own m.p.'!$K$10*(D11-B11)-G10)&lt;0.0000001,G10,'input own m.p.'!$K$14*G10+(1-'input own m.p.'!$K$14)*('input own m.p.'!$K$16/100)*100+'input own m.p.'!$K$10*(D11-B11))</f>
        <v>2.0168128893427095</v>
      </c>
      <c r="H11" s="62">
        <f t="shared" si="1"/>
        <v>2.0144534265838141</v>
      </c>
      <c r="I11" s="93">
        <f>IF(G11+J11+(('input own m.p.'!$K$10*'loss level and beta es(outputs)'!$L$5*'input own m.p.'!$K$14)/('input own m.p.'!$K$12*(1+('input own m.p.'!$K$10^2)*'loss level and beta es(outputs)'!$L$5)))*(G11-('input own m.p.'!$K$16/100)*100)&lt;0,0,G11+J11+(('input own m.p.'!$K$10*'loss level and beta es(outputs)'!$L$5*'input own m.p.'!$K$14)/('input own m.p.'!$K$12*(1+('input own m.p.'!$K$10^2)*'loss level and beta es(outputs)'!$L$5)))*(G11-('input own m.p.'!$K$16/100)*100))</f>
        <v>4.0312663159265236</v>
      </c>
      <c r="J11" s="81">
        <f>IF(controls!$B$40=1,$W$5,(E11-B11)/'input own m.p.'!$K$12)</f>
        <v>2</v>
      </c>
      <c r="K11" s="97">
        <f t="shared" si="2"/>
        <v>4.0168128893427095</v>
      </c>
      <c r="L11" s="36">
        <f>'choose m.p.'!L11</f>
        <v>0</v>
      </c>
      <c r="M11" s="36">
        <f>'choose m.p.'!M11</f>
        <v>0</v>
      </c>
      <c r="N11" s="36">
        <v>0.03</v>
      </c>
      <c r="O11" s="44">
        <f t="shared" si="3"/>
        <v>49.969486287131922</v>
      </c>
      <c r="P11" s="44">
        <v>-4.4999999999999998E-2</v>
      </c>
      <c r="Q11" s="44">
        <v>-0.04</v>
      </c>
      <c r="T11" s="52" t="b">
        <v>0</v>
      </c>
      <c r="U11" s="43">
        <v>-2.5000000000000001E-2</v>
      </c>
      <c r="V11" s="43">
        <v>-0.03</v>
      </c>
      <c r="Y11" s="36"/>
      <c r="Z11" s="36"/>
    </row>
    <row r="12" spans="1:27" ht="13" thickBot="1">
      <c r="A12" s="43">
        <v>10</v>
      </c>
      <c r="B12" s="62">
        <f>IF(controls!$B$40=3,IF(controls!$B$48="temporary",$W$3,$AA$3),IF(controls!$B$40=1,'choose m.p. (endogenous policy)'!$W$3*(1+L12),B11*(1+L12)))</f>
        <v>50</v>
      </c>
      <c r="C12" s="67">
        <f t="shared" si="0"/>
        <v>3.9371313159319854E-4</v>
      </c>
      <c r="D12" s="64">
        <f>IF(E12-'input own m.p.'!$K$12*'choose m.p. (endogenous policy)'!H11&gt;0,E12-'input own m.p.'!$K$12*'choose m.p. (endogenous policy)'!H11,0.1)</f>
        <v>49.989159930062137</v>
      </c>
      <c r="E12" s="62">
        <f>IF(controls!$B$40=3,IF(controls!$B$47="temporary",$T$3,$T$5),IF(controls!$B$40=1,'choose m.p. (endogenous policy)'!$T$3+SUM($E$27:E35)+D11*M12,E11+D11*(M12+F12/100)))</f>
        <v>51.5</v>
      </c>
      <c r="F12" s="79">
        <f>'choose m.p.'!F12</f>
        <v>0</v>
      </c>
      <c r="G12" s="62">
        <f>IF(ABS('input own m.p.'!$K$14*G11+(1-'input own m.p.'!$K$14)*('input own m.p.'!$K$16/100)*100+'input own m.p.'!$K$10*(D12-B12)-G11)&lt;0.0000001,G11,'input own m.p.'!$K$14*G11+(1-'input own m.p.'!$K$14)*('input own m.p.'!$K$16/100)*100+'input own m.p.'!$K$10*(D12-B12))</f>
        <v>2.0059728194048461</v>
      </c>
      <c r="H12" s="62">
        <f t="shared" si="1"/>
        <v>2.0051346145809115</v>
      </c>
      <c r="I12" s="93">
        <f>IF(G12+J12+(('input own m.p.'!$K$10*'loss level and beta es(outputs)'!$L$5*'input own m.p.'!$K$14)/('input own m.p.'!$K$12*(1+('input own m.p.'!$K$10^2)*'loss level and beta es(outputs)'!$L$5)))*(G12-('input own m.p.'!$K$16/100)*100)&lt;0,0,G12+J12+(('input own m.p.'!$K$10*'loss level and beta es(outputs)'!$L$5*'input own m.p.'!$K$14)/('input own m.p.'!$K$12*(1+('input own m.p.'!$K$10^2)*'loss level and beta es(outputs)'!$L$5)))*(G12-('input own m.p.'!$K$16/100)*100))</f>
        <v>4.0111074339857575</v>
      </c>
      <c r="J12" s="81">
        <f>IF(controls!$B$40=1,$W$5,(E12-B12)/'input own m.p.'!$K$12)</f>
        <v>2</v>
      </c>
      <c r="K12" s="97">
        <f t="shared" si="2"/>
        <v>4.0059728194048461</v>
      </c>
      <c r="L12" s="36">
        <f>'choose m.p.'!L12</f>
        <v>0</v>
      </c>
      <c r="M12" s="36">
        <f>'choose m.p.'!M12</f>
        <v>0.09</v>
      </c>
      <c r="N12" s="36">
        <v>-0.03</v>
      </c>
      <c r="O12" s="44">
        <f t="shared" si="3"/>
        <v>49.939159930062139</v>
      </c>
      <c r="P12" s="44">
        <v>-4.4999999999999998E-2</v>
      </c>
      <c r="Q12" s="44">
        <v>-0.04</v>
      </c>
      <c r="U12" s="43">
        <v>-2.5000000000000001E-2</v>
      </c>
      <c r="V12" s="43">
        <v>-0.03</v>
      </c>
      <c r="Y12" s="36"/>
      <c r="Z12" s="36"/>
    </row>
    <row r="13" spans="1:27" ht="13" thickBot="1">
      <c r="A13" s="43">
        <v>11</v>
      </c>
      <c r="B13" s="62">
        <f>IF(controls!$B$40=3,IF(controls!$B$48="temporary",$W$3,$AA$3),IF(controls!$B$40=1,'choose m.p. (endogenous policy)'!$W$3*(1+L13),B12*(1+L13)))</f>
        <v>50</v>
      </c>
      <c r="C13" s="67">
        <f t="shared" si="0"/>
        <v>1.398124915872323E-4</v>
      </c>
      <c r="D13" s="64">
        <f>IF(E13-'input own m.p.'!$K$12*'choose m.p. (endogenous policy)'!H12&gt;0,E13-'input own m.p.'!$K$12*'choose m.p. (endogenous policy)'!H12,0.1)</f>
        <v>49.996149039064314</v>
      </c>
      <c r="E13" s="62">
        <f>IF(controls!$B$40=3,IF(controls!$B$47="temporary",$T$3,$T$5),IF(controls!$B$40=1,'choose m.p. (endogenous policy)'!$T$3+SUM($E$27:E36)+D12*M13,E12+D12*(M13+F13/100)))</f>
        <v>51.5</v>
      </c>
      <c r="F13" s="79">
        <f>'choose m.p.'!F13</f>
        <v>0</v>
      </c>
      <c r="G13" s="62">
        <f>IF(ABS('input own m.p.'!$K$14*G12+(1-'input own m.p.'!$K$14)*('input own m.p.'!$K$16/100)*100+'input own m.p.'!$K$10*(D13-B13)-G12)&lt;0.0000001,G12,'input own m.p.'!$K$14*G12+(1-'input own m.p.'!$K$14)*('input own m.p.'!$K$16/100)*100+'input own m.p.'!$K$10*(D13-B13))</f>
        <v>2.0021218584691596</v>
      </c>
      <c r="H13" s="62">
        <f t="shared" si="1"/>
        <v>2.0018240841880361</v>
      </c>
      <c r="I13" s="93">
        <f>IF(G13+J13+(('input own m.p.'!$K$10*'loss level and beta es(outputs)'!$L$5*'input own m.p.'!$K$14)/('input own m.p.'!$K$12*(1+('input own m.p.'!$K$10^2)*'loss level and beta es(outputs)'!$L$5)))*(G13-('input own m.p.'!$K$16/100)*100)&lt;0,0,G13+J13+(('input own m.p.'!$K$10*'loss level and beta es(outputs)'!$L$5*'input own m.p.'!$K$14)/('input own m.p.'!$K$12*(1+('input own m.p.'!$K$10^2)*'loss level and beta es(outputs)'!$L$5)))*(G13-('input own m.p.'!$K$16/100)*100))</f>
        <v>4.0039459426571957</v>
      </c>
      <c r="J13" s="81">
        <f>IF(controls!$B$40=1,$W$5,(E13-B13)/'input own m.p.'!$K$12)</f>
        <v>2</v>
      </c>
      <c r="K13" s="97">
        <f t="shared" si="2"/>
        <v>4.0021218584691596</v>
      </c>
      <c r="L13" s="36">
        <f>'choose m.p.'!L13</f>
        <v>0</v>
      </c>
      <c r="M13" s="36">
        <f>'choose m.p.'!M13</f>
        <v>0</v>
      </c>
      <c r="N13" s="36">
        <v>2.5000000000000001E-2</v>
      </c>
      <c r="O13" s="44">
        <f t="shared" si="3"/>
        <v>50.006149039064312</v>
      </c>
      <c r="P13" s="44">
        <v>-4.4999999999999998E-2</v>
      </c>
      <c r="Q13" s="44">
        <v>-0.04</v>
      </c>
      <c r="R13" s="44">
        <v>3.5000000000000003E-2</v>
      </c>
      <c r="U13" s="43">
        <v>-2.5000000000000001E-2</v>
      </c>
      <c r="V13" s="43">
        <v>-0.03</v>
      </c>
      <c r="W13" s="43">
        <v>0.05</v>
      </c>
      <c r="Y13" s="36"/>
      <c r="Z13" s="36"/>
    </row>
    <row r="14" spans="1:27" ht="13" thickBot="1">
      <c r="A14" s="43">
        <v>12</v>
      </c>
      <c r="B14" s="62">
        <f>IF(controls!$B$40=3,IF(controls!$B$48="temporary",$W$3,$AA$3),IF(controls!$B$40=1,'choose m.p. (endogenous policy)'!$W$3*(1+L14),B13*(1+L14)))</f>
        <v>50</v>
      </c>
      <c r="C14" s="67">
        <f t="shared" si="0"/>
        <v>4.9661780804788336E-5</v>
      </c>
      <c r="D14" s="64">
        <f>IF(E14-'input own m.p.'!$K$12*'choose m.p. (endogenous policy)'!H13&gt;0,E14-'input own m.p.'!$K$12*'choose m.p. (endogenous policy)'!H13,0.1)</f>
        <v>49.99863193685897</v>
      </c>
      <c r="E14" s="62">
        <f>IF(controls!$B$40=3,IF(controls!$B$47="temporary",$T$3,$T$5),IF(controls!$B$40=1,'choose m.p. (endogenous policy)'!$T$3+SUM($E$27:E37)+D13*M14,E13+D13*(M14+F14/100)))</f>
        <v>51.5</v>
      </c>
      <c r="F14" s="79">
        <f>'choose m.p.'!F14</f>
        <v>0</v>
      </c>
      <c r="G14" s="62">
        <f>IF(ABS('input own m.p.'!$K$14*G13+(1-'input own m.p.'!$K$14)*('input own m.p.'!$K$16/100)*100+'input own m.p.'!$K$10*(D14-B14)-G13)&lt;0.0000001,G13,'input own m.p.'!$K$14*G13+(1-'input own m.p.'!$K$14)*('input own m.p.'!$K$16/100)*100+'input own m.p.'!$K$10*(D14-B14))</f>
        <v>2.00075379532813</v>
      </c>
      <c r="H14" s="62">
        <f t="shared" si="1"/>
        <v>2.0006480102980682</v>
      </c>
      <c r="I14" s="93">
        <f>IF(G14+J14+(('input own m.p.'!$K$10*'loss level and beta es(outputs)'!$L$5*'input own m.p.'!$K$14)/('input own m.p.'!$K$12*(1+('input own m.p.'!$K$10^2)*'loss level and beta es(outputs)'!$L$5)))*(G14-('input own m.p.'!$K$16/100)*100)&lt;0,0,G14+J14+(('input own m.p.'!$K$10*'loss level and beta es(outputs)'!$L$5*'input own m.p.'!$K$14)/('input own m.p.'!$K$12*(1+('input own m.p.'!$K$10^2)*'loss level and beta es(outputs)'!$L$5)))*(G14-('input own m.p.'!$K$16/100)*100))</f>
        <v>4.0014018056261982</v>
      </c>
      <c r="J14" s="81">
        <f>IF(controls!$B$40=1,$W$5,(E14-B14)/'input own m.p.'!$K$12)</f>
        <v>2</v>
      </c>
      <c r="K14" s="97">
        <f t="shared" si="2"/>
        <v>4.00075379532813</v>
      </c>
      <c r="L14" s="36">
        <f>'choose m.p.'!L14</f>
        <v>0</v>
      </c>
      <c r="M14" s="36">
        <f>'choose m.p.'!M14</f>
        <v>0</v>
      </c>
      <c r="N14" s="36">
        <v>-2.5000000000000001E-2</v>
      </c>
      <c r="O14" s="44">
        <f t="shared" si="3"/>
        <v>50.008631936858968</v>
      </c>
      <c r="P14" s="44">
        <v>-4.4999999999999998E-2</v>
      </c>
      <c r="Q14" s="44">
        <v>-0.04</v>
      </c>
      <c r="R14" s="44">
        <v>3.5000000000000003E-2</v>
      </c>
      <c r="U14" s="43">
        <v>-2.5000000000000001E-2</v>
      </c>
      <c r="V14" s="43">
        <v>-0.03</v>
      </c>
      <c r="W14" s="43">
        <v>-0.01</v>
      </c>
      <c r="Y14" s="36"/>
      <c r="Z14" s="36"/>
    </row>
    <row r="15" spans="1:27" ht="13" thickBot="1">
      <c r="A15" s="43">
        <v>13</v>
      </c>
      <c r="B15" s="62">
        <f>IF(controls!$B$40=3,IF(controls!$B$48="temporary",$W$3,$AA$3),IF(controls!$B$40=1,'choose m.p. (endogenous policy)'!$W$3*(1+L15),B14*(1+L15)))</f>
        <v>50</v>
      </c>
      <c r="C15" s="67">
        <f t="shared" si="0"/>
        <v>1.7641591045780558E-5</v>
      </c>
      <c r="D15" s="64">
        <f>IF(E15-'input own m.p.'!$K$12*'choose m.p. (endogenous policy)'!H14&gt;0,E15-'input own m.p.'!$K$12*'choose m.p. (endogenous policy)'!H14,0.1)</f>
        <v>49.999513992276448</v>
      </c>
      <c r="E15" s="62">
        <f>IF(controls!$B$40=3,IF(controls!$B$47="temporary",$T$3,$T$5),IF(controls!$B$40=1,'choose m.p. (endogenous policy)'!$T$3+SUM($E$27:E38)+D14*M15,E14+D14*(M15+F15/100)))</f>
        <v>51.5</v>
      </c>
      <c r="F15" s="79">
        <f>'choose m.p.'!F15</f>
        <v>0</v>
      </c>
      <c r="G15" s="62">
        <f>IF(ABS('input own m.p.'!$K$14*G14+(1-'input own m.p.'!$K$14)*('input own m.p.'!$K$16/100)*100+'input own m.p.'!$K$10*(D15-B15)-G14)&lt;0.0000001,G14,'input own m.p.'!$K$14*G14+(1-'input own m.p.'!$K$14)*('input own m.p.'!$K$16/100)*100+'input own m.p.'!$K$10*(D15-B15))</f>
        <v>2.000267787604578</v>
      </c>
      <c r="H15" s="62">
        <f t="shared" si="1"/>
        <v>2.0002302072180411</v>
      </c>
      <c r="I15" s="93">
        <f>IF(G15+J15+(('input own m.p.'!$K$10*'loss level and beta es(outputs)'!$L$5*'input own m.p.'!$K$14)/('input own m.p.'!$K$12*(1+('input own m.p.'!$K$10^2)*'loss level and beta es(outputs)'!$L$5)))*(G15-('input own m.p.'!$K$16/100)*100)&lt;0,0,G15+J15+(('input own m.p.'!$K$10*'loss level and beta es(outputs)'!$L$5*'input own m.p.'!$K$14)/('input own m.p.'!$K$12*(1+('input own m.p.'!$K$10^2)*'loss level and beta es(outputs)'!$L$5)))*(G15-('input own m.p.'!$K$16/100)*100))</f>
        <v>4.0004979948226191</v>
      </c>
      <c r="J15" s="81">
        <f>IF(controls!$B$40=1,$W$5,(E15-B15)/'input own m.p.'!$K$12)</f>
        <v>2</v>
      </c>
      <c r="K15" s="97">
        <f t="shared" si="2"/>
        <v>4.000267787604578</v>
      </c>
      <c r="L15" s="36">
        <f>'choose m.p.'!L15</f>
        <v>-0.03</v>
      </c>
      <c r="M15" s="36">
        <f>'choose m.p.'!M15</f>
        <v>-7.0000000000000007E-2</v>
      </c>
      <c r="N15" s="36">
        <v>0.02</v>
      </c>
      <c r="O15" s="44">
        <f t="shared" si="3"/>
        <v>50.009513992276446</v>
      </c>
      <c r="P15" s="44">
        <v>-4.4999999999999998E-2</v>
      </c>
      <c r="Q15" s="44">
        <v>-0.04</v>
      </c>
      <c r="R15" s="44">
        <v>3.5000000000000003E-2</v>
      </c>
      <c r="U15" s="43">
        <v>-2.5000000000000001E-2</v>
      </c>
      <c r="V15" s="43">
        <v>-0.03</v>
      </c>
      <c r="W15" s="43">
        <v>-0.01</v>
      </c>
      <c r="Y15" s="36"/>
      <c r="Z15" s="36"/>
    </row>
    <row r="16" spans="1:27" ht="13" thickBot="1">
      <c r="A16" s="43">
        <v>14</v>
      </c>
      <c r="B16" s="62">
        <f>IF(controls!$B$40=3,IF(controls!$B$48="temporary",$W$3,$AA$3),IF(controls!$B$40=1,'choose m.p. (endogenous policy)'!$W$3*(1+L16),B15*(1+L16)))</f>
        <v>50</v>
      </c>
      <c r="C16" s="67">
        <f t="shared" si="0"/>
        <v>6.2671071177078375E-6</v>
      </c>
      <c r="D16" s="64">
        <f>IF(E16-'input own m.p.'!$K$12*'choose m.p. (endogenous policy)'!H15&gt;0,E16-'input own m.p.'!$K$12*'choose m.p. (endogenous policy)'!H15,0.1)</f>
        <v>49.999827344586471</v>
      </c>
      <c r="E16" s="62">
        <f>IF(controls!$B$40=3,IF(controls!$B$47="temporary",$T$3,$T$5),IF(controls!$B$40=1,'choose m.p. (endogenous policy)'!$T$3+SUM($E$27:E39)+D15*M16,E15+D15*(M16+F16/100)))</f>
        <v>51.5</v>
      </c>
      <c r="F16" s="79">
        <f>'choose m.p.'!F16</f>
        <v>0</v>
      </c>
      <c r="G16" s="62">
        <f>IF(ABS('input own m.p.'!$K$14*G15+(1-'input own m.p.'!$K$14)*('input own m.p.'!$K$16/100)*100+'input own m.p.'!$K$10*(D16-B16)-G15)&lt;0.0000001,G15,'input own m.p.'!$K$14*G15+(1-'input own m.p.'!$K$14)*('input own m.p.'!$K$16/100)*100+'input own m.p.'!$K$10*(D16-B16))</f>
        <v>2.0000951321910492</v>
      </c>
      <c r="H16" s="62">
        <f t="shared" si="1"/>
        <v>2.0000817816682819</v>
      </c>
      <c r="I16" s="93">
        <f>IF(G16+J16+(('input own m.p.'!$K$10*'loss level and beta es(outputs)'!$L$5*'input own m.p.'!$K$14)/('input own m.p.'!$K$12*(1+('input own m.p.'!$K$10^2)*'loss level and beta es(outputs)'!$L$5)))*(G16-('input own m.p.'!$K$16/100)*100)&lt;0,0,G16+J16+(('input own m.p.'!$K$10*'loss level and beta es(outputs)'!$L$5*'input own m.p.'!$K$14)/('input own m.p.'!$K$12*(1+('input own m.p.'!$K$10^2)*'loss level and beta es(outputs)'!$L$5)))*(G16-('input own m.p.'!$K$16/100)*100))</f>
        <v>4.0001769138593311</v>
      </c>
      <c r="J16" s="81">
        <f>IF(controls!$B$40=1,$W$5,(E16-B16)/'input own m.p.'!$K$12)</f>
        <v>2</v>
      </c>
      <c r="K16" s="97">
        <f t="shared" si="2"/>
        <v>4.0000951321910492</v>
      </c>
      <c r="L16" s="36">
        <f>'choose m.p.'!L16</f>
        <v>0</v>
      </c>
      <c r="M16" s="36">
        <f>'choose m.p.'!M16</f>
        <v>0</v>
      </c>
      <c r="N16" s="36">
        <v>-0.02</v>
      </c>
      <c r="O16" s="44">
        <f t="shared" si="3"/>
        <v>50.009827344586469</v>
      </c>
      <c r="P16" s="44">
        <v>-4.4999999999999998E-2</v>
      </c>
      <c r="Q16" s="44">
        <v>-0.04</v>
      </c>
      <c r="R16" s="44">
        <v>3.5000000000000003E-2</v>
      </c>
      <c r="U16" s="43">
        <v>-2.5000000000000001E-2</v>
      </c>
      <c r="V16" s="43">
        <v>-0.03</v>
      </c>
      <c r="W16" s="43">
        <v>-0.01</v>
      </c>
      <c r="Y16" s="36"/>
      <c r="Z16" s="36"/>
    </row>
    <row r="17" spans="1:26" ht="13" thickBot="1">
      <c r="A17" s="43">
        <v>15</v>
      </c>
      <c r="B17" s="62">
        <f>IF(controls!$B$40=3,IF(controls!$B$48="temporary",$W$3,$AA$3),IF(controls!$B$40=1,'choose m.p. (endogenous policy)'!$W$3*(1+L17),B16*(1+L17)))</f>
        <v>50</v>
      </c>
      <c r="C17" s="67">
        <f t="shared" si="0"/>
        <v>2.22639093427901E-6</v>
      </c>
      <c r="D17" s="64">
        <f>IF(E17-'input own m.p.'!$K$12*'choose m.p. (endogenous policy)'!H16&gt;0,E17-'input own m.p.'!$K$12*'choose m.p. (endogenous policy)'!H16,0.1)</f>
        <v>49.999938663748786</v>
      </c>
      <c r="E17" s="62">
        <f>IF(controls!$B$40=3,IF(controls!$B$47="temporary",$T$3,$T$5),IF(controls!$B$40=1,'choose m.p. (endogenous policy)'!$T$3+SUM($E$27:E40)+D16*M17,E16+D16*(M17+F17/100)))</f>
        <v>51.5</v>
      </c>
      <c r="F17" s="79">
        <f>'choose m.p.'!F17</f>
        <v>0</v>
      </c>
      <c r="G17" s="62">
        <f>IF(ABS('input own m.p.'!$K$14*G16+(1-'input own m.p.'!$K$14)*('input own m.p.'!$K$16/100)*100+'input own m.p.'!$K$10*(D17-B17)-G16)&lt;0.0000001,G16,'input own m.p.'!$K$14*G16+(1-'input own m.p.'!$K$14)*('input own m.p.'!$K$16/100)*100+'input own m.p.'!$K$10*(D17-B17))</f>
        <v>2.0000337959398351</v>
      </c>
      <c r="H17" s="62">
        <f t="shared" si="1"/>
        <v>2.0000290531344902</v>
      </c>
      <c r="I17" s="93">
        <f>IF(G17+J17+(('input own m.p.'!$K$10*'loss level and beta es(outputs)'!$L$5*'input own m.p.'!$K$14)/('input own m.p.'!$K$12*(1+('input own m.p.'!$K$10^2)*'loss level and beta es(outputs)'!$L$5)))*(G17-('input own m.p.'!$K$16/100)*100)&lt;0,0,G17+J17+(('input own m.p.'!$K$10*'loss level and beta es(outputs)'!$L$5*'input own m.p.'!$K$14)/('input own m.p.'!$K$12*(1+('input own m.p.'!$K$10^2)*'loss level and beta es(outputs)'!$L$5)))*(G17-('input own m.p.'!$K$16/100)*100))</f>
        <v>4.0000628490743253</v>
      </c>
      <c r="J17" s="81">
        <f>IF(controls!$B$40=1,$W$5,(E17-B17)/'input own m.p.'!$K$12)</f>
        <v>2</v>
      </c>
      <c r="K17" s="97">
        <f t="shared" si="2"/>
        <v>4.0000337959398351</v>
      </c>
      <c r="L17" s="36">
        <f>'choose m.p.'!L17</f>
        <v>0</v>
      </c>
      <c r="M17" s="36">
        <f>'choose m.p.'!M17</f>
        <v>0</v>
      </c>
      <c r="N17" s="36">
        <v>1.4999999999999999E-2</v>
      </c>
      <c r="O17" s="44">
        <f t="shared" si="3"/>
        <v>50.009938663748784</v>
      </c>
      <c r="P17" s="44">
        <v>-4.4999999999999998E-2</v>
      </c>
      <c r="Q17" s="44">
        <v>-0.04</v>
      </c>
      <c r="R17" s="44">
        <v>3.5000000000000003E-2</v>
      </c>
      <c r="U17" s="43">
        <v>-2.5000000000000001E-2</v>
      </c>
      <c r="V17" s="43">
        <v>-0.03</v>
      </c>
      <c r="W17" s="43">
        <v>-0.01</v>
      </c>
      <c r="Y17" s="36"/>
      <c r="Z17" s="36"/>
    </row>
    <row r="18" spans="1:26" ht="13" thickBot="1">
      <c r="A18" s="43">
        <v>16</v>
      </c>
      <c r="B18" s="62">
        <f>IF(controls!$B$40=3,IF(controls!$B$48="temporary",$W$3,$AA$3),IF(controls!$B$40=1,'choose m.p. (endogenous policy)'!$W$3*(1+L18),B17*(1+L18)))</f>
        <v>50</v>
      </c>
      <c r="C18" s="67">
        <f t="shared" si="0"/>
        <v>7.909289772012329E-7</v>
      </c>
      <c r="D18" s="64">
        <f>IF(E18-'input own m.p.'!$K$12*'choose m.p. (endogenous policy)'!H17&gt;0,E18-'input own m.p.'!$K$12*'choose m.p. (endogenous policy)'!H17,0.1)</f>
        <v>49.999978210149131</v>
      </c>
      <c r="E18" s="62">
        <f>IF(controls!$B$40=3,IF(controls!$B$47="temporary",$T$3,$T$5),IF(controls!$B$40=1,'choose m.p. (endogenous policy)'!$T$3+SUM($E$27:E41)+D17*M18,E17+D17*(M18+F18/100)))</f>
        <v>51.5</v>
      </c>
      <c r="F18" s="79">
        <f>'choose m.p.'!F18</f>
        <v>0</v>
      </c>
      <c r="G18" s="62">
        <f>IF(ABS('input own m.p.'!$K$14*G17+(1-'input own m.p.'!$K$14)*('input own m.p.'!$K$16/100)*100+'input own m.p.'!$K$10*(D18-B18)-G17)&lt;0.0000001,G17,'input own m.p.'!$K$14*G17+(1-'input own m.p.'!$K$14)*('input own m.p.'!$K$16/100)*100+'input own m.p.'!$K$10*(D18-B18))</f>
        <v>2.0000120060889657</v>
      </c>
      <c r="H18" s="62">
        <f t="shared" si="1"/>
        <v>2.0000103211959521</v>
      </c>
      <c r="I18" s="93">
        <f>IF(G18+J18+(('input own m.p.'!$K$10*'loss level and beta es(outputs)'!$L$5*'input own m.p.'!$K$14)/('input own m.p.'!$K$12*(1+('input own m.p.'!$K$10^2)*'loss level and beta es(outputs)'!$L$5)))*(G18-('input own m.p.'!$K$16/100)*100)&lt;0,0,G18+J18+(('input own m.p.'!$K$10*'loss level and beta es(outputs)'!$L$5*'input own m.p.'!$K$14)/('input own m.p.'!$K$12*(1+('input own m.p.'!$K$10^2)*'loss level and beta es(outputs)'!$L$5)))*(G18-('input own m.p.'!$K$16/100)*100))</f>
        <v>4.0000223272849178</v>
      </c>
      <c r="J18" s="81">
        <f>IF(controls!$B$40=1,$W$5,(E18-B18)/'input own m.p.'!$K$12)</f>
        <v>2</v>
      </c>
      <c r="K18" s="97">
        <f t="shared" si="2"/>
        <v>4.0000120060889657</v>
      </c>
      <c r="L18" s="36">
        <f>'choose m.p.'!L18</f>
        <v>0</v>
      </c>
      <c r="M18" s="36">
        <f>'choose m.p.'!M18</f>
        <v>0</v>
      </c>
      <c r="N18" s="36">
        <v>-1.4999999999999999E-2</v>
      </c>
      <c r="O18" s="44">
        <f t="shared" si="3"/>
        <v>50.009978210149129</v>
      </c>
      <c r="P18" s="44">
        <v>-4.4999999999999998E-2</v>
      </c>
      <c r="Q18" s="44">
        <v>-0.04</v>
      </c>
      <c r="R18" s="44">
        <v>3.5000000000000003E-2</v>
      </c>
      <c r="S18" s="43">
        <v>-0.04</v>
      </c>
      <c r="U18" s="43">
        <v>-2.5000000000000001E-2</v>
      </c>
      <c r="V18" s="43">
        <v>-0.03</v>
      </c>
      <c r="W18" s="43">
        <v>-0.01</v>
      </c>
      <c r="X18" s="43">
        <v>-0.05</v>
      </c>
      <c r="Y18" s="36"/>
      <c r="Z18" s="36"/>
    </row>
    <row r="19" spans="1:26" ht="13" thickBot="1">
      <c r="A19" s="43">
        <v>17</v>
      </c>
      <c r="B19" s="62">
        <f>IF(controls!$B$40=3,IF(controls!$B$48="temporary",$W$3,$AA$3),IF(controls!$B$40=1,'choose m.p. (endogenous policy)'!$W$3*(1+L19),B18*(1+L19)))</f>
        <v>50</v>
      </c>
      <c r="C19" s="67">
        <f t="shared" si="0"/>
        <v>2.809792005731282E-7</v>
      </c>
      <c r="D19" s="64">
        <f>IF(E19-'input own m.p.'!$K$12*'choose m.p. (endogenous policy)'!H18&gt;0,E19-'input own m.p.'!$K$12*'choose m.p. (endogenous policy)'!H18,0.1)</f>
        <v>49.999992259103038</v>
      </c>
      <c r="E19" s="62">
        <f>IF(controls!$B$40=3,IF(controls!$B$47="temporary",$T$3,$T$5),IF(controls!$B$40=1,'choose m.p. (endogenous policy)'!$T$3+SUM($E$27:E42)+D18*M19,E18+D18*(M19+F19/100)))</f>
        <v>51.5</v>
      </c>
      <c r="F19" s="79">
        <f>'choose m.p.'!F19</f>
        <v>0</v>
      </c>
      <c r="G19" s="62">
        <f>IF(ABS('input own m.p.'!$K$14*G18+(1-'input own m.p.'!$K$14)*('input own m.p.'!$K$16/100)*100+'input own m.p.'!$K$10*(D19-B19)-G18)&lt;0.0000001,G18,'input own m.p.'!$K$14*G18+(1-'input own m.p.'!$K$14)*('input own m.p.'!$K$16/100)*100+'input own m.p.'!$K$10*(D19-B19))</f>
        <v>2.000004265192004</v>
      </c>
      <c r="H19" s="62">
        <f t="shared" si="1"/>
        <v>2.0000036666297056</v>
      </c>
      <c r="I19" s="93">
        <f>IF(G19+J19+(('input own m.p.'!$K$10*'loss level and beta es(outputs)'!$L$5*'input own m.p.'!$K$14)/('input own m.p.'!$K$12*(1+('input own m.p.'!$K$10^2)*'loss level and beta es(outputs)'!$L$5)))*(G19-('input own m.p.'!$K$16/100)*100)&lt;0,0,G19+J19+(('input own m.p.'!$K$10*'loss level and beta es(outputs)'!$L$5*'input own m.p.'!$K$14)/('input own m.p.'!$K$12*(1+('input own m.p.'!$K$10^2)*'loss level and beta es(outputs)'!$L$5)))*(G19-('input own m.p.'!$K$16/100)*100))</f>
        <v>4.0000079318217097</v>
      </c>
      <c r="J19" s="81">
        <f>IF(controls!$B$40=1,$W$5,(E19-B19)/'input own m.p.'!$K$12)</f>
        <v>2</v>
      </c>
      <c r="K19" s="97">
        <f t="shared" si="2"/>
        <v>4.000004265192004</v>
      </c>
      <c r="L19" s="36">
        <f>'choose m.p.'!L19</f>
        <v>0</v>
      </c>
      <c r="M19" s="36">
        <f>'choose m.p.'!M19</f>
        <v>0</v>
      </c>
      <c r="N19" s="36">
        <v>0.01</v>
      </c>
      <c r="O19" s="44">
        <f t="shared" si="3"/>
        <v>50.009992259103036</v>
      </c>
      <c r="P19" s="44">
        <v>-4.4999999999999998E-2</v>
      </c>
      <c r="Q19" s="44">
        <v>-0.04</v>
      </c>
      <c r="R19" s="44">
        <v>3.5000000000000003E-2</v>
      </c>
      <c r="S19" s="43">
        <v>-0.04</v>
      </c>
      <c r="U19" s="43">
        <v>-2.5000000000000001E-2</v>
      </c>
      <c r="V19" s="43">
        <v>-0.03</v>
      </c>
      <c r="W19" s="43">
        <v>-0.01</v>
      </c>
      <c r="X19" s="43">
        <v>0.03</v>
      </c>
      <c r="Y19" s="36"/>
      <c r="Z19" s="36"/>
    </row>
    <row r="20" spans="1:26" ht="13" thickBot="1">
      <c r="A20" s="43">
        <v>18</v>
      </c>
      <c r="B20" s="62">
        <f>IF(controls!$B$40=3,IF(controls!$B$48="temporary",$W$3,$AA$3),IF(controls!$B$40=1,'choose m.p. (endogenous policy)'!$W$3*(1+L20),B19*(1+L20)))</f>
        <v>50</v>
      </c>
      <c r="C20" s="67">
        <f t="shared" si="0"/>
        <v>9.9818509013971379E-8</v>
      </c>
      <c r="D20" s="64">
        <f>IF(E20-'input own m.p.'!$K$12*'choose m.p. (endogenous policy)'!H19&gt;0,E20-'input own m.p.'!$K$12*'choose m.p. (endogenous policy)'!H19,0.1)</f>
        <v>49.999997250027718</v>
      </c>
      <c r="E20" s="62">
        <f>IF(controls!$B$40=3,IF(controls!$B$47="temporary",$T$3,$T$5),IF(controls!$B$40=1,'choose m.p. (endogenous policy)'!$T$3+SUM($E$27:E43)+D19*M20,E19+D19*(M20+F20/100)))</f>
        <v>51.5</v>
      </c>
      <c r="F20" s="79">
        <f>'choose m.p.'!F20</f>
        <v>0</v>
      </c>
      <c r="G20" s="62">
        <f>IF(ABS('input own m.p.'!$K$14*G19+(1-'input own m.p.'!$K$14)*('input own m.p.'!$K$16/100)*100+'input own m.p.'!$K$10*(D20-B20)-G19)&lt;0.0000001,G19,'input own m.p.'!$K$14*G19+(1-'input own m.p.'!$K$14)*('input own m.p.'!$K$16/100)*100+'input own m.p.'!$K$10*(D20-B20))</f>
        <v>2.0000015152197221</v>
      </c>
      <c r="H20" s="62">
        <f t="shared" si="1"/>
        <v>2.0000013025790251</v>
      </c>
      <c r="I20" s="93">
        <f>IF(G20+J20+(('input own m.p.'!$K$10*'loss level and beta es(outputs)'!$L$5*'input own m.p.'!$K$14)/('input own m.p.'!$K$12*(1+('input own m.p.'!$K$10^2)*'loss level and beta es(outputs)'!$L$5)))*(G20-('input own m.p.'!$K$16/100)*100)&lt;0,0,G20+J20+(('input own m.p.'!$K$10*'loss level and beta es(outputs)'!$L$5*'input own m.p.'!$K$14)/('input own m.p.'!$K$12*(1+('input own m.p.'!$K$10^2)*'loss level and beta es(outputs)'!$L$5)))*(G20-('input own m.p.'!$K$16/100)*100))</f>
        <v>4.0000028177987472</v>
      </c>
      <c r="J20" s="81">
        <f>IF(controls!$B$40=1,$W$5,(E20-B20)/'input own m.p.'!$K$12)</f>
        <v>2</v>
      </c>
      <c r="K20" s="97">
        <f t="shared" si="2"/>
        <v>4.0000015152197221</v>
      </c>
      <c r="L20" s="36">
        <f>'choose m.p.'!L20</f>
        <v>0</v>
      </c>
      <c r="M20" s="36">
        <f>'choose m.p.'!M20</f>
        <v>-0.02</v>
      </c>
      <c r="N20" s="36">
        <v>-0.01</v>
      </c>
      <c r="O20" s="44">
        <f t="shared" si="3"/>
        <v>50.009997250027716</v>
      </c>
      <c r="P20" s="44">
        <v>-4.4999999999999998E-2</v>
      </c>
      <c r="Q20" s="44">
        <v>-0.04</v>
      </c>
      <c r="R20" s="44">
        <v>3.5000000000000003E-2</v>
      </c>
      <c r="S20" s="43">
        <v>-0.04</v>
      </c>
      <c r="U20" s="43">
        <v>-2.5000000000000001E-2</v>
      </c>
      <c r="V20" s="43">
        <v>-0.03</v>
      </c>
      <c r="W20" s="43">
        <v>-0.01</v>
      </c>
      <c r="X20" s="43">
        <v>0.03</v>
      </c>
      <c r="Y20" s="36"/>
      <c r="Z20" s="36"/>
    </row>
    <row r="21" spans="1:26" ht="13" thickBot="1">
      <c r="A21" s="43">
        <v>19</v>
      </c>
      <c r="B21" s="62">
        <f>IF(controls!$B$40=3,IF(controls!$B$48="temporary",$W$3,$AA$3),IF(controls!$B$40=1,'choose m.p. (endogenous policy)'!$W$3*(1+L21),B20*(1+L21)))</f>
        <v>50</v>
      </c>
      <c r="C21" s="89">
        <f t="shared" si="0"/>
        <v>3.5460762326522399E-8</v>
      </c>
      <c r="D21" s="64">
        <f>IF(E21-'input own m.p.'!$K$12*'choose m.p. (endogenous policy)'!H20&gt;0,E21-'input own m.p.'!$K$12*'choose m.p. (endogenous policy)'!H20,0.1)</f>
        <v>49.999999023065733</v>
      </c>
      <c r="E21" s="62">
        <f>IF(controls!$B$40=3,IF(controls!$B$47="temporary",$T$3,$T$5),IF(controls!$B$40=1,'choose m.p. (endogenous policy)'!$T$3+SUM($E$27:E44)+D20*M21,E20+D20*(M21+F21/100)))</f>
        <v>51.5</v>
      </c>
      <c r="F21" s="79">
        <f>'choose m.p.'!F21</f>
        <v>0</v>
      </c>
      <c r="G21" s="62">
        <f>IF(ABS('input own m.p.'!$K$14*G20+(1-'input own m.p.'!$K$14)*('input own m.p.'!$K$16/100)*100+'input own m.p.'!$K$10*(D21-B21)-G20)&lt;0.0000001,G20,'input own m.p.'!$K$14*G20+(1-'input own m.p.'!$K$14)*('input own m.p.'!$K$16/100)*100+'input own m.p.'!$K$10*(D21-B21))</f>
        <v>2.0000005382854553</v>
      </c>
      <c r="H21" s="62">
        <f t="shared" si="1"/>
        <v>2.0000004627443353</v>
      </c>
      <c r="I21" s="93">
        <f>IF(G21+J21+(('input own m.p.'!$K$10*'loss level and beta es(outputs)'!$L$5*'input own m.p.'!$K$14)/('input own m.p.'!$K$12*(1+('input own m.p.'!$K$10^2)*'loss level and beta es(outputs)'!$L$5)))*(G21-('input own m.p.'!$K$16/100)*100)&lt;0,0,G21+J21+(('input own m.p.'!$K$10*'loss level and beta es(outputs)'!$L$5*'input own m.p.'!$K$14)/('input own m.p.'!$K$12*(1+('input own m.p.'!$K$10^2)*'loss level and beta es(outputs)'!$L$5)))*(G21-('input own m.p.'!$K$16/100)*100))</f>
        <v>4.0000010010297906</v>
      </c>
      <c r="J21" s="81">
        <f>IF(controls!$B$40=1,$W$5,(E21-B21)/'input own m.p.'!$K$12)</f>
        <v>2</v>
      </c>
      <c r="K21" s="97">
        <f t="shared" si="2"/>
        <v>4.0000005382854553</v>
      </c>
      <c r="L21" s="36">
        <f>'choose m.p.'!L21</f>
        <v>-0.08</v>
      </c>
      <c r="M21" s="36">
        <f>'choose m.p.'!M21</f>
        <v>0</v>
      </c>
      <c r="N21" s="36">
        <v>5.0000000000000001E-3</v>
      </c>
      <c r="O21" s="44">
        <f t="shared" si="3"/>
        <v>50.009999023065731</v>
      </c>
      <c r="P21" s="44">
        <v>-4.4999999999999998E-2</v>
      </c>
      <c r="Q21" s="44">
        <v>-0.04</v>
      </c>
      <c r="R21" s="44">
        <v>3.5000000000000003E-2</v>
      </c>
      <c r="S21" s="43">
        <v>-0.04</v>
      </c>
      <c r="U21" s="43">
        <v>-2.5000000000000001E-2</v>
      </c>
      <c r="V21" s="43">
        <v>-0.03</v>
      </c>
      <c r="W21" s="43">
        <v>-0.01</v>
      </c>
      <c r="X21" s="43">
        <v>0.03</v>
      </c>
      <c r="Y21" s="36"/>
      <c r="Z21" s="36"/>
    </row>
    <row r="22" spans="1:26" s="63" customFormat="1" ht="13" thickBot="1">
      <c r="A22" s="63">
        <v>20</v>
      </c>
      <c r="B22" s="62">
        <f>IF(controls!$B$40=3,IF(controls!$B$48="temporary",$W$3,$AA$3),IF(controls!$B$40=1,'choose m.p. (endogenous policy)'!$W$3*(1+L22),B21*(1+L22)))</f>
        <v>50</v>
      </c>
      <c r="C22" s="67">
        <f t="shared" si="0"/>
        <v>1.2597520582247057E-8</v>
      </c>
      <c r="D22" s="64">
        <f>IF(E22-'input own m.p.'!$K$12*'choose m.p. (endogenous policy)'!H21&gt;0,E22-'input own m.p.'!$K$12*'choose m.p. (endogenous policy)'!H21,0.1)</f>
        <v>49.999999652941746</v>
      </c>
      <c r="E22" s="62">
        <f>IF(controls!$B$40=3,IF(controls!$B$47="temporary",$T$3,$T$5),IF(controls!$B$40=1,'choose m.p. (endogenous policy)'!$T$3+SUM($E$27:E45)+D21*M22,E21+D21*(M22+F22/100)))</f>
        <v>51.5</v>
      </c>
      <c r="F22" s="79">
        <f>'choose m.p.'!F22</f>
        <v>0</v>
      </c>
      <c r="G22" s="62">
        <f>IF(ABS('input own m.p.'!$K$14*G21+(1-'input own m.p.'!$K$14)*('input own m.p.'!$K$16/100)*100+'input own m.p.'!$K$10*(D22-B22)-G21)&lt;0.0000001,G21,'input own m.p.'!$K$14*G21+(1-'input own m.p.'!$K$14)*('input own m.p.'!$K$16/100)*100+'input own m.p.'!$K$10*(D22-B22))</f>
        <v>2.0000001912272012</v>
      </c>
      <c r="H22" s="62">
        <f t="shared" si="1"/>
        <v>2.0000001643910368</v>
      </c>
      <c r="I22" s="93">
        <f>IF(G22+J22+(('input own m.p.'!$K$10*'loss level and beta es(outputs)'!$L$5*'input own m.p.'!$K$14)/('input own m.p.'!$K$12*(1+('input own m.p.'!$K$10^2)*'loss level and beta es(outputs)'!$L$5)))*(G22-('input own m.p.'!$K$16/100)*100)&lt;0,0,G22+J22+(('input own m.p.'!$K$10*'loss level and beta es(outputs)'!$L$5*'input own m.p.'!$K$14)/('input own m.p.'!$K$12*(1+('input own m.p.'!$K$10^2)*'loss level and beta es(outputs)'!$L$5)))*(G22-('input own m.p.'!$K$16/100)*100))</f>
        <v>4.000000355618238</v>
      </c>
      <c r="J22" s="81">
        <f>IF(controls!$B$40=1,$W$5,(E22-B22)/'input own m.p.'!$K$12)</f>
        <v>2</v>
      </c>
      <c r="K22" s="97">
        <f t="shared" si="2"/>
        <v>4.0000001912272012</v>
      </c>
      <c r="L22" s="36">
        <f>'choose m.p.'!L22</f>
        <v>0</v>
      </c>
      <c r="M22" s="36">
        <f>'choose m.p.'!M22</f>
        <v>0</v>
      </c>
      <c r="N22" s="36">
        <v>-5.0000000000000001E-3</v>
      </c>
      <c r="O22" s="44">
        <f t="shared" si="3"/>
        <v>49.999999652941746</v>
      </c>
      <c r="P22" s="57">
        <v>-4.4999999999999998E-2</v>
      </c>
      <c r="Q22" s="57">
        <v>-0.04</v>
      </c>
      <c r="R22" s="57">
        <v>3.5000000000000003E-2</v>
      </c>
      <c r="S22" s="63">
        <v>-0.04</v>
      </c>
      <c r="U22" s="63">
        <v>-2.5000000000000001E-2</v>
      </c>
      <c r="V22" s="63">
        <v>-0.03</v>
      </c>
      <c r="W22" s="63">
        <v>-0.01</v>
      </c>
      <c r="X22" s="63">
        <v>1.4999999999999999E-2</v>
      </c>
      <c r="Y22" s="67"/>
      <c r="Z22" s="67"/>
    </row>
    <row r="23" spans="1:26">
      <c r="A23" s="92"/>
      <c r="B23" s="62">
        <f>IF(controls!$B$40=3,IF(controls!$B$48="temporary",$W$3,$AA$3),IF(controls!$B$40=1,'choose m.p. (endogenous policy)'!$W$3*(1+L23),B22*(1+L23)))</f>
        <v>50</v>
      </c>
      <c r="C23" s="67">
        <f t="shared" si="0"/>
        <v>4.4752996863905992E-9</v>
      </c>
      <c r="D23" s="64">
        <f>IF(E23-'input own m.p.'!$K$12*'choose m.p. (endogenous policy)'!H22&gt;0,E23-'input own m.p.'!$K$12*'choose m.p. (endogenous policy)'!H22,0.1)</f>
        <v>49.999999876706724</v>
      </c>
      <c r="E23" s="62">
        <f>IF(controls!$B$40=3,IF(controls!$B$47="temporary",$T$3,$T$5),IF(controls!$B$40=1,'choose m.p. (endogenous policy)'!$T$3+SUM($E$27:E46)+D22*M23,E22+D22*(M23+F23/100)))</f>
        <v>51.5</v>
      </c>
      <c r="F23" s="79">
        <f>'choose m.p.'!F23</f>
        <v>0</v>
      </c>
      <c r="G23" s="62">
        <f>IF(ABS('input own m.p.'!$K$14*G22+(1-'input own m.p.'!$K$14)*('input own m.p.'!$K$16/100)*100+'input own m.p.'!$K$10*(D23-B23)-G22)&lt;0.0000001,G22,'input own m.p.'!$K$14*G22+(1-'input own m.p.'!$K$14)*('input own m.p.'!$K$16/100)*100+'input own m.p.'!$K$10*(D23-B23))</f>
        <v>2.0000000679339252</v>
      </c>
      <c r="H23" s="62">
        <f t="shared" si="1"/>
        <v>-2.0000000679339252</v>
      </c>
      <c r="I23" s="81"/>
      <c r="J23" s="81">
        <f>IF(controls!$B$40=1,$W$5,(E23-B23)/'input own m.p.'!$K$12)</f>
        <v>2</v>
      </c>
      <c r="K23" s="74"/>
      <c r="L23" s="36">
        <f>'choose m.p.'!L23</f>
        <v>0</v>
      </c>
      <c r="M23" s="36">
        <f>'choose m.p.'!M23</f>
        <v>0</v>
      </c>
      <c r="N23" s="67"/>
      <c r="O23" s="57">
        <f>IF(controls!$B$33=1,D23-(#REF!-'main page'!$K$27*2)*(1+('main page'!$K$35/100))^A22,D23-$W$4)</f>
        <v>-1.2329327603310958E-7</v>
      </c>
      <c r="P23" s="57">
        <f>ABS(G23-(controls!$B$9/100)*100)</f>
        <v>6.7933925151919539E-8</v>
      </c>
      <c r="Y23" s="36"/>
      <c r="Z23" s="36"/>
    </row>
    <row r="24" spans="1:26">
      <c r="B24" s="91"/>
      <c r="C24" s="36"/>
      <c r="D24" s="91"/>
      <c r="E24" s="91"/>
      <c r="F24" s="80">
        <v>0</v>
      </c>
      <c r="G24" s="91"/>
      <c r="H24" s="91"/>
      <c r="I24" s="81"/>
      <c r="J24" s="81"/>
      <c r="L24" s="36"/>
      <c r="M24" s="36"/>
      <c r="N24" s="67"/>
      <c r="Y24" s="36"/>
      <c r="Z24" s="36"/>
    </row>
    <row r="25" spans="1:26">
      <c r="B25" s="91"/>
      <c r="C25" s="36"/>
      <c r="D25" s="91"/>
      <c r="E25" s="91"/>
      <c r="F25" s="80">
        <v>0</v>
      </c>
      <c r="G25" s="91"/>
      <c r="H25" s="91"/>
      <c r="I25" s="81"/>
      <c r="J25" s="81"/>
      <c r="L25" s="36"/>
      <c r="M25" s="36"/>
      <c r="N25" s="36"/>
      <c r="Y25" s="36"/>
      <c r="Z25" s="36"/>
    </row>
    <row r="26" spans="1:26">
      <c r="B26" s="91"/>
      <c r="C26" s="36"/>
      <c r="D26" s="91"/>
      <c r="E26" s="91"/>
      <c r="F26" s="80">
        <v>0</v>
      </c>
      <c r="G26" s="91"/>
      <c r="H26" s="91"/>
      <c r="I26" s="81">
        <f>G3+J3+(('input own m.p.'!$K$10*'loss level and beta es(outputs)'!$L$5*'input own m.p.'!$K$14)/('input own m.p.'!$K$12*(1+('input own m.p.'!$K$10^2)*'loss level and beta es(outputs)'!$L$5)))*(G3-('input own m.p.'!$K$16/100)*100)</f>
        <v>4</v>
      </c>
      <c r="J26" s="81"/>
      <c r="L26" s="36"/>
      <c r="M26" s="36"/>
      <c r="N26" s="36">
        <v>0</v>
      </c>
      <c r="Y26" s="36"/>
      <c r="Z26" s="36"/>
    </row>
    <row r="27" spans="1:26">
      <c r="B27" s="91"/>
      <c r="C27" s="36"/>
      <c r="D27" s="91"/>
      <c r="E27" s="91">
        <f>D3*F4/100</f>
        <v>0</v>
      </c>
      <c r="F27" s="80">
        <v>0</v>
      </c>
      <c r="G27" s="91"/>
      <c r="H27" s="91"/>
      <c r="I27" s="81">
        <f>G4+J4+(('input own m.p.'!$K$10*'loss level and beta es(outputs)'!$L$5*'input own m.p.'!$K$14)/('input own m.p.'!$K$12*(1+('input own m.p.'!$K$10^2)*'loss level and beta es(outputs)'!$L$5)))*(G4-('input own m.p.'!$K$16/100)*100)</f>
        <v>4</v>
      </c>
      <c r="J27" s="81"/>
      <c r="L27" s="36"/>
      <c r="M27" s="36"/>
      <c r="N27" s="36">
        <v>0</v>
      </c>
      <c r="Y27" s="36"/>
      <c r="Z27" s="36"/>
    </row>
    <row r="28" spans="1:26">
      <c r="B28" s="91"/>
      <c r="C28" s="36"/>
      <c r="D28" s="91"/>
      <c r="E28" s="91">
        <f t="shared" ref="E28:E45" si="4">D4*F5/100</f>
        <v>0</v>
      </c>
      <c r="F28" s="80">
        <v>0</v>
      </c>
      <c r="G28" s="91"/>
      <c r="H28" s="91"/>
      <c r="I28" s="81">
        <f>G5+J5+(('input own m.p.'!$K$10*'loss level and beta es(outputs)'!$L$5*'input own m.p.'!$K$14)/('input own m.p.'!$K$12*(1+('input own m.p.'!$K$10^2)*'loss level and beta es(outputs)'!$L$5)))*(G5-('input own m.p.'!$K$16/100)*100)</f>
        <v>4</v>
      </c>
      <c r="J28" s="81"/>
      <c r="L28" s="36"/>
      <c r="M28" s="36"/>
      <c r="N28" s="36">
        <v>0</v>
      </c>
      <c r="Y28" s="36"/>
      <c r="Z28" s="36"/>
    </row>
    <row r="29" spans="1:26">
      <c r="B29" s="91"/>
      <c r="C29" s="36"/>
      <c r="D29" s="91"/>
      <c r="E29" s="91">
        <f t="shared" si="4"/>
        <v>0</v>
      </c>
      <c r="F29" s="80"/>
      <c r="G29" s="91"/>
      <c r="H29" s="91"/>
      <c r="I29" s="81">
        <f>G6+J6+(('input own m.p.'!$K$10*'loss level and beta es(outputs)'!$L$5*'input own m.p.'!$K$14)/('input own m.p.'!$K$12*(1+('input own m.p.'!$K$10^2)*'loss level and beta es(outputs)'!$L$5)))*(G6-('input own m.p.'!$K$16/100)*100)</f>
        <v>4</v>
      </c>
      <c r="J29" s="81"/>
      <c r="L29" s="36"/>
      <c r="M29" s="36"/>
      <c r="N29" s="36">
        <v>0</v>
      </c>
      <c r="Y29" s="36"/>
      <c r="Z29" s="36"/>
    </row>
    <row r="30" spans="1:26">
      <c r="B30" s="91"/>
      <c r="C30" s="36"/>
      <c r="D30" s="91"/>
      <c r="E30" s="91">
        <f t="shared" si="4"/>
        <v>0</v>
      </c>
      <c r="F30" s="80">
        <v>0</v>
      </c>
      <c r="G30" s="91"/>
      <c r="H30" s="91"/>
      <c r="I30" s="81">
        <f>G7+J7+(('input own m.p.'!$K$10*'loss level and beta es(outputs)'!$L$5*'input own m.p.'!$K$14)/('input own m.p.'!$K$12*(1+('input own m.p.'!$K$10^2)*'loss level and beta es(outputs)'!$L$5)))*(G7-('input own m.p.'!$K$16/100)*100)</f>
        <v>-0.78949518632988758</v>
      </c>
      <c r="J30" s="81"/>
      <c r="L30" s="36"/>
      <c r="M30" s="36"/>
      <c r="N30" s="36">
        <v>0</v>
      </c>
      <c r="Y30" s="36"/>
      <c r="Z30" s="36"/>
    </row>
    <row r="31" spans="1:26">
      <c r="B31" s="91"/>
      <c r="C31" s="36"/>
      <c r="D31" s="91"/>
      <c r="E31" s="91">
        <f t="shared" si="4"/>
        <v>0</v>
      </c>
      <c r="F31" s="80"/>
      <c r="G31" s="91"/>
      <c r="H31" s="91"/>
      <c r="I31" s="81">
        <f>G8+J8+(('input own m.p.'!$K$10*'loss level and beta es(outputs)'!$L$5*'input own m.p.'!$K$14)/('input own m.p.'!$K$12*(1+('input own m.p.'!$K$10^2)*'loss level and beta es(outputs)'!$L$5)))*(G8-('input own m.p.'!$K$16/100)*100)</f>
        <v>4.6973737965824718</v>
      </c>
      <c r="J31" s="81"/>
      <c r="L31" s="36"/>
      <c r="M31" s="36"/>
      <c r="N31" s="36">
        <v>0</v>
      </c>
      <c r="Y31" s="36"/>
      <c r="Z31" s="36"/>
    </row>
    <row r="32" spans="1:26">
      <c r="B32" s="91"/>
      <c r="C32" s="36"/>
      <c r="D32" s="91"/>
      <c r="E32" s="91">
        <f t="shared" si="4"/>
        <v>0</v>
      </c>
      <c r="F32" s="80"/>
      <c r="G32" s="91"/>
      <c r="H32" s="91"/>
      <c r="I32" s="81">
        <f>G9+J9+(('input own m.p.'!$K$10*'loss level and beta es(outputs)'!$L$5*'input own m.p.'!$K$14)/('input own m.p.'!$K$12*(1+('input own m.p.'!$K$10^2)*'loss level and beta es(outputs)'!$L$5)))*(G9-('input own m.p.'!$K$16/100)*100)</f>
        <v>4.2477437196996295</v>
      </c>
      <c r="J32" s="81"/>
      <c r="L32" s="36"/>
      <c r="M32" s="36"/>
      <c r="N32" s="36">
        <v>0</v>
      </c>
      <c r="Y32" s="36"/>
      <c r="Z32" s="36"/>
    </row>
    <row r="33" spans="1:26">
      <c r="B33" s="91"/>
      <c r="C33" s="36"/>
      <c r="D33" s="91"/>
      <c r="E33" s="91">
        <f t="shared" si="4"/>
        <v>0</v>
      </c>
      <c r="F33" s="80"/>
      <c r="G33" s="91"/>
      <c r="H33" s="91"/>
      <c r="I33" s="81">
        <f>G10+J10+(('input own m.p.'!$K$10*'loss level and beta es(outputs)'!$L$5*'input own m.p.'!$K$14)/('input own m.p.'!$K$12*(1+('input own m.p.'!$K$10^2)*'loss level and beta es(outputs)'!$L$5)))*(G10-('input own m.p.'!$K$16/100)*100)</f>
        <v>4.0880115527015617</v>
      </c>
      <c r="J33" s="81"/>
      <c r="L33" s="36"/>
      <c r="M33" s="36"/>
      <c r="N33" s="36">
        <v>0</v>
      </c>
      <c r="Y33" s="36"/>
      <c r="Z33" s="36"/>
    </row>
    <row r="34" spans="1:26">
      <c r="B34" s="91"/>
      <c r="C34" s="36"/>
      <c r="D34" s="91"/>
      <c r="E34" s="91">
        <f t="shared" si="4"/>
        <v>0</v>
      </c>
      <c r="F34" s="80"/>
      <c r="G34" s="91"/>
      <c r="H34" s="91"/>
      <c r="I34" s="81">
        <f>G11+J11+(('input own m.p.'!$K$10*'loss level and beta es(outputs)'!$L$5*'input own m.p.'!$K$14)/('input own m.p.'!$K$12*(1+('input own m.p.'!$K$10^2)*'loss level and beta es(outputs)'!$L$5)))*(G11-('input own m.p.'!$K$16/100)*100)</f>
        <v>4.0312663159265236</v>
      </c>
      <c r="J34" s="81"/>
      <c r="L34" s="36"/>
      <c r="M34" s="36"/>
      <c r="N34" s="36">
        <v>0</v>
      </c>
      <c r="Y34" s="36"/>
      <c r="Z34" s="36"/>
    </row>
    <row r="35" spans="1:26">
      <c r="B35" s="91"/>
      <c r="C35" s="36"/>
      <c r="D35" s="91"/>
      <c r="E35" s="91">
        <f t="shared" si="4"/>
        <v>0</v>
      </c>
      <c r="F35" s="80"/>
      <c r="G35" s="91"/>
      <c r="H35" s="91"/>
      <c r="I35" s="81">
        <f>G12+J12+(('input own m.p.'!$K$10*'loss level and beta es(outputs)'!$L$5*'input own m.p.'!$K$14)/('input own m.p.'!$K$12*(1+('input own m.p.'!$K$10^2)*'loss level and beta es(outputs)'!$L$5)))*(G12-('input own m.p.'!$K$16/100)*100)</f>
        <v>4.0111074339857575</v>
      </c>
      <c r="J35" s="81"/>
      <c r="L35" s="36"/>
      <c r="M35" s="36"/>
      <c r="N35" s="36">
        <v>0</v>
      </c>
      <c r="Y35" s="36"/>
      <c r="Z35" s="36"/>
    </row>
    <row r="36" spans="1:26">
      <c r="B36" s="91"/>
      <c r="C36" s="36"/>
      <c r="D36" s="91"/>
      <c r="E36" s="91">
        <f t="shared" si="4"/>
        <v>0</v>
      </c>
      <c r="F36" s="80"/>
      <c r="G36" s="91"/>
      <c r="H36" s="91"/>
      <c r="I36" s="81">
        <f>G13+J13+(('input own m.p.'!$K$10*'loss level and beta es(outputs)'!$L$5*'input own m.p.'!$K$14)/('input own m.p.'!$K$12*(1+('input own m.p.'!$K$10^2)*'loss level and beta es(outputs)'!$L$5)))*(G13-('input own m.p.'!$K$16/100)*100)</f>
        <v>4.0039459426571957</v>
      </c>
      <c r="J36" s="81"/>
      <c r="L36" s="36"/>
      <c r="M36" s="36"/>
      <c r="N36" s="36">
        <v>-2.5000000000000001E-2</v>
      </c>
      <c r="Y36" s="36"/>
      <c r="Z36" s="36"/>
    </row>
    <row r="37" spans="1:26">
      <c r="B37" s="91"/>
      <c r="C37" s="36"/>
      <c r="D37" s="91"/>
      <c r="E37" s="91">
        <f t="shared" si="4"/>
        <v>0</v>
      </c>
      <c r="F37" s="80"/>
      <c r="G37" s="91"/>
      <c r="H37" s="91"/>
      <c r="I37" s="81">
        <f>G14+J14+(('input own m.p.'!$K$10*'loss level and beta es(outputs)'!$L$5*'input own m.p.'!$K$14)/('input own m.p.'!$K$12*(1+('input own m.p.'!$K$10^2)*'loss level and beta es(outputs)'!$L$5)))*(G14-('input own m.p.'!$K$16/100)*100)</f>
        <v>4.0014018056261982</v>
      </c>
      <c r="J37" s="81"/>
      <c r="L37" s="36"/>
      <c r="M37" s="36"/>
      <c r="N37" s="36">
        <v>-0.02</v>
      </c>
      <c r="Y37" s="36"/>
      <c r="Z37" s="36"/>
    </row>
    <row r="38" spans="1:26">
      <c r="B38" s="91"/>
      <c r="C38" s="36"/>
      <c r="D38" s="91"/>
      <c r="E38" s="91">
        <f t="shared" si="4"/>
        <v>0</v>
      </c>
      <c r="F38" s="80"/>
      <c r="G38" s="91"/>
      <c r="H38" s="91"/>
      <c r="I38" s="81">
        <f>G15+J15+(('input own m.p.'!$K$10*'loss level and beta es(outputs)'!$L$5*'input own m.p.'!$K$14)/('input own m.p.'!$K$12*(1+('input own m.p.'!$K$10^2)*'loss level and beta es(outputs)'!$L$5)))*(G15-('input own m.p.'!$K$16/100)*100)</f>
        <v>4.0004979948226191</v>
      </c>
      <c r="J38" s="81"/>
      <c r="L38" s="36"/>
      <c r="M38" s="36"/>
      <c r="N38" s="36">
        <v>-1.4999999999999999E-2</v>
      </c>
      <c r="Y38" s="36"/>
      <c r="Z38" s="36"/>
    </row>
    <row r="39" spans="1:26">
      <c r="B39" s="91"/>
      <c r="C39" s="36"/>
      <c r="D39" s="91"/>
      <c r="E39" s="91">
        <f t="shared" si="4"/>
        <v>0</v>
      </c>
      <c r="F39" s="80"/>
      <c r="G39" s="91"/>
      <c r="H39" s="91"/>
      <c r="I39" s="81">
        <f>G16+J16+(('input own m.p.'!$K$10*'loss level and beta es(outputs)'!$L$5*'input own m.p.'!$K$14)/('input own m.p.'!$K$12*(1+('input own m.p.'!$K$10^2)*'loss level and beta es(outputs)'!$L$5)))*(G16-('input own m.p.'!$K$16/100)*100)</f>
        <v>4.0001769138593311</v>
      </c>
      <c r="J39" s="81"/>
      <c r="L39" s="36"/>
      <c r="M39" s="36"/>
      <c r="N39" s="36">
        <v>-0.01</v>
      </c>
      <c r="Y39" s="36"/>
      <c r="Z39" s="36"/>
    </row>
    <row r="40" spans="1:26">
      <c r="B40" s="91"/>
      <c r="C40" s="36"/>
      <c r="D40" s="91"/>
      <c r="E40" s="91">
        <f t="shared" si="4"/>
        <v>0</v>
      </c>
      <c r="F40" s="80"/>
      <c r="G40" s="91"/>
      <c r="H40" s="91"/>
      <c r="I40" s="81">
        <f>G17+J17+(('input own m.p.'!$K$10*'loss level and beta es(outputs)'!$L$5*'input own m.p.'!$K$14)/('input own m.p.'!$K$12*(1+('input own m.p.'!$K$10^2)*'loss level and beta es(outputs)'!$L$5)))*(G17-('input own m.p.'!$K$16/100)*100)</f>
        <v>4.0000628490743253</v>
      </c>
      <c r="J40" s="81"/>
      <c r="L40" s="36"/>
      <c r="M40" s="36"/>
      <c r="N40" s="36">
        <v>-5.0000000000000001E-3</v>
      </c>
      <c r="Y40" s="36"/>
      <c r="Z40" s="36"/>
    </row>
    <row r="41" spans="1:26">
      <c r="B41" s="91"/>
      <c r="C41" s="36"/>
      <c r="D41" s="91"/>
      <c r="E41" s="91">
        <f t="shared" si="4"/>
        <v>0</v>
      </c>
      <c r="F41" s="80"/>
      <c r="G41" s="91"/>
      <c r="H41" s="91"/>
      <c r="I41" s="81">
        <f>G18+J18+(('input own m.p.'!$K$10*'loss level and beta es(outputs)'!$L$5*'input own m.p.'!$K$14)/('input own m.p.'!$K$12*(1+('input own m.p.'!$K$10^2)*'loss level and beta es(outputs)'!$L$5)))*(G18-('input own m.p.'!$K$16/100)*100)</f>
        <v>4.0000223272849178</v>
      </c>
      <c r="J41" s="81"/>
      <c r="L41" s="36"/>
      <c r="M41" s="36"/>
      <c r="N41" s="36">
        <v>5.0000000000000001E-3</v>
      </c>
      <c r="Y41" s="36"/>
      <c r="Z41" s="36"/>
    </row>
    <row r="42" spans="1:26">
      <c r="B42" s="91"/>
      <c r="C42" s="36"/>
      <c r="D42" s="91"/>
      <c r="E42" s="91">
        <f t="shared" si="4"/>
        <v>0</v>
      </c>
      <c r="F42" s="80"/>
      <c r="G42" s="91"/>
      <c r="H42" s="91"/>
      <c r="I42" s="81">
        <f>G19+J19+(('input own m.p.'!$K$10*'loss level and beta es(outputs)'!$L$5*'input own m.p.'!$K$14)/('input own m.p.'!$K$12*(1+('input own m.p.'!$K$10^2)*'loss level and beta es(outputs)'!$L$5)))*(G19-('input own m.p.'!$K$16/100)*100)</f>
        <v>4.0000079318217097</v>
      </c>
      <c r="J42" s="81"/>
      <c r="L42" s="36"/>
      <c r="M42" s="36"/>
      <c r="N42" s="36">
        <v>0.01</v>
      </c>
      <c r="Y42" s="36"/>
      <c r="Z42" s="36"/>
    </row>
    <row r="43" spans="1:26">
      <c r="B43" s="91"/>
      <c r="C43" s="36"/>
      <c r="D43" s="91"/>
      <c r="E43" s="91">
        <f t="shared" si="4"/>
        <v>0</v>
      </c>
      <c r="F43" s="80"/>
      <c r="G43" s="91"/>
      <c r="H43" s="91"/>
      <c r="I43" s="81">
        <f>G20+J20+(('input own m.p.'!$K$10*'loss level and beta es(outputs)'!$L$5*'input own m.p.'!$K$14)/('input own m.p.'!$K$12*(1+('input own m.p.'!$K$10^2)*'loss level and beta es(outputs)'!$L$5)))*(G20-('input own m.p.'!$K$16/100)*100)</f>
        <v>4.0000028177987472</v>
      </c>
      <c r="J43" s="81"/>
      <c r="L43" s="36"/>
      <c r="M43" s="36"/>
      <c r="N43" s="36">
        <v>1.4999999999999999E-2</v>
      </c>
      <c r="Y43" s="36"/>
      <c r="Z43" s="36"/>
    </row>
    <row r="44" spans="1:26">
      <c r="B44" s="91"/>
      <c r="C44" s="36"/>
      <c r="D44" s="91"/>
      <c r="E44" s="91">
        <f t="shared" si="4"/>
        <v>0</v>
      </c>
      <c r="F44" s="80"/>
      <c r="G44" s="91"/>
      <c r="H44" s="91"/>
      <c r="I44" s="81">
        <f>G21+J21+(('input own m.p.'!$K$10*'loss level and beta es(outputs)'!$L$5*'input own m.p.'!$K$14)/('input own m.p.'!$K$12*(1+('input own m.p.'!$K$10^2)*'loss level and beta es(outputs)'!$L$5)))*(G21-('input own m.p.'!$K$16/100)*100)</f>
        <v>4.0000010010297906</v>
      </c>
      <c r="J44" s="81"/>
      <c r="L44" s="36"/>
      <c r="M44" s="36"/>
      <c r="N44" s="36">
        <v>0.02</v>
      </c>
      <c r="Y44" s="36"/>
      <c r="Z44" s="36"/>
    </row>
    <row r="45" spans="1:26">
      <c r="A45" s="63"/>
      <c r="B45" s="91"/>
      <c r="C45" s="36"/>
      <c r="D45" s="91"/>
      <c r="E45" s="91">
        <f t="shared" si="4"/>
        <v>0</v>
      </c>
      <c r="F45" s="80"/>
      <c r="G45" s="91"/>
      <c r="H45" s="91"/>
      <c r="I45" s="201">
        <f>COUNTIF(I26:I44,"&lt;0")</f>
        <v>1</v>
      </c>
      <c r="J45" s="81"/>
      <c r="L45" s="36"/>
      <c r="M45" s="36"/>
      <c r="N45" s="36">
        <v>2.5000000000000001E-2</v>
      </c>
      <c r="Y45" s="36"/>
      <c r="Z45" s="36"/>
    </row>
    <row r="46" spans="1:26">
      <c r="B46" s="91"/>
      <c r="C46" s="36"/>
      <c r="D46" s="91"/>
      <c r="E46" s="91"/>
      <c r="F46" s="80"/>
      <c r="G46" s="91"/>
      <c r="H46" s="91"/>
      <c r="I46" s="81"/>
      <c r="J46" s="81"/>
      <c r="L46" s="36"/>
      <c r="M46" s="36"/>
      <c r="N46" s="36"/>
      <c r="Y46" s="36"/>
      <c r="Z46" s="36"/>
    </row>
    <row r="47" spans="1:26">
      <c r="B47" s="91"/>
      <c r="C47" s="36"/>
      <c r="D47" s="91"/>
      <c r="E47" s="91"/>
      <c r="F47" s="80"/>
      <c r="G47" s="91"/>
      <c r="H47" s="91"/>
      <c r="I47" s="81"/>
      <c r="J47" s="81"/>
      <c r="L47" s="36"/>
      <c r="M47" s="36"/>
      <c r="N47" s="36"/>
      <c r="Y47" s="36"/>
      <c r="Z47" s="36"/>
    </row>
    <row r="48" spans="1:26">
      <c r="B48" s="91"/>
      <c r="C48" s="36"/>
      <c r="D48" s="91"/>
      <c r="E48" s="91"/>
      <c r="F48" s="80"/>
      <c r="G48" s="91"/>
      <c r="H48" s="91"/>
      <c r="I48" s="81"/>
      <c r="J48" s="81"/>
      <c r="L48" s="36"/>
      <c r="M48" s="36"/>
      <c r="N48" s="36"/>
      <c r="Y48" s="36"/>
      <c r="Z48" s="36"/>
    </row>
    <row r="49" spans="2:26">
      <c r="B49" s="91"/>
      <c r="C49" s="36"/>
      <c r="D49" s="91"/>
      <c r="E49" s="91"/>
      <c r="F49" s="80"/>
      <c r="G49" s="91"/>
      <c r="H49" s="91"/>
      <c r="I49" s="81"/>
      <c r="J49" s="81"/>
      <c r="L49" s="36"/>
      <c r="M49" s="36"/>
      <c r="N49" s="36"/>
      <c r="Y49" s="36"/>
      <c r="Z49" s="36"/>
    </row>
    <row r="50" spans="2:26">
      <c r="B50" s="91"/>
      <c r="C50" s="36"/>
      <c r="D50" s="91"/>
      <c r="E50" s="91"/>
      <c r="F50" s="80"/>
      <c r="G50" s="91"/>
      <c r="H50" s="91"/>
      <c r="I50" s="81"/>
      <c r="J50" s="81"/>
      <c r="L50" s="36"/>
      <c r="M50" s="36"/>
      <c r="N50" s="36"/>
      <c r="Y50" s="36"/>
      <c r="Z50" s="36"/>
    </row>
    <row r="51" spans="2:26">
      <c r="B51" s="91"/>
      <c r="C51" s="36"/>
      <c r="D51" s="91"/>
      <c r="E51" s="91"/>
      <c r="F51" s="80"/>
      <c r="G51" s="91"/>
      <c r="H51" s="91"/>
      <c r="I51" s="81"/>
      <c r="J51" s="81"/>
      <c r="L51" s="36"/>
      <c r="M51" s="36"/>
      <c r="N51" s="36"/>
      <c r="Y51" s="36"/>
      <c r="Z51" s="36"/>
    </row>
    <row r="52" spans="2:26">
      <c r="B52" s="91"/>
      <c r="C52" s="36"/>
      <c r="D52" s="91"/>
      <c r="E52" s="91"/>
      <c r="F52" s="80"/>
      <c r="G52" s="91"/>
      <c r="H52" s="91"/>
      <c r="I52" s="81"/>
      <c r="J52" s="81"/>
      <c r="L52" s="36"/>
      <c r="M52" s="36"/>
      <c r="N52" s="36"/>
      <c r="Y52" s="36"/>
      <c r="Z52" s="36"/>
    </row>
    <row r="53" spans="2:26">
      <c r="B53" s="91"/>
      <c r="C53" s="36"/>
      <c r="D53" s="91"/>
      <c r="E53" s="91"/>
      <c r="F53" s="80"/>
      <c r="G53" s="91"/>
      <c r="H53" s="91"/>
      <c r="I53" s="81"/>
      <c r="J53" s="81"/>
      <c r="L53" s="36"/>
      <c r="M53" s="36"/>
      <c r="N53" s="36"/>
      <c r="Y53" s="36"/>
      <c r="Z53" s="36"/>
    </row>
    <row r="54" spans="2:26">
      <c r="B54" s="91"/>
      <c r="C54" s="36"/>
      <c r="D54" s="91"/>
      <c r="E54" s="91"/>
      <c r="F54" s="80"/>
      <c r="G54" s="91"/>
      <c r="H54" s="91"/>
      <c r="I54" s="81"/>
      <c r="J54" s="81"/>
      <c r="L54" s="36"/>
      <c r="M54" s="36"/>
      <c r="N54" s="36"/>
      <c r="Y54" s="36"/>
      <c r="Z54" s="36"/>
    </row>
    <row r="55" spans="2:26">
      <c r="B55" s="91"/>
      <c r="C55" s="36"/>
      <c r="D55" s="91"/>
      <c r="E55" s="91"/>
      <c r="F55" s="80"/>
      <c r="G55" s="91"/>
      <c r="H55" s="91"/>
      <c r="I55" s="81"/>
      <c r="J55" s="81"/>
      <c r="L55" s="36"/>
      <c r="M55" s="36"/>
      <c r="N55" s="36"/>
      <c r="Y55" s="36"/>
      <c r="Z55" s="36"/>
    </row>
    <row r="56" spans="2:26">
      <c r="B56" s="91"/>
      <c r="C56" s="36"/>
      <c r="D56" s="91"/>
      <c r="E56" s="91"/>
      <c r="F56" s="80"/>
      <c r="G56" s="91"/>
      <c r="H56" s="91"/>
      <c r="I56" s="81"/>
      <c r="J56" s="81"/>
      <c r="L56" s="36"/>
      <c r="M56" s="36"/>
      <c r="N56" s="36"/>
      <c r="Y56" s="36"/>
      <c r="Z56" s="36"/>
    </row>
    <row r="57" spans="2:26">
      <c r="B57" s="91"/>
      <c r="C57" s="36"/>
      <c r="D57" s="91"/>
      <c r="E57" s="91"/>
      <c r="F57" s="80"/>
      <c r="G57" s="91"/>
      <c r="H57" s="91"/>
      <c r="I57" s="81"/>
      <c r="J57" s="81"/>
      <c r="L57" s="36"/>
      <c r="M57" s="36"/>
      <c r="N57" s="36"/>
      <c r="Y57" s="36"/>
      <c r="Z57" s="36"/>
    </row>
    <row r="58" spans="2:26">
      <c r="B58" s="91"/>
      <c r="C58" s="36"/>
      <c r="D58" s="91"/>
      <c r="E58" s="91"/>
      <c r="F58" s="80"/>
      <c r="G58" s="91"/>
      <c r="H58" s="91"/>
      <c r="I58" s="81"/>
      <c r="J58" s="81"/>
      <c r="L58" s="36"/>
      <c r="M58" s="36"/>
      <c r="N58" s="36"/>
      <c r="Y58" s="36"/>
      <c r="Z58" s="36"/>
    </row>
    <row r="59" spans="2:26">
      <c r="B59" s="91"/>
      <c r="C59" s="36"/>
      <c r="D59" s="91"/>
      <c r="E59" s="91"/>
      <c r="F59" s="80"/>
      <c r="G59" s="91"/>
      <c r="H59" s="91"/>
      <c r="I59" s="81"/>
      <c r="J59" s="81"/>
      <c r="L59" s="36"/>
      <c r="M59" s="36"/>
      <c r="N59" s="36"/>
      <c r="Y59" s="36"/>
      <c r="Z59" s="36"/>
    </row>
    <row r="60" spans="2:26">
      <c r="B60" s="91"/>
      <c r="C60" s="36"/>
      <c r="D60" s="91"/>
      <c r="E60" s="91"/>
      <c r="F60" s="80"/>
      <c r="G60" s="91"/>
      <c r="H60" s="91"/>
      <c r="I60" s="81"/>
      <c r="J60" s="81"/>
      <c r="L60" s="36"/>
      <c r="M60" s="36"/>
      <c r="N60" s="36"/>
      <c r="Y60" s="36"/>
      <c r="Z60" s="36"/>
    </row>
    <row r="61" spans="2:26">
      <c r="B61" s="91"/>
      <c r="C61" s="36"/>
      <c r="D61" s="91"/>
      <c r="E61" s="91"/>
      <c r="F61" s="80"/>
      <c r="G61" s="91"/>
      <c r="H61" s="91"/>
      <c r="I61" s="81"/>
      <c r="J61" s="81"/>
      <c r="L61" s="36"/>
      <c r="M61" s="36"/>
      <c r="N61" s="36"/>
      <c r="Y61" s="36"/>
      <c r="Z61" s="36"/>
    </row>
    <row r="62" spans="2:26">
      <c r="B62" s="91"/>
      <c r="C62" s="36"/>
      <c r="D62" s="91"/>
      <c r="E62" s="91"/>
      <c r="F62" s="80"/>
      <c r="G62" s="91"/>
      <c r="H62" s="91"/>
      <c r="I62" s="81"/>
      <c r="J62" s="81"/>
      <c r="L62" s="36"/>
      <c r="M62" s="36"/>
      <c r="N62" s="36"/>
      <c r="Y62" s="36"/>
      <c r="Z62" s="36"/>
    </row>
    <row r="63" spans="2:26">
      <c r="B63" s="91"/>
      <c r="C63" s="36"/>
      <c r="D63" s="91"/>
      <c r="E63" s="91"/>
      <c r="F63" s="80"/>
      <c r="G63" s="91"/>
      <c r="H63" s="91"/>
      <c r="I63" s="81"/>
      <c r="J63" s="81"/>
      <c r="L63" s="36"/>
      <c r="M63" s="36"/>
      <c r="N63" s="36"/>
      <c r="Y63" s="36"/>
      <c r="Z63" s="36"/>
    </row>
    <row r="64" spans="2:26">
      <c r="B64" s="91"/>
      <c r="C64" s="36"/>
      <c r="D64" s="91"/>
      <c r="E64" s="91"/>
      <c r="F64" s="80"/>
      <c r="G64" s="91"/>
      <c r="H64" s="91"/>
      <c r="I64" s="81"/>
      <c r="J64" s="81"/>
      <c r="L64" s="36"/>
      <c r="M64" s="36"/>
      <c r="N64" s="36"/>
      <c r="Y64" s="36"/>
      <c r="Z64" s="36"/>
    </row>
    <row r="65" spans="2:26">
      <c r="B65" s="91"/>
      <c r="C65" s="36"/>
      <c r="D65" s="91"/>
      <c r="E65" s="91"/>
      <c r="F65" s="80"/>
      <c r="G65" s="91"/>
      <c r="H65" s="91"/>
      <c r="I65" s="81"/>
      <c r="J65" s="81"/>
      <c r="L65" s="36"/>
      <c r="M65" s="36"/>
      <c r="N65" s="36"/>
      <c r="Y65" s="36"/>
      <c r="Z65" s="36"/>
    </row>
    <row r="66" spans="2:26">
      <c r="B66" s="91"/>
      <c r="C66" s="36"/>
      <c r="D66" s="91"/>
      <c r="E66" s="91"/>
      <c r="F66" s="80"/>
      <c r="G66" s="91"/>
      <c r="H66" s="91"/>
      <c r="I66" s="81"/>
      <c r="J66" s="81"/>
      <c r="L66" s="36"/>
      <c r="M66" s="36"/>
      <c r="N66" s="36"/>
      <c r="Y66" s="36"/>
      <c r="Z66" s="36"/>
    </row>
    <row r="67" spans="2:26">
      <c r="B67" s="91"/>
      <c r="C67" s="36"/>
      <c r="D67" s="91"/>
      <c r="E67" s="91"/>
      <c r="F67" s="80"/>
      <c r="G67" s="91"/>
      <c r="H67" s="91"/>
      <c r="I67" s="81"/>
      <c r="J67" s="81"/>
      <c r="L67" s="36"/>
      <c r="M67" s="36"/>
      <c r="N67" s="36"/>
      <c r="Y67" s="36"/>
      <c r="Z67" s="36"/>
    </row>
    <row r="68" spans="2:26">
      <c r="B68" s="91"/>
      <c r="C68" s="36"/>
      <c r="D68" s="91"/>
      <c r="E68" s="91"/>
      <c r="F68" s="80"/>
      <c r="G68" s="91"/>
      <c r="H68" s="91"/>
      <c r="I68" s="81"/>
      <c r="J68" s="81"/>
      <c r="L68" s="36"/>
      <c r="M68" s="36"/>
      <c r="N68" s="36"/>
      <c r="Y68" s="36"/>
      <c r="Z68" s="36"/>
    </row>
    <row r="69" spans="2:26">
      <c r="B69" s="91"/>
      <c r="C69" s="36"/>
      <c r="D69" s="91"/>
      <c r="E69" s="91"/>
      <c r="F69" s="80"/>
      <c r="G69" s="91"/>
      <c r="H69" s="91"/>
      <c r="I69" s="81"/>
      <c r="J69" s="81"/>
      <c r="L69" s="36"/>
      <c r="M69" s="36"/>
      <c r="N69" s="36"/>
      <c r="Y69" s="36"/>
      <c r="Z69" s="36"/>
    </row>
    <row r="70" spans="2:26">
      <c r="B70" s="91"/>
      <c r="C70" s="36"/>
      <c r="D70" s="91"/>
      <c r="E70" s="91"/>
      <c r="F70" s="80"/>
      <c r="G70" s="91"/>
      <c r="H70" s="91"/>
      <c r="I70" s="81"/>
      <c r="J70" s="81"/>
      <c r="L70" s="36"/>
      <c r="M70" s="36"/>
      <c r="N70" s="36"/>
      <c r="Y70" s="36"/>
      <c r="Z70" s="36"/>
    </row>
    <row r="71" spans="2:26">
      <c r="B71" s="91"/>
      <c r="C71" s="36"/>
      <c r="D71" s="91"/>
      <c r="E71" s="91"/>
      <c r="F71" s="80"/>
      <c r="G71" s="91"/>
      <c r="H71" s="91"/>
      <c r="I71" s="81"/>
      <c r="J71" s="81"/>
      <c r="L71" s="36"/>
      <c r="M71" s="36"/>
      <c r="N71" s="36"/>
      <c r="Y71" s="36"/>
      <c r="Z71" s="36"/>
    </row>
    <row r="72" spans="2:26">
      <c r="B72" s="91"/>
      <c r="C72" s="36"/>
      <c r="D72" s="91"/>
      <c r="E72" s="91"/>
      <c r="F72" s="80"/>
      <c r="G72" s="91"/>
      <c r="H72" s="91"/>
      <c r="I72" s="81"/>
      <c r="J72" s="81"/>
      <c r="L72" s="36"/>
      <c r="M72" s="36"/>
      <c r="N72" s="36"/>
      <c r="Y72" s="36"/>
      <c r="Z72" s="36"/>
    </row>
    <row r="73" spans="2:26">
      <c r="B73" s="91"/>
      <c r="C73" s="36"/>
      <c r="D73" s="91"/>
      <c r="E73" s="91"/>
      <c r="F73" s="80"/>
      <c r="G73" s="91"/>
      <c r="H73" s="91"/>
      <c r="I73" s="81"/>
      <c r="J73" s="81"/>
      <c r="L73" s="36"/>
      <c r="M73" s="36"/>
      <c r="N73" s="36"/>
      <c r="Y73" s="36"/>
      <c r="Z73" s="36"/>
    </row>
    <row r="74" spans="2:26">
      <c r="B74" s="91"/>
      <c r="C74" s="36"/>
      <c r="D74" s="91"/>
      <c r="E74" s="91"/>
      <c r="F74" s="80"/>
      <c r="G74" s="91"/>
      <c r="H74" s="91"/>
      <c r="I74" s="81"/>
      <c r="J74" s="81"/>
      <c r="L74" s="36"/>
      <c r="M74" s="36"/>
      <c r="N74" s="36"/>
      <c r="Y74" s="36"/>
      <c r="Z74" s="36"/>
    </row>
    <row r="75" spans="2:26">
      <c r="B75" s="91"/>
      <c r="C75" s="36"/>
      <c r="D75" s="91"/>
      <c r="E75" s="91"/>
      <c r="F75" s="80"/>
      <c r="G75" s="91"/>
      <c r="H75" s="91"/>
      <c r="I75" s="81"/>
      <c r="J75" s="81"/>
      <c r="L75" s="36"/>
      <c r="M75" s="36"/>
      <c r="N75" s="36"/>
      <c r="Y75" s="36"/>
      <c r="Z75" s="36"/>
    </row>
    <row r="76" spans="2:26">
      <c r="B76" s="91"/>
      <c r="C76" s="36"/>
      <c r="D76" s="91"/>
      <c r="E76" s="91"/>
      <c r="F76" s="80"/>
      <c r="G76" s="91"/>
      <c r="H76" s="91"/>
      <c r="I76" s="81"/>
      <c r="J76" s="81"/>
      <c r="L76" s="36"/>
      <c r="M76" s="36"/>
      <c r="N76" s="36"/>
      <c r="Y76" s="36"/>
      <c r="Z76" s="36"/>
    </row>
    <row r="77" spans="2:26">
      <c r="B77" s="91"/>
      <c r="C77" s="36"/>
      <c r="D77" s="91"/>
      <c r="E77" s="91"/>
      <c r="F77" s="80"/>
      <c r="G77" s="91"/>
      <c r="H77" s="91"/>
      <c r="I77" s="81"/>
      <c r="J77" s="81"/>
      <c r="L77" s="36"/>
      <c r="M77" s="36"/>
      <c r="N77" s="36"/>
      <c r="Y77" s="36"/>
      <c r="Z77" s="36"/>
    </row>
    <row r="78" spans="2:26">
      <c r="B78" s="91"/>
      <c r="C78" s="36"/>
      <c r="D78" s="91"/>
      <c r="E78" s="91"/>
      <c r="F78" s="80"/>
      <c r="G78" s="91"/>
      <c r="H78" s="91"/>
      <c r="I78" s="81"/>
      <c r="J78" s="81"/>
      <c r="L78" s="36"/>
      <c r="M78" s="36"/>
      <c r="N78" s="36"/>
      <c r="Y78" s="36"/>
      <c r="Z78" s="36"/>
    </row>
    <row r="79" spans="2:26">
      <c r="B79" s="91"/>
      <c r="C79" s="36"/>
      <c r="D79" s="91"/>
      <c r="E79" s="91"/>
      <c r="F79" s="80"/>
      <c r="G79" s="91"/>
      <c r="H79" s="91"/>
      <c r="I79" s="81"/>
      <c r="J79" s="81"/>
      <c r="L79" s="36"/>
      <c r="M79" s="36"/>
      <c r="N79" s="36"/>
      <c r="Y79" s="36"/>
      <c r="Z79" s="36"/>
    </row>
    <row r="80" spans="2:26">
      <c r="B80" s="91"/>
      <c r="C80" s="36"/>
      <c r="D80" s="91"/>
      <c r="E80" s="91"/>
      <c r="F80" s="80"/>
      <c r="G80" s="91"/>
      <c r="H80" s="91"/>
      <c r="I80" s="81"/>
      <c r="J80" s="81"/>
      <c r="L80" s="36"/>
      <c r="M80" s="36"/>
      <c r="N80" s="36"/>
      <c r="Y80" s="36"/>
      <c r="Z80" s="36"/>
    </row>
    <row r="81" spans="2:26">
      <c r="B81" s="91"/>
      <c r="C81" s="36"/>
      <c r="D81" s="91"/>
      <c r="E81" s="91"/>
      <c r="F81" s="80"/>
      <c r="G81" s="91"/>
      <c r="H81" s="91"/>
      <c r="I81" s="81"/>
      <c r="J81" s="81"/>
      <c r="L81" s="36"/>
      <c r="M81" s="36"/>
      <c r="N81" s="36"/>
      <c r="Y81" s="36"/>
      <c r="Z81" s="36"/>
    </row>
    <row r="82" spans="2:26">
      <c r="B82" s="91"/>
      <c r="C82" s="36"/>
      <c r="D82" s="91"/>
      <c r="E82" s="91"/>
      <c r="F82" s="80"/>
      <c r="G82" s="91"/>
      <c r="H82" s="91"/>
      <c r="I82" s="81"/>
      <c r="J82" s="81"/>
      <c r="L82" s="36"/>
      <c r="M82" s="36"/>
      <c r="N82" s="36"/>
      <c r="Y82" s="36"/>
      <c r="Z82" s="36"/>
    </row>
    <row r="83" spans="2:26">
      <c r="B83" s="91"/>
      <c r="C83" s="36"/>
      <c r="D83" s="91"/>
      <c r="E83" s="91"/>
      <c r="F83" s="80"/>
      <c r="G83" s="91"/>
      <c r="H83" s="91"/>
      <c r="I83" s="81"/>
      <c r="J83" s="81"/>
      <c r="L83" s="36"/>
      <c r="M83" s="36"/>
      <c r="N83" s="36"/>
      <c r="Y83" s="36"/>
      <c r="Z83" s="36"/>
    </row>
    <row r="84" spans="2:26">
      <c r="B84" s="91"/>
      <c r="C84" s="36"/>
      <c r="D84" s="91"/>
      <c r="E84" s="91"/>
      <c r="F84" s="80"/>
      <c r="G84" s="91"/>
      <c r="H84" s="91"/>
      <c r="I84" s="81"/>
      <c r="J84" s="81"/>
      <c r="L84" s="36"/>
      <c r="M84" s="36"/>
      <c r="N84" s="36"/>
      <c r="Y84" s="36"/>
      <c r="Z84" s="36"/>
    </row>
    <row r="85" spans="2:26">
      <c r="B85" s="91"/>
      <c r="C85" s="36"/>
      <c r="D85" s="91"/>
      <c r="E85" s="91"/>
      <c r="F85" s="80"/>
      <c r="G85" s="91"/>
      <c r="H85" s="91"/>
      <c r="I85" s="81"/>
      <c r="J85" s="81"/>
      <c r="L85" s="36"/>
      <c r="M85" s="36"/>
      <c r="N85" s="36"/>
      <c r="Y85" s="36"/>
      <c r="Z85" s="36"/>
    </row>
    <row r="86" spans="2:26">
      <c r="B86" s="91"/>
      <c r="C86" s="36"/>
      <c r="D86" s="91"/>
      <c r="E86" s="91"/>
      <c r="F86" s="80"/>
      <c r="G86" s="91"/>
      <c r="H86" s="91"/>
      <c r="I86" s="81"/>
      <c r="J86" s="81"/>
      <c r="L86" s="36"/>
      <c r="M86" s="36"/>
      <c r="N86" s="36"/>
      <c r="Y86" s="36"/>
      <c r="Z86" s="36"/>
    </row>
    <row r="87" spans="2:26">
      <c r="B87" s="91"/>
      <c r="C87" s="36"/>
      <c r="D87" s="91"/>
      <c r="E87" s="91"/>
      <c r="F87" s="80"/>
      <c r="G87" s="91"/>
      <c r="H87" s="91"/>
      <c r="I87" s="81"/>
      <c r="J87" s="81"/>
      <c r="L87" s="36"/>
      <c r="M87" s="36"/>
      <c r="N87" s="36"/>
      <c r="Y87" s="36"/>
      <c r="Z87" s="36"/>
    </row>
    <row r="88" spans="2:26">
      <c r="B88" s="91"/>
      <c r="C88" s="36"/>
      <c r="D88" s="91"/>
      <c r="E88" s="91"/>
      <c r="F88" s="80"/>
      <c r="G88" s="91"/>
      <c r="H88" s="91"/>
      <c r="I88" s="81"/>
      <c r="J88" s="81"/>
      <c r="L88" s="36"/>
      <c r="M88" s="36"/>
      <c r="N88" s="36"/>
      <c r="Y88" s="36"/>
      <c r="Z88" s="36"/>
    </row>
    <row r="89" spans="2:26">
      <c r="B89" s="91"/>
      <c r="C89" s="36"/>
      <c r="D89" s="91"/>
      <c r="E89" s="91"/>
      <c r="F89" s="80"/>
      <c r="G89" s="91"/>
      <c r="H89" s="91"/>
      <c r="I89" s="81"/>
      <c r="J89" s="81"/>
      <c r="L89" s="36"/>
      <c r="M89" s="36"/>
      <c r="N89" s="36"/>
      <c r="Y89" s="36"/>
      <c r="Z89" s="36"/>
    </row>
    <row r="90" spans="2:26">
      <c r="B90" s="91"/>
      <c r="C90" s="36"/>
      <c r="D90" s="91"/>
      <c r="E90" s="91"/>
      <c r="F90" s="80"/>
      <c r="G90" s="91"/>
      <c r="H90" s="91"/>
      <c r="I90" s="81"/>
      <c r="J90" s="81"/>
      <c r="L90" s="36"/>
      <c r="M90" s="36"/>
      <c r="N90" s="36"/>
      <c r="Y90" s="36"/>
      <c r="Z90" s="36"/>
    </row>
    <row r="91" spans="2:26">
      <c r="B91" s="91"/>
      <c r="C91" s="36"/>
      <c r="D91" s="91"/>
      <c r="E91" s="91"/>
      <c r="F91" s="80"/>
      <c r="G91" s="91"/>
      <c r="H91" s="91"/>
      <c r="I91" s="81"/>
      <c r="J91" s="81"/>
      <c r="L91" s="36"/>
      <c r="M91" s="36"/>
      <c r="N91" s="36"/>
      <c r="Y91" s="36"/>
      <c r="Z91" s="36"/>
    </row>
    <row r="92" spans="2:26">
      <c r="B92" s="91"/>
      <c r="C92" s="36"/>
      <c r="D92" s="91"/>
      <c r="E92" s="91"/>
      <c r="F92" s="80"/>
      <c r="G92" s="91"/>
      <c r="H92" s="91"/>
      <c r="I92" s="81"/>
      <c r="J92" s="81"/>
      <c r="L92" s="36"/>
      <c r="M92" s="36"/>
      <c r="N92" s="36"/>
      <c r="Y92" s="36"/>
      <c r="Z92" s="36"/>
    </row>
    <row r="93" spans="2:26">
      <c r="B93" s="91"/>
      <c r="C93" s="36"/>
      <c r="D93" s="91"/>
      <c r="E93" s="91"/>
      <c r="F93" s="80"/>
      <c r="G93" s="91"/>
      <c r="H93" s="91"/>
      <c r="I93" s="81"/>
      <c r="J93" s="81"/>
      <c r="L93" s="36"/>
      <c r="M93" s="36"/>
      <c r="N93" s="36"/>
      <c r="Y93" s="36"/>
      <c r="Z93" s="36"/>
    </row>
    <row r="94" spans="2:26">
      <c r="B94" s="91"/>
      <c r="C94" s="36"/>
      <c r="D94" s="91"/>
      <c r="E94" s="91"/>
      <c r="F94" s="80"/>
      <c r="G94" s="91"/>
      <c r="H94" s="91"/>
      <c r="I94" s="81"/>
      <c r="J94" s="81"/>
      <c r="L94" s="36"/>
      <c r="M94" s="36"/>
      <c r="N94" s="36"/>
      <c r="Y94" s="36"/>
      <c r="Z94" s="36"/>
    </row>
    <row r="95" spans="2:26">
      <c r="B95" s="91"/>
      <c r="C95" s="36"/>
      <c r="D95" s="91"/>
      <c r="E95" s="91"/>
      <c r="F95" s="80"/>
      <c r="G95" s="91"/>
      <c r="H95" s="91"/>
      <c r="I95" s="81"/>
      <c r="J95" s="81"/>
      <c r="L95" s="36"/>
      <c r="M95" s="36"/>
      <c r="N95" s="36"/>
      <c r="Y95" s="36"/>
      <c r="Z95" s="36"/>
    </row>
    <row r="96" spans="2:26">
      <c r="B96" s="91"/>
      <c r="C96" s="36"/>
      <c r="D96" s="91"/>
      <c r="E96" s="91"/>
      <c r="F96" s="80"/>
      <c r="G96" s="91"/>
      <c r="H96" s="91"/>
      <c r="I96" s="81"/>
      <c r="J96" s="81"/>
      <c r="L96" s="36"/>
      <c r="M96" s="36"/>
      <c r="N96" s="36"/>
      <c r="Y96" s="36"/>
      <c r="Z96" s="36"/>
    </row>
    <row r="97" spans="2:26">
      <c r="B97" s="91"/>
      <c r="C97" s="36"/>
      <c r="D97" s="91"/>
      <c r="E97" s="91"/>
      <c r="F97" s="80"/>
      <c r="G97" s="91"/>
      <c r="H97" s="91"/>
      <c r="I97" s="81"/>
      <c r="J97" s="81"/>
      <c r="L97" s="36"/>
      <c r="M97" s="36"/>
      <c r="N97" s="36"/>
      <c r="Y97" s="36"/>
      <c r="Z97" s="36"/>
    </row>
    <row r="98" spans="2:26">
      <c r="B98" s="91"/>
      <c r="C98" s="36"/>
      <c r="D98" s="91"/>
      <c r="E98" s="91"/>
      <c r="F98" s="80"/>
      <c r="G98" s="91"/>
      <c r="H98" s="91"/>
      <c r="I98" s="81"/>
      <c r="J98" s="81"/>
      <c r="L98" s="36"/>
      <c r="M98" s="36"/>
      <c r="N98" s="36"/>
      <c r="Y98" s="36"/>
      <c r="Z98" s="36"/>
    </row>
    <row r="99" spans="2:26">
      <c r="B99" s="91"/>
      <c r="C99" s="36"/>
      <c r="D99" s="91"/>
      <c r="E99" s="91"/>
      <c r="F99" s="80"/>
      <c r="G99" s="91"/>
      <c r="H99" s="91"/>
      <c r="I99" s="81"/>
      <c r="J99" s="81"/>
      <c r="L99" s="36"/>
      <c r="M99" s="36"/>
      <c r="N99" s="36"/>
      <c r="Y99" s="36"/>
      <c r="Z99" s="36"/>
    </row>
    <row r="100" spans="2:26">
      <c r="B100" s="91"/>
      <c r="C100" s="36"/>
      <c r="D100" s="91"/>
      <c r="E100" s="91"/>
      <c r="F100" s="80"/>
      <c r="G100" s="91"/>
      <c r="H100" s="91"/>
      <c r="I100" s="81"/>
      <c r="J100" s="81"/>
      <c r="L100" s="36"/>
      <c r="M100" s="36"/>
      <c r="N100" s="36"/>
      <c r="Y100" s="36"/>
      <c r="Z100" s="36"/>
    </row>
    <row r="101" spans="2:26">
      <c r="B101" s="91"/>
      <c r="C101" s="36"/>
      <c r="D101" s="91"/>
      <c r="E101" s="91"/>
      <c r="F101" s="80"/>
      <c r="G101" s="91"/>
      <c r="H101" s="91"/>
      <c r="I101" s="81"/>
      <c r="J101" s="81"/>
      <c r="L101" s="36"/>
      <c r="M101" s="36"/>
      <c r="N101" s="36"/>
      <c r="Y101" s="36"/>
      <c r="Z101" s="36"/>
    </row>
    <row r="102" spans="2:26">
      <c r="B102" s="91"/>
      <c r="C102" s="36"/>
      <c r="D102" s="91"/>
      <c r="E102" s="91"/>
      <c r="F102" s="80"/>
      <c r="G102" s="91"/>
      <c r="H102" s="91"/>
      <c r="I102" s="81"/>
      <c r="J102" s="81"/>
      <c r="L102" s="36"/>
      <c r="M102" s="36"/>
      <c r="N102" s="36"/>
      <c r="Y102" s="36"/>
      <c r="Z102" s="36"/>
    </row>
    <row r="103" spans="2:26">
      <c r="B103" s="91"/>
      <c r="C103" s="36"/>
      <c r="D103" s="91"/>
      <c r="E103" s="91"/>
      <c r="F103" s="80"/>
      <c r="G103" s="91"/>
      <c r="H103" s="91"/>
      <c r="I103" s="81"/>
      <c r="J103" s="81"/>
      <c r="L103" s="36"/>
      <c r="M103" s="36"/>
      <c r="N103" s="36"/>
      <c r="Y103" s="36"/>
      <c r="Z103" s="36"/>
    </row>
    <row r="104" spans="2:26">
      <c r="B104" s="91"/>
      <c r="C104" s="36"/>
      <c r="D104" s="91"/>
      <c r="E104" s="91"/>
      <c r="F104" s="80"/>
      <c r="G104" s="91"/>
      <c r="H104" s="91"/>
      <c r="I104" s="81"/>
      <c r="J104" s="81"/>
      <c r="L104" s="36"/>
      <c r="M104" s="36"/>
      <c r="N104" s="36"/>
      <c r="Y104" s="36"/>
      <c r="Z104" s="36"/>
    </row>
    <row r="105" spans="2:26">
      <c r="B105" s="91"/>
      <c r="C105" s="36"/>
      <c r="D105" s="91"/>
      <c r="E105" s="91"/>
      <c r="F105" s="80"/>
      <c r="G105" s="91"/>
      <c r="H105" s="91"/>
      <c r="I105" s="81"/>
      <c r="J105" s="81"/>
      <c r="L105" s="36"/>
      <c r="M105" s="36"/>
      <c r="N105" s="36"/>
      <c r="Y105" s="36"/>
      <c r="Z105" s="36"/>
    </row>
    <row r="106" spans="2:26">
      <c r="B106" s="91"/>
      <c r="C106" s="36"/>
      <c r="D106" s="91"/>
      <c r="E106" s="91"/>
      <c r="F106" s="80"/>
      <c r="G106" s="91"/>
      <c r="H106" s="91"/>
      <c r="I106" s="81"/>
      <c r="J106" s="81"/>
      <c r="L106" s="36"/>
      <c r="M106" s="36"/>
      <c r="N106" s="36"/>
      <c r="Y106" s="36"/>
      <c r="Z106" s="36"/>
    </row>
    <row r="107" spans="2:26">
      <c r="B107" s="91"/>
      <c r="C107" s="36"/>
      <c r="D107" s="91"/>
      <c r="E107" s="91"/>
      <c r="F107" s="80"/>
      <c r="G107" s="91"/>
      <c r="H107" s="91"/>
      <c r="I107" s="81"/>
      <c r="J107" s="81"/>
      <c r="L107" s="36"/>
      <c r="M107" s="36"/>
      <c r="N107" s="36"/>
      <c r="Y107" s="36"/>
      <c r="Z107" s="36"/>
    </row>
    <row r="108" spans="2:26">
      <c r="B108" s="91"/>
      <c r="C108" s="36"/>
      <c r="D108" s="91"/>
      <c r="E108" s="91"/>
      <c r="F108" s="80"/>
      <c r="G108" s="91"/>
      <c r="H108" s="91"/>
      <c r="I108" s="81"/>
      <c r="J108" s="81"/>
      <c r="L108" s="36"/>
      <c r="M108" s="36"/>
      <c r="N108" s="36"/>
      <c r="Y108" s="36"/>
      <c r="Z108" s="36"/>
    </row>
    <row r="109" spans="2:26">
      <c r="B109" s="91"/>
      <c r="C109" s="36"/>
      <c r="D109" s="91"/>
      <c r="E109" s="91"/>
      <c r="F109" s="80"/>
      <c r="G109" s="91"/>
      <c r="H109" s="91"/>
      <c r="I109" s="81"/>
      <c r="J109" s="81"/>
      <c r="L109" s="36"/>
      <c r="M109" s="36"/>
      <c r="N109" s="36"/>
      <c r="Y109" s="36"/>
      <c r="Z109" s="36"/>
    </row>
    <row r="110" spans="2:26">
      <c r="B110" s="91"/>
      <c r="C110" s="36"/>
      <c r="D110" s="91"/>
      <c r="E110" s="91"/>
      <c r="F110" s="80"/>
      <c r="G110" s="91"/>
      <c r="H110" s="91"/>
      <c r="I110" s="81"/>
      <c r="J110" s="81"/>
      <c r="L110" s="36"/>
      <c r="M110" s="36"/>
      <c r="N110" s="36"/>
      <c r="Y110" s="36"/>
      <c r="Z110" s="36"/>
    </row>
    <row r="111" spans="2:26">
      <c r="B111" s="91"/>
      <c r="C111" s="36"/>
      <c r="D111" s="91"/>
      <c r="E111" s="91"/>
      <c r="F111" s="80"/>
      <c r="G111" s="91"/>
      <c r="H111" s="91"/>
      <c r="I111" s="81"/>
      <c r="J111" s="81"/>
      <c r="L111" s="36"/>
      <c r="M111" s="36"/>
      <c r="N111" s="36"/>
      <c r="Y111" s="36"/>
      <c r="Z111" s="36"/>
    </row>
    <row r="112" spans="2:26">
      <c r="B112" s="91"/>
      <c r="C112" s="36"/>
      <c r="D112" s="91"/>
      <c r="E112" s="91"/>
      <c r="F112" s="80"/>
      <c r="G112" s="91"/>
      <c r="H112" s="91"/>
      <c r="I112" s="81"/>
      <c r="J112" s="81"/>
      <c r="L112" s="36"/>
      <c r="M112" s="36"/>
      <c r="N112" s="36"/>
      <c r="Y112" s="36"/>
      <c r="Z112" s="36"/>
    </row>
    <row r="113" spans="2:26">
      <c r="B113" s="91"/>
      <c r="C113" s="36"/>
      <c r="D113" s="91"/>
      <c r="E113" s="91"/>
      <c r="F113" s="80"/>
      <c r="G113" s="91"/>
      <c r="H113" s="91"/>
      <c r="I113" s="81"/>
      <c r="J113" s="81"/>
      <c r="L113" s="36"/>
      <c r="M113" s="36"/>
      <c r="N113" s="36"/>
      <c r="Y113" s="36"/>
      <c r="Z113" s="36"/>
    </row>
    <row r="114" spans="2:26">
      <c r="B114" s="91"/>
      <c r="C114" s="36"/>
      <c r="D114" s="91"/>
      <c r="E114" s="91"/>
      <c r="F114" s="80"/>
      <c r="G114" s="91"/>
      <c r="H114" s="91"/>
      <c r="I114" s="81"/>
      <c r="J114" s="81"/>
      <c r="L114" s="36"/>
      <c r="M114" s="36"/>
      <c r="N114" s="36"/>
      <c r="Y114" s="36"/>
      <c r="Z114" s="36"/>
    </row>
    <row r="115" spans="2:26">
      <c r="B115" s="91"/>
      <c r="C115" s="36"/>
      <c r="D115" s="91"/>
      <c r="E115" s="91"/>
      <c r="F115" s="80"/>
      <c r="G115" s="91"/>
      <c r="H115" s="91"/>
      <c r="I115" s="81"/>
      <c r="J115" s="81"/>
      <c r="L115" s="36"/>
      <c r="M115" s="36"/>
      <c r="N115" s="36"/>
      <c r="Y115" s="36"/>
      <c r="Z115" s="36"/>
    </row>
    <row r="116" spans="2:26">
      <c r="B116" s="91"/>
      <c r="C116" s="36"/>
      <c r="D116" s="91"/>
      <c r="E116" s="91"/>
      <c r="F116" s="80"/>
      <c r="G116" s="91"/>
      <c r="H116" s="91"/>
      <c r="I116" s="81"/>
      <c r="J116" s="81"/>
      <c r="L116" s="36"/>
      <c r="M116" s="36"/>
      <c r="N116" s="36"/>
      <c r="Y116" s="36"/>
      <c r="Z116" s="36"/>
    </row>
    <row r="117" spans="2:26">
      <c r="B117" s="91"/>
      <c r="C117" s="36"/>
      <c r="D117" s="91"/>
      <c r="E117" s="91"/>
      <c r="F117" s="80"/>
      <c r="G117" s="91"/>
      <c r="H117" s="91"/>
      <c r="I117" s="81"/>
      <c r="J117" s="81"/>
      <c r="L117" s="36"/>
      <c r="M117" s="36"/>
      <c r="N117" s="36"/>
      <c r="Y117" s="36"/>
      <c r="Z117" s="36"/>
    </row>
    <row r="118" spans="2:26">
      <c r="B118" s="91"/>
      <c r="C118" s="36"/>
      <c r="D118" s="91"/>
      <c r="E118" s="91"/>
      <c r="F118" s="80"/>
      <c r="G118" s="91"/>
      <c r="H118" s="91"/>
      <c r="I118" s="81"/>
      <c r="J118" s="81"/>
      <c r="L118" s="36"/>
      <c r="M118" s="36"/>
      <c r="N118" s="36"/>
      <c r="Y118" s="36"/>
      <c r="Z118" s="36"/>
    </row>
    <row r="119" spans="2:26">
      <c r="B119" s="91"/>
      <c r="C119" s="36"/>
      <c r="D119" s="91"/>
      <c r="E119" s="91"/>
      <c r="F119" s="80"/>
      <c r="G119" s="91"/>
      <c r="H119" s="91"/>
      <c r="I119" s="81"/>
      <c r="J119" s="81"/>
      <c r="L119" s="36"/>
      <c r="M119" s="36"/>
      <c r="N119" s="36"/>
      <c r="Y119" s="36"/>
      <c r="Z119" s="36"/>
    </row>
    <row r="120" spans="2:26">
      <c r="B120" s="91"/>
      <c r="C120" s="36"/>
      <c r="D120" s="91"/>
      <c r="E120" s="91"/>
      <c r="F120" s="80"/>
      <c r="G120" s="91"/>
      <c r="H120" s="91"/>
      <c r="I120" s="81"/>
      <c r="J120" s="81"/>
      <c r="L120" s="36"/>
      <c r="M120" s="36"/>
      <c r="N120" s="36"/>
      <c r="Y120" s="36"/>
      <c r="Z120" s="36"/>
    </row>
    <row r="121" spans="2:26">
      <c r="B121" s="91"/>
      <c r="C121" s="36"/>
      <c r="D121" s="91"/>
      <c r="E121" s="91"/>
      <c r="F121" s="80"/>
      <c r="G121" s="91"/>
      <c r="H121" s="91"/>
      <c r="I121" s="81"/>
      <c r="J121" s="81"/>
      <c r="L121" s="36"/>
      <c r="M121" s="36"/>
      <c r="N121" s="36"/>
      <c r="Y121" s="36"/>
      <c r="Z121" s="36"/>
    </row>
    <row r="122" spans="2:26">
      <c r="B122" s="91"/>
      <c r="C122" s="36"/>
      <c r="D122" s="91"/>
      <c r="E122" s="91"/>
      <c r="F122" s="80"/>
      <c r="G122" s="91"/>
      <c r="H122" s="91"/>
      <c r="I122" s="81"/>
      <c r="J122" s="81"/>
      <c r="L122" s="36"/>
      <c r="M122" s="36"/>
      <c r="N122" s="36"/>
      <c r="Y122" s="36"/>
      <c r="Z122" s="36"/>
    </row>
    <row r="123" spans="2:26">
      <c r="B123" s="91"/>
      <c r="C123" s="36"/>
      <c r="D123" s="91"/>
      <c r="E123" s="91"/>
      <c r="F123" s="80"/>
      <c r="G123" s="91"/>
      <c r="H123" s="91"/>
      <c r="I123" s="81"/>
      <c r="J123" s="81"/>
      <c r="L123" s="36"/>
      <c r="M123" s="36"/>
      <c r="N123" s="36"/>
      <c r="Y123" s="36"/>
      <c r="Z123" s="36"/>
    </row>
    <row r="124" spans="2:26">
      <c r="B124" s="91"/>
      <c r="C124" s="36"/>
      <c r="D124" s="91"/>
      <c r="E124" s="91"/>
      <c r="F124" s="80"/>
      <c r="G124" s="91"/>
      <c r="H124" s="91"/>
      <c r="I124" s="81"/>
      <c r="J124" s="81"/>
      <c r="L124" s="36"/>
      <c r="M124" s="36"/>
      <c r="N124" s="36"/>
      <c r="Y124" s="36"/>
      <c r="Z124" s="36"/>
    </row>
    <row r="125" spans="2:26">
      <c r="B125" s="91"/>
      <c r="C125" s="36"/>
      <c r="D125" s="91"/>
      <c r="E125" s="91"/>
      <c r="F125" s="80"/>
      <c r="G125" s="91"/>
      <c r="H125" s="91"/>
      <c r="I125" s="81"/>
      <c r="J125" s="81"/>
      <c r="L125" s="36"/>
      <c r="M125" s="36"/>
      <c r="N125" s="36"/>
      <c r="Y125" s="36"/>
      <c r="Z125" s="36"/>
    </row>
    <row r="126" spans="2:26">
      <c r="B126" s="91"/>
      <c r="C126" s="36"/>
      <c r="D126" s="91"/>
      <c r="E126" s="91"/>
      <c r="F126" s="80"/>
      <c r="G126" s="91"/>
      <c r="H126" s="91"/>
      <c r="I126" s="81"/>
      <c r="J126" s="81"/>
      <c r="L126" s="36"/>
      <c r="M126" s="36"/>
      <c r="N126" s="36"/>
      <c r="Y126" s="36"/>
      <c r="Z126" s="36"/>
    </row>
    <row r="127" spans="2:26">
      <c r="B127" s="91"/>
      <c r="C127" s="36"/>
      <c r="D127" s="91"/>
      <c r="E127" s="91"/>
      <c r="F127" s="80"/>
      <c r="G127" s="91"/>
      <c r="H127" s="91"/>
      <c r="I127" s="81"/>
      <c r="J127" s="81"/>
      <c r="L127" s="36"/>
      <c r="M127" s="36"/>
      <c r="N127" s="36"/>
      <c r="Y127" s="36"/>
      <c r="Z127" s="36"/>
    </row>
    <row r="128" spans="2:26">
      <c r="B128" s="91"/>
      <c r="C128" s="36"/>
      <c r="D128" s="91"/>
      <c r="E128" s="91"/>
      <c r="F128" s="80"/>
      <c r="G128" s="91"/>
      <c r="H128" s="91"/>
      <c r="I128" s="81"/>
      <c r="J128" s="81"/>
      <c r="L128" s="36"/>
      <c r="M128" s="36"/>
      <c r="N128" s="36"/>
      <c r="Y128" s="36"/>
      <c r="Z128" s="36"/>
    </row>
    <row r="129" spans="2:26">
      <c r="B129" s="91"/>
      <c r="C129" s="36"/>
      <c r="D129" s="91"/>
      <c r="E129" s="91"/>
      <c r="F129" s="80"/>
      <c r="G129" s="91"/>
      <c r="H129" s="91"/>
      <c r="I129" s="81"/>
      <c r="J129" s="81"/>
      <c r="L129" s="36"/>
      <c r="M129" s="36"/>
      <c r="N129" s="36"/>
      <c r="Y129" s="36"/>
      <c r="Z129" s="36"/>
    </row>
    <row r="130" spans="2:26">
      <c r="B130" s="91"/>
      <c r="C130" s="36"/>
      <c r="D130" s="91"/>
      <c r="E130" s="91"/>
      <c r="F130" s="80"/>
      <c r="G130" s="91"/>
      <c r="H130" s="91"/>
      <c r="I130" s="81"/>
      <c r="J130" s="81"/>
      <c r="L130" s="36"/>
      <c r="M130" s="36"/>
      <c r="N130" s="36"/>
      <c r="Y130" s="36"/>
      <c r="Z130" s="36"/>
    </row>
    <row r="131" spans="2:26">
      <c r="B131" s="91"/>
      <c r="C131" s="36"/>
      <c r="D131" s="91"/>
      <c r="E131" s="91"/>
      <c r="F131" s="80"/>
      <c r="G131" s="91"/>
      <c r="H131" s="91"/>
      <c r="I131" s="81"/>
      <c r="J131" s="81"/>
      <c r="L131" s="36"/>
      <c r="M131" s="36"/>
      <c r="N131" s="36"/>
      <c r="Y131" s="36"/>
      <c r="Z131" s="36"/>
    </row>
    <row r="132" spans="2:26">
      <c r="B132" s="91"/>
      <c r="C132" s="36"/>
      <c r="D132" s="91"/>
      <c r="E132" s="91"/>
      <c r="F132" s="80"/>
      <c r="G132" s="91"/>
      <c r="H132" s="91"/>
      <c r="I132" s="81"/>
      <c r="J132" s="81"/>
      <c r="L132" s="36"/>
      <c r="M132" s="36"/>
      <c r="N132" s="36"/>
      <c r="Y132" s="36"/>
      <c r="Z132" s="36"/>
    </row>
    <row r="133" spans="2:26">
      <c r="B133" s="91"/>
      <c r="C133" s="36"/>
      <c r="D133" s="91"/>
      <c r="E133" s="91"/>
      <c r="F133" s="80"/>
      <c r="G133" s="91"/>
      <c r="H133" s="91"/>
      <c r="I133" s="81"/>
      <c r="J133" s="81"/>
      <c r="L133" s="36"/>
      <c r="M133" s="36"/>
      <c r="N133" s="36"/>
      <c r="Y133" s="36"/>
      <c r="Z133" s="36"/>
    </row>
    <row r="134" spans="2:26">
      <c r="B134" s="91"/>
      <c r="C134" s="36"/>
      <c r="D134" s="91"/>
      <c r="E134" s="91"/>
      <c r="F134" s="80"/>
      <c r="G134" s="91"/>
      <c r="H134" s="91"/>
      <c r="I134" s="81"/>
      <c r="J134" s="81"/>
      <c r="L134" s="36"/>
      <c r="M134" s="36"/>
      <c r="N134" s="36"/>
      <c r="Y134" s="36"/>
      <c r="Z134" s="36"/>
    </row>
    <row r="135" spans="2:26">
      <c r="B135" s="91"/>
      <c r="C135" s="36"/>
      <c r="D135" s="91"/>
      <c r="E135" s="91"/>
      <c r="F135" s="80"/>
      <c r="G135" s="91"/>
      <c r="H135" s="91"/>
      <c r="I135" s="81"/>
      <c r="J135" s="81"/>
      <c r="L135" s="36"/>
      <c r="M135" s="36"/>
      <c r="N135" s="36"/>
      <c r="Y135" s="36"/>
      <c r="Z135" s="36"/>
    </row>
    <row r="136" spans="2:26">
      <c r="B136" s="91"/>
      <c r="C136" s="36"/>
      <c r="D136" s="91"/>
      <c r="E136" s="91"/>
      <c r="F136" s="80"/>
      <c r="G136" s="91"/>
      <c r="H136" s="91"/>
      <c r="I136" s="81"/>
      <c r="J136" s="81"/>
      <c r="L136" s="36"/>
      <c r="M136" s="36"/>
      <c r="N136" s="36"/>
      <c r="Y136" s="36"/>
      <c r="Z136" s="36"/>
    </row>
    <row r="137" spans="2:26">
      <c r="B137" s="91"/>
      <c r="C137" s="36"/>
      <c r="D137" s="91"/>
      <c r="E137" s="91"/>
      <c r="F137" s="80"/>
      <c r="G137" s="91"/>
      <c r="H137" s="91"/>
      <c r="I137" s="81"/>
      <c r="J137" s="81"/>
      <c r="L137" s="36"/>
      <c r="M137" s="36"/>
      <c r="N137" s="36"/>
      <c r="Y137" s="36"/>
      <c r="Z137" s="36"/>
    </row>
    <row r="138" spans="2:26">
      <c r="B138" s="91"/>
      <c r="C138" s="36"/>
      <c r="D138" s="91"/>
      <c r="E138" s="91"/>
      <c r="F138" s="80"/>
      <c r="G138" s="91"/>
      <c r="H138" s="91"/>
      <c r="I138" s="81"/>
      <c r="J138" s="81"/>
      <c r="L138" s="36"/>
      <c r="M138" s="36"/>
      <c r="N138" s="36"/>
      <c r="Y138" s="36"/>
      <c r="Z138" s="36"/>
    </row>
    <row r="139" spans="2:26">
      <c r="B139" s="91"/>
      <c r="C139" s="36"/>
      <c r="D139" s="91"/>
      <c r="E139" s="91"/>
      <c r="F139" s="80"/>
      <c r="G139" s="91"/>
      <c r="H139" s="91"/>
      <c r="I139" s="81"/>
      <c r="J139" s="81"/>
      <c r="L139" s="36"/>
      <c r="M139" s="36"/>
      <c r="N139" s="36"/>
      <c r="Y139" s="36"/>
      <c r="Z139" s="36"/>
    </row>
    <row r="140" spans="2:26">
      <c r="B140" s="91"/>
      <c r="C140" s="36"/>
      <c r="D140" s="91"/>
      <c r="E140" s="91"/>
      <c r="F140" s="80"/>
      <c r="G140" s="91"/>
      <c r="H140" s="91"/>
      <c r="I140" s="81"/>
      <c r="J140" s="81"/>
      <c r="L140" s="36"/>
      <c r="M140" s="36"/>
      <c r="N140" s="36"/>
      <c r="Y140" s="36"/>
      <c r="Z140" s="36"/>
    </row>
    <row r="141" spans="2:26">
      <c r="B141" s="91"/>
      <c r="C141" s="36"/>
      <c r="D141" s="91"/>
      <c r="E141" s="91"/>
      <c r="F141" s="80"/>
      <c r="G141" s="91"/>
      <c r="H141" s="91"/>
      <c r="I141" s="81"/>
      <c r="J141" s="81"/>
      <c r="L141" s="36"/>
      <c r="M141" s="36"/>
      <c r="N141" s="36"/>
      <c r="Y141" s="36"/>
      <c r="Z141" s="36"/>
    </row>
    <row r="142" spans="2:26">
      <c r="B142" s="91"/>
      <c r="C142" s="36"/>
      <c r="D142" s="91"/>
      <c r="E142" s="91"/>
      <c r="F142" s="80"/>
      <c r="G142" s="91"/>
      <c r="H142" s="91"/>
      <c r="I142" s="81"/>
      <c r="J142" s="81"/>
      <c r="L142" s="36"/>
      <c r="M142" s="36"/>
      <c r="N142" s="36"/>
      <c r="Y142" s="36"/>
      <c r="Z142" s="36"/>
    </row>
    <row r="143" spans="2:26">
      <c r="B143" s="91"/>
      <c r="C143" s="36"/>
      <c r="D143" s="91"/>
      <c r="E143" s="91"/>
      <c r="F143" s="80"/>
      <c r="G143" s="91"/>
      <c r="H143" s="91"/>
      <c r="I143" s="81"/>
      <c r="J143" s="81"/>
      <c r="L143" s="36"/>
      <c r="M143" s="36"/>
      <c r="N143" s="36"/>
      <c r="Y143" s="36"/>
      <c r="Z143" s="36"/>
    </row>
    <row r="144" spans="2:26">
      <c r="B144" s="91"/>
      <c r="C144" s="36"/>
      <c r="D144" s="91"/>
      <c r="E144" s="91"/>
      <c r="F144" s="80"/>
      <c r="G144" s="91"/>
      <c r="H144" s="91"/>
      <c r="I144" s="81"/>
      <c r="J144" s="81"/>
      <c r="L144" s="36"/>
      <c r="M144" s="36"/>
      <c r="N144" s="36"/>
      <c r="Y144" s="36"/>
      <c r="Z144" s="36"/>
    </row>
    <row r="145" spans="2:26">
      <c r="B145" s="91"/>
      <c r="C145" s="36"/>
      <c r="D145" s="91"/>
      <c r="E145" s="91"/>
      <c r="F145" s="80"/>
      <c r="G145" s="91"/>
      <c r="H145" s="91"/>
      <c r="I145" s="81"/>
      <c r="J145" s="81"/>
      <c r="L145" s="36"/>
      <c r="M145" s="36"/>
      <c r="N145" s="36"/>
      <c r="Y145" s="36"/>
      <c r="Z145" s="36"/>
    </row>
    <row r="146" spans="2:26">
      <c r="B146" s="91"/>
      <c r="C146" s="36"/>
      <c r="D146" s="91"/>
      <c r="E146" s="91"/>
      <c r="F146" s="80"/>
      <c r="G146" s="91"/>
      <c r="H146" s="91"/>
      <c r="I146" s="81"/>
      <c r="J146" s="81"/>
      <c r="L146" s="36"/>
      <c r="M146" s="36"/>
      <c r="N146" s="36"/>
      <c r="Y146" s="36"/>
      <c r="Z146" s="36"/>
    </row>
    <row r="147" spans="2:26">
      <c r="B147" s="91"/>
      <c r="C147" s="36"/>
      <c r="D147" s="91"/>
      <c r="E147" s="91"/>
      <c r="F147" s="80"/>
      <c r="G147" s="91"/>
      <c r="H147" s="91"/>
      <c r="I147" s="81"/>
      <c r="J147" s="81"/>
      <c r="L147" s="36"/>
      <c r="M147" s="36"/>
      <c r="N147" s="36"/>
      <c r="Y147" s="36"/>
      <c r="Z147" s="36"/>
    </row>
    <row r="148" spans="2:26">
      <c r="B148" s="91"/>
      <c r="C148" s="36"/>
      <c r="D148" s="91"/>
      <c r="E148" s="91"/>
      <c r="F148" s="80"/>
      <c r="G148" s="91"/>
      <c r="H148" s="91"/>
      <c r="I148" s="81"/>
      <c r="J148" s="81"/>
      <c r="L148" s="36"/>
      <c r="M148" s="36"/>
      <c r="N148" s="36"/>
      <c r="Y148" s="36"/>
      <c r="Z148" s="36"/>
    </row>
    <row r="149" spans="2:26">
      <c r="B149" s="91"/>
      <c r="C149" s="36"/>
      <c r="D149" s="91"/>
      <c r="E149" s="91"/>
      <c r="F149" s="80"/>
      <c r="G149" s="91"/>
      <c r="H149" s="91"/>
      <c r="I149" s="81"/>
      <c r="J149" s="81"/>
      <c r="L149" s="36"/>
      <c r="M149" s="36"/>
      <c r="N149" s="36"/>
      <c r="Y149" s="36"/>
      <c r="Z149" s="36"/>
    </row>
    <row r="150" spans="2:26">
      <c r="B150" s="91"/>
      <c r="C150" s="36"/>
      <c r="D150" s="91"/>
      <c r="E150" s="91"/>
      <c r="F150" s="80"/>
      <c r="G150" s="91"/>
      <c r="H150" s="91"/>
      <c r="I150" s="81"/>
      <c r="J150" s="81"/>
      <c r="L150" s="36"/>
      <c r="M150" s="36"/>
      <c r="N150" s="36"/>
      <c r="Y150" s="36"/>
      <c r="Z150" s="36"/>
    </row>
    <row r="151" spans="2:26">
      <c r="B151" s="91"/>
      <c r="C151" s="36"/>
      <c r="D151" s="91"/>
      <c r="E151" s="91"/>
      <c r="F151" s="80"/>
      <c r="G151" s="91"/>
      <c r="H151" s="91"/>
      <c r="I151" s="81"/>
      <c r="J151" s="81"/>
      <c r="L151" s="36"/>
      <c r="M151" s="36"/>
      <c r="N151" s="36"/>
      <c r="Y151" s="36"/>
      <c r="Z151" s="36"/>
    </row>
    <row r="152" spans="2:26">
      <c r="B152" s="91"/>
      <c r="C152" s="36"/>
      <c r="D152" s="91"/>
      <c r="E152" s="91"/>
      <c r="F152" s="80"/>
      <c r="G152" s="91"/>
      <c r="H152" s="91"/>
      <c r="I152" s="81"/>
      <c r="J152" s="81"/>
      <c r="L152" s="36"/>
      <c r="M152" s="36"/>
      <c r="N152" s="36"/>
      <c r="Y152" s="36"/>
      <c r="Z152" s="36"/>
    </row>
    <row r="153" spans="2:26">
      <c r="B153" s="91"/>
      <c r="C153" s="36"/>
      <c r="D153" s="91"/>
      <c r="E153" s="91"/>
      <c r="F153" s="80"/>
      <c r="G153" s="91"/>
      <c r="H153" s="91"/>
      <c r="I153" s="81"/>
      <c r="J153" s="81"/>
      <c r="L153" s="36"/>
      <c r="M153" s="36"/>
      <c r="N153" s="36"/>
      <c r="Y153" s="36"/>
      <c r="Z153" s="36"/>
    </row>
    <row r="154" spans="2:26">
      <c r="B154" s="91"/>
      <c r="C154" s="36"/>
      <c r="D154" s="91"/>
      <c r="E154" s="91"/>
      <c r="F154" s="80"/>
      <c r="G154" s="91"/>
      <c r="H154" s="91"/>
      <c r="I154" s="81"/>
      <c r="J154" s="81"/>
      <c r="L154" s="36"/>
      <c r="M154" s="36"/>
      <c r="N154" s="36"/>
      <c r="Y154" s="36"/>
      <c r="Z154" s="36"/>
    </row>
    <row r="155" spans="2:26">
      <c r="B155" s="91"/>
      <c r="C155" s="36"/>
      <c r="D155" s="91"/>
      <c r="E155" s="91"/>
      <c r="F155" s="80"/>
      <c r="G155" s="91"/>
      <c r="H155" s="91"/>
      <c r="I155" s="81"/>
      <c r="J155" s="81"/>
      <c r="L155" s="36"/>
      <c r="M155" s="36"/>
      <c r="N155" s="36"/>
      <c r="Y155" s="36"/>
      <c r="Z155" s="36"/>
    </row>
    <row r="156" spans="2:26">
      <c r="B156" s="91"/>
      <c r="C156" s="36"/>
      <c r="D156" s="91"/>
      <c r="E156" s="91"/>
      <c r="F156" s="80"/>
      <c r="G156" s="91"/>
      <c r="H156" s="91"/>
      <c r="I156" s="81"/>
      <c r="J156" s="81"/>
      <c r="L156" s="36"/>
      <c r="M156" s="36"/>
      <c r="N156" s="36"/>
      <c r="Y156" s="36"/>
      <c r="Z156" s="36"/>
    </row>
    <row r="157" spans="2:26">
      <c r="B157" s="91"/>
      <c r="C157" s="36"/>
      <c r="D157" s="91"/>
      <c r="E157" s="91"/>
      <c r="F157" s="80"/>
      <c r="G157" s="91"/>
      <c r="H157" s="91"/>
      <c r="I157" s="81"/>
      <c r="J157" s="81"/>
      <c r="L157" s="36"/>
      <c r="M157" s="36"/>
      <c r="N157" s="36"/>
      <c r="Y157" s="36"/>
      <c r="Z157" s="36"/>
    </row>
    <row r="158" spans="2:26">
      <c r="B158" s="91"/>
      <c r="C158" s="36"/>
      <c r="D158" s="91"/>
      <c r="E158" s="91"/>
      <c r="F158" s="80"/>
      <c r="G158" s="91"/>
      <c r="H158" s="91"/>
      <c r="I158" s="81"/>
      <c r="J158" s="81"/>
      <c r="L158" s="36"/>
      <c r="M158" s="36"/>
      <c r="N158" s="36"/>
      <c r="Y158" s="36"/>
      <c r="Z158" s="36"/>
    </row>
    <row r="159" spans="2:26">
      <c r="B159" s="91"/>
      <c r="C159" s="36"/>
      <c r="D159" s="91"/>
      <c r="E159" s="91"/>
      <c r="F159" s="80"/>
      <c r="G159" s="91"/>
      <c r="H159" s="91"/>
      <c r="I159" s="81"/>
      <c r="J159" s="81"/>
      <c r="L159" s="36"/>
      <c r="M159" s="36"/>
      <c r="N159" s="36"/>
      <c r="Y159" s="36"/>
      <c r="Z159" s="36"/>
    </row>
    <row r="160" spans="2:26">
      <c r="B160" s="91"/>
      <c r="C160" s="36"/>
      <c r="D160" s="91"/>
      <c r="E160" s="91"/>
      <c r="F160" s="80"/>
      <c r="G160" s="91"/>
      <c r="H160" s="91"/>
      <c r="I160" s="81"/>
      <c r="J160" s="81"/>
      <c r="L160" s="36"/>
      <c r="M160" s="36"/>
      <c r="N160" s="36"/>
      <c r="Y160" s="36"/>
      <c r="Z160" s="36"/>
    </row>
    <row r="161" spans="2:26">
      <c r="B161" s="91"/>
      <c r="C161" s="36"/>
      <c r="D161" s="91"/>
      <c r="E161" s="91"/>
      <c r="F161" s="80"/>
      <c r="G161" s="91"/>
      <c r="H161" s="91"/>
      <c r="I161" s="81"/>
      <c r="J161" s="81"/>
      <c r="L161" s="36"/>
      <c r="M161" s="36"/>
      <c r="N161" s="36"/>
      <c r="Y161" s="36"/>
      <c r="Z161" s="36"/>
    </row>
    <row r="162" spans="2:26">
      <c r="B162" s="91"/>
      <c r="C162" s="36"/>
      <c r="D162" s="91"/>
      <c r="E162" s="91"/>
      <c r="F162" s="80"/>
      <c r="G162" s="91"/>
      <c r="H162" s="91"/>
      <c r="I162" s="81"/>
      <c r="J162" s="81"/>
      <c r="L162" s="36"/>
      <c r="M162" s="36"/>
      <c r="N162" s="36"/>
      <c r="Y162" s="36"/>
      <c r="Z162" s="36"/>
    </row>
    <row r="163" spans="2:26">
      <c r="B163" s="91"/>
      <c r="C163" s="36"/>
      <c r="D163" s="91"/>
      <c r="E163" s="91"/>
      <c r="F163" s="80"/>
      <c r="G163" s="91"/>
      <c r="H163" s="91"/>
      <c r="I163" s="81"/>
      <c r="J163" s="81"/>
      <c r="L163" s="36"/>
      <c r="M163" s="36"/>
      <c r="N163" s="36"/>
      <c r="Y163" s="36"/>
      <c r="Z163" s="36"/>
    </row>
    <row r="164" spans="2:26">
      <c r="B164" s="91"/>
      <c r="C164" s="36"/>
      <c r="D164" s="91"/>
      <c r="E164" s="91"/>
      <c r="F164" s="80"/>
      <c r="G164" s="91"/>
      <c r="H164" s="91"/>
      <c r="I164" s="81"/>
      <c r="J164" s="81"/>
      <c r="L164" s="36"/>
      <c r="M164" s="36"/>
      <c r="N164" s="36"/>
      <c r="Y164" s="36"/>
      <c r="Z164" s="36"/>
    </row>
    <row r="165" spans="2:26">
      <c r="B165" s="91"/>
      <c r="C165" s="36"/>
      <c r="D165" s="91"/>
      <c r="E165" s="91"/>
      <c r="F165" s="80"/>
      <c r="G165" s="91"/>
      <c r="H165" s="91"/>
      <c r="I165" s="81"/>
      <c r="J165" s="81"/>
      <c r="L165" s="36"/>
      <c r="M165" s="36"/>
      <c r="N165" s="36"/>
      <c r="Y165" s="36"/>
      <c r="Z165" s="36"/>
    </row>
    <row r="166" spans="2:26">
      <c r="B166" s="91"/>
      <c r="C166" s="36"/>
      <c r="D166" s="91"/>
      <c r="E166" s="91"/>
      <c r="F166" s="80"/>
      <c r="G166" s="91"/>
      <c r="H166" s="91"/>
      <c r="I166" s="81"/>
      <c r="J166" s="81"/>
      <c r="L166" s="36"/>
      <c r="M166" s="36"/>
      <c r="N166" s="36"/>
      <c r="Y166" s="36"/>
      <c r="Z166" s="36"/>
    </row>
    <row r="167" spans="2:26">
      <c r="B167" s="91"/>
      <c r="C167" s="36"/>
      <c r="D167" s="91"/>
      <c r="E167" s="91"/>
      <c r="F167" s="80"/>
      <c r="G167" s="91"/>
      <c r="H167" s="91"/>
      <c r="I167" s="81"/>
      <c r="J167" s="81"/>
      <c r="L167" s="36"/>
      <c r="M167" s="36"/>
      <c r="N167" s="36"/>
      <c r="Y167" s="36"/>
      <c r="Z167" s="36"/>
    </row>
    <row r="168" spans="2:26">
      <c r="B168" s="91"/>
      <c r="C168" s="36"/>
      <c r="D168" s="91"/>
      <c r="E168" s="91"/>
      <c r="F168" s="80"/>
      <c r="G168" s="91"/>
      <c r="H168" s="91"/>
      <c r="I168" s="81"/>
      <c r="J168" s="81"/>
      <c r="L168" s="36"/>
      <c r="M168" s="36"/>
      <c r="N168" s="36"/>
      <c r="Y168" s="36"/>
      <c r="Z168" s="36"/>
    </row>
    <row r="169" spans="2:26">
      <c r="B169" s="91"/>
      <c r="C169" s="36"/>
      <c r="D169" s="91"/>
      <c r="E169" s="91"/>
      <c r="F169" s="80"/>
      <c r="G169" s="91"/>
      <c r="H169" s="91"/>
      <c r="I169" s="81"/>
      <c r="J169" s="81"/>
      <c r="L169" s="36"/>
      <c r="M169" s="36"/>
      <c r="N169" s="36"/>
      <c r="Y169" s="36"/>
      <c r="Z169" s="36"/>
    </row>
    <row r="170" spans="2:26">
      <c r="B170" s="91"/>
      <c r="C170" s="36"/>
      <c r="D170" s="91"/>
      <c r="E170" s="91"/>
      <c r="F170" s="80"/>
      <c r="G170" s="91"/>
      <c r="H170" s="91"/>
      <c r="I170" s="81"/>
      <c r="J170" s="81"/>
      <c r="L170" s="36"/>
      <c r="M170" s="36"/>
      <c r="N170" s="36"/>
      <c r="Y170" s="36"/>
      <c r="Z170" s="36"/>
    </row>
    <row r="171" spans="2:26">
      <c r="B171" s="91"/>
      <c r="C171" s="36"/>
      <c r="D171" s="91"/>
      <c r="E171" s="91"/>
      <c r="F171" s="80"/>
      <c r="G171" s="91"/>
      <c r="H171" s="91"/>
      <c r="I171" s="81"/>
      <c r="J171" s="81"/>
      <c r="L171" s="36"/>
      <c r="M171" s="36"/>
      <c r="N171" s="36"/>
      <c r="Y171" s="36"/>
      <c r="Z171" s="36"/>
    </row>
    <row r="172" spans="2:26">
      <c r="B172" s="91"/>
      <c r="C172" s="36"/>
      <c r="D172" s="91"/>
      <c r="E172" s="91"/>
      <c r="F172" s="80"/>
      <c r="G172" s="91"/>
      <c r="H172" s="91"/>
      <c r="I172" s="81"/>
      <c r="J172" s="81"/>
      <c r="L172" s="36"/>
      <c r="M172" s="36"/>
      <c r="N172" s="36"/>
      <c r="Y172" s="36"/>
      <c r="Z172" s="36"/>
    </row>
    <row r="173" spans="2:26">
      <c r="B173" s="91"/>
      <c r="C173" s="36"/>
      <c r="D173" s="91"/>
      <c r="E173" s="91"/>
      <c r="F173" s="80"/>
      <c r="G173" s="91"/>
      <c r="H173" s="91"/>
      <c r="I173" s="81"/>
      <c r="J173" s="81"/>
      <c r="L173" s="36"/>
      <c r="M173" s="36"/>
      <c r="N173" s="36"/>
      <c r="Y173" s="36"/>
      <c r="Z173" s="36"/>
    </row>
    <row r="174" spans="2:26">
      <c r="B174" s="91"/>
      <c r="C174" s="36"/>
      <c r="D174" s="91"/>
      <c r="E174" s="91"/>
      <c r="F174" s="80"/>
      <c r="G174" s="91"/>
      <c r="H174" s="91"/>
      <c r="I174" s="81"/>
      <c r="J174" s="81"/>
      <c r="L174" s="36"/>
      <c r="M174" s="36"/>
      <c r="N174" s="36"/>
      <c r="Y174" s="36"/>
      <c r="Z174" s="36"/>
    </row>
    <row r="175" spans="2:26">
      <c r="B175" s="91"/>
      <c r="C175" s="36"/>
      <c r="D175" s="91"/>
      <c r="E175" s="91"/>
      <c r="F175" s="80"/>
      <c r="G175" s="91"/>
      <c r="H175" s="91"/>
      <c r="I175" s="81"/>
      <c r="J175" s="81"/>
      <c r="L175" s="36"/>
      <c r="M175" s="36"/>
      <c r="N175" s="36"/>
      <c r="Y175" s="36"/>
      <c r="Z175" s="36"/>
    </row>
    <row r="176" spans="2:26">
      <c r="B176" s="91"/>
      <c r="C176" s="36"/>
      <c r="D176" s="91"/>
      <c r="E176" s="91"/>
      <c r="F176" s="80"/>
      <c r="G176" s="91"/>
      <c r="H176" s="91"/>
      <c r="I176" s="81"/>
      <c r="J176" s="81"/>
      <c r="L176" s="36"/>
      <c r="M176" s="36"/>
      <c r="N176" s="36"/>
      <c r="Y176" s="36"/>
      <c r="Z176" s="36"/>
    </row>
    <row r="177" spans="2:26">
      <c r="B177" s="91"/>
      <c r="C177" s="36"/>
      <c r="D177" s="91"/>
      <c r="E177" s="91"/>
      <c r="F177" s="80"/>
      <c r="G177" s="91"/>
      <c r="H177" s="91"/>
      <c r="I177" s="81"/>
      <c r="J177" s="81"/>
      <c r="L177" s="36"/>
      <c r="M177" s="36"/>
      <c r="N177" s="36"/>
      <c r="Y177" s="36"/>
      <c r="Z177" s="36"/>
    </row>
    <row r="178" spans="2:26">
      <c r="B178" s="91"/>
      <c r="C178" s="36"/>
      <c r="D178" s="91"/>
      <c r="E178" s="91"/>
      <c r="F178" s="80"/>
      <c r="G178" s="91"/>
      <c r="H178" s="91"/>
      <c r="I178" s="81"/>
      <c r="J178" s="81"/>
      <c r="L178" s="36"/>
      <c r="M178" s="36"/>
      <c r="N178" s="36"/>
      <c r="Y178" s="36"/>
      <c r="Z178" s="36"/>
    </row>
    <row r="179" spans="2:26">
      <c r="B179" s="91"/>
      <c r="C179" s="36"/>
      <c r="D179" s="91"/>
      <c r="E179" s="91"/>
      <c r="F179" s="80"/>
      <c r="G179" s="91"/>
      <c r="H179" s="91"/>
      <c r="I179" s="81"/>
      <c r="J179" s="81"/>
      <c r="L179" s="36"/>
      <c r="M179" s="36"/>
      <c r="N179" s="36"/>
      <c r="Y179" s="36"/>
      <c r="Z179" s="36"/>
    </row>
    <row r="180" spans="2:26">
      <c r="B180" s="91"/>
      <c r="C180" s="36"/>
      <c r="D180" s="91"/>
      <c r="E180" s="91"/>
      <c r="F180" s="80"/>
      <c r="G180" s="91"/>
      <c r="H180" s="91"/>
      <c r="I180" s="81"/>
      <c r="J180" s="81"/>
      <c r="L180" s="36"/>
      <c r="M180" s="36"/>
      <c r="N180" s="36"/>
      <c r="Y180" s="36"/>
      <c r="Z180" s="36"/>
    </row>
    <row r="181" spans="2:26">
      <c r="B181" s="91"/>
      <c r="C181" s="36"/>
      <c r="D181" s="91"/>
      <c r="E181" s="91"/>
      <c r="F181" s="80"/>
      <c r="G181" s="91"/>
      <c r="H181" s="91"/>
      <c r="I181" s="81"/>
      <c r="J181" s="81"/>
      <c r="L181" s="36"/>
      <c r="M181" s="36"/>
      <c r="N181" s="36"/>
      <c r="Y181" s="36"/>
      <c r="Z181" s="36"/>
    </row>
    <row r="182" spans="2:26">
      <c r="B182" s="91"/>
      <c r="C182" s="36"/>
      <c r="D182" s="91"/>
      <c r="E182" s="91"/>
      <c r="F182" s="80"/>
      <c r="G182" s="91"/>
      <c r="H182" s="91"/>
      <c r="I182" s="81"/>
      <c r="J182" s="81"/>
      <c r="L182" s="36"/>
      <c r="M182" s="36"/>
      <c r="N182" s="36"/>
      <c r="Y182" s="36"/>
      <c r="Z182" s="36"/>
    </row>
    <row r="183" spans="2:26">
      <c r="B183" s="91"/>
      <c r="C183" s="36"/>
      <c r="D183" s="91"/>
      <c r="E183" s="91"/>
      <c r="F183" s="80"/>
      <c r="G183" s="91"/>
      <c r="H183" s="91"/>
      <c r="I183" s="81"/>
      <c r="J183" s="81"/>
      <c r="L183" s="36"/>
      <c r="M183" s="36"/>
      <c r="N183" s="36"/>
      <c r="Y183" s="36"/>
      <c r="Z183" s="36"/>
    </row>
    <row r="184" spans="2:26">
      <c r="B184" s="91"/>
      <c r="C184" s="36"/>
      <c r="D184" s="91"/>
      <c r="E184" s="91"/>
      <c r="F184" s="80"/>
      <c r="G184" s="91"/>
      <c r="H184" s="91"/>
      <c r="I184" s="81"/>
      <c r="J184" s="81"/>
      <c r="L184" s="36"/>
      <c r="M184" s="36"/>
      <c r="N184" s="36"/>
      <c r="Y184" s="36"/>
      <c r="Z184" s="36"/>
    </row>
    <row r="185" spans="2:26">
      <c r="B185" s="91"/>
      <c r="C185" s="36"/>
      <c r="D185" s="91"/>
      <c r="E185" s="91"/>
      <c r="F185" s="80"/>
      <c r="G185" s="91"/>
      <c r="H185" s="91"/>
      <c r="I185" s="81"/>
      <c r="J185" s="81"/>
      <c r="L185" s="36"/>
      <c r="M185" s="36"/>
      <c r="N185" s="36"/>
      <c r="Y185" s="36"/>
      <c r="Z185" s="36"/>
    </row>
    <row r="186" spans="2:26">
      <c r="B186" s="91"/>
      <c r="C186" s="36"/>
      <c r="D186" s="91"/>
      <c r="E186" s="91"/>
      <c r="F186" s="80"/>
      <c r="G186" s="91"/>
      <c r="H186" s="91"/>
      <c r="I186" s="81"/>
      <c r="J186" s="81"/>
      <c r="L186" s="36"/>
      <c r="M186" s="36"/>
      <c r="N186" s="36"/>
      <c r="Y186" s="36"/>
      <c r="Z186" s="36"/>
    </row>
    <row r="187" spans="2:26">
      <c r="B187" s="91"/>
      <c r="C187" s="36"/>
      <c r="D187" s="91"/>
      <c r="E187" s="91"/>
      <c r="F187" s="80"/>
      <c r="G187" s="91"/>
      <c r="H187" s="91"/>
      <c r="I187" s="81"/>
      <c r="J187" s="81"/>
      <c r="L187" s="36"/>
      <c r="M187" s="36"/>
      <c r="N187" s="36"/>
      <c r="Y187" s="36"/>
      <c r="Z187" s="36"/>
    </row>
    <row r="188" spans="2:26">
      <c r="B188" s="91"/>
      <c r="C188" s="36"/>
      <c r="D188" s="91"/>
      <c r="E188" s="91"/>
      <c r="F188" s="80"/>
      <c r="G188" s="91"/>
      <c r="H188" s="91"/>
      <c r="I188" s="81"/>
      <c r="J188" s="81"/>
      <c r="L188" s="36"/>
      <c r="M188" s="36"/>
      <c r="N188" s="36"/>
      <c r="Y188" s="36"/>
      <c r="Z188" s="36"/>
    </row>
    <row r="189" spans="2:26">
      <c r="B189" s="91"/>
      <c r="C189" s="36"/>
      <c r="D189" s="91"/>
      <c r="E189" s="91"/>
      <c r="F189" s="80"/>
      <c r="G189" s="91"/>
      <c r="H189" s="91"/>
      <c r="I189" s="81"/>
      <c r="J189" s="81"/>
      <c r="L189" s="36"/>
      <c r="M189" s="36"/>
      <c r="N189" s="36"/>
      <c r="Y189" s="36"/>
      <c r="Z189" s="36"/>
    </row>
    <row r="190" spans="2:26">
      <c r="B190" s="91"/>
      <c r="C190" s="36"/>
      <c r="D190" s="91"/>
      <c r="E190" s="91"/>
      <c r="F190" s="80"/>
      <c r="G190" s="91"/>
      <c r="H190" s="91"/>
      <c r="I190" s="81"/>
      <c r="J190" s="81"/>
      <c r="L190" s="36"/>
      <c r="M190" s="36"/>
      <c r="N190" s="36"/>
      <c r="Y190" s="36"/>
      <c r="Z190" s="36"/>
    </row>
    <row r="191" spans="2:26">
      <c r="B191" s="91"/>
      <c r="C191" s="36"/>
      <c r="D191" s="91"/>
      <c r="E191" s="91"/>
      <c r="F191" s="80"/>
      <c r="G191" s="91"/>
      <c r="H191" s="91"/>
      <c r="I191" s="81"/>
      <c r="J191" s="81"/>
      <c r="L191" s="36"/>
      <c r="M191" s="36"/>
      <c r="N191" s="36"/>
      <c r="Y191" s="36"/>
      <c r="Z191" s="36"/>
    </row>
    <row r="192" spans="2:26">
      <c r="B192" s="91"/>
      <c r="C192" s="36"/>
      <c r="D192" s="91"/>
      <c r="E192" s="91"/>
      <c r="F192" s="80"/>
      <c r="G192" s="91"/>
      <c r="H192" s="91"/>
      <c r="I192" s="81"/>
      <c r="J192" s="81"/>
      <c r="L192" s="36"/>
      <c r="M192" s="36"/>
      <c r="N192" s="36"/>
      <c r="Y192" s="36"/>
      <c r="Z192" s="36"/>
    </row>
    <row r="193" spans="2:26">
      <c r="B193" s="91"/>
      <c r="C193" s="36"/>
      <c r="D193" s="91"/>
      <c r="E193" s="91"/>
      <c r="F193" s="80"/>
      <c r="G193" s="91"/>
      <c r="H193" s="91"/>
      <c r="I193" s="81"/>
      <c r="J193" s="81"/>
      <c r="L193" s="36"/>
      <c r="M193" s="36"/>
      <c r="N193" s="36"/>
      <c r="Y193" s="36"/>
      <c r="Z193" s="36"/>
    </row>
    <row r="194" spans="2:26">
      <c r="B194" s="91"/>
      <c r="C194" s="36"/>
      <c r="D194" s="91"/>
      <c r="E194" s="91"/>
      <c r="F194" s="80"/>
      <c r="G194" s="91"/>
      <c r="H194" s="91"/>
      <c r="I194" s="81"/>
      <c r="J194" s="81"/>
      <c r="L194" s="36"/>
      <c r="M194" s="36"/>
      <c r="N194" s="36"/>
      <c r="Y194" s="36"/>
      <c r="Z194" s="36"/>
    </row>
    <row r="195" spans="2:26">
      <c r="B195" s="91"/>
      <c r="C195" s="36"/>
      <c r="D195" s="91"/>
      <c r="E195" s="91"/>
      <c r="F195" s="80"/>
      <c r="G195" s="91"/>
      <c r="H195" s="91"/>
      <c r="I195" s="81"/>
      <c r="J195" s="81"/>
      <c r="L195" s="36"/>
      <c r="M195" s="36"/>
      <c r="N195" s="36"/>
      <c r="Y195" s="36"/>
      <c r="Z195" s="36"/>
    </row>
    <row r="196" spans="2:26">
      <c r="B196" s="91"/>
      <c r="C196" s="36"/>
      <c r="D196" s="91"/>
      <c r="E196" s="91"/>
      <c r="F196" s="80"/>
      <c r="G196" s="91"/>
      <c r="H196" s="91"/>
      <c r="I196" s="81"/>
      <c r="J196" s="81"/>
      <c r="L196" s="36"/>
      <c r="M196" s="36"/>
      <c r="N196" s="36"/>
      <c r="Y196" s="36"/>
      <c r="Z196" s="36"/>
    </row>
    <row r="197" spans="2:26">
      <c r="B197" s="91"/>
      <c r="C197" s="36"/>
      <c r="D197" s="91"/>
      <c r="E197" s="91"/>
      <c r="F197" s="80"/>
      <c r="G197" s="91"/>
      <c r="H197" s="91"/>
      <c r="I197" s="81"/>
      <c r="J197" s="81"/>
      <c r="L197" s="36"/>
      <c r="M197" s="36"/>
      <c r="N197" s="36"/>
      <c r="Y197" s="36"/>
      <c r="Z197" s="36"/>
    </row>
    <row r="198" spans="2:26">
      <c r="B198" s="91"/>
      <c r="C198" s="36"/>
      <c r="D198" s="91"/>
      <c r="E198" s="91"/>
      <c r="F198" s="80"/>
      <c r="G198" s="91"/>
      <c r="H198" s="91"/>
      <c r="I198" s="81"/>
      <c r="J198" s="81"/>
      <c r="L198" s="36"/>
      <c r="M198" s="36"/>
      <c r="N198" s="36"/>
      <c r="Y198" s="36"/>
      <c r="Z198" s="36"/>
    </row>
    <row r="199" spans="2:26">
      <c r="B199" s="91"/>
      <c r="C199" s="36"/>
      <c r="D199" s="91"/>
      <c r="E199" s="91"/>
      <c r="F199" s="80"/>
      <c r="G199" s="91"/>
      <c r="H199" s="91"/>
      <c r="I199" s="81"/>
      <c r="J199" s="81"/>
      <c r="L199" s="36"/>
      <c r="M199" s="36"/>
      <c r="N199" s="36"/>
      <c r="Y199" s="36"/>
      <c r="Z199" s="36"/>
    </row>
    <row r="200" spans="2:26">
      <c r="B200" s="91"/>
      <c r="C200" s="36"/>
      <c r="D200" s="91"/>
      <c r="E200" s="91"/>
      <c r="F200" s="80"/>
      <c r="G200" s="91"/>
      <c r="H200" s="91"/>
      <c r="I200" s="81"/>
      <c r="J200" s="81"/>
      <c r="L200" s="36"/>
      <c r="M200" s="36"/>
      <c r="N200" s="36"/>
      <c r="Y200" s="36"/>
      <c r="Z200" s="36"/>
    </row>
    <row r="201" spans="2:26">
      <c r="B201" s="91"/>
      <c r="C201" s="36"/>
      <c r="D201" s="91"/>
      <c r="E201" s="91"/>
      <c r="F201" s="80"/>
      <c r="G201" s="91"/>
      <c r="H201" s="91"/>
      <c r="I201" s="81"/>
      <c r="J201" s="81"/>
      <c r="L201" s="36"/>
      <c r="M201" s="36"/>
      <c r="N201" s="36"/>
      <c r="Y201" s="36"/>
      <c r="Z201" s="36"/>
    </row>
    <row r="202" spans="2:26">
      <c r="B202" s="91"/>
      <c r="C202" s="36"/>
      <c r="D202" s="91"/>
      <c r="E202" s="91"/>
      <c r="F202" s="80"/>
      <c r="G202" s="91"/>
      <c r="H202" s="91"/>
      <c r="I202" s="81"/>
      <c r="J202" s="81"/>
      <c r="L202" s="36"/>
      <c r="M202" s="36"/>
      <c r="N202" s="36"/>
      <c r="Y202" s="36"/>
      <c r="Z202" s="36"/>
    </row>
    <row r="203" spans="2:26">
      <c r="B203" s="91"/>
      <c r="C203" s="36"/>
      <c r="D203" s="91"/>
      <c r="E203" s="91"/>
      <c r="F203" s="80"/>
      <c r="G203" s="91"/>
      <c r="H203" s="91"/>
      <c r="I203" s="81"/>
      <c r="J203" s="81"/>
      <c r="L203" s="36"/>
      <c r="M203" s="36"/>
      <c r="N203" s="36"/>
      <c r="Y203" s="36"/>
      <c r="Z203" s="36"/>
    </row>
    <row r="204" spans="2:26">
      <c r="B204" s="91"/>
      <c r="C204" s="36"/>
      <c r="D204" s="91"/>
      <c r="E204" s="91"/>
      <c r="F204" s="80"/>
      <c r="G204" s="91"/>
      <c r="H204" s="91"/>
      <c r="I204" s="81"/>
      <c r="J204" s="81"/>
      <c r="L204" s="36"/>
      <c r="M204" s="36"/>
      <c r="N204" s="36"/>
      <c r="Y204" s="36"/>
      <c r="Z204" s="36"/>
    </row>
    <row r="205" spans="2:26">
      <c r="B205" s="91"/>
      <c r="C205" s="36"/>
      <c r="D205" s="91"/>
      <c r="E205" s="91"/>
      <c r="F205" s="80"/>
      <c r="G205" s="91"/>
      <c r="H205" s="91"/>
      <c r="I205" s="81"/>
      <c r="J205" s="81"/>
      <c r="L205" s="36"/>
      <c r="M205" s="36"/>
      <c r="N205" s="36"/>
      <c r="Y205" s="36"/>
      <c r="Z205" s="36"/>
    </row>
    <row r="206" spans="2:26">
      <c r="B206" s="91"/>
      <c r="C206" s="36"/>
      <c r="D206" s="91"/>
      <c r="E206" s="91"/>
      <c r="F206" s="80"/>
      <c r="G206" s="91"/>
      <c r="H206" s="91"/>
      <c r="I206" s="81"/>
      <c r="J206" s="81"/>
      <c r="L206" s="36"/>
      <c r="M206" s="36"/>
      <c r="N206" s="36"/>
      <c r="Y206" s="36"/>
      <c r="Z206" s="36"/>
    </row>
    <row r="207" spans="2:26">
      <c r="B207" s="91"/>
      <c r="C207" s="36"/>
      <c r="D207" s="91"/>
      <c r="E207" s="91"/>
      <c r="F207" s="80"/>
      <c r="G207" s="91"/>
      <c r="H207" s="91"/>
      <c r="I207" s="81"/>
      <c r="J207" s="81"/>
      <c r="L207" s="36"/>
      <c r="M207" s="36"/>
      <c r="N207" s="36"/>
      <c r="Y207" s="36"/>
      <c r="Z207" s="36"/>
    </row>
    <row r="208" spans="2:26">
      <c r="B208" s="91"/>
      <c r="C208" s="36"/>
      <c r="D208" s="91"/>
      <c r="E208" s="91"/>
      <c r="F208" s="80"/>
      <c r="G208" s="91"/>
      <c r="H208" s="91"/>
      <c r="I208" s="81"/>
      <c r="J208" s="81"/>
      <c r="L208" s="36"/>
      <c r="M208" s="36"/>
      <c r="N208" s="36"/>
      <c r="Y208" s="36"/>
      <c r="Z208" s="36"/>
    </row>
    <row r="209" spans="2:26">
      <c r="B209" s="91"/>
      <c r="C209" s="36"/>
      <c r="D209" s="91"/>
      <c r="E209" s="91"/>
      <c r="F209" s="80"/>
      <c r="G209" s="91"/>
      <c r="H209" s="91"/>
      <c r="I209" s="81"/>
      <c r="J209" s="81"/>
      <c r="L209" s="36"/>
      <c r="M209" s="36"/>
      <c r="N209" s="36"/>
      <c r="Y209" s="36"/>
      <c r="Z209" s="36"/>
    </row>
    <row r="210" spans="2:26">
      <c r="B210" s="91"/>
      <c r="C210" s="36"/>
      <c r="D210" s="91"/>
      <c r="E210" s="91"/>
      <c r="F210" s="80"/>
      <c r="G210" s="91"/>
      <c r="H210" s="91"/>
      <c r="I210" s="81"/>
      <c r="J210" s="81"/>
      <c r="L210" s="36"/>
      <c r="M210" s="36"/>
      <c r="N210" s="36"/>
      <c r="Y210" s="36"/>
      <c r="Z210" s="36"/>
    </row>
    <row r="211" spans="2:26">
      <c r="B211" s="91"/>
      <c r="C211" s="36"/>
      <c r="D211" s="91"/>
      <c r="E211" s="91"/>
      <c r="F211" s="80"/>
      <c r="G211" s="91"/>
      <c r="H211" s="91"/>
      <c r="I211" s="81"/>
      <c r="J211" s="81"/>
      <c r="L211" s="36"/>
      <c r="M211" s="36"/>
      <c r="N211" s="36"/>
      <c r="Y211" s="36"/>
      <c r="Z211" s="36"/>
    </row>
    <row r="212" spans="2:26">
      <c r="B212" s="91"/>
      <c r="C212" s="36"/>
      <c r="D212" s="91"/>
      <c r="E212" s="91"/>
      <c r="F212" s="80"/>
      <c r="G212" s="91"/>
      <c r="H212" s="91"/>
      <c r="I212" s="81"/>
      <c r="J212" s="81"/>
      <c r="L212" s="36"/>
      <c r="M212" s="36"/>
      <c r="N212" s="36"/>
      <c r="Y212" s="36"/>
      <c r="Z212" s="36"/>
    </row>
    <row r="213" spans="2:26">
      <c r="B213" s="91"/>
      <c r="C213" s="36"/>
      <c r="D213" s="91"/>
      <c r="E213" s="91"/>
      <c r="F213" s="80"/>
      <c r="G213" s="91"/>
      <c r="H213" s="91"/>
      <c r="I213" s="81"/>
      <c r="J213" s="81"/>
      <c r="L213" s="36"/>
      <c r="M213" s="36"/>
      <c r="N213" s="36"/>
      <c r="Y213" s="36"/>
      <c r="Z213" s="36"/>
    </row>
    <row r="214" spans="2:26">
      <c r="B214" s="91"/>
      <c r="C214" s="36"/>
      <c r="D214" s="91"/>
      <c r="E214" s="91"/>
      <c r="F214" s="80"/>
      <c r="G214" s="91"/>
      <c r="H214" s="91"/>
      <c r="I214" s="81"/>
      <c r="J214" s="81"/>
      <c r="L214" s="36"/>
      <c r="M214" s="36"/>
      <c r="N214" s="36"/>
      <c r="Y214" s="36"/>
      <c r="Z214" s="36"/>
    </row>
    <row r="215" spans="2:26">
      <c r="B215" s="91"/>
      <c r="C215" s="36"/>
      <c r="D215" s="91"/>
      <c r="E215" s="91"/>
      <c r="F215" s="80"/>
      <c r="G215" s="91"/>
      <c r="H215" s="91"/>
      <c r="I215" s="81"/>
      <c r="J215" s="81"/>
      <c r="L215" s="36"/>
      <c r="M215" s="36"/>
      <c r="N215" s="36"/>
      <c r="Y215" s="36"/>
      <c r="Z215" s="36"/>
    </row>
    <row r="216" spans="2:26">
      <c r="B216" s="91"/>
      <c r="C216" s="36"/>
      <c r="D216" s="91"/>
      <c r="E216" s="91"/>
      <c r="F216" s="80"/>
      <c r="G216" s="91"/>
      <c r="H216" s="91"/>
      <c r="I216" s="81"/>
      <c r="J216" s="81"/>
      <c r="L216" s="36"/>
      <c r="M216" s="36"/>
      <c r="N216" s="36"/>
      <c r="Y216" s="36"/>
      <c r="Z216" s="36"/>
    </row>
    <row r="217" spans="2:26">
      <c r="B217" s="91"/>
      <c r="C217" s="36"/>
      <c r="D217" s="91"/>
      <c r="E217" s="91"/>
      <c r="F217" s="80"/>
      <c r="G217" s="91"/>
      <c r="H217" s="91"/>
      <c r="I217" s="81"/>
      <c r="J217" s="81"/>
      <c r="L217" s="36"/>
      <c r="M217" s="36"/>
      <c r="N217" s="36"/>
      <c r="Y217" s="36"/>
      <c r="Z217" s="36"/>
    </row>
    <row r="218" spans="2:26">
      <c r="B218" s="91"/>
      <c r="C218" s="36"/>
      <c r="D218" s="91"/>
      <c r="E218" s="91"/>
      <c r="F218" s="80"/>
      <c r="G218" s="91"/>
      <c r="H218" s="91"/>
      <c r="I218" s="81"/>
      <c r="J218" s="81"/>
      <c r="L218" s="36"/>
      <c r="M218" s="36"/>
      <c r="N218" s="36"/>
      <c r="Y218" s="36"/>
      <c r="Z218" s="36"/>
    </row>
    <row r="219" spans="2:26">
      <c r="B219" s="91"/>
      <c r="C219" s="36"/>
      <c r="D219" s="91"/>
      <c r="E219" s="91"/>
      <c r="F219" s="80"/>
      <c r="G219" s="91"/>
      <c r="H219" s="91"/>
      <c r="I219" s="81"/>
      <c r="J219" s="81"/>
      <c r="L219" s="36"/>
      <c r="M219" s="36"/>
      <c r="N219" s="36"/>
      <c r="Y219" s="36"/>
      <c r="Z219" s="36"/>
    </row>
    <row r="220" spans="2:26">
      <c r="B220" s="91"/>
      <c r="C220" s="36"/>
      <c r="D220" s="91"/>
      <c r="E220" s="91"/>
      <c r="F220" s="80"/>
      <c r="G220" s="91"/>
      <c r="H220" s="91"/>
      <c r="I220" s="81"/>
      <c r="J220" s="81"/>
      <c r="L220" s="36"/>
      <c r="M220" s="36"/>
      <c r="N220" s="36"/>
      <c r="Y220" s="36"/>
      <c r="Z220" s="36"/>
    </row>
    <row r="221" spans="2:26">
      <c r="B221" s="91"/>
      <c r="C221" s="36"/>
      <c r="D221" s="91"/>
      <c r="E221" s="91"/>
      <c r="F221" s="80"/>
      <c r="G221" s="91"/>
      <c r="H221" s="91"/>
      <c r="I221" s="81"/>
      <c r="J221" s="81"/>
      <c r="L221" s="36"/>
      <c r="M221" s="36"/>
      <c r="N221" s="36"/>
      <c r="Y221" s="36"/>
      <c r="Z221" s="36"/>
    </row>
    <row r="222" spans="2:26">
      <c r="B222" s="91"/>
      <c r="C222" s="36"/>
      <c r="D222" s="91"/>
      <c r="E222" s="91"/>
      <c r="F222" s="80"/>
      <c r="G222" s="91"/>
      <c r="H222" s="91"/>
      <c r="I222" s="81"/>
      <c r="J222" s="81"/>
      <c r="L222" s="36"/>
      <c r="M222" s="36"/>
      <c r="N222" s="36"/>
      <c r="Y222" s="36"/>
      <c r="Z222" s="36"/>
    </row>
    <row r="223" spans="2:26">
      <c r="B223" s="91"/>
      <c r="C223" s="36"/>
      <c r="D223" s="91"/>
      <c r="E223" s="91"/>
      <c r="F223" s="80"/>
      <c r="G223" s="91"/>
      <c r="H223" s="91"/>
      <c r="I223" s="81"/>
      <c r="J223" s="81"/>
      <c r="L223" s="36"/>
      <c r="M223" s="36"/>
      <c r="N223" s="36"/>
      <c r="Y223" s="36"/>
      <c r="Z223" s="36"/>
    </row>
    <row r="224" spans="2:26">
      <c r="B224" s="91"/>
      <c r="C224" s="36"/>
      <c r="D224" s="91"/>
      <c r="E224" s="91"/>
      <c r="F224" s="80"/>
      <c r="G224" s="91"/>
      <c r="H224" s="91"/>
      <c r="I224" s="81"/>
      <c r="J224" s="81"/>
      <c r="L224" s="36"/>
      <c r="M224" s="36"/>
      <c r="N224" s="36"/>
      <c r="Y224" s="36"/>
      <c r="Z224" s="36"/>
    </row>
    <row r="225" spans="2:26">
      <c r="B225" s="91"/>
      <c r="C225" s="36"/>
      <c r="D225" s="91"/>
      <c r="E225" s="91"/>
      <c r="F225" s="80"/>
      <c r="G225" s="91"/>
      <c r="H225" s="91"/>
      <c r="I225" s="81"/>
      <c r="J225" s="81"/>
      <c r="L225" s="36"/>
      <c r="M225" s="36"/>
      <c r="N225" s="36"/>
      <c r="Y225" s="36"/>
      <c r="Z225" s="36"/>
    </row>
    <row r="226" spans="2:26">
      <c r="B226" s="91"/>
      <c r="C226" s="36"/>
      <c r="D226" s="91"/>
      <c r="E226" s="91"/>
      <c r="F226" s="80"/>
      <c r="G226" s="91"/>
      <c r="H226" s="91"/>
      <c r="I226" s="81"/>
      <c r="J226" s="81"/>
      <c r="L226" s="36"/>
      <c r="M226" s="36"/>
      <c r="N226" s="36"/>
      <c r="Y226" s="36"/>
      <c r="Z226" s="36"/>
    </row>
    <row r="227" spans="2:26">
      <c r="B227" s="91"/>
      <c r="C227" s="36"/>
      <c r="D227" s="91"/>
      <c r="E227" s="91"/>
      <c r="F227" s="80"/>
      <c r="G227" s="91"/>
      <c r="H227" s="91"/>
      <c r="I227" s="81"/>
      <c r="J227" s="81"/>
      <c r="L227" s="36"/>
      <c r="M227" s="36"/>
      <c r="N227" s="36"/>
      <c r="Y227" s="36"/>
      <c r="Z227" s="36"/>
    </row>
    <row r="228" spans="2:26">
      <c r="B228" s="91"/>
      <c r="C228" s="36"/>
      <c r="D228" s="91"/>
      <c r="E228" s="91"/>
      <c r="F228" s="80"/>
      <c r="G228" s="91"/>
      <c r="H228" s="91"/>
      <c r="I228" s="81"/>
      <c r="J228" s="81"/>
      <c r="L228" s="36"/>
      <c r="M228" s="36"/>
      <c r="N228" s="36"/>
      <c r="Y228" s="36"/>
      <c r="Z228" s="36"/>
    </row>
    <row r="229" spans="2:26">
      <c r="B229" s="91"/>
      <c r="C229" s="36"/>
      <c r="D229" s="91"/>
      <c r="E229" s="91"/>
      <c r="F229" s="80"/>
      <c r="G229" s="91"/>
      <c r="H229" s="91"/>
      <c r="I229" s="81"/>
      <c r="J229" s="81"/>
      <c r="L229" s="36"/>
      <c r="M229" s="36"/>
      <c r="N229" s="36"/>
      <c r="Y229" s="36"/>
      <c r="Z229" s="36"/>
    </row>
    <row r="230" spans="2:26">
      <c r="B230" s="91"/>
      <c r="C230" s="36"/>
      <c r="D230" s="91"/>
      <c r="E230" s="91"/>
      <c r="F230" s="80"/>
      <c r="G230" s="91"/>
      <c r="H230" s="91"/>
      <c r="I230" s="81"/>
      <c r="J230" s="81"/>
      <c r="L230" s="36"/>
      <c r="M230" s="36"/>
      <c r="N230" s="36"/>
      <c r="Y230" s="36"/>
      <c r="Z230" s="36"/>
    </row>
    <row r="231" spans="2:26">
      <c r="B231" s="91"/>
      <c r="C231" s="36"/>
      <c r="D231" s="91"/>
      <c r="E231" s="91"/>
      <c r="F231" s="80"/>
      <c r="G231" s="91"/>
      <c r="H231" s="91"/>
      <c r="I231" s="81"/>
      <c r="J231" s="81"/>
      <c r="L231" s="36"/>
      <c r="M231" s="36"/>
      <c r="N231" s="36"/>
      <c r="Y231" s="36"/>
      <c r="Z231" s="36"/>
    </row>
    <row r="232" spans="2:26">
      <c r="B232" s="91"/>
      <c r="C232" s="36"/>
      <c r="D232" s="91"/>
      <c r="E232" s="91"/>
      <c r="F232" s="80"/>
      <c r="G232" s="91"/>
      <c r="H232" s="91"/>
      <c r="I232" s="81"/>
      <c r="J232" s="81"/>
      <c r="L232" s="36"/>
      <c r="M232" s="36"/>
      <c r="N232" s="36"/>
      <c r="Y232" s="36"/>
      <c r="Z232" s="36"/>
    </row>
    <row r="233" spans="2:26">
      <c r="B233" s="91"/>
      <c r="C233" s="36"/>
      <c r="D233" s="91"/>
      <c r="E233" s="91"/>
      <c r="F233" s="80"/>
      <c r="G233" s="91"/>
      <c r="H233" s="91"/>
      <c r="I233" s="81"/>
      <c r="J233" s="81"/>
      <c r="L233" s="36"/>
      <c r="M233" s="36"/>
      <c r="N233" s="36"/>
      <c r="Y233" s="36"/>
      <c r="Z233" s="36"/>
    </row>
    <row r="234" spans="2:26">
      <c r="B234" s="91"/>
      <c r="C234" s="36"/>
      <c r="D234" s="91"/>
      <c r="E234" s="91"/>
      <c r="F234" s="80"/>
      <c r="G234" s="91"/>
      <c r="H234" s="91"/>
      <c r="I234" s="81"/>
      <c r="J234" s="81"/>
      <c r="L234" s="36"/>
      <c r="M234" s="36"/>
      <c r="N234" s="36"/>
      <c r="Y234" s="36"/>
      <c r="Z234" s="36"/>
    </row>
    <row r="235" spans="2:26">
      <c r="B235" s="91"/>
      <c r="C235" s="36"/>
      <c r="D235" s="91"/>
      <c r="E235" s="91"/>
      <c r="F235" s="80"/>
      <c r="G235" s="91"/>
      <c r="H235" s="91"/>
      <c r="I235" s="81"/>
      <c r="J235" s="81"/>
      <c r="L235" s="36"/>
      <c r="M235" s="36"/>
      <c r="N235" s="36"/>
      <c r="Y235" s="36"/>
      <c r="Z235" s="36"/>
    </row>
    <row r="236" spans="2:26">
      <c r="B236" s="91"/>
      <c r="C236" s="36"/>
      <c r="D236" s="91"/>
      <c r="E236" s="91"/>
      <c r="F236" s="80"/>
      <c r="G236" s="91"/>
      <c r="H236" s="91"/>
      <c r="I236" s="81"/>
      <c r="J236" s="81"/>
      <c r="L236" s="36"/>
      <c r="M236" s="36"/>
      <c r="N236" s="36"/>
      <c r="Y236" s="36"/>
      <c r="Z236" s="36"/>
    </row>
    <row r="237" spans="2:26">
      <c r="B237" s="91"/>
      <c r="C237" s="36"/>
      <c r="D237" s="91"/>
      <c r="E237" s="91"/>
      <c r="F237" s="80"/>
      <c r="G237" s="91"/>
      <c r="H237" s="91"/>
      <c r="I237" s="81"/>
      <c r="J237" s="81"/>
      <c r="L237" s="36"/>
      <c r="M237" s="36"/>
      <c r="N237" s="36"/>
      <c r="Y237" s="36"/>
      <c r="Z237" s="36"/>
    </row>
    <row r="238" spans="2:26">
      <c r="B238" s="91"/>
      <c r="C238" s="36"/>
      <c r="D238" s="91"/>
      <c r="E238" s="91"/>
      <c r="F238" s="80"/>
      <c r="G238" s="91"/>
      <c r="H238" s="91"/>
      <c r="I238" s="81"/>
      <c r="J238" s="81"/>
      <c r="L238" s="36"/>
      <c r="M238" s="36"/>
      <c r="N238" s="36"/>
      <c r="Y238" s="36"/>
      <c r="Z238" s="36"/>
    </row>
    <row r="239" spans="2:26">
      <c r="B239" s="91"/>
      <c r="C239" s="36"/>
      <c r="D239" s="91"/>
      <c r="E239" s="91"/>
      <c r="F239" s="80"/>
      <c r="G239" s="91"/>
      <c r="H239" s="91"/>
      <c r="I239" s="81"/>
      <c r="J239" s="81"/>
      <c r="L239" s="36"/>
      <c r="M239" s="36"/>
      <c r="N239" s="36"/>
      <c r="Y239" s="36"/>
      <c r="Z239" s="36"/>
    </row>
    <row r="240" spans="2:26">
      <c r="B240" s="91"/>
      <c r="C240" s="36"/>
      <c r="D240" s="91"/>
      <c r="E240" s="91"/>
      <c r="F240" s="80"/>
      <c r="G240" s="91"/>
      <c r="H240" s="91"/>
      <c r="I240" s="81"/>
      <c r="J240" s="81"/>
      <c r="L240" s="36"/>
      <c r="M240" s="36"/>
      <c r="N240" s="36"/>
      <c r="Y240" s="36"/>
      <c r="Z240" s="36"/>
    </row>
    <row r="241" spans="2:26">
      <c r="B241" s="91"/>
      <c r="C241" s="36"/>
      <c r="D241" s="91"/>
      <c r="E241" s="91"/>
      <c r="F241" s="80"/>
      <c r="G241" s="91"/>
      <c r="H241" s="91"/>
      <c r="I241" s="81"/>
      <c r="J241" s="81"/>
      <c r="L241" s="36"/>
      <c r="M241" s="36"/>
      <c r="N241" s="36"/>
      <c r="Y241" s="36"/>
      <c r="Z241" s="36"/>
    </row>
    <row r="242" spans="2:26">
      <c r="B242" s="91"/>
      <c r="C242" s="36"/>
      <c r="D242" s="91"/>
      <c r="E242" s="91"/>
      <c r="F242" s="80"/>
      <c r="G242" s="91"/>
      <c r="H242" s="91"/>
      <c r="I242" s="81"/>
      <c r="J242" s="81"/>
      <c r="L242" s="36"/>
      <c r="M242" s="36"/>
      <c r="N242" s="36"/>
      <c r="Y242" s="36"/>
      <c r="Z242" s="36"/>
    </row>
    <row r="243" spans="2:26">
      <c r="B243" s="91"/>
      <c r="C243" s="36"/>
      <c r="D243" s="91"/>
      <c r="E243" s="91"/>
      <c r="F243" s="80"/>
      <c r="G243" s="91"/>
      <c r="H243" s="91"/>
      <c r="I243" s="81"/>
      <c r="J243" s="81"/>
      <c r="L243" s="36"/>
      <c r="M243" s="36"/>
      <c r="N243" s="36"/>
      <c r="Y243" s="36"/>
      <c r="Z243" s="36"/>
    </row>
    <row r="244" spans="2:26">
      <c r="B244" s="91"/>
      <c r="C244" s="36"/>
      <c r="D244" s="91"/>
      <c r="E244" s="91"/>
      <c r="F244" s="80"/>
      <c r="G244" s="91"/>
      <c r="H244" s="91"/>
      <c r="I244" s="81"/>
      <c r="J244" s="81"/>
      <c r="L244" s="36"/>
      <c r="M244" s="36"/>
      <c r="N244" s="36"/>
      <c r="Y244" s="36"/>
      <c r="Z244" s="36"/>
    </row>
    <row r="245" spans="2:26">
      <c r="B245" s="91"/>
      <c r="C245" s="36"/>
      <c r="D245" s="91"/>
      <c r="E245" s="91"/>
      <c r="F245" s="80"/>
      <c r="G245" s="91"/>
      <c r="H245" s="91"/>
      <c r="I245" s="81"/>
      <c r="J245" s="81"/>
      <c r="L245" s="36"/>
      <c r="M245" s="36"/>
      <c r="N245" s="36"/>
      <c r="Y245" s="36"/>
      <c r="Z245" s="36"/>
    </row>
    <row r="246" spans="2:26">
      <c r="B246" s="91"/>
      <c r="C246" s="36"/>
      <c r="D246" s="91"/>
      <c r="E246" s="91"/>
      <c r="F246" s="80"/>
      <c r="G246" s="91"/>
      <c r="H246" s="91"/>
      <c r="I246" s="81"/>
      <c r="J246" s="81"/>
      <c r="L246" s="36"/>
      <c r="M246" s="36"/>
      <c r="N246" s="36"/>
      <c r="Y246" s="36"/>
      <c r="Z246" s="36"/>
    </row>
    <row r="247" spans="2:26">
      <c r="B247" s="91"/>
      <c r="C247" s="36"/>
      <c r="D247" s="91"/>
      <c r="E247" s="91"/>
      <c r="F247" s="80"/>
      <c r="G247" s="91"/>
      <c r="H247" s="91"/>
      <c r="I247" s="81"/>
      <c r="J247" s="81"/>
      <c r="L247" s="36"/>
      <c r="M247" s="36"/>
      <c r="N247" s="36"/>
      <c r="Y247" s="36"/>
      <c r="Z247" s="36"/>
    </row>
    <row r="248" spans="2:26">
      <c r="B248" s="91"/>
      <c r="C248" s="36"/>
      <c r="D248" s="91"/>
      <c r="E248" s="91"/>
      <c r="F248" s="80"/>
      <c r="G248" s="91"/>
      <c r="H248" s="91"/>
      <c r="I248" s="81"/>
      <c r="J248" s="81"/>
      <c r="L248" s="36"/>
      <c r="M248" s="36"/>
      <c r="N248" s="36"/>
      <c r="Y248" s="36"/>
      <c r="Z248" s="36"/>
    </row>
    <row r="249" spans="2:26">
      <c r="B249" s="91"/>
      <c r="C249" s="36"/>
      <c r="D249" s="91"/>
      <c r="E249" s="91"/>
      <c r="F249" s="80"/>
      <c r="G249" s="91"/>
      <c r="H249" s="91"/>
      <c r="I249" s="81"/>
      <c r="J249" s="81"/>
      <c r="L249" s="36"/>
      <c r="M249" s="36"/>
      <c r="N249" s="36"/>
      <c r="Y249" s="36"/>
      <c r="Z249" s="36"/>
    </row>
    <row r="250" spans="2:26">
      <c r="B250" s="91"/>
      <c r="C250" s="36"/>
      <c r="D250" s="91"/>
      <c r="E250" s="91"/>
      <c r="F250" s="80"/>
      <c r="G250" s="91"/>
      <c r="H250" s="91"/>
      <c r="I250" s="81"/>
      <c r="J250" s="81"/>
      <c r="L250" s="36"/>
      <c r="M250" s="36"/>
      <c r="N250" s="36"/>
      <c r="Y250" s="36"/>
      <c r="Z250" s="36"/>
    </row>
    <row r="251" spans="2:26">
      <c r="B251" s="91"/>
      <c r="C251" s="36"/>
      <c r="D251" s="91"/>
      <c r="E251" s="91"/>
      <c r="F251" s="80"/>
      <c r="G251" s="91"/>
      <c r="H251" s="91"/>
      <c r="I251" s="81"/>
      <c r="J251" s="81"/>
      <c r="L251" s="36"/>
      <c r="M251" s="36"/>
      <c r="N251" s="36"/>
      <c r="Y251" s="36"/>
      <c r="Z251" s="36"/>
    </row>
    <row r="252" spans="2:26">
      <c r="B252" s="91"/>
      <c r="C252" s="36"/>
      <c r="D252" s="91"/>
      <c r="E252" s="91"/>
      <c r="F252" s="80"/>
      <c r="G252" s="91"/>
      <c r="H252" s="91"/>
      <c r="I252" s="81"/>
      <c r="J252" s="81"/>
      <c r="L252" s="36"/>
      <c r="M252" s="36"/>
      <c r="N252" s="36"/>
      <c r="Y252" s="36"/>
      <c r="Z252" s="36"/>
    </row>
    <row r="253" spans="2:26">
      <c r="B253" s="91"/>
      <c r="C253" s="36"/>
      <c r="D253" s="91"/>
      <c r="E253" s="91"/>
      <c r="F253" s="80"/>
      <c r="G253" s="91"/>
      <c r="H253" s="91"/>
      <c r="I253" s="81"/>
      <c r="J253" s="81"/>
      <c r="L253" s="36"/>
      <c r="M253" s="36"/>
      <c r="N253" s="36"/>
      <c r="Y253" s="36"/>
      <c r="Z253" s="36"/>
    </row>
    <row r="254" spans="2:26">
      <c r="B254" s="91"/>
      <c r="C254" s="36"/>
      <c r="D254" s="91"/>
      <c r="E254" s="91"/>
      <c r="F254" s="80"/>
      <c r="G254" s="91"/>
      <c r="H254" s="91"/>
      <c r="I254" s="81"/>
      <c r="J254" s="81"/>
      <c r="L254" s="36"/>
      <c r="M254" s="36"/>
      <c r="N254" s="36"/>
      <c r="Y254" s="36"/>
      <c r="Z254" s="36"/>
    </row>
    <row r="255" spans="2:26">
      <c r="B255" s="91"/>
      <c r="C255" s="36"/>
      <c r="D255" s="91"/>
      <c r="E255" s="91"/>
      <c r="F255" s="80"/>
      <c r="G255" s="91"/>
      <c r="H255" s="91"/>
      <c r="I255" s="81"/>
      <c r="J255" s="81"/>
      <c r="L255" s="36"/>
      <c r="M255" s="36"/>
      <c r="N255" s="36"/>
      <c r="Y255" s="36"/>
      <c r="Z255" s="36"/>
    </row>
    <row r="256" spans="2:26">
      <c r="B256" s="91"/>
      <c r="C256" s="36"/>
      <c r="D256" s="91"/>
      <c r="E256" s="91"/>
      <c r="F256" s="80"/>
      <c r="G256" s="91"/>
      <c r="H256" s="91"/>
      <c r="I256" s="81"/>
      <c r="J256" s="81"/>
      <c r="L256" s="36"/>
      <c r="M256" s="36"/>
      <c r="N256" s="36"/>
      <c r="Y256" s="36"/>
      <c r="Z256" s="36"/>
    </row>
    <row r="257" spans="2:26">
      <c r="B257" s="91"/>
      <c r="C257" s="36"/>
      <c r="D257" s="91"/>
      <c r="E257" s="91"/>
      <c r="F257" s="80"/>
      <c r="G257" s="91"/>
      <c r="H257" s="91"/>
      <c r="I257" s="81"/>
      <c r="J257" s="81"/>
      <c r="L257" s="36"/>
      <c r="M257" s="36"/>
      <c r="N257" s="36"/>
      <c r="Y257" s="36"/>
      <c r="Z257" s="36"/>
    </row>
    <row r="258" spans="2:26">
      <c r="B258" s="91"/>
      <c r="C258" s="36"/>
      <c r="D258" s="91"/>
      <c r="E258" s="91"/>
      <c r="F258" s="80"/>
      <c r="G258" s="91"/>
      <c r="H258" s="91"/>
      <c r="I258" s="81"/>
      <c r="J258" s="81"/>
      <c r="L258" s="36"/>
      <c r="M258" s="36"/>
      <c r="N258" s="36"/>
      <c r="Y258" s="36"/>
      <c r="Z258" s="36"/>
    </row>
    <row r="259" spans="2:26">
      <c r="B259" s="91"/>
      <c r="C259" s="36"/>
      <c r="D259" s="91"/>
      <c r="E259" s="91"/>
      <c r="F259" s="80"/>
      <c r="G259" s="91"/>
      <c r="H259" s="91"/>
      <c r="I259" s="81"/>
      <c r="J259" s="81"/>
      <c r="L259" s="36"/>
      <c r="M259" s="36"/>
      <c r="N259" s="36"/>
      <c r="Y259" s="36"/>
      <c r="Z259" s="36"/>
    </row>
    <row r="260" spans="2:26">
      <c r="B260" s="91"/>
      <c r="C260" s="36"/>
      <c r="D260" s="91"/>
      <c r="E260" s="91"/>
      <c r="F260" s="80"/>
      <c r="G260" s="91"/>
      <c r="H260" s="91"/>
      <c r="I260" s="81"/>
      <c r="J260" s="81"/>
      <c r="L260" s="36"/>
      <c r="M260" s="36"/>
      <c r="N260" s="36"/>
      <c r="Y260" s="36"/>
      <c r="Z260" s="36"/>
    </row>
    <row r="261" spans="2:26">
      <c r="B261" s="91"/>
      <c r="C261" s="36"/>
      <c r="D261" s="91"/>
      <c r="E261" s="91"/>
      <c r="F261" s="80"/>
      <c r="G261" s="91"/>
      <c r="H261" s="91"/>
      <c r="I261" s="81"/>
      <c r="J261" s="81"/>
      <c r="L261" s="36"/>
      <c r="M261" s="36"/>
      <c r="N261" s="36"/>
      <c r="Y261" s="36"/>
      <c r="Z261" s="36"/>
    </row>
    <row r="262" spans="2:26">
      <c r="B262" s="91"/>
      <c r="C262" s="36"/>
      <c r="D262" s="91"/>
      <c r="E262" s="91"/>
      <c r="F262" s="80"/>
      <c r="G262" s="91"/>
      <c r="H262" s="91"/>
      <c r="I262" s="81"/>
      <c r="J262" s="81"/>
      <c r="L262" s="36"/>
      <c r="M262" s="36"/>
      <c r="N262" s="36"/>
      <c r="Y262" s="36"/>
      <c r="Z262" s="36"/>
    </row>
    <row r="263" spans="2:26">
      <c r="B263" s="91"/>
      <c r="C263" s="36"/>
      <c r="D263" s="91"/>
      <c r="E263" s="91"/>
      <c r="F263" s="80"/>
      <c r="G263" s="91"/>
      <c r="H263" s="91"/>
      <c r="I263" s="81"/>
      <c r="J263" s="81"/>
      <c r="L263" s="36"/>
      <c r="M263" s="36"/>
      <c r="N263" s="36"/>
      <c r="Y263" s="36"/>
      <c r="Z263" s="36"/>
    </row>
    <row r="264" spans="2:26">
      <c r="B264" s="91"/>
      <c r="C264" s="36"/>
      <c r="D264" s="91"/>
      <c r="E264" s="91"/>
      <c r="F264" s="80"/>
      <c r="G264" s="91"/>
      <c r="H264" s="91"/>
      <c r="I264" s="81"/>
      <c r="J264" s="81"/>
      <c r="L264" s="36"/>
      <c r="M264" s="36"/>
      <c r="N264" s="36"/>
      <c r="Y264" s="36"/>
      <c r="Z264" s="36"/>
    </row>
    <row r="265" spans="2:26">
      <c r="B265" s="91"/>
      <c r="C265" s="36"/>
      <c r="D265" s="91"/>
      <c r="E265" s="91"/>
      <c r="F265" s="80"/>
      <c r="G265" s="91"/>
      <c r="H265" s="91"/>
      <c r="I265" s="81"/>
      <c r="J265" s="81"/>
      <c r="L265" s="36"/>
      <c r="M265" s="36"/>
      <c r="N265" s="36"/>
      <c r="Y265" s="36"/>
      <c r="Z265" s="36"/>
    </row>
    <row r="266" spans="2:26">
      <c r="B266" s="91"/>
      <c r="C266" s="36"/>
      <c r="D266" s="91"/>
      <c r="E266" s="91"/>
      <c r="F266" s="80"/>
      <c r="G266" s="91"/>
      <c r="H266" s="91"/>
      <c r="I266" s="81"/>
      <c r="J266" s="81"/>
      <c r="L266" s="36"/>
      <c r="M266" s="36"/>
      <c r="N266" s="36"/>
      <c r="Y266" s="36"/>
      <c r="Z266" s="36"/>
    </row>
    <row r="267" spans="2:26">
      <c r="B267" s="91"/>
      <c r="C267" s="36"/>
      <c r="D267" s="91"/>
      <c r="E267" s="91"/>
      <c r="F267" s="80"/>
      <c r="G267" s="91"/>
      <c r="H267" s="91"/>
      <c r="I267" s="81"/>
      <c r="J267" s="81"/>
      <c r="L267" s="36"/>
      <c r="M267" s="36"/>
      <c r="N267" s="36"/>
      <c r="Y267" s="36"/>
      <c r="Z267" s="36"/>
    </row>
    <row r="268" spans="2:26">
      <c r="B268" s="91"/>
      <c r="C268" s="36"/>
      <c r="D268" s="91"/>
      <c r="E268" s="91"/>
      <c r="F268" s="80"/>
      <c r="G268" s="91"/>
      <c r="H268" s="91"/>
      <c r="I268" s="81"/>
      <c r="J268" s="81"/>
      <c r="L268" s="36"/>
      <c r="M268" s="36"/>
      <c r="N268" s="36"/>
      <c r="Y268" s="36"/>
      <c r="Z268" s="36"/>
    </row>
    <row r="269" spans="2:26">
      <c r="B269" s="91"/>
      <c r="C269" s="36"/>
      <c r="D269" s="91"/>
      <c r="E269" s="91"/>
      <c r="F269" s="80"/>
      <c r="G269" s="91"/>
      <c r="H269" s="91"/>
      <c r="I269" s="81"/>
      <c r="J269" s="81"/>
      <c r="L269" s="36"/>
      <c r="M269" s="36"/>
      <c r="N269" s="36"/>
      <c r="Y269" s="36"/>
      <c r="Z269" s="36"/>
    </row>
    <row r="270" spans="2:26">
      <c r="B270" s="91"/>
      <c r="C270" s="36"/>
      <c r="D270" s="91"/>
      <c r="E270" s="91"/>
      <c r="F270" s="80"/>
      <c r="G270" s="91"/>
      <c r="H270" s="91"/>
      <c r="I270" s="81"/>
      <c r="J270" s="81"/>
      <c r="L270" s="36"/>
      <c r="M270" s="36"/>
      <c r="N270" s="36"/>
      <c r="Y270" s="36"/>
      <c r="Z270" s="36"/>
    </row>
    <row r="271" spans="2:26">
      <c r="B271" s="91"/>
      <c r="C271" s="36"/>
      <c r="D271" s="91"/>
      <c r="E271" s="91"/>
      <c r="F271" s="80"/>
      <c r="G271" s="91"/>
      <c r="H271" s="91"/>
      <c r="I271" s="81"/>
      <c r="J271" s="81"/>
      <c r="L271" s="36"/>
      <c r="M271" s="36"/>
      <c r="N271" s="36"/>
      <c r="Y271" s="36"/>
      <c r="Z271" s="36"/>
    </row>
    <row r="272" spans="2:26">
      <c r="B272" s="91"/>
      <c r="C272" s="36"/>
      <c r="D272" s="91"/>
      <c r="E272" s="91"/>
      <c r="F272" s="80"/>
      <c r="G272" s="91"/>
      <c r="H272" s="91"/>
      <c r="I272" s="81"/>
      <c r="J272" s="81"/>
      <c r="L272" s="36"/>
      <c r="M272" s="36"/>
      <c r="N272" s="36"/>
      <c r="Y272" s="36"/>
      <c r="Z272" s="36"/>
    </row>
    <row r="273" spans="2:26">
      <c r="B273" s="91"/>
      <c r="C273" s="36"/>
      <c r="D273" s="91"/>
      <c r="E273" s="91"/>
      <c r="F273" s="80"/>
      <c r="G273" s="91"/>
      <c r="H273" s="91"/>
      <c r="I273" s="81"/>
      <c r="J273" s="81"/>
      <c r="L273" s="36"/>
      <c r="M273" s="36"/>
      <c r="N273" s="36"/>
      <c r="Y273" s="36"/>
      <c r="Z273" s="36"/>
    </row>
    <row r="274" spans="2:26">
      <c r="B274" s="91"/>
      <c r="C274" s="36"/>
      <c r="D274" s="91"/>
      <c r="E274" s="91"/>
      <c r="F274" s="80"/>
      <c r="G274" s="91"/>
      <c r="H274" s="91"/>
      <c r="I274" s="81"/>
      <c r="J274" s="81"/>
      <c r="L274" s="36"/>
      <c r="M274" s="36"/>
      <c r="N274" s="36"/>
      <c r="Y274" s="36"/>
      <c r="Z274" s="36"/>
    </row>
    <row r="275" spans="2:26">
      <c r="B275" s="91"/>
      <c r="C275" s="36"/>
      <c r="D275" s="91"/>
      <c r="E275" s="91"/>
      <c r="F275" s="80"/>
      <c r="G275" s="91"/>
      <c r="H275" s="91"/>
      <c r="I275" s="81"/>
      <c r="J275" s="81"/>
      <c r="L275" s="36"/>
      <c r="M275" s="36"/>
      <c r="N275" s="36"/>
      <c r="Y275" s="36"/>
      <c r="Z275" s="36"/>
    </row>
    <row r="276" spans="2:26">
      <c r="B276" s="91"/>
      <c r="C276" s="36"/>
      <c r="D276" s="91"/>
      <c r="E276" s="91"/>
      <c r="F276" s="80"/>
      <c r="G276" s="91"/>
      <c r="H276" s="91"/>
      <c r="I276" s="81"/>
      <c r="J276" s="81"/>
      <c r="L276" s="36"/>
      <c r="M276" s="36"/>
      <c r="N276" s="36"/>
      <c r="Y276" s="36"/>
      <c r="Z276" s="36"/>
    </row>
    <row r="277" spans="2:26">
      <c r="B277" s="91"/>
      <c r="C277" s="36"/>
      <c r="D277" s="91"/>
      <c r="E277" s="91"/>
      <c r="F277" s="80"/>
      <c r="G277" s="91"/>
      <c r="H277" s="91"/>
      <c r="I277" s="81"/>
      <c r="J277" s="81"/>
      <c r="L277" s="36"/>
      <c r="M277" s="36"/>
      <c r="N277" s="36"/>
      <c r="Y277" s="36"/>
      <c r="Z277" s="36"/>
    </row>
    <row r="278" spans="2:26">
      <c r="B278" s="91"/>
      <c r="C278" s="36"/>
      <c r="D278" s="91"/>
      <c r="E278" s="91"/>
      <c r="F278" s="80"/>
      <c r="G278" s="91"/>
      <c r="H278" s="91"/>
      <c r="I278" s="81"/>
      <c r="J278" s="81"/>
      <c r="L278" s="36"/>
      <c r="M278" s="36"/>
      <c r="N278" s="36"/>
      <c r="Y278" s="36"/>
      <c r="Z278" s="36"/>
    </row>
    <row r="279" spans="2:26">
      <c r="B279" s="91"/>
      <c r="C279" s="36"/>
      <c r="D279" s="91"/>
      <c r="E279" s="91"/>
      <c r="F279" s="80"/>
      <c r="G279" s="91"/>
      <c r="H279" s="91"/>
      <c r="I279" s="81"/>
      <c r="J279" s="81"/>
      <c r="L279" s="36"/>
      <c r="M279" s="36"/>
      <c r="N279" s="36"/>
      <c r="Y279" s="36"/>
      <c r="Z279" s="36"/>
    </row>
    <row r="280" spans="2:26">
      <c r="B280" s="91"/>
      <c r="C280" s="36"/>
      <c r="D280" s="91"/>
      <c r="E280" s="91"/>
      <c r="F280" s="80"/>
      <c r="G280" s="91"/>
      <c r="H280" s="91"/>
      <c r="I280" s="81"/>
      <c r="J280" s="81"/>
      <c r="L280" s="36"/>
      <c r="M280" s="36"/>
      <c r="N280" s="36"/>
      <c r="Y280" s="36"/>
      <c r="Z280" s="36"/>
    </row>
    <row r="281" spans="2:26">
      <c r="B281" s="91"/>
      <c r="C281" s="36"/>
      <c r="D281" s="91"/>
      <c r="E281" s="91"/>
      <c r="F281" s="80"/>
      <c r="G281" s="91"/>
      <c r="H281" s="91"/>
      <c r="I281" s="81"/>
      <c r="J281" s="81"/>
      <c r="L281" s="36"/>
      <c r="M281" s="36"/>
      <c r="N281" s="36"/>
      <c r="Y281" s="36"/>
      <c r="Z281" s="36"/>
    </row>
    <row r="282" spans="2:26">
      <c r="B282" s="91"/>
      <c r="C282" s="36"/>
      <c r="D282" s="91"/>
      <c r="E282" s="91"/>
      <c r="F282" s="80"/>
      <c r="G282" s="91"/>
      <c r="H282" s="91"/>
      <c r="I282" s="81"/>
      <c r="J282" s="81"/>
      <c r="L282" s="36"/>
      <c r="M282" s="36"/>
      <c r="N282" s="36"/>
      <c r="Y282" s="36"/>
      <c r="Z282" s="36"/>
    </row>
    <row r="283" spans="2:26">
      <c r="B283" s="91"/>
      <c r="C283" s="36"/>
      <c r="D283" s="91"/>
      <c r="E283" s="91"/>
      <c r="F283" s="80"/>
      <c r="G283" s="91"/>
      <c r="H283" s="91"/>
      <c r="I283" s="81"/>
      <c r="J283" s="81"/>
      <c r="L283" s="36"/>
      <c r="M283" s="36"/>
      <c r="N283" s="36"/>
      <c r="Y283" s="36"/>
      <c r="Z283" s="36"/>
    </row>
    <row r="284" spans="2:26">
      <c r="B284" s="91"/>
      <c r="C284" s="36"/>
      <c r="D284" s="91"/>
      <c r="E284" s="91"/>
      <c r="F284" s="80"/>
      <c r="G284" s="91"/>
      <c r="H284" s="91"/>
      <c r="I284" s="81"/>
      <c r="J284" s="81"/>
      <c r="L284" s="36"/>
      <c r="M284" s="36"/>
      <c r="N284" s="36"/>
      <c r="Y284" s="36"/>
      <c r="Z284" s="36"/>
    </row>
    <row r="285" spans="2:26">
      <c r="B285" s="91"/>
      <c r="C285" s="36"/>
      <c r="D285" s="91"/>
      <c r="E285" s="91"/>
      <c r="F285" s="80"/>
      <c r="G285" s="91"/>
      <c r="H285" s="91"/>
      <c r="I285" s="81"/>
      <c r="J285" s="81"/>
      <c r="L285" s="36"/>
      <c r="M285" s="36"/>
      <c r="N285" s="36"/>
      <c r="Y285" s="36"/>
      <c r="Z285" s="36"/>
    </row>
    <row r="286" spans="2:26">
      <c r="B286" s="91"/>
      <c r="C286" s="36"/>
      <c r="D286" s="91"/>
      <c r="E286" s="91"/>
      <c r="F286" s="80"/>
      <c r="G286" s="91"/>
      <c r="H286" s="91"/>
      <c r="I286" s="81"/>
      <c r="J286" s="81"/>
      <c r="L286" s="36"/>
      <c r="M286" s="36"/>
      <c r="N286" s="36"/>
      <c r="Y286" s="36"/>
      <c r="Z286" s="36"/>
    </row>
    <row r="287" spans="2:26">
      <c r="B287" s="91"/>
      <c r="C287" s="36"/>
      <c r="D287" s="91"/>
      <c r="E287" s="91"/>
      <c r="F287" s="80"/>
      <c r="G287" s="91"/>
      <c r="H287" s="91"/>
      <c r="I287" s="81"/>
      <c r="J287" s="81"/>
      <c r="L287" s="36"/>
      <c r="M287" s="36"/>
      <c r="N287" s="36"/>
      <c r="Y287" s="36"/>
      <c r="Z287" s="36"/>
    </row>
    <row r="288" spans="2:26">
      <c r="B288" s="91"/>
      <c r="C288" s="36"/>
      <c r="D288" s="91"/>
      <c r="E288" s="91"/>
      <c r="F288" s="80"/>
      <c r="G288" s="91"/>
      <c r="H288" s="91"/>
      <c r="I288" s="81"/>
      <c r="J288" s="81"/>
      <c r="L288" s="36"/>
      <c r="M288" s="36"/>
      <c r="N288" s="36"/>
      <c r="Y288" s="36"/>
      <c r="Z288" s="36"/>
    </row>
    <row r="289" spans="2:26">
      <c r="B289" s="91"/>
      <c r="C289" s="36"/>
      <c r="D289" s="91"/>
      <c r="E289" s="91"/>
      <c r="F289" s="80"/>
      <c r="G289" s="91"/>
      <c r="H289" s="91"/>
      <c r="I289" s="81"/>
      <c r="J289" s="81"/>
      <c r="L289" s="36"/>
      <c r="M289" s="36"/>
      <c r="N289" s="36"/>
      <c r="Y289" s="36"/>
      <c r="Z289" s="36"/>
    </row>
    <row r="290" spans="2:26">
      <c r="B290" s="91"/>
      <c r="C290" s="36"/>
      <c r="D290" s="91"/>
      <c r="E290" s="91"/>
      <c r="F290" s="80"/>
      <c r="G290" s="91"/>
      <c r="H290" s="91"/>
      <c r="I290" s="81"/>
      <c r="J290" s="81"/>
      <c r="L290" s="36"/>
      <c r="M290" s="36"/>
      <c r="N290" s="36"/>
      <c r="Y290" s="36"/>
      <c r="Z290" s="36"/>
    </row>
    <row r="291" spans="2:26">
      <c r="B291" s="91"/>
      <c r="C291" s="36"/>
      <c r="D291" s="91"/>
      <c r="E291" s="91"/>
      <c r="F291" s="80"/>
      <c r="G291" s="91"/>
      <c r="H291" s="91"/>
      <c r="I291" s="81"/>
      <c r="J291" s="81"/>
      <c r="L291" s="36"/>
      <c r="M291" s="36"/>
      <c r="N291" s="36"/>
      <c r="Y291" s="36"/>
      <c r="Z291" s="36"/>
    </row>
    <row r="292" spans="2:26">
      <c r="B292" s="91"/>
      <c r="C292" s="36"/>
      <c r="D292" s="91"/>
      <c r="E292" s="91"/>
      <c r="F292" s="80"/>
      <c r="G292" s="91"/>
      <c r="H292" s="91"/>
      <c r="I292" s="81"/>
      <c r="J292" s="81"/>
      <c r="L292" s="36"/>
      <c r="M292" s="36"/>
      <c r="N292" s="36"/>
      <c r="Y292" s="36"/>
      <c r="Z292" s="36"/>
    </row>
    <row r="293" spans="2:26">
      <c r="B293" s="91"/>
      <c r="C293" s="36"/>
      <c r="D293" s="91"/>
      <c r="E293" s="91"/>
      <c r="F293" s="80"/>
      <c r="G293" s="91"/>
      <c r="H293" s="91"/>
      <c r="I293" s="81"/>
      <c r="J293" s="81"/>
      <c r="L293" s="36"/>
      <c r="M293" s="36"/>
      <c r="N293" s="36"/>
      <c r="Y293" s="36"/>
      <c r="Z293" s="36"/>
    </row>
    <row r="294" spans="2:26">
      <c r="B294" s="91"/>
      <c r="C294" s="36"/>
      <c r="D294" s="91"/>
      <c r="E294" s="91"/>
      <c r="F294" s="80"/>
      <c r="G294" s="91"/>
      <c r="H294" s="91"/>
      <c r="I294" s="81"/>
      <c r="J294" s="81"/>
      <c r="L294" s="36"/>
      <c r="M294" s="36"/>
      <c r="N294" s="36"/>
      <c r="Y294" s="36"/>
      <c r="Z294" s="36"/>
    </row>
    <row r="295" spans="2:26">
      <c r="B295" s="91"/>
      <c r="C295" s="36"/>
      <c r="D295" s="91"/>
      <c r="E295" s="91"/>
      <c r="F295" s="80"/>
      <c r="G295" s="91"/>
      <c r="H295" s="91"/>
      <c r="I295" s="81"/>
      <c r="J295" s="81"/>
      <c r="L295" s="36"/>
      <c r="M295" s="36"/>
      <c r="N295" s="36"/>
      <c r="Y295" s="36"/>
      <c r="Z295" s="36"/>
    </row>
    <row r="296" spans="2:26">
      <c r="B296" s="91"/>
      <c r="C296" s="36"/>
      <c r="D296" s="91"/>
      <c r="E296" s="91"/>
      <c r="F296" s="80"/>
      <c r="G296" s="91"/>
      <c r="H296" s="91"/>
      <c r="I296" s="81"/>
      <c r="J296" s="81"/>
      <c r="L296" s="36"/>
      <c r="M296" s="36"/>
      <c r="N296" s="36"/>
      <c r="Y296" s="36"/>
      <c r="Z296" s="36"/>
    </row>
    <row r="297" spans="2:26">
      <c r="B297" s="91"/>
      <c r="C297" s="36"/>
      <c r="D297" s="91"/>
      <c r="E297" s="91"/>
      <c r="F297" s="80"/>
      <c r="G297" s="91"/>
      <c r="H297" s="91"/>
      <c r="I297" s="81"/>
      <c r="J297" s="81"/>
      <c r="L297" s="36"/>
      <c r="M297" s="36"/>
      <c r="N297" s="36"/>
      <c r="Y297" s="36"/>
      <c r="Z297" s="36"/>
    </row>
    <row r="298" spans="2:26">
      <c r="B298" s="91"/>
      <c r="C298" s="36"/>
      <c r="D298" s="91"/>
      <c r="E298" s="91"/>
      <c r="F298" s="80"/>
      <c r="G298" s="91"/>
      <c r="H298" s="91"/>
      <c r="I298" s="81"/>
      <c r="J298" s="81"/>
      <c r="L298" s="36"/>
      <c r="M298" s="36"/>
      <c r="N298" s="36"/>
      <c r="Y298" s="36"/>
      <c r="Z298" s="36"/>
    </row>
    <row r="299" spans="2:26">
      <c r="B299" s="91"/>
      <c r="C299" s="36"/>
      <c r="D299" s="91"/>
      <c r="E299" s="91"/>
      <c r="F299" s="80"/>
      <c r="G299" s="91"/>
      <c r="H299" s="91"/>
      <c r="I299" s="81"/>
      <c r="J299" s="81"/>
      <c r="L299" s="36"/>
      <c r="M299" s="36"/>
      <c r="N299" s="36"/>
      <c r="Y299" s="36"/>
      <c r="Z299" s="36"/>
    </row>
    <row r="300" spans="2:26">
      <c r="B300" s="91"/>
      <c r="C300" s="36"/>
      <c r="D300" s="91"/>
      <c r="E300" s="91"/>
      <c r="F300" s="80"/>
      <c r="G300" s="91"/>
      <c r="H300" s="91"/>
      <c r="I300" s="81"/>
      <c r="J300" s="81"/>
      <c r="L300" s="36"/>
      <c r="M300" s="36"/>
      <c r="N300" s="36"/>
      <c r="Y300" s="36"/>
      <c r="Z300" s="36"/>
    </row>
    <row r="301" spans="2:26">
      <c r="B301" s="91"/>
      <c r="C301" s="36"/>
      <c r="D301" s="91"/>
      <c r="E301" s="91"/>
      <c r="F301" s="80"/>
      <c r="G301" s="91"/>
      <c r="H301" s="91"/>
      <c r="I301" s="81"/>
      <c r="J301" s="81"/>
      <c r="L301" s="36"/>
      <c r="M301" s="36"/>
      <c r="N301" s="36"/>
      <c r="Y301" s="36"/>
      <c r="Z301" s="36"/>
    </row>
    <row r="302" spans="2:26">
      <c r="B302" s="91"/>
      <c r="C302" s="36"/>
      <c r="D302" s="91"/>
      <c r="E302" s="91"/>
      <c r="F302" s="80"/>
      <c r="G302" s="91"/>
      <c r="H302" s="91"/>
      <c r="I302" s="81"/>
      <c r="J302" s="81"/>
      <c r="L302" s="36"/>
      <c r="M302" s="36"/>
      <c r="N302" s="36"/>
      <c r="Y302" s="36"/>
      <c r="Z302" s="36"/>
    </row>
    <row r="303" spans="2:26">
      <c r="B303" s="91"/>
      <c r="C303" s="36"/>
      <c r="D303" s="91"/>
      <c r="E303" s="91"/>
      <c r="F303" s="80"/>
      <c r="G303" s="91"/>
      <c r="H303" s="91"/>
      <c r="I303" s="81"/>
      <c r="J303" s="81"/>
      <c r="L303" s="36"/>
      <c r="M303" s="36"/>
      <c r="N303" s="36"/>
      <c r="Y303" s="36"/>
      <c r="Z303" s="36"/>
    </row>
    <row r="304" spans="2:26">
      <c r="B304" s="91"/>
      <c r="C304" s="36"/>
      <c r="D304" s="91"/>
      <c r="E304" s="91"/>
      <c r="F304" s="80"/>
      <c r="G304" s="91"/>
      <c r="H304" s="91"/>
      <c r="I304" s="81"/>
      <c r="J304" s="81"/>
      <c r="L304" s="36"/>
      <c r="M304" s="36"/>
      <c r="N304" s="36"/>
      <c r="Y304" s="36"/>
      <c r="Z304" s="36"/>
    </row>
    <row r="305" spans="2:26">
      <c r="B305" s="91"/>
      <c r="C305" s="36"/>
      <c r="D305" s="91"/>
      <c r="E305" s="91"/>
      <c r="F305" s="80"/>
      <c r="G305" s="91"/>
      <c r="H305" s="91"/>
      <c r="I305" s="81"/>
      <c r="J305" s="81"/>
      <c r="L305" s="36"/>
      <c r="M305" s="36"/>
      <c r="N305" s="36"/>
      <c r="Y305" s="36"/>
      <c r="Z305" s="36"/>
    </row>
    <row r="306" spans="2:26">
      <c r="B306" s="91"/>
      <c r="C306" s="36"/>
      <c r="D306" s="91"/>
      <c r="E306" s="91"/>
      <c r="F306" s="80"/>
      <c r="G306" s="91"/>
      <c r="H306" s="91"/>
      <c r="I306" s="81"/>
      <c r="J306" s="81"/>
      <c r="L306" s="36"/>
      <c r="M306" s="36"/>
      <c r="N306" s="36"/>
      <c r="Y306" s="36"/>
      <c r="Z306" s="36"/>
    </row>
    <row r="307" spans="2:26">
      <c r="B307" s="91"/>
      <c r="C307" s="36"/>
      <c r="D307" s="91"/>
      <c r="E307" s="91"/>
      <c r="F307" s="80"/>
      <c r="G307" s="91"/>
      <c r="H307" s="91"/>
      <c r="I307" s="81"/>
      <c r="J307" s="81"/>
      <c r="L307" s="36"/>
      <c r="M307" s="36"/>
      <c r="N307" s="36"/>
      <c r="Y307" s="36"/>
      <c r="Z307" s="36"/>
    </row>
    <row r="308" spans="2:26">
      <c r="B308" s="91"/>
      <c r="C308" s="36"/>
      <c r="D308" s="91"/>
      <c r="E308" s="91"/>
      <c r="F308" s="80"/>
      <c r="G308" s="91"/>
      <c r="H308" s="91"/>
      <c r="I308" s="81"/>
      <c r="J308" s="81"/>
      <c r="L308" s="36"/>
      <c r="M308" s="36"/>
      <c r="N308" s="36"/>
      <c r="Y308" s="36"/>
      <c r="Z308" s="36"/>
    </row>
    <row r="309" spans="2:26">
      <c r="B309" s="91"/>
      <c r="C309" s="36"/>
      <c r="D309" s="91"/>
      <c r="E309" s="91"/>
      <c r="F309" s="80"/>
      <c r="G309" s="91"/>
      <c r="H309" s="91"/>
      <c r="I309" s="81"/>
      <c r="J309" s="81"/>
      <c r="L309" s="36"/>
      <c r="M309" s="36"/>
      <c r="N309" s="36"/>
      <c r="Y309" s="36"/>
      <c r="Z309" s="36"/>
    </row>
    <row r="310" spans="2:26">
      <c r="B310" s="91"/>
      <c r="C310" s="36"/>
      <c r="D310" s="91"/>
      <c r="E310" s="91"/>
      <c r="F310" s="80"/>
      <c r="G310" s="91"/>
      <c r="H310" s="91"/>
      <c r="I310" s="81"/>
      <c r="J310" s="81"/>
      <c r="L310" s="36"/>
      <c r="M310" s="36"/>
      <c r="N310" s="36"/>
      <c r="Y310" s="36"/>
      <c r="Z310" s="36"/>
    </row>
    <row r="311" spans="2:26">
      <c r="B311" s="91"/>
      <c r="C311" s="36"/>
      <c r="D311" s="91"/>
      <c r="E311" s="91"/>
      <c r="F311" s="80"/>
      <c r="G311" s="91"/>
      <c r="H311" s="91"/>
      <c r="I311" s="81"/>
      <c r="J311" s="81"/>
      <c r="L311" s="36"/>
      <c r="M311" s="36"/>
      <c r="N311" s="36"/>
      <c r="Y311" s="36"/>
      <c r="Z311" s="36"/>
    </row>
    <row r="312" spans="2:26">
      <c r="B312" s="91"/>
      <c r="C312" s="36"/>
      <c r="D312" s="91"/>
      <c r="E312" s="91"/>
      <c r="F312" s="80"/>
      <c r="G312" s="91"/>
      <c r="H312" s="91"/>
      <c r="I312" s="81"/>
      <c r="J312" s="81"/>
      <c r="L312" s="36"/>
      <c r="M312" s="36"/>
      <c r="N312" s="36"/>
      <c r="Y312" s="36"/>
      <c r="Z312" s="36"/>
    </row>
    <row r="313" spans="2:26">
      <c r="B313" s="91"/>
      <c r="C313" s="36"/>
      <c r="D313" s="91"/>
      <c r="E313" s="91"/>
      <c r="F313" s="80"/>
      <c r="G313" s="91"/>
      <c r="H313" s="91"/>
      <c r="I313" s="81"/>
      <c r="J313" s="81"/>
      <c r="L313" s="36"/>
      <c r="M313" s="36"/>
      <c r="N313" s="36"/>
      <c r="Y313" s="36"/>
      <c r="Z313" s="36"/>
    </row>
    <row r="314" spans="2:26">
      <c r="B314" s="91"/>
      <c r="C314" s="36"/>
      <c r="D314" s="91"/>
      <c r="E314" s="91"/>
      <c r="F314" s="80"/>
      <c r="G314" s="91"/>
      <c r="H314" s="91"/>
      <c r="I314" s="81"/>
      <c r="J314" s="81"/>
      <c r="L314" s="36"/>
      <c r="M314" s="36"/>
      <c r="N314" s="36"/>
      <c r="Y314" s="36"/>
      <c r="Z314" s="36"/>
    </row>
    <row r="315" spans="2:26">
      <c r="B315" s="91"/>
      <c r="C315" s="36"/>
      <c r="D315" s="91"/>
      <c r="E315" s="91"/>
      <c r="F315" s="80"/>
      <c r="G315" s="91"/>
      <c r="H315" s="91"/>
      <c r="I315" s="81"/>
      <c r="J315" s="81"/>
      <c r="L315" s="36"/>
      <c r="M315" s="36"/>
      <c r="N315" s="36"/>
      <c r="Y315" s="36"/>
      <c r="Z315" s="36"/>
    </row>
    <row r="316" spans="2:26">
      <c r="B316" s="91"/>
      <c r="C316" s="36"/>
      <c r="D316" s="91"/>
      <c r="E316" s="91"/>
      <c r="F316" s="80"/>
      <c r="G316" s="91"/>
      <c r="H316" s="91"/>
      <c r="I316" s="81"/>
      <c r="J316" s="81"/>
      <c r="L316" s="36"/>
      <c r="M316" s="36"/>
      <c r="N316" s="36"/>
      <c r="Y316" s="36"/>
      <c r="Z316" s="36"/>
    </row>
    <row r="317" spans="2:26">
      <c r="B317" s="91"/>
      <c r="C317" s="36"/>
      <c r="D317" s="91"/>
      <c r="E317" s="91"/>
      <c r="F317" s="80"/>
      <c r="G317" s="91"/>
      <c r="H317" s="91"/>
      <c r="I317" s="81"/>
      <c r="J317" s="81"/>
      <c r="L317" s="36"/>
      <c r="M317" s="36"/>
      <c r="N317" s="36"/>
      <c r="Y317" s="36"/>
      <c r="Z317" s="36"/>
    </row>
    <row r="318" spans="2:26">
      <c r="B318" s="91"/>
      <c r="C318" s="36"/>
      <c r="D318" s="91"/>
      <c r="E318" s="91"/>
      <c r="F318" s="80"/>
      <c r="G318" s="91"/>
      <c r="H318" s="91"/>
      <c r="I318" s="81"/>
      <c r="J318" s="81"/>
      <c r="L318" s="36"/>
      <c r="M318" s="36"/>
      <c r="N318" s="36"/>
      <c r="Y318" s="36"/>
      <c r="Z318" s="36"/>
    </row>
    <row r="319" spans="2:26">
      <c r="B319" s="91"/>
      <c r="C319" s="36"/>
      <c r="D319" s="91"/>
      <c r="E319" s="91"/>
      <c r="F319" s="80"/>
      <c r="G319" s="91"/>
      <c r="H319" s="91"/>
      <c r="I319" s="81"/>
      <c r="J319" s="81"/>
      <c r="L319" s="36"/>
      <c r="M319" s="36"/>
      <c r="N319" s="36"/>
      <c r="Y319" s="36"/>
      <c r="Z319" s="36"/>
    </row>
    <row r="320" spans="2:26">
      <c r="B320" s="91"/>
      <c r="C320" s="36"/>
      <c r="D320" s="91"/>
      <c r="E320" s="91"/>
      <c r="F320" s="80"/>
      <c r="G320" s="91"/>
      <c r="H320" s="91"/>
      <c r="I320" s="81"/>
      <c r="J320" s="81"/>
      <c r="L320" s="36"/>
      <c r="M320" s="36"/>
      <c r="N320" s="36"/>
      <c r="Y320" s="36"/>
      <c r="Z320" s="36"/>
    </row>
    <row r="321" spans="2:26">
      <c r="B321" s="91"/>
      <c r="C321" s="36"/>
      <c r="D321" s="91"/>
      <c r="E321" s="91"/>
      <c r="F321" s="80"/>
      <c r="G321" s="91"/>
      <c r="H321" s="91"/>
      <c r="I321" s="81"/>
      <c r="J321" s="81"/>
      <c r="L321" s="36"/>
      <c r="M321" s="36"/>
      <c r="N321" s="36"/>
      <c r="Y321" s="36"/>
      <c r="Z321" s="36"/>
    </row>
    <row r="322" spans="2:26">
      <c r="B322" s="91"/>
      <c r="C322" s="36"/>
      <c r="D322" s="91"/>
      <c r="E322" s="91"/>
      <c r="F322" s="80"/>
      <c r="G322" s="91"/>
      <c r="H322" s="91"/>
      <c r="I322" s="81"/>
      <c r="J322" s="81"/>
      <c r="L322" s="36"/>
      <c r="M322" s="36"/>
      <c r="N322" s="36"/>
      <c r="Y322" s="36"/>
      <c r="Z322" s="36"/>
    </row>
    <row r="323" spans="2:26">
      <c r="B323" s="91"/>
      <c r="C323" s="36"/>
      <c r="D323" s="91"/>
      <c r="E323" s="91"/>
      <c r="F323" s="80"/>
      <c r="G323" s="91"/>
      <c r="H323" s="91"/>
      <c r="I323" s="81"/>
      <c r="J323" s="81"/>
      <c r="L323" s="36"/>
      <c r="M323" s="36"/>
      <c r="N323" s="36"/>
      <c r="Y323" s="36"/>
      <c r="Z323" s="36"/>
    </row>
    <row r="324" spans="2:26">
      <c r="B324" s="91"/>
      <c r="C324" s="36"/>
      <c r="D324" s="91"/>
      <c r="E324" s="91"/>
      <c r="F324" s="80"/>
      <c r="G324" s="91"/>
      <c r="H324" s="91"/>
      <c r="I324" s="81"/>
      <c r="J324" s="81"/>
      <c r="L324" s="36"/>
      <c r="M324" s="36"/>
      <c r="N324" s="36"/>
      <c r="Y324" s="36"/>
      <c r="Z324" s="36"/>
    </row>
    <row r="325" spans="2:26">
      <c r="B325" s="91"/>
      <c r="C325" s="36"/>
      <c r="D325" s="91"/>
      <c r="E325" s="91"/>
      <c r="F325" s="80"/>
      <c r="G325" s="91"/>
      <c r="H325" s="91"/>
      <c r="I325" s="81"/>
      <c r="J325" s="81"/>
      <c r="L325" s="36"/>
      <c r="M325" s="36"/>
      <c r="N325" s="36"/>
      <c r="Y325" s="36"/>
      <c r="Z325" s="36"/>
    </row>
    <row r="326" spans="2:26">
      <c r="B326" s="91"/>
      <c r="C326" s="36"/>
      <c r="D326" s="91"/>
      <c r="E326" s="91"/>
      <c r="F326" s="80"/>
      <c r="G326" s="91"/>
      <c r="H326" s="91"/>
      <c r="I326" s="81"/>
      <c r="J326" s="81"/>
      <c r="L326" s="36"/>
      <c r="M326" s="36"/>
      <c r="N326" s="36"/>
      <c r="Y326" s="36"/>
      <c r="Z326" s="36"/>
    </row>
    <row r="327" spans="2:26">
      <c r="B327" s="91"/>
      <c r="C327" s="36"/>
      <c r="D327" s="91"/>
      <c r="E327" s="91"/>
      <c r="F327" s="80"/>
      <c r="G327" s="91"/>
      <c r="H327" s="91"/>
      <c r="I327" s="81"/>
      <c r="J327" s="81"/>
      <c r="L327" s="36"/>
      <c r="M327" s="36"/>
      <c r="N327" s="36"/>
      <c r="Y327" s="36"/>
      <c r="Z327" s="36"/>
    </row>
    <row r="328" spans="2:26">
      <c r="B328" s="91"/>
      <c r="C328" s="36"/>
      <c r="D328" s="91"/>
      <c r="E328" s="91"/>
      <c r="F328" s="80"/>
      <c r="G328" s="91"/>
      <c r="H328" s="91"/>
      <c r="I328" s="81"/>
      <c r="J328" s="81"/>
      <c r="L328" s="36"/>
      <c r="M328" s="36"/>
      <c r="N328" s="36"/>
      <c r="Y328" s="36"/>
      <c r="Z328" s="36"/>
    </row>
    <row r="329" spans="2:26">
      <c r="B329" s="91"/>
      <c r="C329" s="36"/>
      <c r="D329" s="91"/>
      <c r="E329" s="91"/>
      <c r="F329" s="80"/>
      <c r="G329" s="91"/>
      <c r="H329" s="91"/>
      <c r="I329" s="81"/>
      <c r="J329" s="81"/>
      <c r="L329" s="36"/>
      <c r="M329" s="36"/>
      <c r="N329" s="36"/>
      <c r="Y329" s="36"/>
      <c r="Z329" s="36"/>
    </row>
    <row r="330" spans="2:26">
      <c r="B330" s="91"/>
      <c r="C330" s="36"/>
      <c r="D330" s="91"/>
      <c r="E330" s="91"/>
      <c r="F330" s="80"/>
      <c r="G330" s="91"/>
      <c r="H330" s="91"/>
      <c r="I330" s="81"/>
      <c r="J330" s="81"/>
      <c r="L330" s="36"/>
      <c r="M330" s="36"/>
      <c r="N330" s="36"/>
      <c r="Y330" s="36"/>
      <c r="Z330" s="36"/>
    </row>
    <row r="331" spans="2:26">
      <c r="B331" s="91"/>
      <c r="C331" s="36"/>
      <c r="D331" s="91"/>
      <c r="E331" s="91"/>
      <c r="F331" s="80"/>
      <c r="G331" s="91"/>
      <c r="H331" s="91"/>
      <c r="I331" s="81"/>
      <c r="J331" s="81"/>
      <c r="L331" s="36"/>
      <c r="M331" s="36"/>
      <c r="N331" s="36"/>
      <c r="Y331" s="36"/>
      <c r="Z331" s="36"/>
    </row>
    <row r="332" spans="2:26">
      <c r="B332" s="91"/>
      <c r="C332" s="36"/>
      <c r="D332" s="91"/>
      <c r="E332" s="91"/>
      <c r="F332" s="80"/>
      <c r="G332" s="91"/>
      <c r="H332" s="91"/>
      <c r="I332" s="81"/>
      <c r="J332" s="81"/>
      <c r="L332" s="36"/>
      <c r="M332" s="36"/>
      <c r="N332" s="36"/>
      <c r="Y332" s="36"/>
      <c r="Z332" s="36"/>
    </row>
    <row r="333" spans="2:26">
      <c r="B333" s="91"/>
      <c r="C333" s="36"/>
      <c r="D333" s="91"/>
      <c r="E333" s="91"/>
      <c r="F333" s="80"/>
      <c r="G333" s="91"/>
      <c r="H333" s="91"/>
      <c r="I333" s="81"/>
      <c r="J333" s="81"/>
      <c r="L333" s="36"/>
      <c r="M333" s="36"/>
      <c r="N333" s="36"/>
      <c r="Y333" s="36"/>
      <c r="Z333" s="36"/>
    </row>
    <row r="334" spans="2:26">
      <c r="B334" s="91"/>
      <c r="C334" s="36"/>
      <c r="D334" s="91"/>
      <c r="E334" s="91"/>
      <c r="F334" s="80"/>
      <c r="G334" s="91"/>
      <c r="H334" s="91"/>
      <c r="I334" s="81"/>
      <c r="J334" s="81"/>
      <c r="L334" s="36"/>
      <c r="M334" s="36"/>
      <c r="N334" s="36"/>
      <c r="Y334" s="36"/>
      <c r="Z334" s="36"/>
    </row>
    <row r="335" spans="2:26">
      <c r="B335" s="91"/>
      <c r="C335" s="36"/>
      <c r="D335" s="91"/>
      <c r="E335" s="91"/>
      <c r="F335" s="80"/>
      <c r="G335" s="91"/>
      <c r="H335" s="91"/>
      <c r="I335" s="81"/>
      <c r="J335" s="81"/>
      <c r="L335" s="36"/>
      <c r="M335" s="36"/>
      <c r="N335" s="36"/>
      <c r="Y335" s="36"/>
      <c r="Z335" s="36"/>
    </row>
    <row r="336" spans="2:26">
      <c r="B336" s="91"/>
      <c r="C336" s="36"/>
      <c r="D336" s="91"/>
      <c r="E336" s="91"/>
      <c r="F336" s="80"/>
      <c r="G336" s="91"/>
      <c r="H336" s="91"/>
      <c r="I336" s="81"/>
      <c r="J336" s="81"/>
      <c r="L336" s="36"/>
      <c r="M336" s="36"/>
      <c r="N336" s="36"/>
      <c r="Y336" s="36"/>
      <c r="Z336" s="36"/>
    </row>
    <row r="337" spans="2:26">
      <c r="B337" s="91"/>
      <c r="C337" s="36"/>
      <c r="D337" s="91"/>
      <c r="E337" s="91"/>
      <c r="F337" s="80"/>
      <c r="G337" s="91"/>
      <c r="H337" s="91"/>
      <c r="I337" s="81"/>
      <c r="J337" s="81"/>
      <c r="L337" s="36"/>
      <c r="M337" s="36"/>
      <c r="N337" s="36"/>
      <c r="Y337" s="36"/>
      <c r="Z337" s="36"/>
    </row>
    <row r="338" spans="2:26">
      <c r="B338" s="91"/>
      <c r="C338" s="36"/>
      <c r="D338" s="91"/>
      <c r="E338" s="91"/>
      <c r="F338" s="80"/>
      <c r="G338" s="91"/>
      <c r="H338" s="91"/>
      <c r="I338" s="81"/>
      <c r="J338" s="81"/>
      <c r="L338" s="36"/>
      <c r="M338" s="36"/>
      <c r="N338" s="36"/>
      <c r="Y338" s="36"/>
      <c r="Z338" s="36"/>
    </row>
    <row r="339" spans="2:26">
      <c r="B339" s="91"/>
      <c r="C339" s="36"/>
      <c r="D339" s="91"/>
      <c r="E339" s="91"/>
      <c r="F339" s="80"/>
      <c r="G339" s="91"/>
      <c r="H339" s="91"/>
      <c r="I339" s="81"/>
      <c r="J339" s="81"/>
      <c r="L339" s="36"/>
      <c r="M339" s="36"/>
      <c r="N339" s="36"/>
      <c r="Y339" s="36"/>
      <c r="Z339" s="36"/>
    </row>
    <row r="340" spans="2:26">
      <c r="B340" s="91"/>
      <c r="C340" s="36"/>
      <c r="D340" s="91"/>
      <c r="E340" s="91"/>
      <c r="F340" s="80"/>
      <c r="G340" s="91"/>
      <c r="H340" s="91"/>
      <c r="I340" s="81"/>
      <c r="J340" s="81"/>
      <c r="L340" s="36"/>
      <c r="M340" s="36"/>
      <c r="N340" s="36"/>
      <c r="Y340" s="36"/>
      <c r="Z340" s="36"/>
    </row>
    <row r="341" spans="2:26">
      <c r="B341" s="91"/>
      <c r="C341" s="36"/>
      <c r="D341" s="91"/>
      <c r="E341" s="91"/>
      <c r="F341" s="80"/>
      <c r="G341" s="91"/>
      <c r="H341" s="91"/>
      <c r="I341" s="81"/>
      <c r="J341" s="81"/>
      <c r="L341" s="36"/>
      <c r="M341" s="36"/>
      <c r="N341" s="36"/>
      <c r="Y341" s="36"/>
      <c r="Z341" s="36"/>
    </row>
    <row r="342" spans="2:26">
      <c r="B342" s="91"/>
      <c r="C342" s="36"/>
      <c r="D342" s="91"/>
      <c r="E342" s="91"/>
      <c r="F342" s="80"/>
      <c r="G342" s="91"/>
      <c r="H342" s="91"/>
      <c r="I342" s="81"/>
      <c r="J342" s="81"/>
      <c r="L342" s="36"/>
      <c r="M342" s="36"/>
      <c r="N342" s="36"/>
      <c r="Y342" s="36"/>
      <c r="Z342" s="36"/>
    </row>
    <row r="343" spans="2:26">
      <c r="B343" s="91"/>
      <c r="C343" s="36"/>
      <c r="D343" s="91"/>
      <c r="E343" s="91"/>
      <c r="F343" s="80"/>
      <c r="G343" s="91"/>
      <c r="H343" s="91"/>
      <c r="I343" s="81"/>
      <c r="J343" s="81"/>
      <c r="L343" s="36"/>
      <c r="M343" s="36"/>
      <c r="N343" s="36"/>
      <c r="Y343" s="36"/>
      <c r="Z343" s="36"/>
    </row>
    <row r="344" spans="2:26">
      <c r="B344" s="91"/>
      <c r="C344" s="36"/>
      <c r="D344" s="91"/>
      <c r="E344" s="91"/>
      <c r="F344" s="80"/>
      <c r="G344" s="91"/>
      <c r="H344" s="91"/>
      <c r="I344" s="81"/>
      <c r="J344" s="81"/>
      <c r="L344" s="36"/>
      <c r="M344" s="36"/>
      <c r="N344" s="36"/>
      <c r="Y344" s="36"/>
      <c r="Z344" s="36"/>
    </row>
    <row r="345" spans="2:26">
      <c r="B345" s="91"/>
      <c r="C345" s="36"/>
      <c r="D345" s="91"/>
      <c r="E345" s="91"/>
      <c r="F345" s="80"/>
      <c r="G345" s="91"/>
      <c r="H345" s="91"/>
      <c r="I345" s="81"/>
      <c r="J345" s="81"/>
      <c r="L345" s="36"/>
      <c r="M345" s="36"/>
      <c r="N345" s="36"/>
      <c r="Y345" s="36"/>
      <c r="Z345" s="36"/>
    </row>
    <row r="346" spans="2:26">
      <c r="B346" s="91"/>
      <c r="C346" s="36"/>
      <c r="D346" s="91"/>
      <c r="E346" s="91"/>
      <c r="F346" s="80"/>
      <c r="G346" s="91"/>
      <c r="H346" s="91"/>
      <c r="I346" s="81"/>
      <c r="J346" s="81"/>
      <c r="L346" s="36"/>
      <c r="M346" s="36"/>
      <c r="N346" s="36"/>
      <c r="Y346" s="36"/>
      <c r="Z346" s="36"/>
    </row>
    <row r="347" spans="2:26">
      <c r="B347" s="91"/>
      <c r="C347" s="36"/>
      <c r="D347" s="91"/>
      <c r="E347" s="91"/>
      <c r="F347" s="80"/>
      <c r="G347" s="91"/>
      <c r="H347" s="91"/>
      <c r="I347" s="81"/>
      <c r="J347" s="81"/>
      <c r="L347" s="36"/>
      <c r="M347" s="36"/>
      <c r="N347" s="36"/>
      <c r="Y347" s="36"/>
      <c r="Z347" s="36"/>
    </row>
    <row r="348" spans="2:26">
      <c r="B348" s="91"/>
      <c r="C348" s="36"/>
      <c r="D348" s="91"/>
      <c r="E348" s="91"/>
      <c r="F348" s="80"/>
      <c r="G348" s="91"/>
      <c r="H348" s="91"/>
      <c r="I348" s="81"/>
      <c r="J348" s="81"/>
      <c r="L348" s="36"/>
      <c r="M348" s="36"/>
      <c r="N348" s="36"/>
      <c r="Y348" s="36"/>
      <c r="Z348" s="36"/>
    </row>
    <row r="349" spans="2:26">
      <c r="B349" s="91"/>
      <c r="C349" s="36"/>
      <c r="D349" s="91"/>
      <c r="E349" s="91"/>
      <c r="F349" s="80"/>
      <c r="G349" s="91"/>
      <c r="H349" s="91"/>
      <c r="I349" s="81"/>
      <c r="J349" s="81"/>
      <c r="L349" s="36"/>
      <c r="M349" s="36"/>
      <c r="N349" s="36"/>
      <c r="Y349" s="36"/>
      <c r="Z349" s="36"/>
    </row>
    <row r="350" spans="2:26">
      <c r="B350" s="91"/>
      <c r="C350" s="36"/>
      <c r="D350" s="91"/>
      <c r="E350" s="91"/>
      <c r="F350" s="80"/>
      <c r="G350" s="91"/>
      <c r="H350" s="91"/>
      <c r="I350" s="81"/>
      <c r="J350" s="81"/>
      <c r="L350" s="36"/>
      <c r="M350" s="36"/>
      <c r="N350" s="36"/>
      <c r="Y350" s="36"/>
      <c r="Z350" s="36"/>
    </row>
    <row r="351" spans="2:26">
      <c r="B351" s="91"/>
      <c r="C351" s="36"/>
      <c r="D351" s="91"/>
      <c r="E351" s="91"/>
      <c r="F351" s="80"/>
      <c r="G351" s="91"/>
      <c r="H351" s="91"/>
      <c r="I351" s="81"/>
      <c r="J351" s="81"/>
      <c r="L351" s="36"/>
      <c r="M351" s="36"/>
      <c r="N351" s="36"/>
      <c r="Y351" s="36"/>
      <c r="Z351" s="36"/>
    </row>
    <row r="352" spans="2:26">
      <c r="B352" s="91"/>
      <c r="C352" s="36"/>
      <c r="D352" s="91"/>
      <c r="E352" s="91"/>
      <c r="F352" s="80"/>
      <c r="G352" s="91"/>
      <c r="H352" s="91"/>
      <c r="I352" s="81"/>
      <c r="J352" s="81"/>
      <c r="L352" s="36"/>
      <c r="M352" s="36"/>
      <c r="N352" s="36"/>
      <c r="Y352" s="36"/>
      <c r="Z352" s="36"/>
    </row>
    <row r="353" spans="2:26">
      <c r="B353" s="91"/>
      <c r="C353" s="36"/>
      <c r="D353" s="91"/>
      <c r="E353" s="91"/>
      <c r="F353" s="80"/>
      <c r="G353" s="91"/>
      <c r="H353" s="91"/>
      <c r="I353" s="81"/>
      <c r="J353" s="81"/>
      <c r="L353" s="36"/>
      <c r="M353" s="36"/>
      <c r="N353" s="36"/>
      <c r="Y353" s="36"/>
      <c r="Z353" s="36"/>
    </row>
    <row r="354" spans="2:26">
      <c r="B354" s="91"/>
      <c r="C354" s="36"/>
      <c r="D354" s="91"/>
      <c r="E354" s="91"/>
      <c r="F354" s="80"/>
      <c r="G354" s="91"/>
      <c r="H354" s="91"/>
      <c r="I354" s="81"/>
      <c r="J354" s="81"/>
      <c r="L354" s="36"/>
      <c r="M354" s="36"/>
      <c r="N354" s="36"/>
      <c r="Y354" s="36"/>
      <c r="Z354" s="36"/>
    </row>
    <row r="355" spans="2:26">
      <c r="B355" s="91"/>
      <c r="C355" s="36"/>
      <c r="D355" s="91"/>
      <c r="E355" s="91"/>
      <c r="F355" s="80"/>
      <c r="G355" s="91"/>
      <c r="H355" s="91"/>
      <c r="I355" s="81"/>
      <c r="J355" s="81"/>
      <c r="L355" s="36"/>
      <c r="M355" s="36"/>
      <c r="N355" s="36"/>
      <c r="Y355" s="36"/>
      <c r="Z355" s="36"/>
    </row>
    <row r="356" spans="2:26">
      <c r="B356" s="91"/>
      <c r="C356" s="36"/>
      <c r="D356" s="91"/>
      <c r="E356" s="91"/>
      <c r="F356" s="80"/>
      <c r="G356" s="91"/>
      <c r="H356" s="91"/>
      <c r="I356" s="81"/>
      <c r="J356" s="81"/>
      <c r="L356" s="36"/>
      <c r="M356" s="36"/>
      <c r="N356" s="36"/>
      <c r="Y356" s="36"/>
      <c r="Z356" s="36"/>
    </row>
    <row r="357" spans="2:26">
      <c r="B357" s="91"/>
      <c r="C357" s="36"/>
      <c r="D357" s="91"/>
      <c r="E357" s="91"/>
      <c r="F357" s="80"/>
      <c r="G357" s="91"/>
      <c r="H357" s="91"/>
      <c r="I357" s="81"/>
      <c r="J357" s="81"/>
      <c r="L357" s="36"/>
      <c r="M357" s="36"/>
      <c r="N357" s="36"/>
      <c r="Y357" s="36"/>
      <c r="Z357" s="36"/>
    </row>
    <row r="358" spans="2:26">
      <c r="B358" s="91"/>
      <c r="C358" s="36"/>
      <c r="D358" s="91"/>
      <c r="E358" s="91"/>
      <c r="F358" s="80"/>
      <c r="G358" s="91"/>
      <c r="H358" s="91"/>
      <c r="I358" s="81"/>
      <c r="J358" s="81"/>
      <c r="L358" s="36"/>
      <c r="M358" s="36"/>
      <c r="N358" s="36"/>
      <c r="Y358" s="36"/>
      <c r="Z358" s="36"/>
    </row>
    <row r="359" spans="2:26">
      <c r="B359" s="91"/>
      <c r="C359" s="36"/>
      <c r="D359" s="91"/>
      <c r="E359" s="91"/>
      <c r="F359" s="80"/>
      <c r="G359" s="91"/>
      <c r="H359" s="91"/>
      <c r="I359" s="81"/>
      <c r="J359" s="81"/>
      <c r="L359" s="36"/>
      <c r="M359" s="36"/>
      <c r="N359" s="36"/>
      <c r="Y359" s="36"/>
      <c r="Z359" s="36"/>
    </row>
    <row r="360" spans="2:26">
      <c r="B360" s="91"/>
      <c r="C360" s="36"/>
      <c r="D360" s="91"/>
      <c r="E360" s="91"/>
      <c r="F360" s="80"/>
      <c r="G360" s="91"/>
      <c r="H360" s="91"/>
      <c r="I360" s="81"/>
      <c r="J360" s="81"/>
      <c r="L360" s="36"/>
      <c r="M360" s="36"/>
      <c r="N360" s="36"/>
      <c r="Y360" s="36"/>
      <c r="Z360" s="36"/>
    </row>
    <row r="361" spans="2:26">
      <c r="B361" s="91"/>
      <c r="C361" s="36"/>
      <c r="D361" s="91"/>
      <c r="E361" s="91"/>
      <c r="F361" s="80"/>
      <c r="G361" s="91"/>
      <c r="H361" s="91"/>
      <c r="I361" s="81"/>
      <c r="J361" s="81"/>
      <c r="L361" s="36"/>
      <c r="M361" s="36"/>
      <c r="N361" s="36"/>
      <c r="Y361" s="36"/>
      <c r="Z361" s="36"/>
    </row>
    <row r="362" spans="2:26">
      <c r="B362" s="91"/>
      <c r="C362" s="36"/>
      <c r="D362" s="91"/>
      <c r="E362" s="91"/>
      <c r="F362" s="80"/>
      <c r="G362" s="91"/>
      <c r="H362" s="91"/>
      <c r="I362" s="81"/>
      <c r="J362" s="81"/>
      <c r="L362" s="36"/>
      <c r="M362" s="36"/>
      <c r="N362" s="36"/>
      <c r="Y362" s="36"/>
      <c r="Z362" s="36"/>
    </row>
    <row r="363" spans="2:26">
      <c r="B363" s="91"/>
      <c r="C363" s="36"/>
      <c r="D363" s="91"/>
      <c r="E363" s="91"/>
      <c r="F363" s="80"/>
      <c r="G363" s="91"/>
      <c r="H363" s="91"/>
      <c r="I363" s="81"/>
      <c r="J363" s="81"/>
      <c r="L363" s="36"/>
      <c r="M363" s="36"/>
      <c r="N363" s="36"/>
      <c r="Y363" s="36"/>
      <c r="Z363" s="36"/>
    </row>
    <row r="364" spans="2:26">
      <c r="B364" s="91"/>
      <c r="C364" s="36"/>
      <c r="D364" s="91"/>
      <c r="E364" s="91"/>
      <c r="F364" s="80"/>
      <c r="G364" s="91"/>
      <c r="H364" s="91"/>
      <c r="I364" s="81"/>
      <c r="J364" s="81"/>
      <c r="L364" s="36"/>
      <c r="M364" s="36"/>
      <c r="N364" s="36"/>
      <c r="Y364" s="36"/>
      <c r="Z364" s="36"/>
    </row>
    <row r="365" spans="2:26">
      <c r="B365" s="91"/>
      <c r="C365" s="36"/>
      <c r="D365" s="91"/>
      <c r="E365" s="91"/>
      <c r="F365" s="80"/>
      <c r="G365" s="91"/>
      <c r="H365" s="91"/>
      <c r="I365" s="81"/>
      <c r="J365" s="81"/>
      <c r="L365" s="36"/>
      <c r="M365" s="36"/>
      <c r="N365" s="36"/>
      <c r="Y365" s="36"/>
      <c r="Z365" s="36"/>
    </row>
    <row r="366" spans="2:26">
      <c r="B366" s="91"/>
      <c r="C366" s="36"/>
      <c r="D366" s="91"/>
      <c r="E366" s="91"/>
      <c r="F366" s="80"/>
      <c r="G366" s="91"/>
      <c r="H366" s="91"/>
      <c r="I366" s="81"/>
      <c r="J366" s="81"/>
      <c r="L366" s="36"/>
      <c r="M366" s="36"/>
      <c r="N366" s="36"/>
      <c r="Y366" s="36"/>
      <c r="Z366" s="36"/>
    </row>
    <row r="367" spans="2:26">
      <c r="B367" s="91"/>
      <c r="C367" s="36"/>
      <c r="D367" s="91"/>
      <c r="E367" s="91"/>
      <c r="F367" s="80"/>
      <c r="G367" s="91"/>
      <c r="H367" s="91"/>
      <c r="I367" s="81"/>
      <c r="J367" s="81"/>
      <c r="L367" s="36"/>
      <c r="M367" s="36"/>
      <c r="N367" s="36"/>
      <c r="Y367" s="36"/>
      <c r="Z367" s="36"/>
    </row>
    <row r="368" spans="2:26">
      <c r="B368" s="91"/>
      <c r="C368" s="36"/>
      <c r="D368" s="91"/>
      <c r="E368" s="91"/>
      <c r="F368" s="80"/>
      <c r="G368" s="91"/>
      <c r="H368" s="91"/>
      <c r="I368" s="81"/>
      <c r="J368" s="81"/>
      <c r="L368" s="36"/>
      <c r="M368" s="36"/>
      <c r="N368" s="36"/>
      <c r="Y368" s="36"/>
      <c r="Z368" s="36"/>
    </row>
    <row r="369" spans="2:26">
      <c r="B369" s="91"/>
      <c r="C369" s="36"/>
      <c r="D369" s="91"/>
      <c r="E369" s="91"/>
      <c r="F369" s="80"/>
      <c r="G369" s="91"/>
      <c r="H369" s="91"/>
      <c r="I369" s="81"/>
      <c r="J369" s="81"/>
      <c r="L369" s="36"/>
      <c r="M369" s="36"/>
      <c r="N369" s="36"/>
      <c r="Y369" s="36"/>
      <c r="Z369" s="36"/>
    </row>
    <row r="370" spans="2:26">
      <c r="B370" s="91"/>
      <c r="C370" s="36"/>
      <c r="D370" s="91"/>
      <c r="E370" s="91"/>
      <c r="F370" s="80"/>
      <c r="G370" s="91"/>
      <c r="H370" s="91"/>
      <c r="I370" s="81"/>
      <c r="J370" s="81"/>
      <c r="L370" s="36"/>
      <c r="M370" s="36"/>
      <c r="N370" s="36"/>
      <c r="Y370" s="36"/>
      <c r="Z370" s="36"/>
    </row>
    <row r="371" spans="2:26">
      <c r="B371" s="91"/>
      <c r="C371" s="36"/>
      <c r="D371" s="91"/>
      <c r="E371" s="91"/>
      <c r="F371" s="80"/>
      <c r="G371" s="91"/>
      <c r="H371" s="91"/>
      <c r="I371" s="81"/>
      <c r="J371" s="81"/>
      <c r="L371" s="36"/>
      <c r="M371" s="36"/>
      <c r="N371" s="36"/>
      <c r="Y371" s="36"/>
      <c r="Z371" s="36"/>
    </row>
    <row r="372" spans="2:26">
      <c r="B372" s="91"/>
      <c r="C372" s="36"/>
      <c r="D372" s="91"/>
      <c r="E372" s="91"/>
      <c r="F372" s="80"/>
      <c r="G372" s="91"/>
      <c r="H372" s="91"/>
      <c r="I372" s="81"/>
      <c r="J372" s="81"/>
      <c r="L372" s="36"/>
      <c r="M372" s="36"/>
      <c r="N372" s="36"/>
      <c r="Y372" s="36"/>
      <c r="Z372" s="36"/>
    </row>
    <row r="373" spans="2:26">
      <c r="B373" s="91"/>
      <c r="C373" s="36"/>
      <c r="D373" s="91"/>
      <c r="E373" s="91"/>
      <c r="F373" s="80"/>
      <c r="G373" s="91"/>
      <c r="H373" s="91"/>
      <c r="I373" s="81"/>
      <c r="J373" s="81"/>
      <c r="L373" s="36"/>
      <c r="M373" s="36"/>
      <c r="N373" s="36"/>
      <c r="Y373" s="36"/>
      <c r="Z373" s="36"/>
    </row>
    <row r="374" spans="2:26">
      <c r="B374" s="91"/>
      <c r="C374" s="36"/>
      <c r="D374" s="91"/>
      <c r="E374" s="91"/>
      <c r="F374" s="80"/>
      <c r="G374" s="91"/>
      <c r="H374" s="91"/>
      <c r="I374" s="81"/>
      <c r="J374" s="81"/>
      <c r="L374" s="36"/>
      <c r="M374" s="36"/>
      <c r="N374" s="36"/>
      <c r="Y374" s="36"/>
      <c r="Z374" s="36"/>
    </row>
    <row r="375" spans="2:26">
      <c r="B375" s="91"/>
      <c r="C375" s="36"/>
      <c r="D375" s="91"/>
      <c r="E375" s="91"/>
      <c r="F375" s="80"/>
      <c r="G375" s="91"/>
      <c r="H375" s="91"/>
      <c r="I375" s="81"/>
      <c r="J375" s="81"/>
      <c r="L375" s="36"/>
      <c r="M375" s="36"/>
      <c r="N375" s="36"/>
      <c r="Y375" s="36"/>
      <c r="Z375" s="36"/>
    </row>
    <row r="376" spans="2:26">
      <c r="B376" s="91"/>
      <c r="C376" s="36"/>
      <c r="D376" s="91"/>
      <c r="E376" s="91"/>
      <c r="F376" s="80"/>
      <c r="G376" s="91"/>
      <c r="H376" s="91"/>
      <c r="I376" s="81"/>
      <c r="J376" s="81"/>
      <c r="L376" s="36"/>
      <c r="M376" s="36"/>
      <c r="N376" s="36"/>
      <c r="Y376" s="36"/>
      <c r="Z376" s="36"/>
    </row>
    <row r="377" spans="2:26">
      <c r="B377" s="91"/>
      <c r="C377" s="36"/>
      <c r="D377" s="91"/>
      <c r="E377" s="91"/>
      <c r="F377" s="80"/>
      <c r="G377" s="91"/>
      <c r="H377" s="91"/>
      <c r="I377" s="81"/>
      <c r="J377" s="81"/>
      <c r="L377" s="36"/>
      <c r="M377" s="36"/>
      <c r="N377" s="36"/>
      <c r="Y377" s="36"/>
      <c r="Z377" s="36"/>
    </row>
    <row r="378" spans="2:26">
      <c r="B378" s="91"/>
      <c r="C378" s="36"/>
      <c r="D378" s="91"/>
      <c r="E378" s="91"/>
      <c r="F378" s="80"/>
      <c r="G378" s="91"/>
      <c r="H378" s="91"/>
      <c r="I378" s="81"/>
      <c r="J378" s="81"/>
      <c r="L378" s="36"/>
      <c r="M378" s="36"/>
      <c r="N378" s="36"/>
      <c r="Y378" s="36"/>
      <c r="Z378" s="36"/>
    </row>
    <row r="379" spans="2:26">
      <c r="B379" s="91"/>
      <c r="C379" s="36"/>
      <c r="D379" s="91"/>
      <c r="E379" s="91"/>
      <c r="F379" s="80"/>
      <c r="G379" s="91"/>
      <c r="H379" s="91"/>
      <c r="I379" s="81"/>
      <c r="J379" s="81"/>
      <c r="L379" s="36"/>
      <c r="M379" s="36"/>
      <c r="N379" s="36"/>
      <c r="Y379" s="36"/>
      <c r="Z379" s="36"/>
    </row>
    <row r="380" spans="2:26">
      <c r="B380" s="91"/>
      <c r="C380" s="36"/>
      <c r="D380" s="91"/>
      <c r="E380" s="91"/>
      <c r="F380" s="80"/>
      <c r="G380" s="91"/>
      <c r="H380" s="91"/>
      <c r="I380" s="81"/>
      <c r="J380" s="81"/>
      <c r="L380" s="36"/>
      <c r="M380" s="36"/>
      <c r="N380" s="36"/>
      <c r="Y380" s="36"/>
      <c r="Z380" s="36"/>
    </row>
    <row r="381" spans="2:26">
      <c r="B381" s="91"/>
      <c r="C381" s="36"/>
      <c r="D381" s="91"/>
      <c r="E381" s="91"/>
      <c r="F381" s="80"/>
      <c r="G381" s="91"/>
      <c r="H381" s="91"/>
      <c r="I381" s="81"/>
      <c r="J381" s="81"/>
      <c r="L381" s="36"/>
      <c r="M381" s="36"/>
      <c r="N381" s="36"/>
      <c r="Y381" s="36"/>
      <c r="Z381" s="36"/>
    </row>
    <row r="382" spans="2:26">
      <c r="B382" s="91"/>
      <c r="C382" s="36"/>
      <c r="D382" s="91"/>
      <c r="E382" s="91"/>
      <c r="F382" s="80"/>
      <c r="G382" s="91"/>
      <c r="H382" s="91"/>
      <c r="I382" s="81"/>
      <c r="J382" s="81"/>
      <c r="L382" s="36"/>
      <c r="M382" s="36"/>
      <c r="N382" s="36"/>
      <c r="Y382" s="36"/>
      <c r="Z382" s="36"/>
    </row>
    <row r="383" spans="2:26">
      <c r="B383" s="91"/>
      <c r="C383" s="36"/>
      <c r="D383" s="91"/>
      <c r="E383" s="91"/>
      <c r="F383" s="80"/>
      <c r="G383" s="91"/>
      <c r="H383" s="91"/>
      <c r="I383" s="81"/>
      <c r="J383" s="81"/>
      <c r="L383" s="36"/>
      <c r="M383" s="36"/>
      <c r="N383" s="36"/>
      <c r="Y383" s="36"/>
      <c r="Z383" s="36"/>
    </row>
    <row r="384" spans="2:26">
      <c r="B384" s="91"/>
      <c r="C384" s="36"/>
      <c r="D384" s="91"/>
      <c r="E384" s="91"/>
      <c r="F384" s="80"/>
      <c r="G384" s="91"/>
      <c r="H384" s="91"/>
      <c r="I384" s="81"/>
      <c r="J384" s="81"/>
      <c r="L384" s="36"/>
      <c r="M384" s="36"/>
      <c r="N384" s="36"/>
      <c r="Y384" s="36"/>
      <c r="Z384" s="36"/>
    </row>
    <row r="385" spans="2:26">
      <c r="B385" s="91"/>
      <c r="C385" s="36"/>
      <c r="D385" s="91"/>
      <c r="E385" s="91"/>
      <c r="F385" s="80"/>
      <c r="G385" s="91"/>
      <c r="H385" s="91"/>
      <c r="I385" s="81"/>
      <c r="J385" s="81"/>
      <c r="L385" s="36"/>
      <c r="M385" s="36"/>
      <c r="N385" s="36"/>
      <c r="Y385" s="36"/>
      <c r="Z385" s="36"/>
    </row>
    <row r="386" spans="2:26">
      <c r="B386" s="91"/>
      <c r="C386" s="36"/>
      <c r="D386" s="91"/>
      <c r="E386" s="91"/>
      <c r="F386" s="80"/>
      <c r="G386" s="91"/>
      <c r="H386" s="91"/>
      <c r="I386" s="81"/>
      <c r="J386" s="81"/>
      <c r="L386" s="36"/>
      <c r="M386" s="36"/>
      <c r="N386" s="36"/>
      <c r="Y386" s="36"/>
      <c r="Z386" s="36"/>
    </row>
    <row r="387" spans="2:26">
      <c r="B387" s="91"/>
      <c r="C387" s="36"/>
      <c r="D387" s="91"/>
      <c r="E387" s="91"/>
      <c r="F387" s="80"/>
      <c r="G387" s="91"/>
      <c r="H387" s="91"/>
      <c r="I387" s="81"/>
      <c r="J387" s="81"/>
      <c r="L387" s="36"/>
      <c r="M387" s="36"/>
      <c r="N387" s="36"/>
      <c r="Y387" s="36"/>
      <c r="Z387" s="36"/>
    </row>
    <row r="388" spans="2:26">
      <c r="B388" s="91"/>
      <c r="C388" s="36"/>
      <c r="D388" s="91"/>
      <c r="E388" s="91"/>
      <c r="F388" s="80"/>
      <c r="G388" s="91"/>
      <c r="H388" s="91"/>
      <c r="I388" s="81"/>
      <c r="J388" s="81"/>
      <c r="L388" s="36"/>
      <c r="M388" s="36"/>
      <c r="N388" s="36"/>
      <c r="Y388" s="36"/>
      <c r="Z388" s="36"/>
    </row>
    <row r="389" spans="2:26">
      <c r="B389" s="91"/>
      <c r="C389" s="36"/>
      <c r="D389" s="91"/>
      <c r="E389" s="91"/>
      <c r="F389" s="80"/>
      <c r="G389" s="91"/>
      <c r="H389" s="91"/>
      <c r="I389" s="81"/>
      <c r="J389" s="81"/>
      <c r="L389" s="36"/>
      <c r="M389" s="36"/>
      <c r="N389" s="36"/>
      <c r="Y389" s="36"/>
      <c r="Z389" s="36"/>
    </row>
    <row r="390" spans="2:26">
      <c r="B390" s="91"/>
      <c r="C390" s="36"/>
      <c r="D390" s="91"/>
      <c r="E390" s="91"/>
      <c r="F390" s="80"/>
      <c r="G390" s="91"/>
      <c r="H390" s="91"/>
      <c r="I390" s="81"/>
      <c r="J390" s="81"/>
      <c r="L390" s="36"/>
      <c r="M390" s="36"/>
      <c r="N390" s="36"/>
      <c r="Y390" s="36"/>
      <c r="Z390" s="36"/>
    </row>
    <row r="391" spans="2:26">
      <c r="B391" s="91"/>
      <c r="C391" s="36"/>
      <c r="D391" s="91"/>
      <c r="E391" s="91"/>
      <c r="F391" s="80"/>
      <c r="G391" s="91"/>
      <c r="H391" s="91"/>
      <c r="I391" s="81"/>
      <c r="J391" s="81"/>
      <c r="L391" s="36"/>
      <c r="M391" s="36"/>
      <c r="N391" s="36"/>
      <c r="Y391" s="36"/>
      <c r="Z391" s="36"/>
    </row>
    <row r="392" spans="2:26">
      <c r="B392" s="91"/>
      <c r="C392" s="36"/>
      <c r="D392" s="91"/>
      <c r="E392" s="91"/>
      <c r="F392" s="80"/>
      <c r="G392" s="91"/>
      <c r="H392" s="91"/>
      <c r="I392" s="81"/>
      <c r="J392" s="81"/>
      <c r="L392" s="36"/>
      <c r="M392" s="36"/>
      <c r="N392" s="36"/>
      <c r="Y392" s="36"/>
      <c r="Z392" s="36"/>
    </row>
    <row r="393" spans="2:26">
      <c r="B393" s="91"/>
      <c r="C393" s="36"/>
      <c r="D393" s="91"/>
      <c r="E393" s="91"/>
      <c r="F393" s="80"/>
      <c r="G393" s="91"/>
      <c r="H393" s="91"/>
      <c r="I393" s="81"/>
      <c r="J393" s="81"/>
      <c r="L393" s="36"/>
      <c r="M393" s="36"/>
      <c r="N393" s="36"/>
      <c r="Y393" s="36"/>
      <c r="Z393" s="36"/>
    </row>
    <row r="394" spans="2:26">
      <c r="B394" s="91"/>
      <c r="C394" s="36"/>
      <c r="D394" s="91"/>
      <c r="E394" s="91"/>
      <c r="F394" s="80"/>
      <c r="G394" s="91"/>
      <c r="H394" s="91"/>
      <c r="I394" s="81"/>
      <c r="J394" s="81"/>
      <c r="L394" s="36"/>
      <c r="M394" s="36"/>
      <c r="N394" s="36"/>
      <c r="Y394" s="36"/>
      <c r="Z394" s="36"/>
    </row>
    <row r="395" spans="2:26">
      <c r="B395" s="91"/>
      <c r="C395" s="36"/>
      <c r="D395" s="91"/>
      <c r="E395" s="91"/>
      <c r="F395" s="80"/>
      <c r="G395" s="91"/>
      <c r="H395" s="91"/>
      <c r="I395" s="81"/>
      <c r="J395" s="81"/>
      <c r="L395" s="36"/>
      <c r="M395" s="36"/>
      <c r="N395" s="36"/>
      <c r="Y395" s="36"/>
      <c r="Z395" s="36"/>
    </row>
    <row r="396" spans="2:26">
      <c r="B396" s="91"/>
      <c r="C396" s="36"/>
      <c r="D396" s="91"/>
      <c r="E396" s="91"/>
      <c r="F396" s="80"/>
      <c r="G396" s="91"/>
      <c r="H396" s="91"/>
      <c r="I396" s="81"/>
      <c r="J396" s="81"/>
      <c r="L396" s="36"/>
      <c r="M396" s="36"/>
      <c r="N396" s="36"/>
      <c r="Y396" s="36"/>
      <c r="Z396" s="36"/>
    </row>
    <row r="397" spans="2:26">
      <c r="B397" s="91"/>
      <c r="C397" s="36"/>
      <c r="D397" s="91"/>
      <c r="E397" s="91"/>
      <c r="F397" s="80"/>
      <c r="G397" s="91"/>
      <c r="H397" s="91"/>
      <c r="I397" s="81"/>
      <c r="J397" s="81"/>
      <c r="L397" s="36"/>
      <c r="M397" s="36"/>
      <c r="N397" s="36"/>
      <c r="Y397" s="36"/>
      <c r="Z397" s="36"/>
    </row>
    <row r="398" spans="2:26">
      <c r="B398" s="91"/>
      <c r="C398" s="36"/>
      <c r="D398" s="91"/>
      <c r="E398" s="91"/>
      <c r="F398" s="80"/>
      <c r="G398" s="91"/>
      <c r="H398" s="91"/>
      <c r="I398" s="81"/>
      <c r="J398" s="81"/>
      <c r="L398" s="36"/>
      <c r="M398" s="36"/>
      <c r="N398" s="36"/>
      <c r="Y398" s="36"/>
      <c r="Z398" s="36"/>
    </row>
    <row r="399" spans="2:26">
      <c r="B399" s="91"/>
      <c r="C399" s="36"/>
      <c r="D399" s="91"/>
      <c r="E399" s="91"/>
      <c r="F399" s="80"/>
      <c r="G399" s="91"/>
      <c r="H399" s="91"/>
      <c r="I399" s="81"/>
      <c r="J399" s="81"/>
      <c r="L399" s="36"/>
      <c r="M399" s="36"/>
      <c r="N399" s="36"/>
      <c r="Y399" s="36"/>
      <c r="Z399" s="36"/>
    </row>
    <row r="400" spans="2:26">
      <c r="B400" s="91"/>
      <c r="C400" s="36"/>
      <c r="D400" s="91"/>
      <c r="E400" s="91"/>
      <c r="F400" s="80"/>
      <c r="G400" s="91"/>
      <c r="H400" s="91"/>
      <c r="I400" s="81"/>
      <c r="J400" s="81"/>
      <c r="L400" s="36"/>
      <c r="M400" s="36"/>
      <c r="N400" s="36"/>
      <c r="Y400" s="36"/>
      <c r="Z400" s="36"/>
    </row>
    <row r="401" spans="2:26">
      <c r="B401" s="91"/>
      <c r="C401" s="36"/>
      <c r="D401" s="91"/>
      <c r="E401" s="91"/>
      <c r="F401" s="80"/>
      <c r="G401" s="91"/>
      <c r="H401" s="91"/>
      <c r="I401" s="81"/>
      <c r="J401" s="81"/>
      <c r="L401" s="36"/>
      <c r="M401" s="36"/>
      <c r="N401" s="36"/>
      <c r="Y401" s="36"/>
      <c r="Z401" s="36"/>
    </row>
    <row r="402" spans="2:26">
      <c r="B402" s="91"/>
      <c r="C402" s="36"/>
      <c r="D402" s="91"/>
      <c r="E402" s="91"/>
      <c r="F402" s="80"/>
      <c r="G402" s="91"/>
      <c r="H402" s="91"/>
      <c r="I402" s="81"/>
      <c r="J402" s="81"/>
      <c r="L402" s="36"/>
      <c r="M402" s="36"/>
      <c r="N402" s="36"/>
      <c r="Y402" s="36"/>
      <c r="Z402" s="36"/>
    </row>
    <row r="403" spans="2:26">
      <c r="B403" s="91"/>
      <c r="C403" s="36"/>
      <c r="D403" s="91"/>
      <c r="E403" s="91"/>
      <c r="F403" s="80"/>
      <c r="G403" s="91"/>
      <c r="H403" s="91"/>
      <c r="I403" s="81"/>
      <c r="J403" s="81"/>
      <c r="L403" s="36"/>
      <c r="M403" s="36"/>
      <c r="N403" s="36"/>
      <c r="Y403" s="36"/>
      <c r="Z403" s="36"/>
    </row>
    <row r="404" spans="2:26">
      <c r="B404" s="91"/>
      <c r="C404" s="36"/>
      <c r="D404" s="91"/>
      <c r="E404" s="91"/>
      <c r="F404" s="80"/>
      <c r="G404" s="91"/>
      <c r="H404" s="91"/>
      <c r="I404" s="81"/>
      <c r="J404" s="81"/>
      <c r="L404" s="36"/>
      <c r="M404" s="36"/>
      <c r="N404" s="36"/>
      <c r="Y404" s="36"/>
      <c r="Z404" s="36"/>
    </row>
    <row r="405" spans="2:26">
      <c r="B405" s="91"/>
      <c r="C405" s="36"/>
      <c r="D405" s="91"/>
      <c r="E405" s="91"/>
      <c r="F405" s="80"/>
      <c r="G405" s="91"/>
      <c r="H405" s="91"/>
      <c r="I405" s="81"/>
      <c r="J405" s="81"/>
      <c r="L405" s="36"/>
      <c r="M405" s="36"/>
      <c r="N405" s="36"/>
      <c r="Y405" s="36"/>
      <c r="Z405" s="36"/>
    </row>
    <row r="406" spans="2:26">
      <c r="B406" s="91"/>
      <c r="C406" s="36"/>
      <c r="D406" s="91"/>
      <c r="E406" s="91"/>
      <c r="F406" s="80"/>
      <c r="G406" s="91"/>
      <c r="H406" s="91"/>
      <c r="I406" s="81"/>
      <c r="J406" s="81"/>
      <c r="L406" s="36"/>
      <c r="M406" s="36"/>
      <c r="N406" s="36"/>
      <c r="Y406" s="36"/>
      <c r="Z406" s="36"/>
    </row>
    <row r="407" spans="2:26">
      <c r="B407" s="91"/>
      <c r="C407" s="36"/>
      <c r="D407" s="91"/>
      <c r="E407" s="91"/>
      <c r="F407" s="80"/>
      <c r="G407" s="91"/>
      <c r="H407" s="91"/>
      <c r="I407" s="81"/>
      <c r="J407" s="81"/>
      <c r="L407" s="36"/>
      <c r="M407" s="36"/>
      <c r="N407" s="36"/>
      <c r="Y407" s="36"/>
      <c r="Z407" s="36"/>
    </row>
    <row r="408" spans="2:26">
      <c r="B408" s="91"/>
      <c r="C408" s="36"/>
      <c r="D408" s="91"/>
      <c r="E408" s="91"/>
      <c r="F408" s="80"/>
      <c r="G408" s="91"/>
      <c r="H408" s="91"/>
      <c r="I408" s="81"/>
      <c r="J408" s="81"/>
      <c r="L408" s="36"/>
      <c r="M408" s="36"/>
      <c r="N408" s="36"/>
      <c r="Y408" s="36"/>
      <c r="Z408" s="36"/>
    </row>
    <row r="409" spans="2:26">
      <c r="B409" s="91"/>
      <c r="C409" s="36"/>
      <c r="D409" s="91"/>
      <c r="E409" s="91"/>
      <c r="F409" s="80"/>
      <c r="G409" s="91"/>
      <c r="H409" s="91"/>
      <c r="I409" s="81"/>
      <c r="J409" s="81"/>
      <c r="L409" s="36"/>
      <c r="M409" s="36"/>
      <c r="N409" s="36"/>
      <c r="Y409" s="36"/>
      <c r="Z409" s="36"/>
    </row>
    <row r="410" spans="2:26">
      <c r="B410" s="91"/>
      <c r="C410" s="36"/>
      <c r="D410" s="91"/>
      <c r="E410" s="91"/>
      <c r="F410" s="80"/>
      <c r="G410" s="91"/>
      <c r="H410" s="91"/>
      <c r="I410" s="81"/>
      <c r="J410" s="81"/>
      <c r="L410" s="36"/>
      <c r="M410" s="36"/>
      <c r="N410" s="36"/>
      <c r="Y410" s="36"/>
      <c r="Z410" s="36"/>
    </row>
    <row r="411" spans="2:26">
      <c r="B411" s="91"/>
      <c r="C411" s="36"/>
      <c r="D411" s="91"/>
      <c r="E411" s="91"/>
      <c r="F411" s="80"/>
      <c r="G411" s="91"/>
      <c r="H411" s="91"/>
      <c r="I411" s="81"/>
      <c r="J411" s="81"/>
      <c r="L411" s="36"/>
      <c r="M411" s="36"/>
      <c r="N411" s="36"/>
      <c r="Y411" s="36"/>
      <c r="Z411" s="36"/>
    </row>
    <row r="412" spans="2:26">
      <c r="B412" s="91"/>
      <c r="C412" s="36"/>
      <c r="D412" s="91"/>
      <c r="E412" s="91"/>
      <c r="F412" s="80"/>
      <c r="G412" s="91"/>
      <c r="H412" s="91"/>
      <c r="I412" s="81"/>
      <c r="J412" s="81"/>
      <c r="L412" s="36"/>
      <c r="M412" s="36"/>
      <c r="N412" s="36"/>
      <c r="Y412" s="36"/>
      <c r="Z412" s="36"/>
    </row>
    <row r="413" spans="2:26">
      <c r="B413" s="91"/>
      <c r="C413" s="36"/>
      <c r="D413" s="91"/>
      <c r="E413" s="91"/>
      <c r="F413" s="80"/>
      <c r="G413" s="91"/>
      <c r="H413" s="91"/>
      <c r="I413" s="81"/>
      <c r="J413" s="81"/>
      <c r="L413" s="36"/>
      <c r="M413" s="36"/>
      <c r="N413" s="36"/>
      <c r="Y413" s="36"/>
      <c r="Z413" s="36"/>
    </row>
    <row r="414" spans="2:26">
      <c r="B414" s="91"/>
      <c r="C414" s="36"/>
      <c r="D414" s="91"/>
      <c r="E414" s="91"/>
      <c r="F414" s="80"/>
      <c r="G414" s="91"/>
      <c r="H414" s="91"/>
      <c r="I414" s="81"/>
      <c r="J414" s="81"/>
      <c r="L414" s="36"/>
      <c r="M414" s="36"/>
      <c r="N414" s="36"/>
      <c r="Y414" s="36"/>
      <c r="Z414" s="36"/>
    </row>
    <row r="415" spans="2:26">
      <c r="B415" s="91"/>
      <c r="C415" s="36"/>
      <c r="D415" s="91"/>
      <c r="E415" s="91"/>
      <c r="F415" s="80"/>
      <c r="G415" s="91"/>
      <c r="H415" s="91"/>
      <c r="I415" s="81"/>
      <c r="J415" s="81"/>
      <c r="L415" s="36"/>
      <c r="M415" s="36"/>
      <c r="N415" s="36"/>
      <c r="Y415" s="36"/>
      <c r="Z415" s="36"/>
    </row>
    <row r="416" spans="2:26">
      <c r="B416" s="91"/>
      <c r="C416" s="36"/>
      <c r="D416" s="91"/>
      <c r="E416" s="91"/>
      <c r="F416" s="80"/>
      <c r="G416" s="91"/>
      <c r="H416" s="91"/>
      <c r="I416" s="81"/>
      <c r="J416" s="81"/>
      <c r="L416" s="36"/>
      <c r="M416" s="36"/>
      <c r="N416" s="36"/>
      <c r="Y416" s="36"/>
      <c r="Z416" s="36"/>
    </row>
    <row r="417" spans="2:26">
      <c r="B417" s="91"/>
      <c r="C417" s="36"/>
      <c r="D417" s="91"/>
      <c r="E417" s="91"/>
      <c r="F417" s="80"/>
      <c r="G417" s="91"/>
      <c r="H417" s="91"/>
      <c r="I417" s="81"/>
      <c r="J417" s="81"/>
      <c r="L417" s="36"/>
      <c r="M417" s="36"/>
      <c r="N417" s="36"/>
      <c r="Y417" s="36"/>
      <c r="Z417" s="36"/>
    </row>
    <row r="418" spans="2:26">
      <c r="B418" s="91"/>
      <c r="C418" s="36"/>
      <c r="D418" s="91"/>
      <c r="E418" s="91"/>
      <c r="F418" s="80"/>
      <c r="G418" s="91"/>
      <c r="H418" s="91"/>
      <c r="I418" s="81"/>
      <c r="J418" s="81"/>
      <c r="L418" s="36"/>
      <c r="M418" s="36"/>
      <c r="N418" s="36"/>
      <c r="Y418" s="36"/>
      <c r="Z418" s="36"/>
    </row>
    <row r="419" spans="2:26">
      <c r="B419" s="91"/>
      <c r="C419" s="36"/>
      <c r="D419" s="91"/>
      <c r="E419" s="91"/>
      <c r="F419" s="80"/>
      <c r="G419" s="91"/>
      <c r="H419" s="91"/>
      <c r="I419" s="81"/>
      <c r="J419" s="81"/>
      <c r="L419" s="36"/>
      <c r="M419" s="36"/>
      <c r="N419" s="36"/>
      <c r="Y419" s="36"/>
      <c r="Z419" s="36"/>
    </row>
    <row r="420" spans="2:26">
      <c r="B420" s="91"/>
      <c r="C420" s="36"/>
      <c r="D420" s="91"/>
      <c r="E420" s="91"/>
      <c r="F420" s="80"/>
      <c r="G420" s="91"/>
      <c r="H420" s="91"/>
      <c r="I420" s="81"/>
      <c r="J420" s="81"/>
      <c r="L420" s="36"/>
      <c r="M420" s="36"/>
      <c r="N420" s="36"/>
      <c r="Y420" s="36"/>
      <c r="Z420" s="36"/>
    </row>
    <row r="421" spans="2:26">
      <c r="B421" s="91"/>
      <c r="C421" s="36"/>
      <c r="D421" s="91"/>
      <c r="E421" s="91"/>
      <c r="F421" s="80"/>
      <c r="G421" s="91"/>
      <c r="H421" s="91"/>
      <c r="I421" s="81"/>
      <c r="J421" s="81"/>
      <c r="L421" s="36"/>
      <c r="M421" s="36"/>
      <c r="N421" s="36"/>
      <c r="Y421" s="36"/>
      <c r="Z421" s="36"/>
    </row>
    <row r="422" spans="2:26">
      <c r="B422" s="91"/>
      <c r="C422" s="36"/>
      <c r="D422" s="91"/>
      <c r="E422" s="91"/>
      <c r="F422" s="80"/>
      <c r="G422" s="91"/>
      <c r="H422" s="91"/>
      <c r="I422" s="81"/>
      <c r="J422" s="81"/>
      <c r="L422" s="36"/>
      <c r="M422" s="36"/>
      <c r="N422" s="36"/>
      <c r="Y422" s="36"/>
      <c r="Z422" s="36"/>
    </row>
    <row r="423" spans="2:26">
      <c r="B423" s="91"/>
      <c r="C423" s="36"/>
      <c r="D423" s="91"/>
      <c r="E423" s="91"/>
      <c r="F423" s="80"/>
      <c r="G423" s="91"/>
      <c r="H423" s="91"/>
      <c r="I423" s="81"/>
      <c r="J423" s="81"/>
      <c r="L423" s="36"/>
      <c r="M423" s="36"/>
      <c r="N423" s="36"/>
      <c r="Y423" s="36"/>
      <c r="Z423" s="36"/>
    </row>
    <row r="424" spans="2:26">
      <c r="B424" s="91"/>
      <c r="C424" s="36"/>
      <c r="D424" s="91"/>
      <c r="E424" s="91"/>
      <c r="F424" s="80"/>
      <c r="G424" s="91"/>
      <c r="H424" s="91"/>
      <c r="I424" s="81"/>
      <c r="J424" s="81"/>
      <c r="L424" s="36"/>
      <c r="M424" s="36"/>
      <c r="N424" s="36"/>
      <c r="Y424" s="36"/>
      <c r="Z424" s="36"/>
    </row>
    <row r="425" spans="2:26">
      <c r="B425" s="91"/>
      <c r="C425" s="36"/>
      <c r="D425" s="91"/>
      <c r="E425" s="91"/>
      <c r="F425" s="80"/>
      <c r="G425" s="91"/>
      <c r="H425" s="91"/>
      <c r="I425" s="81"/>
      <c r="J425" s="81"/>
      <c r="L425" s="36"/>
      <c r="M425" s="36"/>
      <c r="N425" s="36"/>
      <c r="Y425" s="36"/>
      <c r="Z425" s="36"/>
    </row>
    <row r="426" spans="2:26">
      <c r="B426" s="91"/>
      <c r="C426" s="36"/>
      <c r="D426" s="91"/>
      <c r="E426" s="91"/>
      <c r="F426" s="80"/>
      <c r="G426" s="91"/>
      <c r="H426" s="91"/>
      <c r="I426" s="81"/>
      <c r="J426" s="81"/>
      <c r="L426" s="36"/>
      <c r="M426" s="36"/>
      <c r="N426" s="36"/>
      <c r="Y426" s="36"/>
      <c r="Z426" s="36"/>
    </row>
    <row r="427" spans="2:26">
      <c r="B427" s="91"/>
      <c r="C427" s="36"/>
      <c r="D427" s="91"/>
      <c r="E427" s="91"/>
      <c r="F427" s="80"/>
      <c r="G427" s="91"/>
      <c r="H427" s="91"/>
      <c r="I427" s="81"/>
      <c r="J427" s="81"/>
      <c r="L427" s="36"/>
      <c r="M427" s="36"/>
      <c r="N427" s="36"/>
      <c r="Y427" s="36"/>
      <c r="Z427" s="36"/>
    </row>
    <row r="428" spans="2:26">
      <c r="B428" s="91"/>
      <c r="C428" s="36"/>
      <c r="D428" s="91"/>
      <c r="E428" s="91"/>
      <c r="F428" s="80"/>
      <c r="G428" s="91"/>
      <c r="H428" s="91"/>
      <c r="I428" s="81"/>
      <c r="J428" s="81"/>
      <c r="L428" s="36"/>
      <c r="M428" s="36"/>
      <c r="N428" s="36"/>
      <c r="Y428" s="36"/>
      <c r="Z428" s="36"/>
    </row>
    <row r="429" spans="2:26">
      <c r="B429" s="91"/>
      <c r="C429" s="36"/>
      <c r="D429" s="91"/>
      <c r="E429" s="91"/>
      <c r="F429" s="80"/>
      <c r="G429" s="91"/>
      <c r="H429" s="91"/>
      <c r="I429" s="81"/>
      <c r="J429" s="81"/>
      <c r="L429" s="36"/>
      <c r="M429" s="36"/>
      <c r="N429" s="36"/>
      <c r="Y429" s="36"/>
      <c r="Z429" s="36"/>
    </row>
    <row r="430" spans="2:26">
      <c r="B430" s="91"/>
      <c r="C430" s="36"/>
      <c r="D430" s="91"/>
      <c r="E430" s="91"/>
      <c r="F430" s="80"/>
      <c r="G430" s="91"/>
      <c r="H430" s="91"/>
      <c r="I430" s="81"/>
      <c r="J430" s="81"/>
      <c r="L430" s="36"/>
      <c r="M430" s="36"/>
      <c r="N430" s="36"/>
      <c r="Y430" s="36"/>
      <c r="Z430" s="36"/>
    </row>
    <row r="431" spans="2:26">
      <c r="B431" s="91"/>
      <c r="C431" s="36"/>
      <c r="D431" s="91"/>
      <c r="E431" s="91"/>
      <c r="F431" s="80"/>
      <c r="G431" s="91"/>
      <c r="H431" s="91"/>
      <c r="I431" s="81"/>
      <c r="J431" s="81"/>
      <c r="L431" s="36"/>
      <c r="M431" s="36"/>
      <c r="N431" s="36"/>
      <c r="Y431" s="36"/>
      <c r="Z431" s="36"/>
    </row>
    <row r="432" spans="2:26">
      <c r="B432" s="91"/>
      <c r="C432" s="36"/>
      <c r="D432" s="91"/>
      <c r="E432" s="91"/>
      <c r="F432" s="80"/>
      <c r="G432" s="91"/>
      <c r="H432" s="91"/>
      <c r="I432" s="81"/>
      <c r="J432" s="81"/>
      <c r="L432" s="36"/>
      <c r="M432" s="36"/>
      <c r="N432" s="36"/>
      <c r="Y432" s="36"/>
      <c r="Z432" s="36"/>
    </row>
    <row r="433" spans="2:26">
      <c r="B433" s="91"/>
      <c r="C433" s="36"/>
      <c r="D433" s="91"/>
      <c r="E433" s="91"/>
      <c r="F433" s="80"/>
      <c r="G433" s="91"/>
      <c r="H433" s="91"/>
      <c r="I433" s="81"/>
      <c r="J433" s="81"/>
      <c r="L433" s="36"/>
      <c r="M433" s="36"/>
      <c r="N433" s="36"/>
      <c r="Y433" s="36"/>
      <c r="Z433" s="36"/>
    </row>
    <row r="434" spans="2:26">
      <c r="B434" s="91"/>
      <c r="C434" s="36"/>
      <c r="D434" s="91"/>
      <c r="E434" s="91"/>
      <c r="F434" s="80"/>
      <c r="G434" s="91"/>
      <c r="H434" s="91"/>
      <c r="I434" s="81"/>
      <c r="J434" s="81"/>
      <c r="L434" s="36"/>
      <c r="M434" s="36"/>
      <c r="N434" s="36"/>
      <c r="Y434" s="36"/>
      <c r="Z434" s="36"/>
    </row>
    <row r="435" spans="2:26">
      <c r="B435" s="91"/>
      <c r="C435" s="36"/>
      <c r="D435" s="91"/>
      <c r="E435" s="91"/>
      <c r="F435" s="80"/>
      <c r="G435" s="91"/>
      <c r="H435" s="91"/>
      <c r="I435" s="81"/>
      <c r="J435" s="81"/>
      <c r="L435" s="36"/>
      <c r="M435" s="36"/>
      <c r="N435" s="36"/>
      <c r="Y435" s="36"/>
      <c r="Z435" s="36"/>
    </row>
    <row r="436" spans="2:26">
      <c r="B436" s="91"/>
      <c r="C436" s="36"/>
      <c r="D436" s="91"/>
      <c r="E436" s="91"/>
      <c r="F436" s="80"/>
      <c r="G436" s="91"/>
      <c r="H436" s="91"/>
      <c r="I436" s="81"/>
      <c r="J436" s="81"/>
      <c r="L436" s="36"/>
      <c r="M436" s="36"/>
      <c r="N436" s="36"/>
      <c r="Y436" s="36"/>
      <c r="Z436" s="36"/>
    </row>
    <row r="437" spans="2:26">
      <c r="B437" s="91"/>
      <c r="C437" s="36"/>
      <c r="D437" s="91"/>
      <c r="E437" s="91"/>
      <c r="F437" s="80"/>
      <c r="G437" s="91"/>
      <c r="H437" s="91"/>
      <c r="I437" s="81"/>
      <c r="J437" s="81"/>
      <c r="L437" s="36"/>
      <c r="M437" s="36"/>
      <c r="N437" s="36"/>
      <c r="Y437" s="36"/>
      <c r="Z437" s="36"/>
    </row>
    <row r="438" spans="2:26">
      <c r="B438" s="91"/>
      <c r="C438" s="36"/>
      <c r="D438" s="91"/>
      <c r="E438" s="91"/>
      <c r="F438" s="80"/>
      <c r="G438" s="91"/>
      <c r="H438" s="91"/>
      <c r="I438" s="81"/>
      <c r="J438" s="81"/>
      <c r="L438" s="36"/>
      <c r="M438" s="36"/>
      <c r="N438" s="36"/>
      <c r="Y438" s="36"/>
      <c r="Z438" s="36"/>
    </row>
    <row r="439" spans="2:26">
      <c r="B439" s="91"/>
      <c r="C439" s="36"/>
      <c r="D439" s="91"/>
      <c r="E439" s="91"/>
      <c r="F439" s="80"/>
      <c r="G439" s="91"/>
      <c r="H439" s="91"/>
      <c r="I439" s="81"/>
      <c r="J439" s="81"/>
      <c r="L439" s="36"/>
      <c r="M439" s="36"/>
      <c r="N439" s="36"/>
      <c r="Y439" s="36"/>
      <c r="Z439" s="36"/>
    </row>
    <row r="440" spans="2:26">
      <c r="B440" s="91"/>
      <c r="C440" s="36"/>
      <c r="D440" s="91"/>
      <c r="E440" s="91"/>
      <c r="F440" s="80"/>
      <c r="G440" s="91"/>
      <c r="H440" s="91"/>
      <c r="I440" s="81"/>
      <c r="J440" s="81"/>
      <c r="L440" s="36"/>
      <c r="M440" s="36"/>
      <c r="N440" s="36"/>
      <c r="Y440" s="36"/>
      <c r="Z440" s="36"/>
    </row>
    <row r="441" spans="2:26">
      <c r="B441" s="91"/>
      <c r="C441" s="36"/>
      <c r="D441" s="91"/>
      <c r="E441" s="91"/>
      <c r="F441" s="80"/>
      <c r="G441" s="91"/>
      <c r="H441" s="91"/>
      <c r="I441" s="81"/>
      <c r="J441" s="81"/>
      <c r="L441" s="36"/>
      <c r="M441" s="36"/>
      <c r="N441" s="36"/>
      <c r="Y441" s="36"/>
      <c r="Z441" s="36"/>
    </row>
    <row r="442" spans="2:26">
      <c r="B442" s="91"/>
      <c r="C442" s="36"/>
      <c r="D442" s="91"/>
      <c r="E442" s="91"/>
      <c r="F442" s="80"/>
      <c r="G442" s="91"/>
      <c r="H442" s="91"/>
      <c r="I442" s="81"/>
      <c r="J442" s="81"/>
      <c r="L442" s="36"/>
      <c r="M442" s="36"/>
      <c r="N442" s="36"/>
      <c r="Y442" s="36"/>
      <c r="Z442" s="36"/>
    </row>
    <row r="443" spans="2:26">
      <c r="B443" s="91"/>
      <c r="C443" s="36"/>
      <c r="D443" s="91"/>
      <c r="E443" s="91"/>
      <c r="F443" s="80"/>
      <c r="G443" s="91"/>
      <c r="H443" s="91"/>
      <c r="I443" s="81"/>
      <c r="J443" s="81"/>
      <c r="L443" s="36"/>
      <c r="M443" s="36"/>
      <c r="N443" s="36"/>
      <c r="Y443" s="36"/>
      <c r="Z443" s="36"/>
    </row>
    <row r="444" spans="2:26">
      <c r="B444" s="91"/>
      <c r="C444" s="36"/>
      <c r="D444" s="91"/>
      <c r="E444" s="91"/>
      <c r="F444" s="80"/>
      <c r="G444" s="91"/>
      <c r="H444" s="91"/>
      <c r="I444" s="81"/>
      <c r="J444" s="81"/>
      <c r="L444" s="36"/>
      <c r="M444" s="36"/>
      <c r="N444" s="36"/>
      <c r="Y444" s="36"/>
      <c r="Z444" s="36"/>
    </row>
    <row r="445" spans="2:26">
      <c r="B445" s="91"/>
      <c r="C445" s="36"/>
      <c r="D445" s="91"/>
      <c r="E445" s="91"/>
      <c r="F445" s="80"/>
      <c r="G445" s="91"/>
      <c r="H445" s="91"/>
      <c r="I445" s="81"/>
      <c r="J445" s="81"/>
      <c r="L445" s="36"/>
      <c r="M445" s="36"/>
      <c r="N445" s="36"/>
      <c r="Y445" s="36"/>
      <c r="Z445" s="36"/>
    </row>
    <row r="446" spans="2:26">
      <c r="B446" s="91"/>
      <c r="C446" s="36"/>
      <c r="D446" s="91"/>
      <c r="E446" s="91"/>
      <c r="F446" s="80"/>
      <c r="G446" s="91"/>
      <c r="H446" s="91"/>
      <c r="I446" s="81"/>
      <c r="J446" s="81"/>
      <c r="L446" s="36"/>
      <c r="M446" s="36"/>
      <c r="N446" s="36"/>
      <c r="Y446" s="36"/>
      <c r="Z446" s="36"/>
    </row>
    <row r="447" spans="2:26">
      <c r="B447" s="91"/>
      <c r="C447" s="36"/>
      <c r="D447" s="91"/>
      <c r="E447" s="91"/>
      <c r="F447" s="80"/>
      <c r="G447" s="91"/>
      <c r="H447" s="91"/>
      <c r="I447" s="81"/>
      <c r="J447" s="81"/>
      <c r="L447" s="36"/>
      <c r="M447" s="36"/>
      <c r="N447" s="36"/>
      <c r="Y447" s="36"/>
      <c r="Z447" s="36"/>
    </row>
    <row r="448" spans="2:26">
      <c r="B448" s="91"/>
      <c r="C448" s="36"/>
      <c r="D448" s="91"/>
      <c r="E448" s="91"/>
      <c r="F448" s="80"/>
      <c r="G448" s="91"/>
      <c r="H448" s="91"/>
      <c r="I448" s="81"/>
      <c r="J448" s="81"/>
      <c r="L448" s="36"/>
      <c r="M448" s="36"/>
      <c r="N448" s="36"/>
      <c r="Y448" s="36"/>
      <c r="Z448" s="36"/>
    </row>
    <row r="449" spans="2:26">
      <c r="B449" s="91"/>
      <c r="C449" s="36"/>
      <c r="D449" s="91"/>
      <c r="E449" s="91"/>
      <c r="F449" s="80"/>
      <c r="G449" s="91"/>
      <c r="H449" s="91"/>
      <c r="I449" s="81"/>
      <c r="J449" s="81"/>
      <c r="L449" s="36"/>
      <c r="M449" s="36"/>
      <c r="N449" s="36"/>
      <c r="Y449" s="36"/>
      <c r="Z449" s="36"/>
    </row>
    <row r="450" spans="2:26">
      <c r="B450" s="91"/>
      <c r="C450" s="36"/>
      <c r="D450" s="91"/>
      <c r="E450" s="91"/>
      <c r="F450" s="80"/>
      <c r="G450" s="91"/>
      <c r="H450" s="91"/>
      <c r="I450" s="81"/>
      <c r="J450" s="81"/>
      <c r="L450" s="36"/>
      <c r="M450" s="36"/>
      <c r="N450" s="36"/>
      <c r="Y450" s="36"/>
      <c r="Z450" s="36"/>
    </row>
    <row r="451" spans="2:26">
      <c r="B451" s="91"/>
      <c r="C451" s="36"/>
      <c r="D451" s="91"/>
      <c r="E451" s="91"/>
      <c r="F451" s="80"/>
      <c r="G451" s="91"/>
      <c r="H451" s="91"/>
      <c r="I451" s="81"/>
      <c r="J451" s="81"/>
      <c r="L451" s="36"/>
      <c r="M451" s="36"/>
      <c r="N451" s="36"/>
      <c r="Y451" s="36"/>
      <c r="Z451" s="36"/>
    </row>
    <row r="452" spans="2:26">
      <c r="B452" s="91"/>
      <c r="C452" s="36"/>
      <c r="D452" s="91"/>
      <c r="E452" s="91"/>
      <c r="F452" s="80"/>
      <c r="G452" s="91"/>
      <c r="H452" s="91"/>
      <c r="I452" s="81"/>
      <c r="J452" s="81"/>
      <c r="L452" s="36"/>
      <c r="M452" s="36"/>
      <c r="N452" s="36"/>
      <c r="Y452" s="36"/>
      <c r="Z452" s="36"/>
    </row>
    <row r="453" spans="2:26">
      <c r="B453" s="91"/>
      <c r="C453" s="36"/>
      <c r="D453" s="91"/>
      <c r="E453" s="91"/>
      <c r="F453" s="80"/>
      <c r="G453" s="91"/>
      <c r="H453" s="91"/>
      <c r="I453" s="81"/>
      <c r="J453" s="81"/>
      <c r="L453" s="36"/>
      <c r="M453" s="36"/>
      <c r="N453" s="36"/>
      <c r="Y453" s="36"/>
      <c r="Z453" s="36"/>
    </row>
    <row r="454" spans="2:26">
      <c r="B454" s="91"/>
      <c r="C454" s="36"/>
      <c r="D454" s="91"/>
      <c r="E454" s="91"/>
      <c r="F454" s="80"/>
      <c r="G454" s="91"/>
      <c r="H454" s="91"/>
      <c r="I454" s="81"/>
      <c r="J454" s="81"/>
      <c r="L454" s="36"/>
      <c r="M454" s="36"/>
      <c r="N454" s="36"/>
      <c r="Y454" s="36"/>
      <c r="Z454" s="36"/>
    </row>
    <row r="455" spans="2:26">
      <c r="B455" s="91"/>
      <c r="C455" s="36"/>
      <c r="D455" s="91"/>
      <c r="E455" s="91"/>
      <c r="F455" s="80"/>
      <c r="G455" s="91"/>
      <c r="H455" s="91"/>
      <c r="I455" s="81"/>
      <c r="J455" s="81"/>
      <c r="L455" s="36"/>
      <c r="M455" s="36"/>
      <c r="N455" s="36"/>
      <c r="Y455" s="36"/>
      <c r="Z455" s="36"/>
    </row>
    <row r="456" spans="2:26">
      <c r="B456" s="91"/>
      <c r="C456" s="36"/>
      <c r="D456" s="91"/>
      <c r="E456" s="91"/>
      <c r="F456" s="80"/>
      <c r="G456" s="91"/>
      <c r="H456" s="91"/>
      <c r="I456" s="81"/>
      <c r="J456" s="81"/>
      <c r="L456" s="36"/>
      <c r="M456" s="36"/>
      <c r="N456" s="36"/>
      <c r="Y456" s="36"/>
      <c r="Z456" s="36"/>
    </row>
    <row r="457" spans="2:26">
      <c r="B457" s="91"/>
      <c r="C457" s="36"/>
      <c r="D457" s="91"/>
      <c r="E457" s="91"/>
      <c r="F457" s="80"/>
      <c r="G457" s="91"/>
      <c r="H457" s="91"/>
      <c r="I457" s="81"/>
      <c r="J457" s="81"/>
      <c r="L457" s="36"/>
      <c r="M457" s="36"/>
      <c r="N457" s="36"/>
      <c r="Y457" s="36"/>
      <c r="Z457" s="36"/>
    </row>
    <row r="458" spans="2:26">
      <c r="B458" s="91"/>
      <c r="C458" s="36"/>
      <c r="D458" s="91"/>
      <c r="E458" s="91"/>
      <c r="F458" s="80"/>
      <c r="G458" s="91"/>
      <c r="H458" s="91"/>
      <c r="I458" s="81"/>
      <c r="J458" s="81"/>
      <c r="L458" s="36"/>
      <c r="M458" s="36"/>
      <c r="N458" s="36"/>
      <c r="Y458" s="36"/>
      <c r="Z458" s="36"/>
    </row>
    <row r="459" spans="2:26">
      <c r="B459" s="91"/>
      <c r="C459" s="36"/>
      <c r="D459" s="91"/>
      <c r="E459" s="91"/>
      <c r="F459" s="80"/>
      <c r="G459" s="91"/>
      <c r="H459" s="91"/>
      <c r="I459" s="81"/>
      <c r="J459" s="81"/>
      <c r="L459" s="36"/>
      <c r="M459" s="36"/>
      <c r="N459" s="36"/>
      <c r="Y459" s="36"/>
      <c r="Z459" s="36"/>
    </row>
    <row r="460" spans="2:26">
      <c r="B460" s="91"/>
      <c r="C460" s="36"/>
      <c r="D460" s="91"/>
      <c r="E460" s="91"/>
      <c r="F460" s="80"/>
      <c r="G460" s="91"/>
      <c r="H460" s="91"/>
      <c r="I460" s="81"/>
      <c r="J460" s="81"/>
      <c r="L460" s="36"/>
      <c r="M460" s="36"/>
      <c r="N460" s="36"/>
      <c r="Y460" s="36"/>
      <c r="Z460" s="36"/>
    </row>
    <row r="461" spans="2:26">
      <c r="B461" s="91"/>
      <c r="C461" s="36"/>
      <c r="D461" s="91"/>
      <c r="E461" s="91"/>
      <c r="F461" s="80"/>
      <c r="G461" s="91"/>
      <c r="H461" s="91"/>
      <c r="I461" s="81"/>
      <c r="J461" s="81"/>
      <c r="L461" s="36"/>
      <c r="M461" s="36"/>
      <c r="N461" s="36"/>
      <c r="Y461" s="36"/>
      <c r="Z461" s="36"/>
    </row>
    <row r="462" spans="2:26">
      <c r="B462" s="91"/>
      <c r="C462" s="36"/>
      <c r="D462" s="91"/>
      <c r="E462" s="91"/>
      <c r="F462" s="80"/>
      <c r="G462" s="91"/>
      <c r="H462" s="91"/>
      <c r="I462" s="81"/>
      <c r="J462" s="81"/>
      <c r="L462" s="36"/>
      <c r="M462" s="36"/>
      <c r="N462" s="36"/>
      <c r="Y462" s="36"/>
      <c r="Z462" s="36"/>
    </row>
    <row r="463" spans="2:26">
      <c r="B463" s="91"/>
      <c r="C463" s="36"/>
      <c r="D463" s="91"/>
      <c r="E463" s="91"/>
      <c r="F463" s="80"/>
      <c r="G463" s="91"/>
      <c r="H463" s="91"/>
      <c r="I463" s="81"/>
      <c r="J463" s="81"/>
      <c r="L463" s="36"/>
      <c r="M463" s="36"/>
      <c r="N463" s="36"/>
      <c r="Y463" s="36"/>
      <c r="Z463" s="36"/>
    </row>
    <row r="464" spans="2:26">
      <c r="B464" s="91"/>
      <c r="C464" s="36"/>
      <c r="D464" s="91"/>
      <c r="E464" s="91"/>
      <c r="F464" s="80"/>
      <c r="G464" s="91"/>
      <c r="H464" s="91"/>
      <c r="I464" s="81"/>
      <c r="J464" s="81"/>
      <c r="L464" s="36"/>
      <c r="M464" s="36"/>
      <c r="N464" s="36"/>
      <c r="Y464" s="36"/>
      <c r="Z464" s="36"/>
    </row>
    <row r="465" spans="2:26">
      <c r="B465" s="91"/>
      <c r="C465" s="36"/>
      <c r="D465" s="91"/>
      <c r="E465" s="91"/>
      <c r="F465" s="80"/>
      <c r="G465" s="91"/>
      <c r="H465" s="91"/>
      <c r="I465" s="81"/>
      <c r="J465" s="81"/>
      <c r="L465" s="36"/>
      <c r="M465" s="36"/>
      <c r="N465" s="36"/>
      <c r="Y465" s="36"/>
      <c r="Z465" s="36"/>
    </row>
    <row r="466" spans="2:26">
      <c r="B466" s="91"/>
      <c r="C466" s="36"/>
      <c r="D466" s="91"/>
      <c r="E466" s="91"/>
      <c r="F466" s="80"/>
      <c r="G466" s="91"/>
      <c r="H466" s="91"/>
      <c r="I466" s="81"/>
      <c r="J466" s="81"/>
      <c r="L466" s="36"/>
      <c r="M466" s="36"/>
      <c r="N466" s="36"/>
      <c r="Y466" s="36"/>
      <c r="Z466" s="36"/>
    </row>
    <row r="467" spans="2:26">
      <c r="B467" s="91"/>
      <c r="C467" s="36"/>
      <c r="D467" s="91"/>
      <c r="E467" s="91"/>
      <c r="F467" s="80"/>
      <c r="G467" s="91"/>
      <c r="H467" s="91"/>
      <c r="I467" s="81"/>
      <c r="J467" s="81"/>
      <c r="L467" s="36"/>
      <c r="M467" s="36"/>
      <c r="N467" s="36"/>
      <c r="Y467" s="36"/>
      <c r="Z467" s="36"/>
    </row>
    <row r="468" spans="2:26">
      <c r="B468" s="91"/>
      <c r="C468" s="36"/>
      <c r="D468" s="91"/>
      <c r="E468" s="91"/>
      <c r="F468" s="80"/>
      <c r="G468" s="91"/>
      <c r="H468" s="91"/>
      <c r="I468" s="81"/>
      <c r="J468" s="81"/>
      <c r="L468" s="36"/>
      <c r="M468" s="36"/>
      <c r="N468" s="36"/>
      <c r="Y468" s="36"/>
      <c r="Z468" s="36"/>
    </row>
    <row r="469" spans="2:26">
      <c r="B469" s="91"/>
      <c r="C469" s="36"/>
      <c r="D469" s="91"/>
      <c r="E469" s="91"/>
      <c r="F469" s="80"/>
      <c r="G469" s="91"/>
      <c r="H469" s="91"/>
      <c r="I469" s="81"/>
      <c r="J469" s="81"/>
      <c r="L469" s="36"/>
      <c r="M469" s="36"/>
      <c r="N469" s="36"/>
      <c r="Y469" s="36"/>
      <c r="Z469" s="36"/>
    </row>
    <row r="470" spans="2:26">
      <c r="B470" s="91"/>
      <c r="C470" s="36"/>
      <c r="D470" s="91"/>
      <c r="E470" s="91"/>
      <c r="F470" s="80"/>
      <c r="G470" s="91"/>
      <c r="H470" s="91"/>
      <c r="I470" s="81"/>
      <c r="J470" s="81"/>
      <c r="L470" s="36"/>
      <c r="M470" s="36"/>
      <c r="N470" s="36"/>
      <c r="Y470" s="36"/>
      <c r="Z470" s="36"/>
    </row>
    <row r="471" spans="2:26">
      <c r="B471" s="91"/>
      <c r="C471" s="36"/>
      <c r="D471" s="91"/>
      <c r="E471" s="91"/>
      <c r="F471" s="80"/>
      <c r="G471" s="91"/>
      <c r="H471" s="91"/>
      <c r="I471" s="81"/>
      <c r="J471" s="81"/>
      <c r="L471" s="36"/>
      <c r="M471" s="36"/>
      <c r="N471" s="36"/>
      <c r="Y471" s="36"/>
      <c r="Z471" s="36"/>
    </row>
    <row r="472" spans="2:26">
      <c r="B472" s="91"/>
      <c r="C472" s="36"/>
      <c r="D472" s="91"/>
      <c r="E472" s="91"/>
      <c r="F472" s="80"/>
      <c r="G472" s="91"/>
      <c r="H472" s="91"/>
      <c r="I472" s="81"/>
      <c r="J472" s="81"/>
      <c r="L472" s="36"/>
      <c r="M472" s="36"/>
      <c r="N472" s="36"/>
      <c r="Y472" s="36"/>
      <c r="Z472" s="36"/>
    </row>
    <row r="473" spans="2:26">
      <c r="B473" s="91"/>
      <c r="C473" s="36"/>
      <c r="D473" s="91"/>
      <c r="E473" s="91"/>
      <c r="F473" s="80"/>
      <c r="G473" s="91"/>
      <c r="H473" s="91"/>
      <c r="I473" s="81"/>
      <c r="J473" s="81"/>
      <c r="L473" s="36"/>
      <c r="M473" s="36"/>
      <c r="N473" s="36"/>
      <c r="Y473" s="36"/>
      <c r="Z473" s="36"/>
    </row>
    <row r="474" spans="2:26">
      <c r="B474" s="91"/>
      <c r="C474" s="36"/>
      <c r="D474" s="91"/>
      <c r="E474" s="91"/>
      <c r="F474" s="80"/>
      <c r="G474" s="91"/>
      <c r="H474" s="91"/>
      <c r="I474" s="81"/>
      <c r="J474" s="81"/>
      <c r="L474" s="36"/>
      <c r="M474" s="36"/>
      <c r="N474" s="36"/>
      <c r="Y474" s="36"/>
      <c r="Z474" s="36"/>
    </row>
    <row r="475" spans="2:26">
      <c r="B475" s="91"/>
      <c r="C475" s="36"/>
      <c r="D475" s="91"/>
      <c r="E475" s="91"/>
      <c r="F475" s="80"/>
      <c r="G475" s="91"/>
      <c r="H475" s="91"/>
      <c r="I475" s="81"/>
      <c r="J475" s="81"/>
      <c r="L475" s="36"/>
      <c r="M475" s="36"/>
      <c r="N475" s="36"/>
      <c r="Y475" s="36"/>
      <c r="Z475" s="36"/>
    </row>
    <row r="476" spans="2:26">
      <c r="B476" s="91"/>
      <c r="C476" s="36"/>
      <c r="D476" s="91"/>
      <c r="E476" s="91"/>
      <c r="F476" s="80"/>
      <c r="G476" s="91"/>
      <c r="H476" s="91"/>
      <c r="I476" s="81"/>
      <c r="J476" s="81"/>
      <c r="L476" s="36"/>
      <c r="M476" s="36"/>
      <c r="N476" s="36"/>
      <c r="Y476" s="36"/>
      <c r="Z476" s="36"/>
    </row>
    <row r="477" spans="2:26">
      <c r="B477" s="91"/>
      <c r="C477" s="36"/>
      <c r="D477" s="91"/>
      <c r="E477" s="91"/>
      <c r="F477" s="80"/>
      <c r="G477" s="91"/>
      <c r="H477" s="91"/>
      <c r="I477" s="81"/>
      <c r="J477" s="81"/>
      <c r="L477" s="36"/>
      <c r="M477" s="36"/>
      <c r="N477" s="36"/>
      <c r="Y477" s="36"/>
      <c r="Z477" s="36"/>
    </row>
    <row r="478" spans="2:26">
      <c r="B478" s="91"/>
      <c r="C478" s="36"/>
      <c r="D478" s="91"/>
      <c r="E478" s="91"/>
      <c r="F478" s="80"/>
      <c r="G478" s="91"/>
      <c r="H478" s="91"/>
      <c r="I478" s="81"/>
      <c r="J478" s="81"/>
      <c r="L478" s="36"/>
      <c r="M478" s="36"/>
      <c r="N478" s="36"/>
      <c r="Y478" s="36"/>
      <c r="Z478" s="36"/>
    </row>
    <row r="479" spans="2:26">
      <c r="B479" s="91"/>
      <c r="C479" s="36"/>
      <c r="D479" s="91"/>
      <c r="E479" s="91"/>
      <c r="F479" s="80"/>
      <c r="G479" s="91"/>
      <c r="H479" s="91"/>
      <c r="I479" s="81"/>
      <c r="J479" s="81"/>
      <c r="L479" s="36"/>
      <c r="M479" s="36"/>
      <c r="N479" s="36"/>
      <c r="Y479" s="36"/>
      <c r="Z479" s="36"/>
    </row>
    <row r="480" spans="2:26">
      <c r="B480" s="91"/>
      <c r="C480" s="36"/>
      <c r="D480" s="91"/>
      <c r="E480" s="91"/>
      <c r="F480" s="80"/>
      <c r="G480" s="91"/>
      <c r="H480" s="91"/>
      <c r="I480" s="81"/>
      <c r="J480" s="81"/>
      <c r="L480" s="36"/>
      <c r="M480" s="36"/>
      <c r="N480" s="36"/>
      <c r="Y480" s="36"/>
      <c r="Z480" s="36"/>
    </row>
    <row r="481" spans="2:26">
      <c r="B481" s="91"/>
      <c r="C481" s="36"/>
      <c r="D481" s="91"/>
      <c r="E481" s="91"/>
      <c r="F481" s="80"/>
      <c r="G481" s="91"/>
      <c r="H481" s="91"/>
      <c r="I481" s="81"/>
      <c r="J481" s="81"/>
      <c r="L481" s="36"/>
      <c r="M481" s="36"/>
      <c r="N481" s="36"/>
      <c r="Y481" s="36"/>
      <c r="Z481" s="36"/>
    </row>
    <row r="482" spans="2:26">
      <c r="B482" s="91"/>
      <c r="C482" s="36"/>
      <c r="D482" s="91"/>
      <c r="E482" s="91"/>
      <c r="F482" s="80"/>
      <c r="G482" s="91"/>
      <c r="H482" s="91"/>
      <c r="I482" s="81"/>
      <c r="J482" s="81"/>
      <c r="L482" s="36"/>
      <c r="M482" s="36"/>
      <c r="N482" s="36"/>
      <c r="Y482" s="36"/>
      <c r="Z482" s="36"/>
    </row>
    <row r="483" spans="2:26">
      <c r="B483" s="91"/>
      <c r="C483" s="36"/>
      <c r="D483" s="91"/>
      <c r="E483" s="91"/>
      <c r="F483" s="80"/>
      <c r="G483" s="91"/>
      <c r="H483" s="91"/>
      <c r="I483" s="81"/>
      <c r="J483" s="81"/>
      <c r="L483" s="36"/>
      <c r="M483" s="36"/>
      <c r="N483" s="36"/>
      <c r="Y483" s="36"/>
      <c r="Z483" s="36"/>
    </row>
    <row r="484" spans="2:26">
      <c r="B484" s="91"/>
      <c r="C484" s="36"/>
      <c r="D484" s="91"/>
      <c r="E484" s="91"/>
      <c r="F484" s="80"/>
      <c r="G484" s="91"/>
      <c r="H484" s="91"/>
      <c r="I484" s="81"/>
      <c r="J484" s="81"/>
      <c r="L484" s="36"/>
      <c r="M484" s="36"/>
      <c r="N484" s="36"/>
      <c r="Y484" s="36"/>
      <c r="Z484" s="36"/>
    </row>
    <row r="485" spans="2:26">
      <c r="B485" s="91"/>
      <c r="C485" s="36"/>
      <c r="D485" s="91"/>
      <c r="E485" s="91"/>
      <c r="F485" s="80"/>
      <c r="G485" s="91"/>
      <c r="H485" s="91"/>
      <c r="I485" s="81"/>
      <c r="J485" s="81"/>
      <c r="L485" s="36"/>
      <c r="M485" s="36"/>
      <c r="N485" s="36"/>
      <c r="Y485" s="36"/>
      <c r="Z485" s="36"/>
    </row>
    <row r="486" spans="2:26">
      <c r="B486" s="91"/>
      <c r="C486" s="36"/>
      <c r="D486" s="91"/>
      <c r="E486" s="91"/>
      <c r="F486" s="80"/>
      <c r="G486" s="91"/>
      <c r="H486" s="91"/>
      <c r="I486" s="81"/>
      <c r="J486" s="81"/>
      <c r="L486" s="36"/>
      <c r="M486" s="36"/>
      <c r="N486" s="36"/>
      <c r="Y486" s="36"/>
      <c r="Z486" s="36"/>
    </row>
    <row r="487" spans="2:26">
      <c r="B487" s="91"/>
      <c r="C487" s="36"/>
      <c r="D487" s="91"/>
      <c r="E487" s="91"/>
      <c r="F487" s="80"/>
      <c r="G487" s="91"/>
      <c r="H487" s="91"/>
      <c r="I487" s="81"/>
      <c r="J487" s="81"/>
      <c r="L487" s="36"/>
      <c r="M487" s="36"/>
      <c r="N487" s="36"/>
      <c r="Y487" s="36"/>
      <c r="Z487" s="36"/>
    </row>
    <row r="488" spans="2:26">
      <c r="B488" s="91"/>
      <c r="C488" s="36"/>
      <c r="D488" s="91"/>
      <c r="E488" s="91"/>
      <c r="F488" s="80"/>
      <c r="G488" s="91"/>
      <c r="H488" s="91"/>
      <c r="I488" s="81"/>
      <c r="J488" s="81"/>
      <c r="L488" s="36"/>
      <c r="M488" s="36"/>
      <c r="N488" s="36"/>
      <c r="Y488" s="36"/>
      <c r="Z488" s="36"/>
    </row>
    <row r="489" spans="2:26">
      <c r="B489" s="91"/>
      <c r="C489" s="36"/>
      <c r="D489" s="91"/>
      <c r="E489" s="91"/>
      <c r="F489" s="80"/>
      <c r="G489" s="91"/>
      <c r="H489" s="91"/>
      <c r="I489" s="81"/>
      <c r="J489" s="81"/>
      <c r="L489" s="36"/>
      <c r="M489" s="36"/>
      <c r="N489" s="36"/>
      <c r="Y489" s="36"/>
      <c r="Z489" s="36"/>
    </row>
    <row r="490" spans="2:26">
      <c r="B490" s="91"/>
      <c r="C490" s="36"/>
      <c r="D490" s="91"/>
      <c r="E490" s="91"/>
      <c r="F490" s="80"/>
      <c r="G490" s="91"/>
      <c r="H490" s="91"/>
      <c r="I490" s="81"/>
      <c r="J490" s="81"/>
      <c r="L490" s="36"/>
      <c r="M490" s="36"/>
      <c r="N490" s="36"/>
      <c r="Y490" s="36"/>
      <c r="Z490" s="36"/>
    </row>
    <row r="491" spans="2:26">
      <c r="B491" s="91"/>
      <c r="C491" s="36"/>
      <c r="D491" s="91"/>
      <c r="E491" s="91"/>
      <c r="F491" s="80"/>
      <c r="G491" s="91"/>
      <c r="H491" s="91"/>
      <c r="I491" s="81"/>
      <c r="J491" s="81"/>
      <c r="L491" s="36"/>
      <c r="M491" s="36"/>
      <c r="N491" s="36"/>
      <c r="Y491" s="36"/>
      <c r="Z491" s="36"/>
    </row>
    <row r="492" spans="2:26">
      <c r="B492" s="91"/>
      <c r="C492" s="36"/>
      <c r="D492" s="91"/>
      <c r="E492" s="91"/>
      <c r="F492" s="80"/>
      <c r="G492" s="91"/>
      <c r="H492" s="91"/>
      <c r="I492" s="81"/>
      <c r="J492" s="81"/>
      <c r="L492" s="36"/>
      <c r="M492" s="36"/>
      <c r="N492" s="36"/>
      <c r="Y492" s="36"/>
      <c r="Z492" s="36"/>
    </row>
    <row r="493" spans="2:26">
      <c r="B493" s="91"/>
      <c r="C493" s="36"/>
      <c r="D493" s="91"/>
      <c r="E493" s="91"/>
      <c r="F493" s="80"/>
      <c r="G493" s="91"/>
      <c r="H493" s="91"/>
      <c r="I493" s="81"/>
      <c r="J493" s="81"/>
      <c r="L493" s="36"/>
      <c r="M493" s="36"/>
      <c r="N493" s="36"/>
      <c r="Y493" s="36"/>
      <c r="Z493" s="36"/>
    </row>
    <row r="494" spans="2:26">
      <c r="B494" s="91"/>
      <c r="C494" s="36"/>
      <c r="D494" s="91"/>
      <c r="E494" s="91"/>
      <c r="F494" s="80"/>
      <c r="G494" s="91"/>
      <c r="H494" s="91"/>
      <c r="I494" s="81"/>
      <c r="J494" s="81"/>
      <c r="L494" s="36"/>
      <c r="M494" s="36"/>
      <c r="N494" s="36"/>
      <c r="Y494" s="36"/>
      <c r="Z494" s="36"/>
    </row>
    <row r="495" spans="2:26">
      <c r="B495" s="91"/>
      <c r="C495" s="36"/>
      <c r="D495" s="91"/>
      <c r="E495" s="91"/>
      <c r="F495" s="80"/>
      <c r="G495" s="91"/>
      <c r="H495" s="91"/>
      <c r="I495" s="81"/>
      <c r="J495" s="81"/>
      <c r="L495" s="36"/>
      <c r="M495" s="36"/>
      <c r="N495" s="36"/>
      <c r="Y495" s="36"/>
      <c r="Z495" s="36"/>
    </row>
    <row r="496" spans="2:26">
      <c r="B496" s="91"/>
      <c r="C496" s="36"/>
      <c r="D496" s="91"/>
      <c r="E496" s="91"/>
      <c r="F496" s="80"/>
      <c r="G496" s="91"/>
      <c r="H496" s="91"/>
      <c r="I496" s="81"/>
      <c r="J496" s="81"/>
      <c r="L496" s="36"/>
      <c r="M496" s="36"/>
      <c r="N496" s="36"/>
      <c r="Y496" s="36"/>
      <c r="Z496" s="36"/>
    </row>
    <row r="497" spans="2:26">
      <c r="B497" s="91"/>
      <c r="C497" s="36"/>
      <c r="D497" s="91"/>
      <c r="E497" s="91"/>
      <c r="F497" s="80"/>
      <c r="G497" s="91"/>
      <c r="H497" s="91"/>
      <c r="I497" s="81"/>
      <c r="J497" s="81"/>
      <c r="L497" s="36"/>
      <c r="M497" s="36"/>
      <c r="N497" s="36"/>
      <c r="Y497" s="36"/>
      <c r="Z497" s="36"/>
    </row>
    <row r="498" spans="2:26">
      <c r="B498" s="91"/>
      <c r="C498" s="36"/>
      <c r="D498" s="91"/>
      <c r="E498" s="91"/>
      <c r="F498" s="80"/>
      <c r="G498" s="91"/>
      <c r="H498" s="91"/>
      <c r="I498" s="81"/>
      <c r="J498" s="81"/>
      <c r="L498" s="36"/>
      <c r="M498" s="36"/>
      <c r="N498" s="36"/>
      <c r="Y498" s="36"/>
      <c r="Z498" s="36"/>
    </row>
    <row r="499" spans="2:26">
      <c r="B499" s="91"/>
      <c r="C499" s="36"/>
      <c r="D499" s="91"/>
      <c r="E499" s="91"/>
      <c r="F499" s="80"/>
      <c r="G499" s="91"/>
      <c r="H499" s="91"/>
      <c r="I499" s="81"/>
      <c r="J499" s="81"/>
      <c r="L499" s="36"/>
      <c r="M499" s="36"/>
      <c r="N499" s="36"/>
      <c r="Y499" s="36"/>
      <c r="Z499" s="36"/>
    </row>
    <row r="500" spans="2:26">
      <c r="B500" s="91"/>
      <c r="C500" s="36"/>
      <c r="D500" s="91"/>
      <c r="E500" s="91"/>
      <c r="F500" s="80"/>
      <c r="G500" s="91"/>
      <c r="H500" s="91"/>
      <c r="I500" s="81"/>
      <c r="J500" s="81"/>
      <c r="L500" s="36"/>
      <c r="M500" s="36"/>
      <c r="N500" s="36"/>
      <c r="Y500" s="36"/>
      <c r="Z500" s="36"/>
    </row>
    <row r="501" spans="2:26">
      <c r="B501" s="91"/>
      <c r="C501" s="36"/>
      <c r="D501" s="91"/>
      <c r="E501" s="91"/>
      <c r="F501" s="80"/>
      <c r="G501" s="91"/>
      <c r="H501" s="91"/>
      <c r="I501" s="81"/>
      <c r="J501" s="81"/>
      <c r="L501" s="36"/>
      <c r="M501" s="36"/>
      <c r="N501" s="36"/>
      <c r="Y501" s="36"/>
      <c r="Z501" s="36"/>
    </row>
    <row r="502" spans="2:26">
      <c r="B502" s="91"/>
      <c r="C502" s="36"/>
      <c r="D502" s="91"/>
      <c r="E502" s="91"/>
      <c r="F502" s="80"/>
      <c r="G502" s="91"/>
      <c r="H502" s="91"/>
      <c r="I502" s="81"/>
      <c r="J502" s="81"/>
      <c r="L502" s="36"/>
      <c r="M502" s="36"/>
      <c r="N502" s="36"/>
      <c r="Y502" s="36"/>
      <c r="Z502" s="36"/>
    </row>
    <row r="503" spans="2:26">
      <c r="B503" s="91"/>
      <c r="C503" s="36"/>
      <c r="D503" s="91"/>
      <c r="E503" s="91"/>
      <c r="F503" s="80"/>
      <c r="G503" s="91"/>
      <c r="H503" s="91"/>
      <c r="N503" s="36"/>
    </row>
    <row r="504" spans="2:26">
      <c r="B504" s="91"/>
      <c r="C504" s="36"/>
      <c r="D504" s="91"/>
      <c r="E504" s="91"/>
      <c r="F504" s="80"/>
      <c r="G504" s="91"/>
      <c r="H504" s="91"/>
    </row>
    <row r="505" spans="2:26">
      <c r="B505" s="91"/>
      <c r="C505" s="36"/>
      <c r="D505" s="91"/>
      <c r="E505" s="91"/>
      <c r="F505" s="80"/>
      <c r="G505" s="91"/>
      <c r="H505" s="91"/>
    </row>
    <row r="506" spans="2:26">
      <c r="B506" s="91"/>
      <c r="C506" s="36"/>
      <c r="D506" s="91"/>
      <c r="E506" s="91"/>
      <c r="F506" s="80"/>
      <c r="G506" s="91"/>
      <c r="H506" s="91"/>
    </row>
    <row r="507" spans="2:26">
      <c r="B507" s="91"/>
      <c r="C507" s="36"/>
      <c r="D507" s="91"/>
      <c r="E507" s="91"/>
      <c r="F507" s="80"/>
      <c r="G507" s="91"/>
      <c r="H507" s="91"/>
    </row>
    <row r="508" spans="2:26">
      <c r="B508" s="91"/>
      <c r="C508" s="36"/>
      <c r="D508" s="91"/>
      <c r="E508" s="91"/>
      <c r="F508" s="80"/>
      <c r="G508" s="91"/>
      <c r="H508" s="91"/>
    </row>
    <row r="509" spans="2:26">
      <c r="B509" s="91"/>
      <c r="C509" s="36"/>
      <c r="D509" s="91"/>
      <c r="E509" s="91"/>
      <c r="F509" s="80"/>
      <c r="G509" s="91"/>
      <c r="H509" s="91"/>
    </row>
    <row r="510" spans="2:26">
      <c r="B510" s="91"/>
      <c r="C510" s="36"/>
      <c r="D510" s="91"/>
      <c r="E510" s="91"/>
      <c r="F510" s="80"/>
      <c r="G510" s="91"/>
      <c r="H510" s="91"/>
    </row>
    <row r="511" spans="2:26">
      <c r="B511" s="91"/>
      <c r="C511" s="36"/>
      <c r="D511" s="91"/>
      <c r="E511" s="91"/>
      <c r="F511" s="80"/>
      <c r="G511" s="91"/>
      <c r="H511" s="91"/>
    </row>
    <row r="512" spans="2:26">
      <c r="B512" s="91"/>
      <c r="C512" s="36"/>
      <c r="D512" s="91"/>
      <c r="E512" s="91"/>
      <c r="F512" s="80"/>
      <c r="G512" s="91"/>
      <c r="H512" s="91"/>
    </row>
    <row r="513" spans="2:8">
      <c r="B513" s="91"/>
      <c r="C513" s="36"/>
      <c r="D513" s="91"/>
      <c r="E513" s="91"/>
      <c r="F513" s="80"/>
      <c r="G513" s="91"/>
      <c r="H513" s="91"/>
    </row>
    <row r="514" spans="2:8">
      <c r="B514" s="91"/>
      <c r="C514" s="36"/>
      <c r="D514" s="91"/>
      <c r="E514" s="91"/>
      <c r="F514" s="80"/>
      <c r="G514" s="91"/>
      <c r="H514" s="91"/>
    </row>
    <row r="515" spans="2:8">
      <c r="B515" s="91"/>
      <c r="C515" s="36"/>
      <c r="D515" s="91"/>
      <c r="E515" s="91"/>
      <c r="F515" s="80"/>
      <c r="G515" s="91"/>
      <c r="H515" s="91"/>
    </row>
    <row r="516" spans="2:8">
      <c r="B516" s="91"/>
      <c r="C516" s="36"/>
      <c r="D516" s="91"/>
      <c r="E516" s="91"/>
      <c r="F516" s="80"/>
      <c r="G516" s="91"/>
      <c r="H516" s="91"/>
    </row>
    <row r="517" spans="2:8">
      <c r="B517" s="91"/>
      <c r="C517" s="36"/>
      <c r="D517" s="91"/>
      <c r="E517" s="91"/>
      <c r="F517" s="80"/>
      <c r="G517" s="91"/>
      <c r="H517" s="91"/>
    </row>
    <row r="518" spans="2:8">
      <c r="B518" s="91"/>
      <c r="C518" s="36"/>
      <c r="D518" s="91"/>
      <c r="E518" s="91"/>
      <c r="F518" s="80"/>
      <c r="G518" s="91"/>
      <c r="H518" s="91"/>
    </row>
    <row r="519" spans="2:8">
      <c r="B519" s="91"/>
      <c r="C519" s="36"/>
      <c r="D519" s="91"/>
      <c r="E519" s="91"/>
      <c r="F519" s="80"/>
      <c r="G519" s="91"/>
      <c r="H519" s="91"/>
    </row>
    <row r="520" spans="2:8">
      <c r="B520" s="91"/>
      <c r="C520" s="36"/>
      <c r="D520" s="91"/>
      <c r="E520" s="91"/>
      <c r="F520" s="80"/>
      <c r="G520" s="91"/>
      <c r="H520" s="91"/>
    </row>
    <row r="521" spans="2:8">
      <c r="B521" s="91"/>
      <c r="C521" s="36"/>
      <c r="D521" s="91"/>
      <c r="E521" s="91"/>
      <c r="F521" s="80"/>
      <c r="G521" s="91"/>
      <c r="H521" s="91"/>
    </row>
    <row r="522" spans="2:8">
      <c r="B522" s="91"/>
      <c r="C522" s="36"/>
      <c r="D522" s="91"/>
      <c r="E522" s="91"/>
      <c r="F522" s="80"/>
      <c r="G522" s="91"/>
      <c r="H522" s="91"/>
    </row>
    <row r="523" spans="2:8">
      <c r="B523" s="91"/>
      <c r="C523" s="36"/>
      <c r="D523" s="91"/>
      <c r="E523" s="91"/>
      <c r="F523" s="80"/>
      <c r="G523" s="91"/>
      <c r="H523" s="91"/>
    </row>
    <row r="524" spans="2:8">
      <c r="B524" s="91"/>
      <c r="C524" s="36"/>
      <c r="D524" s="91"/>
      <c r="E524" s="91"/>
      <c r="F524" s="80"/>
      <c r="G524" s="91"/>
      <c r="H524" s="91"/>
    </row>
    <row r="525" spans="2:8">
      <c r="B525" s="91"/>
      <c r="C525" s="36"/>
      <c r="D525" s="91"/>
      <c r="E525" s="91"/>
      <c r="F525" s="80"/>
      <c r="G525" s="91"/>
      <c r="H525" s="91"/>
    </row>
    <row r="526" spans="2:8">
      <c r="B526" s="91"/>
      <c r="C526" s="36"/>
      <c r="D526" s="91"/>
      <c r="E526" s="91"/>
      <c r="F526" s="80"/>
      <c r="G526" s="91"/>
      <c r="H526" s="91"/>
    </row>
    <row r="527" spans="2:8">
      <c r="B527" s="91"/>
      <c r="C527" s="36"/>
      <c r="D527" s="91"/>
      <c r="E527" s="91"/>
      <c r="F527" s="80"/>
      <c r="G527" s="91"/>
      <c r="H527" s="91"/>
    </row>
    <row r="528" spans="2:8">
      <c r="B528" s="91"/>
      <c r="C528" s="36"/>
      <c r="D528" s="91"/>
      <c r="E528" s="91"/>
      <c r="F528" s="80"/>
      <c r="G528" s="91"/>
      <c r="H528" s="91"/>
    </row>
    <row r="529" spans="2:8">
      <c r="B529" s="91"/>
      <c r="C529" s="36"/>
      <c r="D529" s="91"/>
      <c r="E529" s="91"/>
      <c r="F529" s="80"/>
      <c r="G529" s="91"/>
      <c r="H529" s="91"/>
    </row>
    <row r="530" spans="2:8">
      <c r="B530" s="91"/>
      <c r="C530" s="36"/>
      <c r="D530" s="91"/>
      <c r="E530" s="91"/>
      <c r="F530" s="80"/>
      <c r="G530" s="91"/>
      <c r="H530" s="91"/>
    </row>
    <row r="531" spans="2:8">
      <c r="B531" s="91"/>
      <c r="C531" s="36"/>
      <c r="D531" s="91"/>
      <c r="E531" s="91"/>
      <c r="F531" s="80"/>
      <c r="G531" s="91"/>
      <c r="H531" s="91"/>
    </row>
    <row r="532" spans="2:8">
      <c r="B532" s="91"/>
      <c r="C532" s="36"/>
      <c r="D532" s="91"/>
      <c r="E532" s="91"/>
      <c r="F532" s="80"/>
      <c r="G532" s="91"/>
      <c r="H532" s="91"/>
    </row>
    <row r="533" spans="2:8">
      <c r="B533" s="91"/>
      <c r="C533" s="36"/>
      <c r="D533" s="91"/>
      <c r="E533" s="91"/>
      <c r="F533" s="80"/>
      <c r="G533" s="91"/>
      <c r="H533" s="91"/>
    </row>
    <row r="534" spans="2:8">
      <c r="B534" s="91"/>
      <c r="C534" s="36"/>
      <c r="D534" s="91"/>
      <c r="E534" s="91"/>
      <c r="F534" s="80"/>
      <c r="G534" s="91"/>
      <c r="H534" s="91"/>
    </row>
    <row r="535" spans="2:8">
      <c r="B535" s="91"/>
      <c r="C535" s="36"/>
      <c r="D535" s="91"/>
      <c r="E535" s="91"/>
      <c r="F535" s="80"/>
      <c r="G535" s="91"/>
      <c r="H535" s="91"/>
    </row>
    <row r="536" spans="2:8">
      <c r="B536" s="91"/>
      <c r="C536" s="36"/>
      <c r="D536" s="91"/>
      <c r="E536" s="91"/>
      <c r="F536" s="80"/>
      <c r="G536" s="91"/>
      <c r="H536" s="91"/>
    </row>
    <row r="537" spans="2:8">
      <c r="B537" s="91"/>
      <c r="C537" s="36"/>
      <c r="D537" s="91"/>
      <c r="E537" s="91"/>
      <c r="F537" s="80"/>
      <c r="G537" s="91"/>
      <c r="H537" s="91"/>
    </row>
    <row r="538" spans="2:8">
      <c r="B538" s="91"/>
      <c r="C538" s="36"/>
      <c r="D538" s="91"/>
      <c r="E538" s="91"/>
      <c r="F538" s="80"/>
      <c r="G538" s="91"/>
      <c r="H538" s="91"/>
    </row>
    <row r="539" spans="2:8">
      <c r="B539" s="91"/>
      <c r="C539" s="36"/>
      <c r="D539" s="91"/>
      <c r="E539" s="91"/>
      <c r="F539" s="80"/>
      <c r="G539" s="91"/>
      <c r="H539" s="91"/>
    </row>
    <row r="540" spans="2:8">
      <c r="B540" s="91"/>
      <c r="C540" s="36"/>
      <c r="D540" s="91"/>
      <c r="E540" s="91"/>
      <c r="F540" s="80"/>
      <c r="G540" s="91"/>
      <c r="H540" s="91"/>
    </row>
    <row r="541" spans="2:8">
      <c r="B541" s="91"/>
      <c r="C541" s="36"/>
      <c r="D541" s="91"/>
      <c r="E541" s="91"/>
      <c r="F541" s="80"/>
      <c r="G541" s="91"/>
      <c r="H541" s="91"/>
    </row>
    <row r="542" spans="2:8">
      <c r="B542" s="91"/>
      <c r="C542" s="36"/>
      <c r="D542" s="91"/>
      <c r="E542" s="91"/>
      <c r="F542" s="80"/>
      <c r="G542" s="91"/>
      <c r="H542" s="91"/>
    </row>
    <row r="543" spans="2:8">
      <c r="B543" s="91"/>
      <c r="C543" s="36"/>
      <c r="D543" s="91"/>
      <c r="E543" s="91"/>
      <c r="F543" s="80"/>
      <c r="G543" s="91"/>
      <c r="H543" s="91"/>
    </row>
    <row r="544" spans="2:8">
      <c r="B544" s="91"/>
      <c r="C544" s="36"/>
      <c r="D544" s="91"/>
      <c r="E544" s="91"/>
      <c r="F544" s="80"/>
      <c r="G544" s="91"/>
      <c r="H544" s="91"/>
    </row>
    <row r="545" spans="2:8">
      <c r="B545" s="91"/>
      <c r="C545" s="36"/>
      <c r="D545" s="91"/>
      <c r="E545" s="91"/>
      <c r="F545" s="80"/>
      <c r="G545" s="91"/>
      <c r="H545" s="91"/>
    </row>
    <row r="546" spans="2:8">
      <c r="B546" s="91"/>
      <c r="C546" s="36"/>
      <c r="D546" s="91"/>
      <c r="E546" s="91"/>
      <c r="F546" s="80"/>
      <c r="G546" s="91"/>
      <c r="H546" s="91"/>
    </row>
    <row r="547" spans="2:8">
      <c r="B547" s="91"/>
      <c r="C547" s="36"/>
      <c r="D547" s="91"/>
      <c r="E547" s="91"/>
      <c r="F547" s="80"/>
      <c r="G547" s="91"/>
      <c r="H547" s="91"/>
    </row>
    <row r="548" spans="2:8">
      <c r="B548" s="91"/>
      <c r="C548" s="36"/>
      <c r="D548" s="91"/>
      <c r="E548" s="91"/>
      <c r="F548" s="80"/>
      <c r="G548" s="91"/>
      <c r="H548" s="91"/>
    </row>
    <row r="549" spans="2:8">
      <c r="B549" s="91"/>
      <c r="C549" s="36"/>
      <c r="D549" s="91"/>
      <c r="E549" s="91"/>
      <c r="F549" s="80"/>
      <c r="G549" s="91"/>
      <c r="H549" s="91"/>
    </row>
    <row r="550" spans="2:8">
      <c r="B550" s="91"/>
      <c r="C550" s="36"/>
      <c r="D550" s="91"/>
      <c r="E550" s="91"/>
      <c r="F550" s="80"/>
      <c r="G550" s="91"/>
      <c r="H550" s="91"/>
    </row>
    <row r="551" spans="2:8">
      <c r="B551" s="91"/>
      <c r="C551" s="36"/>
      <c r="D551" s="91"/>
      <c r="E551" s="91"/>
      <c r="F551" s="80"/>
      <c r="G551" s="91"/>
      <c r="H551" s="91"/>
    </row>
    <row r="552" spans="2:8">
      <c r="B552" s="91"/>
      <c r="C552" s="36"/>
      <c r="D552" s="91"/>
      <c r="E552" s="91"/>
      <c r="F552" s="80"/>
      <c r="G552" s="91"/>
      <c r="H552" s="91"/>
    </row>
    <row r="553" spans="2:8">
      <c r="B553" s="91"/>
      <c r="C553" s="36"/>
      <c r="D553" s="91"/>
      <c r="E553" s="91"/>
      <c r="F553" s="80"/>
      <c r="G553" s="91"/>
      <c r="H553" s="91"/>
    </row>
    <row r="554" spans="2:8">
      <c r="B554" s="91"/>
      <c r="C554" s="36"/>
      <c r="D554" s="91"/>
      <c r="E554" s="91"/>
      <c r="F554" s="80"/>
      <c r="G554" s="91"/>
      <c r="H554" s="91"/>
    </row>
    <row r="555" spans="2:8">
      <c r="B555" s="91"/>
      <c r="C555" s="36"/>
      <c r="D555" s="91"/>
      <c r="E555" s="91"/>
      <c r="F555" s="80"/>
      <c r="G555" s="91"/>
      <c r="H555" s="91"/>
    </row>
    <row r="556" spans="2:8">
      <c r="B556" s="91"/>
      <c r="C556" s="36"/>
      <c r="D556" s="91"/>
      <c r="E556" s="91"/>
      <c r="F556" s="80"/>
      <c r="G556" s="91"/>
      <c r="H556" s="91"/>
    </row>
    <row r="557" spans="2:8">
      <c r="B557" s="91"/>
      <c r="C557" s="36"/>
      <c r="D557" s="91"/>
      <c r="E557" s="91"/>
      <c r="F557" s="80"/>
      <c r="G557" s="91"/>
      <c r="H557" s="91"/>
    </row>
    <row r="558" spans="2:8">
      <c r="B558" s="91"/>
      <c r="C558" s="36"/>
      <c r="D558" s="91"/>
      <c r="E558" s="91"/>
      <c r="F558" s="80"/>
      <c r="G558" s="91"/>
      <c r="H558" s="91"/>
    </row>
    <row r="559" spans="2:8">
      <c r="B559" s="91"/>
      <c r="C559" s="36"/>
      <c r="D559" s="91"/>
      <c r="E559" s="91"/>
      <c r="F559" s="80"/>
      <c r="G559" s="91"/>
      <c r="H559" s="91"/>
    </row>
    <row r="560" spans="2:8">
      <c r="B560" s="91"/>
      <c r="C560" s="36"/>
      <c r="D560" s="91"/>
      <c r="E560" s="91"/>
      <c r="F560" s="80"/>
      <c r="G560" s="91"/>
      <c r="H560" s="91"/>
    </row>
    <row r="561" spans="2:8">
      <c r="B561" s="91"/>
      <c r="C561" s="36"/>
      <c r="D561" s="91"/>
      <c r="E561" s="91"/>
      <c r="F561" s="80"/>
      <c r="G561" s="91"/>
      <c r="H561" s="91"/>
    </row>
    <row r="562" spans="2:8">
      <c r="B562" s="91"/>
      <c r="C562" s="36"/>
      <c r="D562" s="91"/>
      <c r="E562" s="91"/>
      <c r="F562" s="80"/>
      <c r="G562" s="91"/>
      <c r="H562" s="91"/>
    </row>
    <row r="563" spans="2:8">
      <c r="B563" s="91"/>
      <c r="C563" s="36"/>
      <c r="D563" s="91"/>
      <c r="E563" s="91"/>
      <c r="F563" s="80"/>
      <c r="G563" s="91"/>
      <c r="H563" s="91"/>
    </row>
    <row r="564" spans="2:8">
      <c r="B564" s="91"/>
      <c r="C564" s="36"/>
      <c r="D564" s="91"/>
      <c r="E564" s="91"/>
      <c r="F564" s="80"/>
      <c r="G564" s="91"/>
      <c r="H564" s="91"/>
    </row>
    <row r="565" spans="2:8">
      <c r="B565" s="91"/>
      <c r="C565" s="36"/>
      <c r="D565" s="91"/>
      <c r="E565" s="91"/>
      <c r="F565" s="80"/>
      <c r="G565" s="91"/>
      <c r="H565" s="91"/>
    </row>
    <row r="566" spans="2:8">
      <c r="B566" s="91"/>
      <c r="C566" s="36"/>
      <c r="D566" s="91"/>
      <c r="E566" s="91"/>
      <c r="F566" s="80"/>
      <c r="G566" s="91"/>
      <c r="H566" s="91"/>
    </row>
    <row r="567" spans="2:8">
      <c r="B567" s="91"/>
      <c r="C567" s="36"/>
      <c r="D567" s="91"/>
      <c r="E567" s="91"/>
      <c r="F567" s="80"/>
      <c r="G567" s="91"/>
      <c r="H567" s="91"/>
    </row>
    <row r="568" spans="2:8">
      <c r="B568" s="91"/>
      <c r="C568" s="36"/>
      <c r="D568" s="91"/>
      <c r="E568" s="91"/>
      <c r="F568" s="80"/>
      <c r="G568" s="91"/>
      <c r="H568" s="91"/>
    </row>
    <row r="569" spans="2:8">
      <c r="B569" s="91"/>
      <c r="C569" s="36"/>
      <c r="D569" s="91"/>
      <c r="E569" s="91"/>
      <c r="F569" s="80"/>
      <c r="G569" s="91"/>
      <c r="H569" s="91"/>
    </row>
    <row r="570" spans="2:8">
      <c r="B570" s="91"/>
      <c r="C570" s="36"/>
      <c r="D570" s="91"/>
      <c r="E570" s="91"/>
      <c r="F570" s="80"/>
      <c r="G570" s="91"/>
      <c r="H570" s="91"/>
    </row>
    <row r="571" spans="2:8">
      <c r="B571" s="91"/>
      <c r="C571" s="36"/>
      <c r="D571" s="91"/>
      <c r="E571" s="91"/>
      <c r="F571" s="80"/>
      <c r="G571" s="91"/>
      <c r="H571" s="91"/>
    </row>
    <row r="572" spans="2:8">
      <c r="B572" s="91"/>
      <c r="C572" s="36"/>
      <c r="D572" s="91"/>
      <c r="E572" s="91"/>
      <c r="F572" s="80"/>
      <c r="G572" s="91"/>
      <c r="H572" s="91"/>
    </row>
    <row r="573" spans="2:8">
      <c r="B573" s="91"/>
      <c r="C573" s="36"/>
      <c r="D573" s="91"/>
      <c r="E573" s="91"/>
      <c r="F573" s="80"/>
      <c r="G573" s="91"/>
      <c r="H573" s="91"/>
    </row>
    <row r="574" spans="2:8">
      <c r="B574" s="91"/>
      <c r="C574" s="36"/>
      <c r="D574" s="91"/>
      <c r="E574" s="91"/>
      <c r="F574" s="80"/>
      <c r="G574" s="91"/>
      <c r="H574" s="91"/>
    </row>
    <row r="575" spans="2:8">
      <c r="B575" s="91"/>
      <c r="C575" s="36"/>
      <c r="D575" s="91"/>
      <c r="E575" s="91"/>
      <c r="F575" s="80"/>
      <c r="G575" s="91"/>
      <c r="H575" s="91"/>
    </row>
    <row r="576" spans="2:8">
      <c r="B576" s="91"/>
      <c r="C576" s="36"/>
      <c r="D576" s="91"/>
      <c r="E576" s="91"/>
      <c r="F576" s="80"/>
      <c r="G576" s="91"/>
      <c r="H576" s="91"/>
    </row>
    <row r="577" spans="2:8">
      <c r="B577" s="91"/>
      <c r="C577" s="36"/>
      <c r="D577" s="91"/>
      <c r="E577" s="91"/>
      <c r="F577" s="80"/>
      <c r="G577" s="91"/>
      <c r="H577" s="91"/>
    </row>
    <row r="578" spans="2:8">
      <c r="B578" s="91"/>
      <c r="C578" s="36"/>
      <c r="D578" s="91"/>
      <c r="E578" s="91"/>
      <c r="F578" s="80"/>
      <c r="G578" s="91"/>
      <c r="H578" s="91"/>
    </row>
    <row r="579" spans="2:8">
      <c r="B579" s="91"/>
      <c r="C579" s="36"/>
      <c r="D579" s="91"/>
      <c r="E579" s="91"/>
      <c r="F579" s="80"/>
      <c r="G579" s="91"/>
      <c r="H579" s="91"/>
    </row>
    <row r="580" spans="2:8">
      <c r="B580" s="91"/>
      <c r="C580" s="36"/>
      <c r="D580" s="91"/>
      <c r="E580" s="91"/>
      <c r="F580" s="80"/>
      <c r="G580" s="91"/>
      <c r="H580" s="91"/>
    </row>
    <row r="581" spans="2:8">
      <c r="B581" s="91"/>
      <c r="C581" s="36"/>
      <c r="D581" s="91"/>
      <c r="E581" s="91"/>
      <c r="F581" s="80"/>
      <c r="G581" s="91"/>
      <c r="H581" s="91"/>
    </row>
    <row r="582" spans="2:8">
      <c r="B582" s="91"/>
      <c r="C582" s="36"/>
      <c r="D582" s="91"/>
      <c r="E582" s="91"/>
      <c r="F582" s="80"/>
      <c r="G582" s="91"/>
      <c r="H582" s="91"/>
    </row>
    <row r="583" spans="2:8">
      <c r="B583" s="91"/>
      <c r="C583" s="36"/>
      <c r="D583" s="91"/>
      <c r="E583" s="91"/>
      <c r="F583" s="80"/>
      <c r="G583" s="91"/>
      <c r="H583" s="91"/>
    </row>
    <row r="584" spans="2:8">
      <c r="B584" s="91"/>
      <c r="C584" s="36"/>
      <c r="D584" s="91"/>
      <c r="E584" s="91"/>
      <c r="F584" s="80"/>
      <c r="G584" s="91"/>
      <c r="H584" s="91"/>
    </row>
    <row r="585" spans="2:8">
      <c r="B585" s="91"/>
      <c r="C585" s="36"/>
      <c r="D585" s="91"/>
      <c r="E585" s="91"/>
      <c r="F585" s="80"/>
      <c r="G585" s="91"/>
      <c r="H585" s="91"/>
    </row>
    <row r="586" spans="2:8">
      <c r="B586" s="91"/>
      <c r="C586" s="36"/>
      <c r="D586" s="91"/>
      <c r="E586" s="91"/>
      <c r="F586" s="80"/>
      <c r="G586" s="91"/>
      <c r="H586" s="91"/>
    </row>
    <row r="587" spans="2:8">
      <c r="B587" s="91"/>
      <c r="C587" s="36"/>
      <c r="D587" s="91"/>
      <c r="E587" s="91"/>
      <c r="F587" s="80"/>
      <c r="G587" s="91"/>
      <c r="H587" s="91"/>
    </row>
    <row r="588" spans="2:8">
      <c r="B588" s="91"/>
      <c r="C588" s="36"/>
      <c r="D588" s="91"/>
      <c r="E588" s="91"/>
      <c r="F588" s="80"/>
      <c r="G588" s="91"/>
      <c r="H588" s="91"/>
    </row>
    <row r="589" spans="2:8">
      <c r="B589" s="91"/>
      <c r="C589" s="36"/>
      <c r="D589" s="91"/>
      <c r="E589" s="91"/>
      <c r="F589" s="80"/>
      <c r="G589" s="91"/>
      <c r="H589" s="91"/>
    </row>
    <row r="590" spans="2:8">
      <c r="B590" s="91"/>
      <c r="C590" s="36"/>
      <c r="D590" s="91"/>
      <c r="E590" s="91"/>
      <c r="F590" s="80"/>
      <c r="G590" s="91"/>
      <c r="H590" s="91"/>
    </row>
    <row r="591" spans="2:8">
      <c r="B591" s="91"/>
      <c r="C591" s="36"/>
      <c r="D591" s="91"/>
      <c r="E591" s="91"/>
      <c r="F591" s="80"/>
      <c r="G591" s="91"/>
      <c r="H591" s="91"/>
    </row>
    <row r="592" spans="2:8">
      <c r="B592" s="91"/>
      <c r="C592" s="36"/>
      <c r="D592" s="91"/>
      <c r="E592" s="91"/>
      <c r="F592" s="80"/>
      <c r="G592" s="91"/>
      <c r="H592" s="91"/>
    </row>
    <row r="593" spans="2:8">
      <c r="B593" s="91"/>
      <c r="C593" s="36"/>
      <c r="D593" s="91"/>
      <c r="E593" s="91"/>
      <c r="F593" s="80"/>
      <c r="G593" s="91"/>
      <c r="H593" s="91"/>
    </row>
    <row r="594" spans="2:8">
      <c r="B594" s="91"/>
      <c r="C594" s="36"/>
      <c r="D594" s="91"/>
      <c r="E594" s="91"/>
      <c r="F594" s="80"/>
      <c r="G594" s="91"/>
      <c r="H594" s="91"/>
    </row>
    <row r="595" spans="2:8">
      <c r="B595" s="91"/>
      <c r="C595" s="36"/>
      <c r="D595" s="91"/>
      <c r="E595" s="91"/>
      <c r="F595" s="80"/>
      <c r="G595" s="91"/>
      <c r="H595" s="91"/>
    </row>
    <row r="596" spans="2:8">
      <c r="B596" s="91"/>
      <c r="C596" s="36"/>
      <c r="D596" s="91"/>
      <c r="E596" s="91"/>
      <c r="F596" s="80"/>
      <c r="G596" s="91"/>
      <c r="H596" s="91"/>
    </row>
    <row r="597" spans="2:8">
      <c r="B597" s="91"/>
      <c r="C597" s="36"/>
      <c r="D597" s="91"/>
      <c r="E597" s="91"/>
      <c r="F597" s="80"/>
      <c r="G597" s="91"/>
      <c r="H597" s="91"/>
    </row>
    <row r="598" spans="2:8">
      <c r="B598" s="91"/>
      <c r="C598" s="36"/>
      <c r="D598" s="91"/>
      <c r="E598" s="91"/>
      <c r="F598" s="80"/>
      <c r="G598" s="91"/>
      <c r="H598" s="91"/>
    </row>
    <row r="599" spans="2:8">
      <c r="B599" s="91"/>
      <c r="C599" s="36"/>
      <c r="D599" s="91"/>
      <c r="E599" s="91"/>
      <c r="F599" s="80"/>
      <c r="G599" s="91"/>
      <c r="H599" s="91"/>
    </row>
    <row r="600" spans="2:8">
      <c r="B600" s="91"/>
      <c r="C600" s="36"/>
      <c r="D600" s="91"/>
      <c r="E600" s="91"/>
      <c r="F600" s="80"/>
      <c r="G600" s="91"/>
      <c r="H600" s="91"/>
    </row>
    <row r="601" spans="2:8">
      <c r="B601" s="91"/>
      <c r="C601" s="36"/>
      <c r="D601" s="91"/>
      <c r="E601" s="91"/>
      <c r="F601" s="80"/>
      <c r="G601" s="91"/>
      <c r="H601" s="91"/>
    </row>
    <row r="602" spans="2:8">
      <c r="B602" s="91"/>
      <c r="C602" s="36"/>
      <c r="D602" s="91"/>
      <c r="E602" s="91"/>
      <c r="F602" s="80"/>
      <c r="G602" s="91"/>
      <c r="H602" s="91"/>
    </row>
    <row r="603" spans="2:8">
      <c r="B603" s="91"/>
      <c r="C603" s="36"/>
      <c r="D603" s="91"/>
      <c r="E603" s="91"/>
      <c r="F603" s="80"/>
      <c r="G603" s="91"/>
      <c r="H603" s="91"/>
    </row>
    <row r="604" spans="2:8">
      <c r="B604" s="91"/>
      <c r="C604" s="36"/>
      <c r="D604" s="91"/>
      <c r="E604" s="91"/>
      <c r="F604" s="80"/>
      <c r="G604" s="91"/>
      <c r="H604" s="91"/>
    </row>
    <row r="605" spans="2:8">
      <c r="B605" s="91"/>
      <c r="C605" s="36"/>
      <c r="D605" s="91"/>
      <c r="E605" s="91"/>
      <c r="F605" s="80"/>
      <c r="G605" s="91"/>
      <c r="H605" s="91"/>
    </row>
    <row r="606" spans="2:8">
      <c r="B606" s="91"/>
      <c r="C606" s="36"/>
      <c r="D606" s="91"/>
      <c r="E606" s="91"/>
      <c r="F606" s="80"/>
      <c r="G606" s="91"/>
      <c r="H606" s="91"/>
    </row>
    <row r="607" spans="2:8">
      <c r="B607" s="91"/>
      <c r="C607" s="36"/>
      <c r="D607" s="91"/>
      <c r="E607" s="91"/>
      <c r="F607" s="80"/>
      <c r="G607" s="91"/>
      <c r="H607" s="91"/>
    </row>
    <row r="608" spans="2:8">
      <c r="B608" s="91"/>
      <c r="C608" s="36"/>
      <c r="D608" s="91"/>
      <c r="E608" s="91"/>
      <c r="F608" s="80"/>
      <c r="G608" s="91"/>
      <c r="H608" s="91"/>
    </row>
    <row r="609" spans="2:8">
      <c r="B609" s="91"/>
      <c r="C609" s="36"/>
      <c r="D609" s="91"/>
      <c r="E609" s="91"/>
      <c r="F609" s="80"/>
      <c r="G609" s="91"/>
      <c r="H609" s="91"/>
    </row>
    <row r="610" spans="2:8">
      <c r="B610" s="91"/>
      <c r="C610" s="36"/>
      <c r="D610" s="91"/>
      <c r="E610" s="91"/>
      <c r="F610" s="80"/>
      <c r="G610" s="91"/>
      <c r="H610" s="91"/>
    </row>
    <row r="611" spans="2:8">
      <c r="B611" s="91"/>
      <c r="C611" s="36"/>
      <c r="D611" s="91"/>
      <c r="E611" s="91"/>
      <c r="F611" s="80"/>
      <c r="G611" s="91"/>
      <c r="H611" s="91"/>
    </row>
    <row r="612" spans="2:8">
      <c r="B612" s="91"/>
      <c r="C612" s="36"/>
      <c r="D612" s="91"/>
      <c r="E612" s="91"/>
      <c r="F612" s="80"/>
      <c r="G612" s="91"/>
      <c r="H612" s="91"/>
    </row>
    <row r="613" spans="2:8">
      <c r="B613" s="91"/>
      <c r="C613" s="36"/>
      <c r="D613" s="91"/>
      <c r="E613" s="91"/>
      <c r="F613" s="80"/>
      <c r="G613" s="91"/>
      <c r="H613" s="91"/>
    </row>
    <row r="614" spans="2:8">
      <c r="B614" s="91"/>
      <c r="C614" s="36"/>
      <c r="D614" s="91"/>
      <c r="E614" s="91"/>
      <c r="F614" s="80"/>
      <c r="G614" s="91"/>
      <c r="H614" s="91"/>
    </row>
    <row r="615" spans="2:8">
      <c r="B615" s="91"/>
      <c r="C615" s="36"/>
      <c r="D615" s="91"/>
      <c r="E615" s="91"/>
      <c r="F615" s="80"/>
      <c r="G615" s="91"/>
      <c r="H615" s="91"/>
    </row>
    <row r="616" spans="2:8">
      <c r="B616" s="91"/>
      <c r="C616" s="36"/>
      <c r="D616" s="91"/>
      <c r="E616" s="91"/>
      <c r="F616" s="80"/>
      <c r="G616" s="91"/>
      <c r="H616" s="91"/>
    </row>
    <row r="617" spans="2:8">
      <c r="B617" s="91"/>
      <c r="C617" s="36"/>
      <c r="D617" s="91"/>
      <c r="E617" s="91"/>
      <c r="F617" s="80"/>
      <c r="G617" s="91"/>
      <c r="H617" s="91"/>
    </row>
    <row r="618" spans="2:8">
      <c r="B618" s="91"/>
      <c r="C618" s="36"/>
      <c r="D618" s="91"/>
      <c r="E618" s="91"/>
      <c r="F618" s="80"/>
      <c r="G618" s="91"/>
      <c r="H618" s="91"/>
    </row>
    <row r="619" spans="2:8">
      <c r="B619" s="91"/>
      <c r="C619" s="36"/>
      <c r="D619" s="91"/>
      <c r="E619" s="91"/>
      <c r="F619" s="80"/>
      <c r="G619" s="91"/>
      <c r="H619" s="91"/>
    </row>
    <row r="620" spans="2:8">
      <c r="B620" s="91"/>
      <c r="C620" s="36"/>
      <c r="D620" s="91"/>
      <c r="E620" s="91"/>
      <c r="F620" s="80"/>
      <c r="G620" s="91"/>
      <c r="H620" s="91"/>
    </row>
    <row r="621" spans="2:8">
      <c r="B621" s="91"/>
      <c r="C621" s="36"/>
      <c r="D621" s="91"/>
      <c r="E621" s="91"/>
      <c r="F621" s="80"/>
      <c r="G621" s="91"/>
      <c r="H621" s="91"/>
    </row>
    <row r="622" spans="2:8">
      <c r="B622" s="91"/>
      <c r="C622" s="36"/>
      <c r="D622" s="91"/>
      <c r="E622" s="91"/>
      <c r="F622" s="80"/>
      <c r="G622" s="91"/>
      <c r="H622" s="91"/>
    </row>
    <row r="623" spans="2:8">
      <c r="B623" s="91"/>
      <c r="C623" s="36"/>
      <c r="D623" s="91"/>
      <c r="E623" s="91"/>
      <c r="F623" s="80"/>
      <c r="G623" s="91"/>
      <c r="H623" s="91"/>
    </row>
    <row r="624" spans="2:8">
      <c r="B624" s="91"/>
      <c r="C624" s="36"/>
      <c r="D624" s="91"/>
      <c r="E624" s="91"/>
      <c r="F624" s="80"/>
      <c r="G624" s="91"/>
      <c r="H624" s="91"/>
    </row>
    <row r="625" spans="2:8">
      <c r="B625" s="91"/>
      <c r="C625" s="36"/>
      <c r="D625" s="91"/>
      <c r="E625" s="91"/>
      <c r="F625" s="80"/>
      <c r="G625" s="91"/>
      <c r="H625" s="91"/>
    </row>
    <row r="626" spans="2:8">
      <c r="B626" s="91"/>
      <c r="C626" s="36"/>
      <c r="D626" s="91"/>
      <c r="E626" s="91"/>
      <c r="F626" s="80"/>
      <c r="G626" s="91"/>
      <c r="H626" s="91"/>
    </row>
    <row r="627" spans="2:8">
      <c r="B627" s="91"/>
      <c r="C627" s="36"/>
      <c r="D627" s="91"/>
      <c r="E627" s="91"/>
      <c r="F627" s="80"/>
      <c r="G627" s="91"/>
      <c r="H627" s="91"/>
    </row>
    <row r="628" spans="2:8">
      <c r="B628" s="91"/>
      <c r="C628" s="36"/>
      <c r="D628" s="91"/>
      <c r="E628" s="91"/>
      <c r="F628" s="80"/>
      <c r="G628" s="91"/>
      <c r="H628" s="91"/>
    </row>
    <row r="629" spans="2:8">
      <c r="B629" s="91"/>
      <c r="C629" s="36"/>
      <c r="D629" s="91"/>
      <c r="E629" s="91"/>
      <c r="F629" s="80"/>
      <c r="G629" s="91"/>
      <c r="H629" s="91"/>
    </row>
    <row r="630" spans="2:8">
      <c r="B630" s="91"/>
      <c r="C630" s="36"/>
      <c r="D630" s="91"/>
      <c r="E630" s="91"/>
      <c r="F630" s="80"/>
      <c r="G630" s="91"/>
      <c r="H630" s="91"/>
    </row>
    <row r="631" spans="2:8">
      <c r="B631" s="91"/>
      <c r="C631" s="36"/>
      <c r="D631" s="91"/>
      <c r="E631" s="91"/>
      <c r="F631" s="80"/>
      <c r="G631" s="91"/>
      <c r="H631" s="91"/>
    </row>
    <row r="632" spans="2:8">
      <c r="B632" s="91"/>
      <c r="C632" s="36"/>
      <c r="D632" s="91"/>
      <c r="E632" s="91"/>
      <c r="F632" s="80"/>
      <c r="G632" s="91"/>
      <c r="H632" s="91"/>
    </row>
    <row r="633" spans="2:8">
      <c r="B633" s="91"/>
      <c r="C633" s="36"/>
      <c r="D633" s="91"/>
      <c r="E633" s="91"/>
      <c r="F633" s="80"/>
      <c r="G633" s="91"/>
      <c r="H633" s="91"/>
    </row>
    <row r="634" spans="2:8">
      <c r="B634" s="91"/>
      <c r="C634" s="36"/>
      <c r="D634" s="91"/>
      <c r="E634" s="91"/>
      <c r="F634" s="80"/>
      <c r="G634" s="91"/>
      <c r="H634" s="91"/>
    </row>
    <row r="635" spans="2:8">
      <c r="B635" s="91"/>
      <c r="C635" s="36"/>
      <c r="D635" s="91"/>
      <c r="E635" s="91"/>
      <c r="F635" s="80"/>
      <c r="G635" s="91"/>
      <c r="H635" s="91"/>
    </row>
    <row r="636" spans="2:8">
      <c r="B636" s="91"/>
      <c r="C636" s="36"/>
      <c r="D636" s="91"/>
      <c r="E636" s="91"/>
      <c r="F636" s="80"/>
      <c r="G636" s="91"/>
      <c r="H636" s="91"/>
    </row>
    <row r="637" spans="2:8">
      <c r="B637" s="91"/>
      <c r="C637" s="36"/>
      <c r="D637" s="91"/>
      <c r="E637" s="91"/>
      <c r="F637" s="80"/>
      <c r="G637" s="91"/>
      <c r="H637" s="91"/>
    </row>
    <row r="638" spans="2:8">
      <c r="B638" s="91"/>
      <c r="C638" s="36"/>
      <c r="D638" s="91"/>
      <c r="E638" s="91"/>
      <c r="F638" s="80"/>
      <c r="G638" s="91"/>
      <c r="H638" s="91"/>
    </row>
    <row r="639" spans="2:8">
      <c r="B639" s="91"/>
      <c r="C639" s="36"/>
      <c r="D639" s="91"/>
      <c r="E639" s="91"/>
      <c r="F639" s="80"/>
      <c r="G639" s="91"/>
      <c r="H639" s="91"/>
    </row>
    <row r="640" spans="2:8">
      <c r="B640" s="91"/>
      <c r="C640" s="36"/>
      <c r="D640" s="91"/>
      <c r="E640" s="91"/>
      <c r="F640" s="80"/>
      <c r="G640" s="91"/>
      <c r="H640" s="91"/>
    </row>
    <row r="641" spans="2:8">
      <c r="B641" s="91"/>
      <c r="C641" s="36"/>
      <c r="D641" s="91"/>
      <c r="E641" s="91"/>
      <c r="F641" s="80"/>
      <c r="G641" s="91"/>
      <c r="H641" s="91"/>
    </row>
    <row r="642" spans="2:8">
      <c r="B642" s="91"/>
      <c r="C642" s="36"/>
      <c r="D642" s="91"/>
      <c r="E642" s="91"/>
      <c r="F642" s="80"/>
      <c r="G642" s="91"/>
      <c r="H642" s="91"/>
    </row>
    <row r="643" spans="2:8">
      <c r="B643" s="91"/>
      <c r="C643" s="36"/>
      <c r="D643" s="91"/>
      <c r="E643" s="91"/>
      <c r="F643" s="80"/>
      <c r="G643" s="91"/>
      <c r="H643" s="91"/>
    </row>
    <row r="644" spans="2:8">
      <c r="B644" s="91"/>
      <c r="C644" s="36"/>
      <c r="D644" s="91"/>
      <c r="E644" s="91"/>
      <c r="F644" s="80"/>
      <c r="G644" s="91"/>
      <c r="H644" s="91"/>
    </row>
    <row r="645" spans="2:8">
      <c r="B645" s="91"/>
      <c r="C645" s="36"/>
      <c r="D645" s="91"/>
      <c r="E645" s="91"/>
      <c r="F645" s="80"/>
      <c r="G645" s="91"/>
      <c r="H645" s="91"/>
    </row>
    <row r="646" spans="2:8">
      <c r="B646" s="91"/>
      <c r="C646" s="36"/>
      <c r="D646" s="91"/>
      <c r="E646" s="91"/>
      <c r="F646" s="80"/>
      <c r="G646" s="91"/>
      <c r="H646" s="91"/>
    </row>
    <row r="647" spans="2:8">
      <c r="B647" s="91"/>
      <c r="C647" s="36"/>
      <c r="D647" s="91"/>
      <c r="E647" s="91"/>
      <c r="F647" s="80"/>
      <c r="G647" s="91"/>
      <c r="H647" s="91"/>
    </row>
    <row r="648" spans="2:8">
      <c r="B648" s="91"/>
      <c r="C648" s="36"/>
      <c r="D648" s="91"/>
      <c r="E648" s="91"/>
      <c r="F648" s="80"/>
      <c r="G648" s="91"/>
      <c r="H648" s="91"/>
    </row>
    <row r="649" spans="2:8">
      <c r="B649" s="91"/>
      <c r="C649" s="36"/>
      <c r="D649" s="91"/>
      <c r="E649" s="91"/>
      <c r="F649" s="80"/>
      <c r="G649" s="91"/>
      <c r="H649" s="91"/>
    </row>
    <row r="650" spans="2:8">
      <c r="B650" s="91"/>
      <c r="C650" s="36"/>
      <c r="D650" s="91"/>
      <c r="E650" s="91"/>
      <c r="F650" s="80"/>
      <c r="G650" s="91"/>
      <c r="H650" s="91"/>
    </row>
    <row r="651" spans="2:8">
      <c r="B651" s="91"/>
      <c r="C651" s="36"/>
      <c r="D651" s="91"/>
      <c r="E651" s="91"/>
      <c r="F651" s="80"/>
      <c r="G651" s="91"/>
      <c r="H651" s="91"/>
    </row>
    <row r="652" spans="2:8">
      <c r="B652" s="91"/>
      <c r="C652" s="36"/>
      <c r="D652" s="91"/>
      <c r="E652" s="91"/>
      <c r="F652" s="80"/>
      <c r="G652" s="91"/>
      <c r="H652" s="91"/>
    </row>
    <row r="653" spans="2:8">
      <c r="B653" s="91"/>
      <c r="C653" s="36"/>
      <c r="D653" s="91"/>
      <c r="E653" s="91"/>
      <c r="F653" s="80"/>
      <c r="G653" s="91"/>
      <c r="H653" s="91"/>
    </row>
    <row r="654" spans="2:8">
      <c r="B654" s="91"/>
      <c r="C654" s="36"/>
      <c r="D654" s="91"/>
      <c r="E654" s="91"/>
      <c r="F654" s="80"/>
      <c r="G654" s="91"/>
      <c r="H654" s="91"/>
    </row>
    <row r="655" spans="2:8">
      <c r="B655" s="91"/>
      <c r="C655" s="36"/>
      <c r="D655" s="91"/>
      <c r="E655" s="91"/>
      <c r="F655" s="80"/>
      <c r="G655" s="91"/>
      <c r="H655" s="91"/>
    </row>
    <row r="656" spans="2:8">
      <c r="B656" s="91"/>
      <c r="C656" s="36"/>
      <c r="D656" s="91"/>
      <c r="E656" s="91"/>
      <c r="F656" s="80"/>
      <c r="G656" s="91"/>
      <c r="H656" s="91"/>
    </row>
    <row r="657" spans="2:8">
      <c r="B657" s="91"/>
      <c r="C657" s="36"/>
      <c r="D657" s="91"/>
      <c r="E657" s="91"/>
      <c r="F657" s="80"/>
      <c r="G657" s="91"/>
      <c r="H657" s="91"/>
    </row>
    <row r="658" spans="2:8">
      <c r="B658" s="91"/>
      <c r="C658" s="36"/>
      <c r="D658" s="91"/>
      <c r="E658" s="91"/>
      <c r="F658" s="80"/>
      <c r="G658" s="91"/>
      <c r="H658" s="91"/>
    </row>
    <row r="659" spans="2:8">
      <c r="B659" s="91"/>
      <c r="C659" s="36"/>
      <c r="D659" s="91"/>
      <c r="E659" s="91"/>
      <c r="F659" s="80"/>
      <c r="G659" s="91"/>
      <c r="H659" s="91"/>
    </row>
    <row r="660" spans="2:8">
      <c r="B660" s="91"/>
      <c r="C660" s="36"/>
      <c r="D660" s="91"/>
      <c r="E660" s="91"/>
      <c r="F660" s="80"/>
      <c r="G660" s="91"/>
      <c r="H660" s="91"/>
    </row>
    <row r="661" spans="2:8">
      <c r="B661" s="91"/>
      <c r="C661" s="36"/>
      <c r="D661" s="91"/>
      <c r="E661" s="91"/>
      <c r="F661" s="80"/>
      <c r="G661" s="91"/>
      <c r="H661" s="91"/>
    </row>
    <row r="662" spans="2:8">
      <c r="B662" s="91"/>
      <c r="C662" s="36"/>
      <c r="D662" s="91"/>
      <c r="E662" s="91"/>
      <c r="F662" s="80"/>
      <c r="G662" s="91"/>
      <c r="H662" s="91"/>
    </row>
    <row r="663" spans="2:8">
      <c r="B663" s="91"/>
      <c r="C663" s="36"/>
      <c r="D663" s="91"/>
      <c r="E663" s="91"/>
      <c r="F663" s="80"/>
      <c r="G663" s="91"/>
      <c r="H663" s="91"/>
    </row>
    <row r="664" spans="2:8">
      <c r="B664" s="91"/>
      <c r="C664" s="36"/>
      <c r="D664" s="91"/>
      <c r="E664" s="91"/>
      <c r="F664" s="80"/>
      <c r="G664" s="91"/>
      <c r="H664" s="91"/>
    </row>
    <row r="665" spans="2:8">
      <c r="B665" s="91"/>
      <c r="C665" s="36"/>
      <c r="D665" s="91"/>
      <c r="E665" s="91"/>
      <c r="F665" s="80"/>
      <c r="G665" s="91"/>
      <c r="H665" s="91"/>
    </row>
    <row r="666" spans="2:8">
      <c r="B666" s="91"/>
      <c r="C666" s="36"/>
      <c r="D666" s="91"/>
      <c r="E666" s="91"/>
      <c r="F666" s="80"/>
      <c r="G666" s="91"/>
      <c r="H666" s="91"/>
    </row>
    <row r="667" spans="2:8">
      <c r="B667" s="91"/>
      <c r="C667" s="36"/>
      <c r="D667" s="91"/>
      <c r="E667" s="91"/>
      <c r="F667" s="80"/>
      <c r="G667" s="91"/>
      <c r="H667" s="91"/>
    </row>
    <row r="668" spans="2:8">
      <c r="B668" s="91"/>
      <c r="C668" s="36"/>
      <c r="D668" s="91"/>
      <c r="E668" s="91"/>
      <c r="F668" s="80"/>
      <c r="G668" s="91"/>
      <c r="H668" s="91"/>
    </row>
    <row r="669" spans="2:8">
      <c r="B669" s="91"/>
      <c r="C669" s="36"/>
      <c r="D669" s="91"/>
      <c r="E669" s="91"/>
      <c r="F669" s="80"/>
      <c r="G669" s="91"/>
      <c r="H669" s="91"/>
    </row>
    <row r="670" spans="2:8">
      <c r="B670" s="91"/>
      <c r="C670" s="36"/>
      <c r="D670" s="91"/>
      <c r="E670" s="91"/>
      <c r="F670" s="80"/>
      <c r="G670" s="91"/>
      <c r="H670" s="91"/>
    </row>
    <row r="671" spans="2:8">
      <c r="B671" s="91"/>
      <c r="C671" s="36"/>
      <c r="D671" s="91"/>
      <c r="E671" s="91"/>
      <c r="F671" s="80"/>
      <c r="G671" s="91"/>
      <c r="H671" s="91"/>
    </row>
    <row r="672" spans="2:8">
      <c r="B672" s="91"/>
      <c r="C672" s="36"/>
      <c r="D672" s="91"/>
      <c r="E672" s="91"/>
      <c r="F672" s="80"/>
      <c r="G672" s="91"/>
      <c r="H672" s="91"/>
    </row>
    <row r="673" spans="2:8">
      <c r="B673" s="91"/>
      <c r="C673" s="36"/>
      <c r="D673" s="91"/>
      <c r="E673" s="91"/>
      <c r="F673" s="80"/>
      <c r="G673" s="91"/>
      <c r="H673" s="91"/>
    </row>
    <row r="674" spans="2:8">
      <c r="B674" s="91"/>
      <c r="C674" s="36"/>
      <c r="D674" s="91"/>
      <c r="E674" s="91"/>
      <c r="F674" s="80"/>
      <c r="G674" s="91"/>
      <c r="H674" s="91"/>
    </row>
    <row r="675" spans="2:8">
      <c r="B675" s="91"/>
      <c r="C675" s="36"/>
      <c r="D675" s="91"/>
      <c r="E675" s="91"/>
      <c r="F675" s="80"/>
      <c r="G675" s="91"/>
      <c r="H675" s="91"/>
    </row>
    <row r="676" spans="2:8">
      <c r="B676" s="91"/>
      <c r="C676" s="36"/>
      <c r="D676" s="91"/>
      <c r="E676" s="91"/>
      <c r="F676" s="80"/>
      <c r="G676" s="91"/>
      <c r="H676" s="91"/>
    </row>
    <row r="677" spans="2:8">
      <c r="B677" s="91"/>
      <c r="C677" s="36"/>
      <c r="D677" s="91"/>
      <c r="E677" s="91"/>
      <c r="F677" s="80"/>
      <c r="G677" s="91"/>
      <c r="H677" s="91"/>
    </row>
    <row r="678" spans="2:8">
      <c r="B678" s="91"/>
      <c r="C678" s="36"/>
      <c r="D678" s="91"/>
      <c r="E678" s="91"/>
      <c r="F678" s="80"/>
      <c r="G678" s="91"/>
      <c r="H678" s="91"/>
    </row>
    <row r="679" spans="2:8">
      <c r="B679" s="91"/>
      <c r="C679" s="36"/>
      <c r="D679" s="91"/>
      <c r="E679" s="91"/>
      <c r="F679" s="80"/>
      <c r="G679" s="91"/>
      <c r="H679" s="91"/>
    </row>
    <row r="680" spans="2:8">
      <c r="B680" s="91"/>
      <c r="C680" s="36"/>
      <c r="D680" s="91"/>
      <c r="E680" s="91"/>
      <c r="F680" s="80"/>
      <c r="G680" s="91"/>
      <c r="H680" s="91"/>
    </row>
    <row r="681" spans="2:8">
      <c r="B681" s="91"/>
      <c r="C681" s="36"/>
      <c r="D681" s="91"/>
      <c r="E681" s="91"/>
      <c r="F681" s="80"/>
      <c r="G681" s="91"/>
      <c r="H681" s="91"/>
    </row>
    <row r="682" spans="2:8">
      <c r="B682" s="91"/>
      <c r="C682" s="36"/>
      <c r="D682" s="91"/>
      <c r="E682" s="91"/>
      <c r="F682" s="80"/>
      <c r="G682" s="91"/>
      <c r="H682" s="91"/>
    </row>
    <row r="683" spans="2:8">
      <c r="B683" s="91"/>
      <c r="C683" s="36"/>
      <c r="D683" s="91"/>
      <c r="E683" s="91"/>
      <c r="F683" s="80"/>
      <c r="G683" s="91"/>
      <c r="H683" s="91"/>
    </row>
    <row r="684" spans="2:8">
      <c r="B684" s="91"/>
      <c r="C684" s="36"/>
      <c r="D684" s="91"/>
      <c r="E684" s="91"/>
      <c r="F684" s="80"/>
      <c r="G684" s="91"/>
      <c r="H684" s="91"/>
    </row>
    <row r="685" spans="2:8">
      <c r="B685" s="91"/>
      <c r="C685" s="36"/>
      <c r="D685" s="91"/>
      <c r="E685" s="91"/>
      <c r="F685" s="80"/>
      <c r="G685" s="91"/>
      <c r="H685" s="91"/>
    </row>
    <row r="686" spans="2:8">
      <c r="B686" s="91"/>
      <c r="C686" s="36"/>
      <c r="D686" s="91"/>
      <c r="E686" s="91"/>
      <c r="F686" s="80"/>
      <c r="G686" s="91"/>
      <c r="H686" s="91"/>
    </row>
    <row r="687" spans="2:8">
      <c r="B687" s="91"/>
      <c r="C687" s="36"/>
      <c r="D687" s="91"/>
      <c r="E687" s="91"/>
      <c r="F687" s="80"/>
      <c r="G687" s="91"/>
      <c r="H687" s="91"/>
    </row>
    <row r="688" spans="2:8">
      <c r="B688" s="91"/>
      <c r="C688" s="36"/>
      <c r="D688" s="91"/>
      <c r="E688" s="91"/>
      <c r="F688" s="80"/>
      <c r="G688" s="91"/>
      <c r="H688" s="91"/>
    </row>
    <row r="689" spans="2:8">
      <c r="B689" s="91"/>
      <c r="C689" s="36"/>
      <c r="D689" s="91"/>
      <c r="E689" s="91"/>
      <c r="F689" s="80"/>
      <c r="G689" s="91"/>
      <c r="H689" s="91"/>
    </row>
    <row r="690" spans="2:8">
      <c r="B690" s="91"/>
      <c r="C690" s="36"/>
      <c r="D690" s="91"/>
      <c r="E690" s="91"/>
      <c r="F690" s="80"/>
      <c r="G690" s="91"/>
      <c r="H690" s="91"/>
    </row>
    <row r="691" spans="2:8">
      <c r="B691" s="91"/>
      <c r="C691" s="36"/>
      <c r="D691" s="91"/>
      <c r="E691" s="91"/>
      <c r="F691" s="80"/>
      <c r="G691" s="91"/>
      <c r="H691" s="91"/>
    </row>
    <row r="692" spans="2:8">
      <c r="B692" s="91"/>
      <c r="C692" s="36"/>
      <c r="D692" s="91"/>
      <c r="E692" s="91"/>
      <c r="F692" s="80"/>
      <c r="G692" s="91"/>
      <c r="H692" s="91"/>
    </row>
    <row r="693" spans="2:8">
      <c r="B693" s="91"/>
      <c r="C693" s="36"/>
      <c r="D693" s="91"/>
      <c r="E693" s="91"/>
      <c r="F693" s="80"/>
      <c r="G693" s="91"/>
      <c r="H693" s="91"/>
    </row>
    <row r="694" spans="2:8">
      <c r="B694" s="91"/>
      <c r="C694" s="36"/>
      <c r="D694" s="91"/>
      <c r="E694" s="91"/>
      <c r="F694" s="80"/>
      <c r="G694" s="91"/>
      <c r="H694" s="91"/>
    </row>
    <row r="695" spans="2:8">
      <c r="B695" s="91"/>
      <c r="C695" s="36"/>
      <c r="D695" s="91"/>
      <c r="E695" s="91"/>
      <c r="F695" s="80"/>
      <c r="G695" s="91"/>
      <c r="H695" s="91"/>
    </row>
    <row r="696" spans="2:8">
      <c r="B696" s="91"/>
      <c r="C696" s="36"/>
      <c r="D696" s="91"/>
      <c r="E696" s="91"/>
      <c r="F696" s="80"/>
      <c r="G696" s="91"/>
      <c r="H696" s="91"/>
    </row>
    <row r="697" spans="2:8">
      <c r="B697" s="91"/>
      <c r="C697" s="36"/>
      <c r="D697" s="91"/>
      <c r="E697" s="91"/>
      <c r="F697" s="80"/>
      <c r="G697" s="91"/>
      <c r="H697" s="91"/>
    </row>
    <row r="698" spans="2:8">
      <c r="B698" s="91"/>
      <c r="C698" s="36"/>
      <c r="D698" s="91"/>
      <c r="E698" s="91"/>
      <c r="F698" s="80"/>
      <c r="G698" s="91"/>
      <c r="H698" s="91"/>
    </row>
    <row r="699" spans="2:8">
      <c r="B699" s="91"/>
      <c r="C699" s="36"/>
      <c r="D699" s="91"/>
      <c r="E699" s="91"/>
      <c r="F699" s="80"/>
      <c r="G699" s="91"/>
      <c r="H699" s="91"/>
    </row>
    <row r="700" spans="2:8">
      <c r="B700" s="91"/>
      <c r="C700" s="36"/>
      <c r="D700" s="91"/>
      <c r="E700" s="91"/>
      <c r="F700" s="80"/>
      <c r="G700" s="91"/>
      <c r="H700" s="91"/>
    </row>
    <row r="701" spans="2:8">
      <c r="B701" s="91"/>
      <c r="C701" s="36"/>
      <c r="D701" s="91"/>
      <c r="E701" s="91"/>
      <c r="F701" s="80"/>
      <c r="G701" s="91"/>
      <c r="H701" s="91"/>
    </row>
    <row r="702" spans="2:8">
      <c r="B702" s="91"/>
      <c r="C702" s="36"/>
      <c r="D702" s="91"/>
      <c r="E702" s="91"/>
      <c r="F702" s="80"/>
      <c r="G702" s="91"/>
      <c r="H702" s="91"/>
    </row>
    <row r="703" spans="2:8">
      <c r="B703" s="91"/>
      <c r="C703" s="36"/>
      <c r="D703" s="91"/>
      <c r="E703" s="91"/>
      <c r="F703" s="80"/>
      <c r="G703" s="91"/>
      <c r="H703" s="91"/>
    </row>
    <row r="704" spans="2:8">
      <c r="B704" s="91"/>
      <c r="C704" s="36"/>
      <c r="D704" s="91"/>
      <c r="E704" s="91"/>
      <c r="F704" s="80"/>
      <c r="G704" s="91"/>
      <c r="H704" s="91"/>
    </row>
    <row r="705" spans="2:8">
      <c r="B705" s="91"/>
      <c r="C705" s="36"/>
      <c r="D705" s="91"/>
      <c r="E705" s="91"/>
      <c r="F705" s="80"/>
      <c r="G705" s="91"/>
      <c r="H705" s="91"/>
    </row>
    <row r="706" spans="2:8">
      <c r="B706" s="91"/>
      <c r="C706" s="36"/>
      <c r="D706" s="91"/>
      <c r="E706" s="91"/>
      <c r="F706" s="80"/>
      <c r="G706" s="91"/>
      <c r="H706" s="91"/>
    </row>
    <row r="707" spans="2:8">
      <c r="B707" s="91"/>
      <c r="C707" s="36"/>
      <c r="D707" s="91"/>
      <c r="E707" s="91"/>
      <c r="F707" s="80"/>
      <c r="G707" s="91"/>
      <c r="H707" s="91"/>
    </row>
    <row r="708" spans="2:8">
      <c r="B708" s="91"/>
      <c r="C708" s="36"/>
      <c r="D708" s="91"/>
      <c r="E708" s="91"/>
      <c r="F708" s="80"/>
      <c r="G708" s="91"/>
      <c r="H708" s="91"/>
    </row>
    <row r="709" spans="2:8">
      <c r="B709" s="91"/>
      <c r="C709" s="36"/>
      <c r="D709" s="91"/>
      <c r="E709" s="91"/>
      <c r="F709" s="80"/>
      <c r="G709" s="91"/>
      <c r="H709" s="91"/>
    </row>
    <row r="710" spans="2:8">
      <c r="B710" s="91"/>
      <c r="C710" s="36"/>
      <c r="D710" s="91"/>
      <c r="E710" s="91"/>
      <c r="F710" s="80"/>
      <c r="G710" s="91"/>
      <c r="H710" s="91"/>
    </row>
    <row r="711" spans="2:8">
      <c r="B711" s="91"/>
      <c r="C711" s="36"/>
      <c r="D711" s="91"/>
      <c r="E711" s="91"/>
      <c r="F711" s="80"/>
      <c r="G711" s="91"/>
      <c r="H711" s="91"/>
    </row>
    <row r="712" spans="2:8">
      <c r="B712" s="91"/>
      <c r="C712" s="36"/>
      <c r="D712" s="91"/>
      <c r="E712" s="91"/>
      <c r="F712" s="80"/>
      <c r="G712" s="91"/>
      <c r="H712" s="91"/>
    </row>
    <row r="713" spans="2:8">
      <c r="B713" s="91"/>
      <c r="C713" s="36"/>
      <c r="D713" s="91"/>
      <c r="E713" s="91"/>
      <c r="F713" s="80"/>
      <c r="G713" s="91"/>
      <c r="H713" s="91"/>
    </row>
    <row r="714" spans="2:8">
      <c r="B714" s="91"/>
      <c r="C714" s="36"/>
      <c r="D714" s="91"/>
      <c r="E714" s="91"/>
      <c r="F714" s="80"/>
      <c r="G714" s="91"/>
      <c r="H714" s="91"/>
    </row>
    <row r="715" spans="2:8">
      <c r="B715" s="91"/>
      <c r="C715" s="36"/>
      <c r="D715" s="91"/>
      <c r="E715" s="91"/>
      <c r="F715" s="80"/>
      <c r="G715" s="91"/>
      <c r="H715" s="91"/>
    </row>
    <row r="716" spans="2:8">
      <c r="B716" s="91"/>
      <c r="C716" s="36"/>
      <c r="D716" s="91"/>
      <c r="E716" s="91"/>
      <c r="F716" s="80"/>
      <c r="G716" s="91"/>
      <c r="H716" s="91"/>
    </row>
    <row r="717" spans="2:8">
      <c r="B717" s="91"/>
      <c r="C717" s="36"/>
      <c r="D717" s="91"/>
      <c r="E717" s="91"/>
      <c r="F717" s="80"/>
      <c r="G717" s="91"/>
      <c r="H717" s="91"/>
    </row>
    <row r="718" spans="2:8">
      <c r="B718" s="91"/>
      <c r="C718" s="36"/>
      <c r="D718" s="91"/>
      <c r="E718" s="91"/>
      <c r="F718" s="80"/>
      <c r="G718" s="91"/>
      <c r="H718" s="91"/>
    </row>
    <row r="719" spans="2:8">
      <c r="B719" s="91"/>
      <c r="C719" s="36"/>
      <c r="D719" s="91"/>
      <c r="E719" s="91"/>
      <c r="F719" s="80"/>
      <c r="G719" s="91"/>
      <c r="H719" s="91"/>
    </row>
    <row r="720" spans="2:8">
      <c r="B720" s="91"/>
      <c r="C720" s="36"/>
      <c r="D720" s="91"/>
      <c r="E720" s="91"/>
      <c r="F720" s="80"/>
      <c r="G720" s="91"/>
      <c r="H720" s="91"/>
    </row>
    <row r="721" spans="2:8">
      <c r="B721" s="91"/>
      <c r="C721" s="36"/>
      <c r="D721" s="91"/>
      <c r="E721" s="91"/>
      <c r="F721" s="80"/>
      <c r="G721" s="91"/>
      <c r="H721" s="91"/>
    </row>
    <row r="722" spans="2:8">
      <c r="B722" s="91"/>
      <c r="C722" s="36"/>
      <c r="D722" s="91"/>
      <c r="E722" s="91"/>
      <c r="F722" s="80"/>
      <c r="G722" s="91"/>
      <c r="H722" s="91"/>
    </row>
    <row r="723" spans="2:8">
      <c r="B723" s="91"/>
      <c r="C723" s="36"/>
      <c r="D723" s="91"/>
      <c r="E723" s="91"/>
      <c r="F723" s="80"/>
      <c r="G723" s="91"/>
      <c r="H723" s="91"/>
    </row>
    <row r="724" spans="2:8">
      <c r="B724" s="91"/>
      <c r="C724" s="36"/>
      <c r="D724" s="91"/>
      <c r="E724" s="91"/>
      <c r="F724" s="80"/>
      <c r="G724" s="91"/>
      <c r="H724" s="91"/>
    </row>
    <row r="725" spans="2:8">
      <c r="B725" s="91"/>
      <c r="C725" s="36"/>
      <c r="D725" s="91"/>
      <c r="E725" s="91"/>
      <c r="F725" s="80"/>
      <c r="G725" s="91"/>
      <c r="H725" s="91"/>
    </row>
    <row r="726" spans="2:8">
      <c r="B726" s="91"/>
      <c r="C726" s="36"/>
      <c r="D726" s="91"/>
      <c r="E726" s="91"/>
      <c r="F726" s="80"/>
      <c r="G726" s="91"/>
      <c r="H726" s="91"/>
    </row>
    <row r="727" spans="2:8">
      <c r="B727" s="91"/>
      <c r="C727" s="36"/>
      <c r="D727" s="91"/>
      <c r="E727" s="91"/>
      <c r="F727" s="80"/>
      <c r="G727" s="91"/>
      <c r="H727" s="91"/>
    </row>
    <row r="728" spans="2:8">
      <c r="B728" s="91"/>
      <c r="C728" s="36"/>
      <c r="D728" s="91"/>
      <c r="E728" s="91"/>
      <c r="F728" s="80"/>
      <c r="G728" s="91"/>
      <c r="H728" s="91"/>
    </row>
    <row r="729" spans="2:8">
      <c r="B729" s="91"/>
      <c r="C729" s="36"/>
      <c r="D729" s="91"/>
      <c r="E729" s="91"/>
      <c r="F729" s="80"/>
      <c r="G729" s="91"/>
      <c r="H729" s="91"/>
    </row>
    <row r="730" spans="2:8">
      <c r="B730" s="91"/>
      <c r="C730" s="36"/>
      <c r="D730" s="91"/>
      <c r="E730" s="91"/>
      <c r="F730" s="80"/>
      <c r="G730" s="91"/>
      <c r="H730" s="91"/>
    </row>
    <row r="731" spans="2:8">
      <c r="B731" s="91"/>
      <c r="C731" s="36"/>
      <c r="D731" s="91"/>
      <c r="E731" s="91"/>
      <c r="F731" s="80"/>
      <c r="G731" s="91"/>
      <c r="H731" s="91"/>
    </row>
    <row r="732" spans="2:8">
      <c r="B732" s="91"/>
      <c r="C732" s="36"/>
      <c r="D732" s="91"/>
      <c r="E732" s="91"/>
      <c r="F732" s="80"/>
      <c r="G732" s="91"/>
      <c r="H732" s="91"/>
    </row>
    <row r="733" spans="2:8">
      <c r="B733" s="91"/>
      <c r="C733" s="36"/>
      <c r="D733" s="91"/>
      <c r="E733" s="91"/>
      <c r="F733" s="80"/>
      <c r="G733" s="91"/>
      <c r="H733" s="91"/>
    </row>
    <row r="734" spans="2:8">
      <c r="B734" s="91"/>
      <c r="C734" s="36"/>
      <c r="D734" s="91"/>
      <c r="E734" s="91"/>
      <c r="F734" s="80"/>
      <c r="G734" s="91"/>
      <c r="H734" s="91"/>
    </row>
    <row r="735" spans="2:8">
      <c r="B735" s="91"/>
      <c r="C735" s="36"/>
      <c r="D735" s="91"/>
      <c r="E735" s="91"/>
      <c r="F735" s="80"/>
      <c r="G735" s="91"/>
      <c r="H735" s="91"/>
    </row>
    <row r="736" spans="2:8">
      <c r="B736" s="91"/>
      <c r="C736" s="36"/>
      <c r="D736" s="91"/>
      <c r="E736" s="91"/>
      <c r="F736" s="80"/>
      <c r="G736" s="91"/>
      <c r="H736" s="91"/>
    </row>
    <row r="737" spans="2:8">
      <c r="B737" s="91"/>
      <c r="C737" s="36"/>
      <c r="D737" s="91"/>
      <c r="E737" s="91"/>
      <c r="F737" s="80"/>
      <c r="G737" s="91"/>
      <c r="H737" s="91"/>
    </row>
    <row r="738" spans="2:8">
      <c r="B738" s="91"/>
      <c r="C738" s="36"/>
      <c r="D738" s="91"/>
      <c r="E738" s="91"/>
      <c r="F738" s="80"/>
      <c r="G738" s="91"/>
      <c r="H738" s="91"/>
    </row>
    <row r="739" spans="2:8">
      <c r="B739" s="91"/>
      <c r="C739" s="36"/>
      <c r="D739" s="91"/>
      <c r="E739" s="91"/>
      <c r="F739" s="80"/>
      <c r="G739" s="91"/>
      <c r="H739" s="91"/>
    </row>
    <row r="740" spans="2:8">
      <c r="B740" s="91"/>
      <c r="C740" s="36"/>
      <c r="D740" s="91"/>
      <c r="E740" s="91"/>
      <c r="F740" s="80"/>
      <c r="G740" s="91"/>
      <c r="H740" s="91"/>
    </row>
    <row r="741" spans="2:8">
      <c r="B741" s="91"/>
      <c r="C741" s="36"/>
      <c r="D741" s="91"/>
      <c r="E741" s="91"/>
      <c r="F741" s="80"/>
      <c r="G741" s="91"/>
      <c r="H741" s="91"/>
    </row>
    <row r="742" spans="2:8">
      <c r="B742" s="91"/>
      <c r="C742" s="36"/>
      <c r="D742" s="91"/>
      <c r="E742" s="91"/>
      <c r="F742" s="80"/>
      <c r="G742" s="91"/>
      <c r="H742" s="91"/>
    </row>
    <row r="743" spans="2:8">
      <c r="B743" s="91"/>
      <c r="C743" s="36"/>
      <c r="D743" s="91"/>
      <c r="E743" s="91"/>
      <c r="F743" s="80"/>
      <c r="G743" s="91"/>
      <c r="H743" s="91"/>
    </row>
    <row r="744" spans="2:8">
      <c r="B744" s="91"/>
      <c r="C744" s="36"/>
      <c r="D744" s="91"/>
      <c r="E744" s="91"/>
      <c r="F744" s="80"/>
      <c r="G744" s="91"/>
      <c r="H744" s="91"/>
    </row>
    <row r="745" spans="2:8">
      <c r="B745" s="91"/>
      <c r="C745" s="36"/>
      <c r="D745" s="91"/>
      <c r="E745" s="91"/>
      <c r="F745" s="80"/>
      <c r="G745" s="91"/>
      <c r="H745" s="91"/>
    </row>
    <row r="746" spans="2:8">
      <c r="B746" s="91"/>
      <c r="C746" s="36"/>
      <c r="D746" s="91"/>
      <c r="E746" s="91"/>
      <c r="F746" s="80"/>
      <c r="G746" s="91"/>
      <c r="H746" s="91"/>
    </row>
    <row r="747" spans="2:8">
      <c r="B747" s="91"/>
      <c r="C747" s="36"/>
      <c r="D747" s="91"/>
      <c r="E747" s="91"/>
      <c r="F747" s="80"/>
      <c r="G747" s="91"/>
      <c r="H747" s="91"/>
    </row>
    <row r="748" spans="2:8">
      <c r="B748" s="91"/>
      <c r="C748" s="36"/>
      <c r="D748" s="91"/>
      <c r="E748" s="91"/>
      <c r="F748" s="80"/>
      <c r="G748" s="91"/>
      <c r="H748" s="91"/>
    </row>
    <row r="749" spans="2:8">
      <c r="B749" s="91"/>
      <c r="C749" s="36"/>
      <c r="D749" s="91"/>
      <c r="E749" s="91"/>
      <c r="F749" s="80"/>
      <c r="G749" s="91"/>
      <c r="H749" s="91"/>
    </row>
    <row r="750" spans="2:8">
      <c r="B750" s="91"/>
      <c r="C750" s="36"/>
      <c r="D750" s="91"/>
      <c r="E750" s="91"/>
      <c r="F750" s="80"/>
      <c r="G750" s="91"/>
      <c r="H750" s="91"/>
    </row>
    <row r="751" spans="2:8">
      <c r="B751" s="91"/>
      <c r="C751" s="36"/>
      <c r="D751" s="91"/>
      <c r="E751" s="91"/>
      <c r="F751" s="80"/>
      <c r="G751" s="91"/>
      <c r="H751" s="91"/>
    </row>
    <row r="752" spans="2:8">
      <c r="B752" s="91"/>
      <c r="C752" s="36"/>
      <c r="D752" s="91"/>
      <c r="E752" s="91"/>
      <c r="F752" s="80"/>
      <c r="G752" s="91"/>
      <c r="H752" s="91"/>
    </row>
    <row r="753" spans="2:8">
      <c r="B753" s="91"/>
      <c r="C753" s="36"/>
      <c r="D753" s="91"/>
      <c r="E753" s="91"/>
      <c r="F753" s="80"/>
      <c r="G753" s="91"/>
      <c r="H753" s="91"/>
    </row>
    <row r="754" spans="2:8">
      <c r="B754" s="91"/>
      <c r="C754" s="36"/>
      <c r="D754" s="91"/>
      <c r="E754" s="91"/>
      <c r="F754" s="80"/>
      <c r="G754" s="91"/>
      <c r="H754" s="91"/>
    </row>
    <row r="755" spans="2:8">
      <c r="B755" s="91"/>
      <c r="C755" s="36"/>
      <c r="D755" s="91"/>
      <c r="E755" s="91"/>
      <c r="F755" s="80"/>
      <c r="G755" s="91"/>
      <c r="H755" s="91"/>
    </row>
    <row r="756" spans="2:8">
      <c r="B756" s="91"/>
      <c r="C756" s="36"/>
      <c r="D756" s="91"/>
      <c r="E756" s="91"/>
      <c r="F756" s="80"/>
      <c r="G756" s="91"/>
      <c r="H756" s="91"/>
    </row>
    <row r="757" spans="2:8">
      <c r="B757" s="91"/>
      <c r="C757" s="36"/>
      <c r="D757" s="91"/>
      <c r="E757" s="91"/>
      <c r="F757" s="80"/>
      <c r="G757" s="91"/>
      <c r="H757" s="91"/>
    </row>
    <row r="758" spans="2:8">
      <c r="B758" s="91"/>
      <c r="C758" s="36"/>
      <c r="D758" s="91"/>
      <c r="E758" s="91"/>
      <c r="F758" s="80"/>
      <c r="G758" s="91"/>
      <c r="H758" s="91"/>
    </row>
    <row r="759" spans="2:8">
      <c r="B759" s="91"/>
      <c r="C759" s="36"/>
      <c r="D759" s="91"/>
      <c r="E759" s="91"/>
      <c r="F759" s="80"/>
      <c r="G759" s="91"/>
      <c r="H759" s="91"/>
    </row>
    <row r="760" spans="2:8">
      <c r="B760" s="91"/>
      <c r="C760" s="36"/>
      <c r="D760" s="91"/>
      <c r="E760" s="91"/>
      <c r="F760" s="80"/>
      <c r="G760" s="91"/>
      <c r="H760" s="91"/>
    </row>
    <row r="761" spans="2:8">
      <c r="B761" s="91"/>
      <c r="C761" s="36"/>
      <c r="D761" s="91"/>
      <c r="E761" s="91"/>
      <c r="F761" s="80"/>
      <c r="G761" s="91"/>
      <c r="H761" s="91"/>
    </row>
    <row r="762" spans="2:8">
      <c r="B762" s="91"/>
      <c r="C762" s="36"/>
      <c r="D762" s="91"/>
      <c r="E762" s="91"/>
      <c r="F762" s="80"/>
      <c r="G762" s="91"/>
      <c r="H762" s="91"/>
    </row>
    <row r="763" spans="2:8">
      <c r="B763" s="91"/>
      <c r="C763" s="36"/>
      <c r="D763" s="91"/>
      <c r="E763" s="91"/>
      <c r="F763" s="80"/>
      <c r="G763" s="91"/>
      <c r="H763" s="91"/>
    </row>
    <row r="764" spans="2:8">
      <c r="B764" s="91"/>
      <c r="C764" s="36"/>
      <c r="D764" s="91"/>
      <c r="E764" s="91"/>
      <c r="F764" s="80"/>
      <c r="G764" s="91"/>
      <c r="H764" s="91"/>
    </row>
    <row r="765" spans="2:8">
      <c r="B765" s="91"/>
      <c r="C765" s="36"/>
      <c r="D765" s="91"/>
      <c r="E765" s="91"/>
      <c r="F765" s="80"/>
      <c r="G765" s="91"/>
      <c r="H765" s="91"/>
    </row>
    <row r="766" spans="2:8">
      <c r="B766" s="91"/>
      <c r="C766" s="36"/>
      <c r="D766" s="91"/>
      <c r="E766" s="91"/>
      <c r="F766" s="80"/>
      <c r="G766" s="91"/>
      <c r="H766" s="91"/>
    </row>
    <row r="767" spans="2:8">
      <c r="B767" s="91"/>
      <c r="C767" s="36"/>
      <c r="D767" s="91"/>
      <c r="E767" s="91"/>
      <c r="F767" s="80"/>
      <c r="G767" s="91"/>
      <c r="H767" s="91"/>
    </row>
    <row r="768" spans="2:8">
      <c r="B768" s="91"/>
      <c r="C768" s="36"/>
      <c r="D768" s="91"/>
      <c r="E768" s="91"/>
      <c r="F768" s="80"/>
      <c r="G768" s="91"/>
      <c r="H768" s="91"/>
    </row>
    <row r="769" spans="2:8">
      <c r="B769" s="91"/>
      <c r="C769" s="36"/>
      <c r="D769" s="91"/>
      <c r="E769" s="91"/>
      <c r="F769" s="80"/>
      <c r="G769" s="91"/>
      <c r="H769" s="91"/>
    </row>
    <row r="770" spans="2:8">
      <c r="B770" s="91"/>
      <c r="C770" s="36"/>
      <c r="D770" s="91"/>
      <c r="E770" s="91"/>
      <c r="F770" s="80"/>
      <c r="G770" s="91"/>
      <c r="H770" s="91"/>
    </row>
    <row r="771" spans="2:8">
      <c r="B771" s="91"/>
      <c r="C771" s="36"/>
      <c r="D771" s="91"/>
      <c r="E771" s="91"/>
      <c r="F771" s="80"/>
      <c r="G771" s="91"/>
      <c r="H771" s="91"/>
    </row>
    <row r="772" spans="2:8">
      <c r="B772" s="91"/>
      <c r="C772" s="36"/>
      <c r="D772" s="91"/>
      <c r="E772" s="91"/>
      <c r="F772" s="80"/>
      <c r="G772" s="91"/>
      <c r="H772" s="91"/>
    </row>
    <row r="773" spans="2:8">
      <c r="B773" s="91"/>
      <c r="C773" s="36"/>
      <c r="D773" s="91"/>
      <c r="E773" s="91"/>
      <c r="F773" s="80"/>
      <c r="G773" s="91"/>
      <c r="H773" s="91"/>
    </row>
    <row r="774" spans="2:8">
      <c r="B774" s="91"/>
      <c r="C774" s="36"/>
      <c r="D774" s="91"/>
      <c r="E774" s="91"/>
      <c r="F774" s="80"/>
      <c r="G774" s="91"/>
      <c r="H774" s="91"/>
    </row>
    <row r="775" spans="2:8">
      <c r="B775" s="91"/>
      <c r="C775" s="36"/>
      <c r="D775" s="91"/>
      <c r="E775" s="91"/>
      <c r="F775" s="80"/>
      <c r="G775" s="91"/>
      <c r="H775" s="91"/>
    </row>
    <row r="776" spans="2:8">
      <c r="B776" s="91"/>
      <c r="C776" s="36"/>
      <c r="D776" s="91"/>
      <c r="E776" s="91"/>
      <c r="F776" s="80"/>
      <c r="G776" s="91"/>
      <c r="H776" s="91"/>
    </row>
    <row r="777" spans="2:8">
      <c r="B777" s="91"/>
      <c r="C777" s="36"/>
      <c r="D777" s="91"/>
      <c r="E777" s="91"/>
      <c r="F777" s="80"/>
      <c r="G777" s="91"/>
      <c r="H777" s="91"/>
    </row>
    <row r="778" spans="2:8">
      <c r="B778" s="91"/>
      <c r="C778" s="36"/>
      <c r="D778" s="91"/>
      <c r="E778" s="91"/>
      <c r="F778" s="80"/>
      <c r="G778" s="91"/>
      <c r="H778" s="91"/>
    </row>
    <row r="779" spans="2:8">
      <c r="B779" s="91"/>
      <c r="C779" s="36"/>
      <c r="D779" s="91"/>
      <c r="E779" s="91"/>
      <c r="F779" s="80"/>
      <c r="G779" s="91"/>
      <c r="H779" s="91"/>
    </row>
    <row r="780" spans="2:8">
      <c r="B780" s="91"/>
      <c r="C780" s="36"/>
      <c r="D780" s="91"/>
      <c r="E780" s="91"/>
      <c r="F780" s="80"/>
      <c r="G780" s="91"/>
      <c r="H780" s="91"/>
    </row>
    <row r="781" spans="2:8">
      <c r="B781" s="91"/>
      <c r="C781" s="36"/>
      <c r="D781" s="91"/>
      <c r="E781" s="91"/>
      <c r="F781" s="80"/>
      <c r="G781" s="91"/>
      <c r="H781" s="91"/>
    </row>
    <row r="782" spans="2:8">
      <c r="B782" s="91"/>
      <c r="C782" s="36"/>
      <c r="D782" s="91"/>
      <c r="E782" s="91"/>
      <c r="F782" s="80"/>
      <c r="G782" s="91"/>
      <c r="H782" s="91"/>
    </row>
    <row r="783" spans="2:8">
      <c r="B783" s="91"/>
      <c r="C783" s="36"/>
      <c r="D783" s="91"/>
      <c r="E783" s="91"/>
      <c r="F783" s="80"/>
      <c r="G783" s="91"/>
      <c r="H783" s="91"/>
    </row>
    <row r="784" spans="2:8">
      <c r="B784" s="91"/>
      <c r="C784" s="36"/>
      <c r="D784" s="91"/>
      <c r="E784" s="91"/>
      <c r="F784" s="80"/>
      <c r="G784" s="91"/>
      <c r="H784" s="91"/>
    </row>
    <row r="785" spans="2:8">
      <c r="B785" s="91"/>
      <c r="C785" s="36"/>
      <c r="D785" s="91"/>
      <c r="E785" s="91"/>
      <c r="F785" s="80"/>
      <c r="G785" s="91"/>
      <c r="H785" s="91"/>
    </row>
    <row r="786" spans="2:8">
      <c r="B786" s="91"/>
      <c r="C786" s="36"/>
      <c r="D786" s="91"/>
      <c r="E786" s="91"/>
      <c r="F786" s="80"/>
      <c r="G786" s="91"/>
      <c r="H786" s="91"/>
    </row>
    <row r="787" spans="2:8">
      <c r="B787" s="91"/>
      <c r="C787" s="36"/>
      <c r="D787" s="91"/>
      <c r="E787" s="91"/>
      <c r="F787" s="80"/>
      <c r="G787" s="91"/>
      <c r="H787" s="91"/>
    </row>
    <row r="788" spans="2:8">
      <c r="B788" s="91"/>
      <c r="C788" s="36"/>
      <c r="D788" s="91"/>
      <c r="E788" s="91"/>
      <c r="F788" s="80"/>
      <c r="G788" s="91"/>
      <c r="H788" s="91"/>
    </row>
    <row r="789" spans="2:8">
      <c r="B789" s="91"/>
      <c r="C789" s="36"/>
      <c r="D789" s="91"/>
      <c r="E789" s="91"/>
      <c r="F789" s="80"/>
      <c r="G789" s="91"/>
      <c r="H789" s="91"/>
    </row>
    <row r="790" spans="2:8">
      <c r="B790" s="91"/>
      <c r="C790" s="36"/>
      <c r="D790" s="91"/>
      <c r="E790" s="91"/>
      <c r="F790" s="80"/>
      <c r="G790" s="91"/>
      <c r="H790" s="91"/>
    </row>
    <row r="791" spans="2:8">
      <c r="B791" s="91"/>
      <c r="C791" s="36"/>
      <c r="D791" s="91"/>
      <c r="E791" s="91"/>
      <c r="F791" s="80"/>
      <c r="G791" s="91"/>
      <c r="H791" s="91"/>
    </row>
    <row r="792" spans="2:8">
      <c r="B792" s="91"/>
      <c r="C792" s="36"/>
      <c r="D792" s="91"/>
      <c r="E792" s="91"/>
      <c r="F792" s="80"/>
      <c r="G792" s="91"/>
      <c r="H792" s="91"/>
    </row>
    <row r="793" spans="2:8">
      <c r="B793" s="91"/>
      <c r="C793" s="36"/>
      <c r="D793" s="91"/>
      <c r="E793" s="91"/>
      <c r="F793" s="80"/>
      <c r="G793" s="91"/>
      <c r="H793" s="91"/>
    </row>
    <row r="794" spans="2:8">
      <c r="B794" s="91"/>
      <c r="C794" s="36"/>
      <c r="D794" s="91"/>
      <c r="E794" s="91"/>
      <c r="F794" s="80"/>
      <c r="G794" s="91"/>
      <c r="H794" s="91"/>
    </row>
    <row r="795" spans="2:8">
      <c r="B795" s="91"/>
      <c r="C795" s="36"/>
      <c r="D795" s="91"/>
      <c r="E795" s="91"/>
      <c r="F795" s="80"/>
      <c r="G795" s="91"/>
      <c r="H795" s="91"/>
    </row>
    <row r="796" spans="2:8">
      <c r="B796" s="91"/>
      <c r="C796" s="36"/>
      <c r="D796" s="91"/>
      <c r="E796" s="91"/>
      <c r="F796" s="80"/>
      <c r="G796" s="91"/>
      <c r="H796" s="91"/>
    </row>
    <row r="797" spans="2:8">
      <c r="B797" s="91"/>
      <c r="C797" s="36"/>
      <c r="D797" s="91"/>
      <c r="E797" s="91"/>
      <c r="F797" s="80"/>
      <c r="G797" s="91"/>
      <c r="H797" s="91"/>
    </row>
    <row r="798" spans="2:8">
      <c r="B798" s="91"/>
      <c r="C798" s="36"/>
      <c r="D798" s="91"/>
      <c r="E798" s="91"/>
      <c r="F798" s="80"/>
      <c r="G798" s="91"/>
      <c r="H798" s="91"/>
    </row>
    <row r="799" spans="2:8">
      <c r="B799" s="91"/>
      <c r="C799" s="36"/>
      <c r="D799" s="91"/>
      <c r="E799" s="91"/>
      <c r="F799" s="80"/>
      <c r="G799" s="91"/>
      <c r="H799" s="91"/>
    </row>
    <row r="800" spans="2:8">
      <c r="B800" s="91"/>
      <c r="C800" s="36"/>
      <c r="D800" s="91"/>
      <c r="E800" s="91"/>
      <c r="F800" s="80"/>
      <c r="G800" s="91"/>
      <c r="H800" s="91"/>
    </row>
    <row r="801" spans="2:8">
      <c r="B801" s="91"/>
      <c r="C801" s="36"/>
      <c r="D801" s="91"/>
      <c r="E801" s="91"/>
      <c r="F801" s="80"/>
      <c r="G801" s="91"/>
      <c r="H801" s="91"/>
    </row>
    <row r="802" spans="2:8">
      <c r="B802" s="91"/>
      <c r="C802" s="36"/>
      <c r="D802" s="91"/>
      <c r="E802" s="91"/>
      <c r="F802" s="80"/>
      <c r="G802" s="91"/>
      <c r="H802" s="91"/>
    </row>
    <row r="803" spans="2:8">
      <c r="B803" s="91"/>
      <c r="C803" s="36"/>
      <c r="D803" s="91"/>
      <c r="E803" s="91"/>
      <c r="F803" s="80"/>
      <c r="G803" s="91"/>
      <c r="H803" s="91"/>
    </row>
    <row r="804" spans="2:8">
      <c r="B804" s="91"/>
      <c r="C804" s="36"/>
      <c r="D804" s="91"/>
      <c r="E804" s="91"/>
      <c r="F804" s="80"/>
      <c r="G804" s="91"/>
      <c r="H804" s="91"/>
    </row>
    <row r="805" spans="2:8">
      <c r="B805" s="91"/>
      <c r="C805" s="36"/>
      <c r="D805" s="91"/>
      <c r="E805" s="91"/>
      <c r="F805" s="80"/>
      <c r="G805" s="91"/>
      <c r="H805" s="91"/>
    </row>
    <row r="806" spans="2:8">
      <c r="B806" s="91"/>
      <c r="C806" s="36"/>
      <c r="D806" s="91"/>
      <c r="E806" s="91"/>
      <c r="F806" s="80"/>
      <c r="G806" s="91"/>
      <c r="H806" s="91"/>
    </row>
    <row r="807" spans="2:8">
      <c r="B807" s="91"/>
      <c r="C807" s="36"/>
      <c r="D807" s="91"/>
      <c r="E807" s="91"/>
      <c r="F807" s="80"/>
      <c r="G807" s="91"/>
      <c r="H807" s="91"/>
    </row>
    <row r="808" spans="2:8">
      <c r="B808" s="91"/>
      <c r="C808" s="36"/>
      <c r="D808" s="91"/>
      <c r="E808" s="91"/>
      <c r="F808" s="80"/>
      <c r="G808" s="91"/>
      <c r="H808" s="91"/>
    </row>
    <row r="809" spans="2:8">
      <c r="B809" s="91"/>
      <c r="C809" s="36"/>
      <c r="D809" s="91"/>
      <c r="E809" s="91"/>
      <c r="F809" s="80"/>
      <c r="G809" s="91"/>
      <c r="H809" s="91"/>
    </row>
    <row r="810" spans="2:8">
      <c r="B810" s="91"/>
      <c r="C810" s="36"/>
      <c r="D810" s="91"/>
      <c r="E810" s="91"/>
      <c r="F810" s="80"/>
      <c r="G810" s="91"/>
      <c r="H810" s="91"/>
    </row>
    <row r="811" spans="2:8">
      <c r="B811" s="91"/>
      <c r="C811" s="36"/>
      <c r="D811" s="91"/>
      <c r="E811" s="91"/>
      <c r="F811" s="80"/>
      <c r="G811" s="91"/>
      <c r="H811" s="91"/>
    </row>
    <row r="812" spans="2:8">
      <c r="B812" s="91"/>
      <c r="C812" s="36"/>
      <c r="D812" s="91"/>
      <c r="E812" s="91"/>
      <c r="F812" s="80"/>
      <c r="G812" s="91"/>
      <c r="H812" s="91"/>
    </row>
    <row r="813" spans="2:8">
      <c r="B813" s="91"/>
      <c r="C813" s="36"/>
      <c r="D813" s="91"/>
      <c r="E813" s="91"/>
      <c r="F813" s="80"/>
      <c r="G813" s="91"/>
      <c r="H813" s="91"/>
    </row>
    <row r="814" spans="2:8">
      <c r="B814" s="91"/>
      <c r="C814" s="36"/>
      <c r="D814" s="91"/>
      <c r="E814" s="91"/>
      <c r="F814" s="80"/>
      <c r="G814" s="91"/>
      <c r="H814" s="91"/>
    </row>
    <row r="815" spans="2:8">
      <c r="B815" s="91"/>
      <c r="C815" s="36"/>
      <c r="D815" s="91"/>
      <c r="E815" s="91"/>
      <c r="F815" s="80"/>
      <c r="G815" s="91"/>
      <c r="H815" s="91"/>
    </row>
    <row r="816" spans="2:8">
      <c r="B816" s="91"/>
      <c r="C816" s="36"/>
      <c r="D816" s="91"/>
      <c r="E816" s="91"/>
      <c r="F816" s="80"/>
      <c r="G816" s="91"/>
      <c r="H816" s="91"/>
    </row>
    <row r="817" spans="2:8">
      <c r="B817" s="91"/>
      <c r="C817" s="36"/>
      <c r="D817" s="91"/>
      <c r="E817" s="91"/>
      <c r="F817" s="80"/>
      <c r="G817" s="91"/>
      <c r="H817" s="91"/>
    </row>
    <row r="818" spans="2:8">
      <c r="B818" s="91"/>
      <c r="C818" s="36"/>
      <c r="D818" s="91"/>
      <c r="E818" s="91"/>
      <c r="F818" s="80"/>
      <c r="G818" s="91"/>
      <c r="H818" s="91"/>
    </row>
    <row r="819" spans="2:8">
      <c r="B819" s="91"/>
      <c r="C819" s="36"/>
      <c r="D819" s="91"/>
      <c r="E819" s="91"/>
      <c r="F819" s="80"/>
      <c r="G819" s="91"/>
      <c r="H819" s="91"/>
    </row>
    <row r="820" spans="2:8">
      <c r="B820" s="91"/>
      <c r="C820" s="36"/>
      <c r="D820" s="91"/>
      <c r="E820" s="91"/>
      <c r="F820" s="80"/>
      <c r="G820" s="91"/>
      <c r="H820" s="91"/>
    </row>
    <row r="821" spans="2:8">
      <c r="B821" s="91"/>
      <c r="C821" s="36"/>
      <c r="D821" s="91"/>
      <c r="E821" s="91"/>
      <c r="F821" s="80"/>
      <c r="G821" s="91"/>
      <c r="H821" s="91"/>
    </row>
    <row r="822" spans="2:8">
      <c r="B822" s="91"/>
      <c r="C822" s="36"/>
      <c r="D822" s="91"/>
      <c r="E822" s="91"/>
      <c r="F822" s="80"/>
      <c r="G822" s="91"/>
      <c r="H822" s="91"/>
    </row>
    <row r="823" spans="2:8">
      <c r="B823" s="91"/>
      <c r="C823" s="36"/>
      <c r="D823" s="91"/>
      <c r="E823" s="91"/>
      <c r="F823" s="80"/>
      <c r="G823" s="91"/>
      <c r="H823" s="91"/>
    </row>
    <row r="824" spans="2:8">
      <c r="B824" s="91"/>
      <c r="C824" s="36"/>
      <c r="D824" s="91"/>
      <c r="E824" s="91"/>
      <c r="F824" s="80"/>
      <c r="G824" s="91"/>
      <c r="H824" s="91"/>
    </row>
    <row r="825" spans="2:8">
      <c r="B825" s="91"/>
      <c r="C825" s="36"/>
      <c r="D825" s="91"/>
      <c r="E825" s="91"/>
      <c r="F825" s="80"/>
      <c r="G825" s="91"/>
      <c r="H825" s="91"/>
    </row>
    <row r="826" spans="2:8">
      <c r="B826" s="91"/>
      <c r="C826" s="36"/>
      <c r="D826" s="91"/>
      <c r="E826" s="91"/>
      <c r="F826" s="80"/>
      <c r="G826" s="91"/>
      <c r="H826" s="91"/>
    </row>
    <row r="827" spans="2:8">
      <c r="B827" s="91"/>
      <c r="C827" s="36"/>
      <c r="D827" s="91"/>
      <c r="E827" s="91"/>
      <c r="F827" s="80"/>
      <c r="G827" s="91"/>
      <c r="H827" s="91"/>
    </row>
    <row r="828" spans="2:8">
      <c r="B828" s="91"/>
      <c r="C828" s="36"/>
      <c r="D828" s="91"/>
      <c r="E828" s="91"/>
      <c r="F828" s="80"/>
      <c r="G828" s="91"/>
      <c r="H828" s="91"/>
    </row>
    <row r="829" spans="2:8">
      <c r="B829" s="91"/>
      <c r="C829" s="36"/>
      <c r="D829" s="91"/>
      <c r="E829" s="91"/>
      <c r="F829" s="80"/>
      <c r="G829" s="91"/>
      <c r="H829" s="91"/>
    </row>
    <row r="830" spans="2:8">
      <c r="B830" s="91"/>
      <c r="C830" s="36"/>
      <c r="D830" s="91"/>
      <c r="E830" s="91"/>
      <c r="F830" s="80"/>
      <c r="G830" s="91"/>
      <c r="H830" s="91"/>
    </row>
    <row r="831" spans="2:8">
      <c r="B831" s="91"/>
      <c r="C831" s="36"/>
      <c r="D831" s="91"/>
      <c r="E831" s="91"/>
      <c r="F831" s="80"/>
      <c r="G831" s="91"/>
      <c r="H831" s="91"/>
    </row>
    <row r="832" spans="2:8">
      <c r="B832" s="91"/>
      <c r="C832" s="36"/>
      <c r="D832" s="91"/>
      <c r="E832" s="91"/>
      <c r="F832" s="80"/>
      <c r="G832" s="91"/>
      <c r="H832" s="91"/>
    </row>
    <row r="833" spans="2:8">
      <c r="B833" s="91"/>
      <c r="C833" s="36"/>
      <c r="D833" s="91"/>
      <c r="E833" s="91"/>
      <c r="F833" s="80"/>
      <c r="G833" s="91"/>
      <c r="H833" s="91"/>
    </row>
    <row r="834" spans="2:8">
      <c r="B834" s="91"/>
      <c r="C834" s="36"/>
      <c r="D834" s="91"/>
      <c r="E834" s="91"/>
      <c r="F834" s="80"/>
      <c r="G834" s="91"/>
      <c r="H834" s="91"/>
    </row>
    <row r="835" spans="2:8">
      <c r="B835" s="91"/>
      <c r="C835" s="36"/>
      <c r="D835" s="91"/>
      <c r="E835" s="91"/>
      <c r="F835" s="80"/>
      <c r="G835" s="91"/>
      <c r="H835" s="91"/>
    </row>
    <row r="836" spans="2:8">
      <c r="B836" s="91"/>
      <c r="C836" s="36"/>
      <c r="D836" s="91"/>
      <c r="E836" s="91"/>
      <c r="F836" s="80"/>
      <c r="G836" s="91"/>
      <c r="H836" s="91"/>
    </row>
    <row r="837" spans="2:8">
      <c r="B837" s="91"/>
      <c r="C837" s="36"/>
      <c r="D837" s="91"/>
      <c r="E837" s="91"/>
      <c r="F837" s="80"/>
      <c r="G837" s="91"/>
      <c r="H837" s="91"/>
    </row>
    <row r="838" spans="2:8">
      <c r="B838" s="91"/>
      <c r="C838" s="36"/>
      <c r="D838" s="91"/>
      <c r="E838" s="91"/>
      <c r="F838" s="80"/>
      <c r="G838" s="91"/>
      <c r="H838" s="91"/>
    </row>
    <row r="839" spans="2:8">
      <c r="B839" s="91"/>
      <c r="C839" s="36"/>
      <c r="D839" s="91"/>
      <c r="E839" s="91"/>
      <c r="F839" s="80"/>
      <c r="G839" s="91"/>
      <c r="H839" s="91"/>
    </row>
    <row r="840" spans="2:8">
      <c r="B840" s="91"/>
      <c r="C840" s="36"/>
      <c r="D840" s="91"/>
      <c r="E840" s="91"/>
      <c r="F840" s="80"/>
      <c r="G840" s="91"/>
      <c r="H840" s="91"/>
    </row>
    <row r="841" spans="2:8">
      <c r="B841" s="91"/>
      <c r="C841" s="36"/>
      <c r="D841" s="91"/>
      <c r="E841" s="91"/>
      <c r="F841" s="80"/>
      <c r="G841" s="91"/>
      <c r="H841" s="91"/>
    </row>
    <row r="842" spans="2:8">
      <c r="B842" s="91"/>
      <c r="C842" s="36"/>
      <c r="D842" s="91"/>
      <c r="E842" s="91"/>
      <c r="F842" s="80"/>
      <c r="G842" s="91"/>
      <c r="H842" s="91"/>
    </row>
    <row r="843" spans="2:8">
      <c r="B843" s="91"/>
      <c r="C843" s="36"/>
      <c r="D843" s="91"/>
      <c r="E843" s="91"/>
      <c r="F843" s="80"/>
      <c r="G843" s="91"/>
      <c r="H843" s="91"/>
    </row>
    <row r="844" spans="2:8">
      <c r="B844" s="91"/>
      <c r="C844" s="36"/>
      <c r="D844" s="91"/>
      <c r="E844" s="91"/>
      <c r="F844" s="80"/>
      <c r="G844" s="91"/>
      <c r="H844" s="91"/>
    </row>
    <row r="845" spans="2:8">
      <c r="B845" s="91"/>
      <c r="C845" s="36"/>
      <c r="D845" s="91"/>
      <c r="E845" s="91"/>
      <c r="F845" s="80"/>
      <c r="G845" s="91"/>
      <c r="H845" s="91"/>
    </row>
    <row r="846" spans="2:8">
      <c r="B846" s="91"/>
      <c r="C846" s="36"/>
      <c r="D846" s="91"/>
      <c r="E846" s="91"/>
      <c r="F846" s="80"/>
      <c r="G846" s="91"/>
      <c r="H846" s="91"/>
    </row>
    <row r="847" spans="2:8">
      <c r="B847" s="91"/>
      <c r="C847" s="36"/>
      <c r="D847" s="91"/>
      <c r="E847" s="91"/>
      <c r="F847" s="80"/>
      <c r="G847" s="91"/>
      <c r="H847" s="91"/>
    </row>
    <row r="848" spans="2:8">
      <c r="B848" s="91"/>
      <c r="C848" s="36"/>
      <c r="D848" s="91"/>
      <c r="E848" s="91"/>
      <c r="F848" s="80"/>
      <c r="G848" s="91"/>
      <c r="H848" s="91"/>
    </row>
    <row r="849" spans="2:8">
      <c r="B849" s="91"/>
      <c r="C849" s="36"/>
      <c r="D849" s="91"/>
      <c r="E849" s="91"/>
      <c r="F849" s="80"/>
      <c r="G849" s="91"/>
      <c r="H849" s="91"/>
    </row>
    <row r="850" spans="2:8">
      <c r="B850" s="91"/>
      <c r="C850" s="36"/>
      <c r="D850" s="91"/>
      <c r="E850" s="91"/>
      <c r="F850" s="80"/>
      <c r="G850" s="91"/>
      <c r="H850" s="91"/>
    </row>
    <row r="851" spans="2:8">
      <c r="B851" s="91"/>
      <c r="C851" s="36"/>
      <c r="D851" s="91"/>
      <c r="E851" s="91"/>
      <c r="F851" s="80"/>
      <c r="G851" s="91"/>
      <c r="H851" s="91"/>
    </row>
    <row r="852" spans="2:8">
      <c r="B852" s="91"/>
      <c r="C852" s="36"/>
      <c r="D852" s="91"/>
      <c r="E852" s="91"/>
      <c r="F852" s="80"/>
      <c r="G852" s="91"/>
      <c r="H852" s="91"/>
    </row>
    <row r="853" spans="2:8">
      <c r="B853" s="91"/>
      <c r="C853" s="36"/>
      <c r="D853" s="91"/>
      <c r="E853" s="91"/>
      <c r="F853" s="80"/>
      <c r="G853" s="91"/>
      <c r="H853" s="91"/>
    </row>
    <row r="854" spans="2:8">
      <c r="B854" s="91"/>
      <c r="C854" s="36"/>
      <c r="D854" s="91"/>
      <c r="E854" s="91"/>
      <c r="F854" s="80"/>
      <c r="G854" s="91"/>
      <c r="H854" s="91"/>
    </row>
    <row r="855" spans="2:8">
      <c r="B855" s="91"/>
      <c r="C855" s="36"/>
      <c r="D855" s="91"/>
      <c r="E855" s="91"/>
      <c r="F855" s="80"/>
      <c r="G855" s="91"/>
      <c r="H855" s="91"/>
    </row>
    <row r="856" spans="2:8">
      <c r="B856" s="91"/>
      <c r="C856" s="36"/>
      <c r="D856" s="91"/>
      <c r="E856" s="91"/>
      <c r="F856" s="80"/>
      <c r="G856" s="91"/>
      <c r="H856" s="91"/>
    </row>
    <row r="857" spans="2:8">
      <c r="B857" s="91"/>
      <c r="C857" s="36"/>
      <c r="D857" s="91"/>
      <c r="E857" s="91"/>
      <c r="F857" s="80"/>
      <c r="G857" s="91"/>
      <c r="H857" s="91"/>
    </row>
    <row r="858" spans="2:8">
      <c r="B858" s="91"/>
      <c r="C858" s="36"/>
      <c r="D858" s="91"/>
      <c r="E858" s="91"/>
      <c r="F858" s="80"/>
      <c r="G858" s="91"/>
      <c r="H858" s="91"/>
    </row>
    <row r="859" spans="2:8">
      <c r="B859" s="91"/>
      <c r="C859" s="36"/>
      <c r="D859" s="91"/>
      <c r="E859" s="91"/>
      <c r="F859" s="80"/>
      <c r="G859" s="91"/>
      <c r="H859" s="91"/>
    </row>
    <row r="860" spans="2:8">
      <c r="B860" s="91"/>
      <c r="C860" s="36"/>
      <c r="D860" s="91"/>
      <c r="E860" s="91"/>
      <c r="F860" s="80"/>
      <c r="G860" s="91"/>
      <c r="H860" s="91"/>
    </row>
    <row r="861" spans="2:8">
      <c r="B861" s="91"/>
      <c r="C861" s="36"/>
      <c r="D861" s="91"/>
      <c r="E861" s="91"/>
      <c r="F861" s="80"/>
      <c r="G861" s="91"/>
      <c r="H861" s="91"/>
    </row>
    <row r="862" spans="2:8">
      <c r="B862" s="91"/>
      <c r="C862" s="36"/>
      <c r="D862" s="91"/>
      <c r="E862" s="91"/>
      <c r="F862" s="80"/>
      <c r="G862" s="91"/>
      <c r="H862" s="91"/>
    </row>
    <row r="863" spans="2:8">
      <c r="B863" s="91"/>
      <c r="C863" s="36"/>
      <c r="D863" s="91"/>
      <c r="E863" s="91"/>
      <c r="F863" s="80"/>
      <c r="G863" s="91"/>
      <c r="H863" s="91"/>
    </row>
    <row r="864" spans="2:8">
      <c r="B864" s="91"/>
      <c r="C864" s="36"/>
      <c r="D864" s="91"/>
      <c r="E864" s="91"/>
      <c r="F864" s="80"/>
      <c r="G864" s="91"/>
      <c r="H864" s="91"/>
    </row>
    <row r="865" spans="2:8">
      <c r="B865" s="91"/>
      <c r="C865" s="36"/>
      <c r="D865" s="91"/>
      <c r="E865" s="91"/>
      <c r="F865" s="80"/>
      <c r="G865" s="91"/>
      <c r="H865" s="91"/>
    </row>
    <row r="866" spans="2:8">
      <c r="B866" s="91"/>
      <c r="C866" s="36"/>
      <c r="D866" s="91"/>
      <c r="E866" s="91"/>
      <c r="F866" s="80"/>
      <c r="G866" s="91"/>
      <c r="H866" s="91"/>
    </row>
    <row r="867" spans="2:8">
      <c r="B867" s="91"/>
      <c r="C867" s="36"/>
      <c r="D867" s="91"/>
      <c r="E867" s="91"/>
      <c r="F867" s="80"/>
      <c r="G867" s="91"/>
      <c r="H867" s="91"/>
    </row>
    <row r="868" spans="2:8">
      <c r="B868" s="91"/>
      <c r="C868" s="36"/>
      <c r="D868" s="91"/>
      <c r="E868" s="91"/>
      <c r="F868" s="80"/>
      <c r="G868" s="91"/>
      <c r="H868" s="91"/>
    </row>
    <row r="869" spans="2:8">
      <c r="B869" s="91"/>
      <c r="C869" s="36"/>
      <c r="D869" s="91"/>
      <c r="E869" s="91"/>
      <c r="F869" s="80"/>
      <c r="G869" s="91"/>
      <c r="H869" s="91"/>
    </row>
    <row r="870" spans="2:8">
      <c r="B870" s="91"/>
      <c r="C870" s="36"/>
      <c r="D870" s="91"/>
      <c r="E870" s="91"/>
      <c r="F870" s="80"/>
      <c r="G870" s="91"/>
      <c r="H870" s="91"/>
    </row>
    <row r="871" spans="2:8">
      <c r="B871" s="91"/>
      <c r="C871" s="36"/>
      <c r="D871" s="91"/>
      <c r="E871" s="91"/>
      <c r="F871" s="80"/>
      <c r="G871" s="91"/>
      <c r="H871" s="91"/>
    </row>
    <row r="872" spans="2:8">
      <c r="B872" s="91"/>
      <c r="C872" s="36"/>
      <c r="D872" s="91"/>
      <c r="E872" s="91"/>
      <c r="F872" s="80"/>
      <c r="G872" s="91"/>
      <c r="H872" s="91"/>
    </row>
    <row r="873" spans="2:8">
      <c r="B873" s="91"/>
      <c r="C873" s="36"/>
      <c r="D873" s="91"/>
      <c r="E873" s="91"/>
      <c r="F873" s="80"/>
      <c r="G873" s="91"/>
      <c r="H873" s="91"/>
    </row>
    <row r="874" spans="2:8">
      <c r="B874" s="91"/>
      <c r="C874" s="36"/>
      <c r="D874" s="91"/>
      <c r="E874" s="91"/>
      <c r="F874" s="80"/>
      <c r="G874" s="91"/>
      <c r="H874" s="91"/>
    </row>
    <row r="875" spans="2:8">
      <c r="B875" s="91"/>
      <c r="C875" s="36"/>
      <c r="D875" s="91"/>
      <c r="E875" s="91"/>
      <c r="F875" s="80"/>
      <c r="G875" s="91"/>
      <c r="H875" s="91"/>
    </row>
    <row r="876" spans="2:8">
      <c r="B876" s="91"/>
      <c r="C876" s="36"/>
      <c r="D876" s="91"/>
      <c r="E876" s="91"/>
      <c r="F876" s="80"/>
      <c r="G876" s="91"/>
      <c r="H876" s="91"/>
    </row>
    <row r="877" spans="2:8">
      <c r="B877" s="91"/>
      <c r="C877" s="36"/>
      <c r="D877" s="91"/>
      <c r="E877" s="91"/>
      <c r="F877" s="80"/>
      <c r="G877" s="91"/>
      <c r="H877" s="91"/>
    </row>
    <row r="878" spans="2:8">
      <c r="B878" s="91"/>
      <c r="C878" s="36"/>
      <c r="D878" s="91"/>
      <c r="E878" s="91"/>
      <c r="F878" s="80"/>
      <c r="G878" s="91"/>
      <c r="H878" s="91"/>
    </row>
    <row r="879" spans="2:8">
      <c r="B879" s="91"/>
      <c r="C879" s="36"/>
      <c r="D879" s="91"/>
      <c r="E879" s="91"/>
      <c r="F879" s="80"/>
      <c r="G879" s="91"/>
      <c r="H879" s="91"/>
    </row>
    <row r="880" spans="2:8">
      <c r="B880" s="91"/>
      <c r="C880" s="36"/>
      <c r="D880" s="91"/>
      <c r="E880" s="91"/>
      <c r="F880" s="80"/>
      <c r="G880" s="91"/>
      <c r="H880" s="91"/>
    </row>
    <row r="881" spans="2:8">
      <c r="B881" s="91"/>
      <c r="C881" s="36"/>
      <c r="D881" s="91"/>
      <c r="E881" s="91"/>
      <c r="F881" s="80"/>
      <c r="G881" s="91"/>
      <c r="H881" s="91"/>
    </row>
    <row r="882" spans="2:8">
      <c r="B882" s="91"/>
      <c r="C882" s="36"/>
      <c r="D882" s="91"/>
      <c r="E882" s="91"/>
      <c r="F882" s="80"/>
      <c r="G882" s="91"/>
      <c r="H882" s="91"/>
    </row>
    <row r="883" spans="2:8">
      <c r="B883" s="91"/>
      <c r="C883" s="36"/>
      <c r="D883" s="91"/>
      <c r="E883" s="91"/>
      <c r="F883" s="80"/>
      <c r="G883" s="91"/>
      <c r="H883" s="91"/>
    </row>
    <row r="884" spans="2:8">
      <c r="B884" s="91"/>
      <c r="C884" s="36"/>
      <c r="D884" s="91"/>
      <c r="E884" s="91"/>
      <c r="F884" s="80"/>
      <c r="G884" s="91"/>
      <c r="H884" s="91"/>
    </row>
    <row r="885" spans="2:8">
      <c r="B885" s="91"/>
      <c r="C885" s="36"/>
      <c r="D885" s="91"/>
      <c r="E885" s="91"/>
      <c r="F885" s="80"/>
      <c r="G885" s="91"/>
      <c r="H885" s="91"/>
    </row>
    <row r="886" spans="2:8">
      <c r="B886" s="91"/>
      <c r="C886" s="36"/>
      <c r="D886" s="91"/>
      <c r="E886" s="91"/>
      <c r="F886" s="80"/>
      <c r="G886" s="91"/>
      <c r="H886" s="91"/>
    </row>
    <row r="887" spans="2:8">
      <c r="B887" s="91"/>
      <c r="C887" s="36"/>
      <c r="D887" s="91"/>
      <c r="E887" s="91"/>
      <c r="F887" s="80"/>
      <c r="G887" s="91"/>
      <c r="H887" s="91"/>
    </row>
    <row r="888" spans="2:8">
      <c r="B888" s="91"/>
      <c r="C888" s="36"/>
      <c r="D888" s="91"/>
      <c r="E888" s="91"/>
      <c r="F888" s="80"/>
      <c r="G888" s="91"/>
      <c r="H888" s="91"/>
    </row>
    <row r="889" spans="2:8">
      <c r="B889" s="91"/>
      <c r="C889" s="36"/>
      <c r="D889" s="91"/>
      <c r="E889" s="91"/>
      <c r="F889" s="80"/>
      <c r="G889" s="91"/>
      <c r="H889" s="91"/>
    </row>
    <row r="890" spans="2:8">
      <c r="B890" s="91"/>
      <c r="C890" s="36"/>
      <c r="D890" s="91"/>
      <c r="E890" s="91"/>
      <c r="F890" s="80"/>
      <c r="G890" s="91"/>
      <c r="H890" s="91"/>
    </row>
    <row r="891" spans="2:8">
      <c r="B891" s="91"/>
      <c r="C891" s="36"/>
      <c r="D891" s="91"/>
      <c r="E891" s="91"/>
      <c r="F891" s="80"/>
      <c r="G891" s="91"/>
      <c r="H891" s="91"/>
    </row>
    <row r="892" spans="2:8">
      <c r="B892" s="91"/>
      <c r="C892" s="36"/>
      <c r="D892" s="91"/>
      <c r="E892" s="91"/>
      <c r="F892" s="80"/>
      <c r="G892" s="91"/>
      <c r="H892" s="91"/>
    </row>
    <row r="893" spans="2:8">
      <c r="B893" s="91"/>
      <c r="C893" s="36"/>
      <c r="D893" s="91"/>
      <c r="E893" s="91"/>
      <c r="F893" s="80"/>
      <c r="G893" s="91"/>
      <c r="H893" s="91"/>
    </row>
    <row r="894" spans="2:8">
      <c r="B894" s="91"/>
      <c r="C894" s="36"/>
      <c r="D894" s="91"/>
      <c r="E894" s="91"/>
      <c r="F894" s="80"/>
      <c r="G894" s="91"/>
      <c r="H894" s="91"/>
    </row>
    <row r="895" spans="2:8">
      <c r="B895" s="91"/>
      <c r="C895" s="36"/>
      <c r="D895" s="91"/>
      <c r="E895" s="91"/>
      <c r="F895" s="80"/>
      <c r="G895" s="91"/>
      <c r="H895" s="91"/>
    </row>
    <row r="896" spans="2:8">
      <c r="B896" s="91"/>
      <c r="C896" s="36"/>
      <c r="D896" s="91"/>
      <c r="E896" s="91"/>
      <c r="F896" s="80"/>
      <c r="G896" s="91"/>
      <c r="H896" s="91"/>
    </row>
    <row r="897" spans="2:8">
      <c r="B897" s="91"/>
      <c r="C897" s="36"/>
      <c r="D897" s="91"/>
      <c r="E897" s="91"/>
      <c r="F897" s="80"/>
      <c r="G897" s="91"/>
      <c r="H897" s="91"/>
    </row>
    <row r="898" spans="2:8">
      <c r="B898" s="91"/>
      <c r="C898" s="36"/>
      <c r="D898" s="91"/>
      <c r="E898" s="91"/>
      <c r="F898" s="80"/>
      <c r="G898" s="91"/>
      <c r="H898" s="91"/>
    </row>
    <row r="899" spans="2:8">
      <c r="B899" s="91"/>
      <c r="C899" s="36"/>
      <c r="D899" s="91"/>
      <c r="E899" s="91"/>
      <c r="F899" s="80"/>
      <c r="G899" s="91"/>
      <c r="H899" s="91"/>
    </row>
    <row r="900" spans="2:8">
      <c r="B900" s="91"/>
      <c r="C900" s="36"/>
      <c r="D900" s="91"/>
      <c r="E900" s="91"/>
      <c r="F900" s="80"/>
      <c r="G900" s="91"/>
      <c r="H900" s="91"/>
    </row>
    <row r="901" spans="2:8">
      <c r="B901" s="91"/>
      <c r="C901" s="36"/>
      <c r="D901" s="91"/>
      <c r="E901" s="91"/>
      <c r="F901" s="80"/>
      <c r="G901" s="91"/>
      <c r="H901" s="91"/>
    </row>
    <row r="902" spans="2:8">
      <c r="B902" s="91"/>
      <c r="C902" s="36"/>
      <c r="D902" s="91"/>
      <c r="E902" s="91"/>
      <c r="F902" s="80"/>
      <c r="G902" s="91"/>
      <c r="H902" s="91"/>
    </row>
    <row r="903" spans="2:8">
      <c r="B903" s="91"/>
      <c r="C903" s="36"/>
      <c r="D903" s="91"/>
      <c r="E903" s="91"/>
      <c r="F903" s="80"/>
      <c r="G903" s="91"/>
      <c r="H903" s="91"/>
    </row>
    <row r="904" spans="2:8">
      <c r="B904" s="91"/>
      <c r="C904" s="36"/>
      <c r="D904" s="91"/>
      <c r="E904" s="91"/>
      <c r="F904" s="80"/>
      <c r="G904" s="91"/>
      <c r="H904" s="91"/>
    </row>
    <row r="905" spans="2:8">
      <c r="B905" s="91"/>
      <c r="C905" s="36"/>
      <c r="D905" s="91"/>
      <c r="E905" s="91"/>
      <c r="F905" s="80"/>
      <c r="G905" s="91"/>
      <c r="H905" s="91"/>
    </row>
    <row r="906" spans="2:8">
      <c r="B906" s="91"/>
      <c r="C906" s="36"/>
      <c r="D906" s="91"/>
      <c r="E906" s="91"/>
      <c r="F906" s="80"/>
      <c r="G906" s="91"/>
      <c r="H906" s="91"/>
    </row>
    <row r="907" spans="2:8">
      <c r="B907" s="91"/>
      <c r="C907" s="36"/>
      <c r="D907" s="91"/>
      <c r="E907" s="91"/>
      <c r="F907" s="80"/>
      <c r="G907" s="91"/>
      <c r="H907" s="91"/>
    </row>
    <row r="908" spans="2:8">
      <c r="B908" s="91"/>
      <c r="C908" s="36"/>
      <c r="D908" s="91"/>
      <c r="E908" s="91"/>
      <c r="F908" s="80"/>
      <c r="G908" s="91"/>
      <c r="H908" s="91"/>
    </row>
    <row r="909" spans="2:8">
      <c r="B909" s="91"/>
      <c r="C909" s="36"/>
      <c r="D909" s="91"/>
      <c r="E909" s="91"/>
      <c r="F909" s="80"/>
      <c r="G909" s="91"/>
      <c r="H909" s="91"/>
    </row>
    <row r="910" spans="2:8">
      <c r="B910" s="91"/>
      <c r="C910" s="36"/>
      <c r="D910" s="91"/>
      <c r="E910" s="91"/>
      <c r="F910" s="80"/>
      <c r="G910" s="91"/>
      <c r="H910" s="91"/>
    </row>
    <row r="911" spans="2:8">
      <c r="B911" s="91"/>
      <c r="C911" s="36"/>
      <c r="D911" s="91"/>
      <c r="E911" s="91"/>
      <c r="F911" s="80"/>
      <c r="G911" s="91"/>
      <c r="H911" s="91"/>
    </row>
    <row r="912" spans="2:8">
      <c r="B912" s="91"/>
      <c r="C912" s="36"/>
      <c r="D912" s="91"/>
      <c r="E912" s="91"/>
      <c r="F912" s="80"/>
      <c r="G912" s="91"/>
      <c r="H912" s="91"/>
    </row>
    <row r="913" spans="2:8">
      <c r="B913" s="91"/>
      <c r="C913" s="36"/>
      <c r="D913" s="91"/>
      <c r="E913" s="91"/>
      <c r="F913" s="80"/>
      <c r="G913" s="91"/>
      <c r="H913" s="91"/>
    </row>
    <row r="914" spans="2:8">
      <c r="B914" s="91"/>
      <c r="C914" s="36"/>
      <c r="D914" s="91"/>
      <c r="E914" s="91"/>
      <c r="F914" s="80"/>
      <c r="G914" s="91"/>
      <c r="H914" s="91"/>
    </row>
    <row r="915" spans="2:8">
      <c r="B915" s="91"/>
      <c r="C915" s="36"/>
      <c r="D915" s="91"/>
      <c r="E915" s="91"/>
      <c r="F915" s="80"/>
      <c r="G915" s="91"/>
      <c r="H915" s="91"/>
    </row>
    <row r="916" spans="2:8">
      <c r="B916" s="91"/>
      <c r="C916" s="36"/>
      <c r="D916" s="91"/>
      <c r="E916" s="91"/>
      <c r="F916" s="80"/>
      <c r="G916" s="91"/>
      <c r="H916" s="91"/>
    </row>
    <row r="917" spans="2:8">
      <c r="B917" s="91"/>
      <c r="C917" s="36"/>
      <c r="D917" s="91"/>
      <c r="E917" s="91"/>
      <c r="F917" s="80"/>
      <c r="G917" s="91"/>
      <c r="H917" s="91"/>
    </row>
    <row r="918" spans="2:8">
      <c r="B918" s="91"/>
      <c r="C918" s="36"/>
      <c r="D918" s="91"/>
      <c r="E918" s="91"/>
      <c r="F918" s="80"/>
      <c r="G918" s="91"/>
      <c r="H918" s="91"/>
    </row>
    <row r="919" spans="2:8">
      <c r="B919" s="91"/>
      <c r="C919" s="36"/>
      <c r="D919" s="91"/>
      <c r="E919" s="91"/>
      <c r="F919" s="80"/>
      <c r="G919" s="91"/>
      <c r="H919" s="91"/>
    </row>
    <row r="920" spans="2:8">
      <c r="B920" s="91"/>
      <c r="C920" s="36"/>
      <c r="D920" s="91"/>
      <c r="E920" s="91"/>
      <c r="F920" s="80"/>
      <c r="G920" s="91"/>
      <c r="H920" s="91"/>
    </row>
    <row r="921" spans="2:8">
      <c r="B921" s="91"/>
      <c r="C921" s="36"/>
      <c r="D921" s="91"/>
      <c r="E921" s="91"/>
      <c r="F921" s="80"/>
      <c r="G921" s="91"/>
      <c r="H921" s="91"/>
    </row>
    <row r="922" spans="2:8">
      <c r="B922" s="91"/>
      <c r="C922" s="36"/>
      <c r="D922" s="91"/>
      <c r="E922" s="91"/>
      <c r="F922" s="80"/>
      <c r="G922" s="91"/>
      <c r="H922" s="91"/>
    </row>
    <row r="923" spans="2:8">
      <c r="B923" s="91"/>
      <c r="C923" s="36"/>
      <c r="D923" s="91"/>
      <c r="E923" s="91"/>
      <c r="F923" s="80"/>
      <c r="G923" s="91"/>
      <c r="H923" s="91"/>
    </row>
    <row r="924" spans="2:8">
      <c r="B924" s="91"/>
      <c r="C924" s="36"/>
      <c r="D924" s="91"/>
      <c r="E924" s="91"/>
      <c r="F924" s="80"/>
      <c r="G924" s="91"/>
      <c r="H924" s="91"/>
    </row>
    <row r="925" spans="2:8">
      <c r="B925" s="91"/>
      <c r="C925" s="36"/>
      <c r="D925" s="91"/>
      <c r="E925" s="91"/>
      <c r="F925" s="80"/>
      <c r="G925" s="91"/>
      <c r="H925" s="91"/>
    </row>
    <row r="926" spans="2:8">
      <c r="B926" s="91"/>
      <c r="C926" s="36"/>
      <c r="D926" s="91"/>
      <c r="E926" s="91"/>
      <c r="F926" s="80"/>
      <c r="G926" s="91"/>
      <c r="H926" s="91"/>
    </row>
    <row r="927" spans="2:8">
      <c r="B927" s="91"/>
      <c r="C927" s="36"/>
      <c r="D927" s="91"/>
      <c r="E927" s="91"/>
      <c r="F927" s="80"/>
      <c r="G927" s="91"/>
      <c r="H927" s="91"/>
    </row>
    <row r="928" spans="2:8">
      <c r="B928" s="91"/>
      <c r="C928" s="36"/>
      <c r="D928" s="91"/>
      <c r="E928" s="91"/>
      <c r="F928" s="80"/>
      <c r="G928" s="91"/>
      <c r="H928" s="91"/>
    </row>
    <row r="929" spans="2:8">
      <c r="B929" s="91"/>
      <c r="C929" s="36"/>
      <c r="D929" s="91"/>
      <c r="E929" s="91"/>
      <c r="F929" s="80"/>
      <c r="G929" s="91"/>
      <c r="H929" s="91"/>
    </row>
    <row r="930" spans="2:8">
      <c r="B930" s="91"/>
      <c r="C930" s="36"/>
      <c r="D930" s="91"/>
      <c r="E930" s="91"/>
      <c r="F930" s="80"/>
      <c r="G930" s="91"/>
      <c r="H930" s="91"/>
    </row>
    <row r="931" spans="2:8">
      <c r="B931" s="91"/>
      <c r="C931" s="36"/>
      <c r="D931" s="91"/>
      <c r="E931" s="91"/>
      <c r="F931" s="80"/>
      <c r="G931" s="91"/>
      <c r="H931" s="91"/>
    </row>
    <row r="932" spans="2:8">
      <c r="B932" s="91"/>
      <c r="C932" s="36"/>
      <c r="D932" s="91"/>
      <c r="E932" s="91"/>
      <c r="F932" s="80"/>
      <c r="G932" s="91"/>
      <c r="H932" s="91"/>
    </row>
    <row r="933" spans="2:8">
      <c r="B933" s="91"/>
      <c r="C933" s="36"/>
      <c r="D933" s="91"/>
      <c r="E933" s="91"/>
      <c r="F933" s="80"/>
      <c r="G933" s="91"/>
      <c r="H933" s="91"/>
    </row>
    <row r="934" spans="2:8">
      <c r="B934" s="91"/>
      <c r="C934" s="36"/>
      <c r="D934" s="91"/>
      <c r="E934" s="91"/>
      <c r="F934" s="80"/>
      <c r="G934" s="91"/>
      <c r="H934" s="91"/>
    </row>
    <row r="935" spans="2:8">
      <c r="B935" s="91"/>
      <c r="C935" s="36"/>
      <c r="D935" s="91"/>
      <c r="E935" s="91"/>
      <c r="F935" s="80"/>
      <c r="G935" s="91"/>
      <c r="H935" s="91"/>
    </row>
    <row r="936" spans="2:8">
      <c r="B936" s="91"/>
      <c r="C936" s="36"/>
      <c r="D936" s="91"/>
      <c r="E936" s="91"/>
      <c r="F936" s="80"/>
      <c r="G936" s="91"/>
      <c r="H936" s="91"/>
    </row>
    <row r="937" spans="2:8">
      <c r="B937" s="91"/>
      <c r="C937" s="36"/>
      <c r="D937" s="91"/>
      <c r="E937" s="91"/>
      <c r="F937" s="80"/>
      <c r="G937" s="91"/>
      <c r="H937" s="91"/>
    </row>
    <row r="938" spans="2:8">
      <c r="B938" s="91"/>
      <c r="C938" s="36"/>
      <c r="D938" s="91"/>
      <c r="E938" s="91"/>
      <c r="F938" s="80"/>
      <c r="G938" s="91"/>
      <c r="H938" s="91"/>
    </row>
    <row r="939" spans="2:8">
      <c r="B939" s="91"/>
      <c r="C939" s="36"/>
      <c r="D939" s="91"/>
      <c r="E939" s="91"/>
      <c r="F939" s="80"/>
      <c r="G939" s="91"/>
      <c r="H939" s="91"/>
    </row>
    <row r="940" spans="2:8">
      <c r="B940" s="91"/>
      <c r="C940" s="36"/>
      <c r="D940" s="91"/>
      <c r="E940" s="91"/>
      <c r="F940" s="80"/>
      <c r="G940" s="91"/>
      <c r="H940" s="91"/>
    </row>
    <row r="941" spans="2:8">
      <c r="B941" s="91"/>
      <c r="C941" s="36"/>
      <c r="D941" s="91"/>
      <c r="E941" s="91"/>
      <c r="F941" s="80"/>
      <c r="G941" s="91"/>
      <c r="H941" s="91"/>
    </row>
    <row r="942" spans="2:8">
      <c r="B942" s="91"/>
      <c r="C942" s="36"/>
      <c r="D942" s="91"/>
      <c r="E942" s="91"/>
      <c r="F942" s="80"/>
      <c r="G942" s="91"/>
      <c r="H942" s="91"/>
    </row>
    <row r="943" spans="2:8">
      <c r="B943" s="91"/>
      <c r="C943" s="36"/>
      <c r="D943" s="91"/>
      <c r="E943" s="91"/>
      <c r="F943" s="80"/>
      <c r="G943" s="91"/>
      <c r="H943" s="91"/>
    </row>
    <row r="944" spans="2:8">
      <c r="B944" s="91"/>
      <c r="C944" s="36"/>
      <c r="D944" s="91"/>
      <c r="E944" s="91"/>
      <c r="F944" s="80"/>
      <c r="G944" s="91"/>
      <c r="H944" s="91"/>
    </row>
    <row r="945" spans="2:8">
      <c r="B945" s="91"/>
      <c r="C945" s="36"/>
      <c r="D945" s="91"/>
      <c r="E945" s="91"/>
      <c r="F945" s="80"/>
      <c r="G945" s="91"/>
      <c r="H945" s="91"/>
    </row>
    <row r="946" spans="2:8">
      <c r="B946" s="91"/>
      <c r="C946" s="36"/>
      <c r="D946" s="91"/>
      <c r="E946" s="91"/>
      <c r="F946" s="80"/>
      <c r="G946" s="91"/>
      <c r="H946" s="91"/>
    </row>
    <row r="947" spans="2:8">
      <c r="B947" s="91"/>
      <c r="C947" s="36"/>
      <c r="D947" s="91"/>
      <c r="E947" s="91"/>
      <c r="F947" s="80"/>
      <c r="G947" s="91"/>
      <c r="H947" s="91"/>
    </row>
    <row r="948" spans="2:8">
      <c r="B948" s="91"/>
      <c r="C948" s="36"/>
      <c r="D948" s="91"/>
      <c r="E948" s="91"/>
      <c r="F948" s="80"/>
      <c r="G948" s="91"/>
      <c r="H948" s="91"/>
    </row>
    <row r="949" spans="2:8">
      <c r="B949" s="91"/>
      <c r="C949" s="36"/>
      <c r="D949" s="91"/>
      <c r="E949" s="91"/>
      <c r="F949" s="80"/>
      <c r="G949" s="91"/>
      <c r="H949" s="91"/>
    </row>
    <row r="950" spans="2:8">
      <c r="B950" s="91"/>
      <c r="C950" s="36"/>
      <c r="D950" s="91"/>
      <c r="E950" s="91"/>
      <c r="F950" s="80"/>
      <c r="G950" s="91"/>
      <c r="H950" s="91"/>
    </row>
    <row r="951" spans="2:8">
      <c r="B951" s="91"/>
      <c r="C951" s="36"/>
      <c r="D951" s="91"/>
      <c r="E951" s="91"/>
      <c r="F951" s="80"/>
      <c r="G951" s="91"/>
      <c r="H951" s="91"/>
    </row>
    <row r="952" spans="2:8">
      <c r="B952" s="91"/>
      <c r="C952" s="36"/>
      <c r="D952" s="91"/>
      <c r="E952" s="91"/>
      <c r="F952" s="80"/>
      <c r="G952" s="91"/>
      <c r="H952" s="91"/>
    </row>
    <row r="953" spans="2:8">
      <c r="B953" s="91"/>
      <c r="C953" s="36"/>
      <c r="D953" s="91"/>
      <c r="E953" s="91"/>
      <c r="F953" s="80"/>
      <c r="G953" s="91"/>
      <c r="H953" s="91"/>
    </row>
    <row r="954" spans="2:8">
      <c r="B954" s="91"/>
      <c r="C954" s="36"/>
      <c r="D954" s="91"/>
      <c r="E954" s="91"/>
      <c r="F954" s="80"/>
      <c r="G954" s="91"/>
      <c r="H954" s="91"/>
    </row>
    <row r="955" spans="2:8">
      <c r="B955" s="91"/>
      <c r="C955" s="36"/>
      <c r="D955" s="91"/>
      <c r="E955" s="91"/>
      <c r="F955" s="80"/>
      <c r="G955" s="91"/>
      <c r="H955" s="91"/>
    </row>
    <row r="956" spans="2:8">
      <c r="B956" s="91"/>
      <c r="C956" s="36"/>
      <c r="D956" s="91"/>
      <c r="E956" s="91"/>
      <c r="F956" s="80"/>
      <c r="G956" s="91"/>
      <c r="H956" s="91"/>
    </row>
    <row r="957" spans="2:8">
      <c r="B957" s="91"/>
      <c r="C957" s="36"/>
      <c r="D957" s="91"/>
      <c r="E957" s="91"/>
      <c r="F957" s="80"/>
      <c r="G957" s="91"/>
      <c r="H957" s="91"/>
    </row>
    <row r="958" spans="2:8">
      <c r="B958" s="91"/>
      <c r="C958" s="36"/>
      <c r="D958" s="91"/>
      <c r="E958" s="91"/>
      <c r="F958" s="80"/>
      <c r="G958" s="91"/>
      <c r="H958" s="91"/>
    </row>
    <row r="959" spans="2:8">
      <c r="B959" s="91"/>
      <c r="C959" s="36"/>
      <c r="D959" s="91"/>
      <c r="E959" s="91"/>
      <c r="F959" s="80"/>
      <c r="G959" s="91"/>
      <c r="H959" s="91"/>
    </row>
    <row r="960" spans="2:8">
      <c r="B960" s="91"/>
      <c r="C960" s="36"/>
      <c r="D960" s="91"/>
      <c r="E960" s="91"/>
      <c r="F960" s="80"/>
      <c r="G960" s="91"/>
      <c r="H960" s="91"/>
    </row>
    <row r="961" spans="2:8">
      <c r="B961" s="91"/>
      <c r="C961" s="36"/>
      <c r="D961" s="91"/>
      <c r="E961" s="91"/>
      <c r="F961" s="80"/>
      <c r="G961" s="91"/>
      <c r="H961" s="91"/>
    </row>
    <row r="962" spans="2:8">
      <c r="B962" s="91"/>
      <c r="C962" s="36"/>
      <c r="D962" s="91"/>
      <c r="E962" s="91"/>
      <c r="F962" s="80"/>
      <c r="G962" s="91"/>
      <c r="H962" s="91"/>
    </row>
    <row r="963" spans="2:8">
      <c r="B963" s="91"/>
      <c r="C963" s="36"/>
      <c r="D963" s="91"/>
      <c r="E963" s="91"/>
      <c r="F963" s="80"/>
      <c r="G963" s="91"/>
      <c r="H963" s="91"/>
    </row>
    <row r="964" spans="2:8">
      <c r="B964" s="91"/>
      <c r="C964" s="36"/>
      <c r="D964" s="91"/>
      <c r="E964" s="91"/>
      <c r="F964" s="80"/>
      <c r="G964" s="91"/>
      <c r="H964" s="91"/>
    </row>
    <row r="965" spans="2:8">
      <c r="B965" s="91"/>
      <c r="C965" s="36"/>
      <c r="D965" s="91"/>
      <c r="E965" s="91"/>
      <c r="F965" s="80"/>
      <c r="G965" s="91"/>
      <c r="H965" s="91"/>
    </row>
    <row r="966" spans="2:8">
      <c r="B966" s="91"/>
      <c r="C966" s="36"/>
      <c r="D966" s="91"/>
      <c r="E966" s="91"/>
      <c r="F966" s="80"/>
      <c r="G966" s="91"/>
      <c r="H966" s="91"/>
    </row>
    <row r="967" spans="2:8">
      <c r="B967" s="91"/>
      <c r="C967" s="36"/>
      <c r="D967" s="91"/>
      <c r="E967" s="91"/>
      <c r="F967" s="80"/>
      <c r="G967" s="91"/>
      <c r="H967" s="91"/>
    </row>
    <row r="968" spans="2:8">
      <c r="B968" s="91"/>
      <c r="C968" s="36"/>
      <c r="D968" s="91"/>
      <c r="E968" s="91"/>
      <c r="F968" s="80"/>
      <c r="G968" s="91"/>
      <c r="H968" s="91"/>
    </row>
    <row r="969" spans="2:8">
      <c r="B969" s="91"/>
      <c r="C969" s="36"/>
      <c r="D969" s="91"/>
      <c r="E969" s="91"/>
      <c r="F969" s="80"/>
      <c r="G969" s="91"/>
      <c r="H969" s="91"/>
    </row>
    <row r="970" spans="2:8">
      <c r="B970" s="91"/>
      <c r="C970" s="36"/>
      <c r="D970" s="91"/>
      <c r="E970" s="91"/>
      <c r="F970" s="80"/>
      <c r="G970" s="91"/>
      <c r="H970" s="91"/>
    </row>
    <row r="971" spans="2:8">
      <c r="B971" s="91"/>
      <c r="C971" s="36"/>
      <c r="D971" s="91"/>
      <c r="E971" s="91"/>
      <c r="F971" s="80"/>
      <c r="G971" s="91"/>
      <c r="H971" s="91"/>
    </row>
    <row r="972" spans="2:8">
      <c r="B972" s="91"/>
      <c r="C972" s="36"/>
      <c r="D972" s="91"/>
      <c r="E972" s="91"/>
      <c r="F972" s="80"/>
      <c r="G972" s="91"/>
      <c r="H972" s="91"/>
    </row>
    <row r="973" spans="2:8">
      <c r="B973" s="91"/>
      <c r="C973" s="36"/>
      <c r="D973" s="91"/>
      <c r="E973" s="91"/>
      <c r="F973" s="80"/>
      <c r="G973" s="91"/>
      <c r="H973" s="91"/>
    </row>
    <row r="974" spans="2:8">
      <c r="B974" s="91"/>
      <c r="C974" s="36"/>
      <c r="D974" s="91"/>
      <c r="E974" s="91"/>
      <c r="F974" s="80"/>
      <c r="G974" s="91"/>
      <c r="H974" s="91"/>
    </row>
    <row r="975" spans="2:8">
      <c r="B975" s="91"/>
      <c r="C975" s="36"/>
      <c r="D975" s="91"/>
      <c r="E975" s="91"/>
      <c r="F975" s="80"/>
      <c r="G975" s="91"/>
      <c r="H975" s="91"/>
    </row>
    <row r="976" spans="2:8">
      <c r="B976" s="91"/>
      <c r="C976" s="36"/>
      <c r="D976" s="91"/>
      <c r="E976" s="91"/>
      <c r="F976" s="80"/>
      <c r="G976" s="91"/>
      <c r="H976" s="91"/>
    </row>
    <row r="977" spans="2:8">
      <c r="B977" s="91"/>
      <c r="C977" s="36"/>
      <c r="D977" s="91"/>
      <c r="E977" s="91"/>
      <c r="F977" s="80"/>
      <c r="G977" s="91"/>
      <c r="H977" s="91"/>
    </row>
    <row r="978" spans="2:8">
      <c r="B978" s="91"/>
      <c r="C978" s="36"/>
      <c r="D978" s="91"/>
      <c r="E978" s="91"/>
      <c r="F978" s="80"/>
      <c r="G978" s="91"/>
      <c r="H978" s="91"/>
    </row>
    <row r="979" spans="2:8">
      <c r="B979" s="91"/>
      <c r="C979" s="36"/>
      <c r="D979" s="91"/>
      <c r="E979" s="91"/>
      <c r="F979" s="80"/>
      <c r="G979" s="91"/>
      <c r="H979" s="91"/>
    </row>
    <row r="980" spans="2:8">
      <c r="B980" s="91"/>
      <c r="C980" s="36"/>
      <c r="D980" s="91"/>
      <c r="E980" s="91"/>
      <c r="F980" s="80"/>
      <c r="G980" s="91"/>
      <c r="H980" s="91"/>
    </row>
    <row r="981" spans="2:8">
      <c r="B981" s="91"/>
      <c r="C981" s="36"/>
      <c r="D981" s="91"/>
      <c r="E981" s="91"/>
      <c r="F981" s="80"/>
      <c r="G981" s="91"/>
      <c r="H981" s="91"/>
    </row>
    <row r="982" spans="2:8">
      <c r="B982" s="91"/>
      <c r="C982" s="36"/>
      <c r="D982" s="91"/>
      <c r="E982" s="91"/>
      <c r="F982" s="80"/>
      <c r="G982" s="91"/>
      <c r="H982" s="91"/>
    </row>
    <row r="983" spans="2:8">
      <c r="B983" s="91"/>
      <c r="C983" s="36"/>
      <c r="D983" s="91"/>
      <c r="E983" s="91"/>
      <c r="F983" s="80"/>
      <c r="G983" s="91"/>
      <c r="H983" s="91"/>
    </row>
    <row r="984" spans="2:8">
      <c r="B984" s="91"/>
      <c r="C984" s="36"/>
      <c r="D984" s="91"/>
      <c r="E984" s="91"/>
      <c r="F984" s="80"/>
      <c r="G984" s="91"/>
      <c r="H984" s="91"/>
    </row>
    <row r="985" spans="2:8">
      <c r="B985" s="91"/>
      <c r="C985" s="36"/>
      <c r="D985" s="91"/>
      <c r="E985" s="91"/>
      <c r="F985" s="80"/>
      <c r="G985" s="91"/>
      <c r="H985" s="91"/>
    </row>
    <row r="986" spans="2:8">
      <c r="B986" s="91"/>
      <c r="C986" s="36"/>
      <c r="D986" s="91"/>
      <c r="E986" s="91"/>
      <c r="F986" s="80"/>
      <c r="G986" s="91"/>
      <c r="H986" s="91"/>
    </row>
    <row r="987" spans="2:8">
      <c r="B987" s="91"/>
      <c r="C987" s="36"/>
      <c r="D987" s="91"/>
      <c r="E987" s="91"/>
      <c r="F987" s="80"/>
      <c r="G987" s="91"/>
      <c r="H987" s="91"/>
    </row>
    <row r="988" spans="2:8">
      <c r="B988" s="91"/>
      <c r="C988" s="36"/>
      <c r="D988" s="91"/>
      <c r="E988" s="91"/>
      <c r="F988" s="80"/>
      <c r="G988" s="91"/>
      <c r="H988" s="91"/>
    </row>
    <row r="989" spans="2:8">
      <c r="B989" s="91"/>
      <c r="C989" s="36"/>
      <c r="D989" s="91"/>
      <c r="E989" s="91"/>
      <c r="F989" s="80"/>
      <c r="G989" s="91"/>
      <c r="H989" s="91"/>
    </row>
    <row r="990" spans="2:8">
      <c r="B990" s="91"/>
      <c r="C990" s="36"/>
      <c r="D990" s="91"/>
      <c r="E990" s="91"/>
      <c r="F990" s="80"/>
      <c r="G990" s="91"/>
      <c r="H990" s="91"/>
    </row>
    <row r="991" spans="2:8">
      <c r="B991" s="91"/>
      <c r="C991" s="36"/>
      <c r="D991" s="91"/>
      <c r="E991" s="91"/>
      <c r="F991" s="80"/>
      <c r="G991" s="91"/>
      <c r="H991" s="91"/>
    </row>
    <row r="992" spans="2:8">
      <c r="B992" s="91"/>
      <c r="C992" s="36"/>
      <c r="D992" s="91"/>
      <c r="E992" s="91"/>
      <c r="F992" s="80"/>
      <c r="G992" s="91"/>
      <c r="H992" s="91"/>
    </row>
    <row r="993" spans="2:8">
      <c r="B993" s="91"/>
      <c r="C993" s="36"/>
      <c r="D993" s="91"/>
      <c r="E993" s="91"/>
      <c r="F993" s="80"/>
      <c r="G993" s="91"/>
      <c r="H993" s="91"/>
    </row>
    <row r="994" spans="2:8">
      <c r="B994" s="91"/>
      <c r="C994" s="36"/>
      <c r="D994" s="91"/>
      <c r="E994" s="91"/>
      <c r="F994" s="80"/>
      <c r="G994" s="91"/>
      <c r="H994" s="91"/>
    </row>
    <row r="995" spans="2:8">
      <c r="B995" s="91"/>
      <c r="C995" s="36"/>
      <c r="D995" s="91"/>
      <c r="E995" s="91"/>
      <c r="F995" s="80"/>
      <c r="G995" s="91"/>
      <c r="H995" s="91"/>
    </row>
    <row r="996" spans="2:8">
      <c r="B996" s="91"/>
      <c r="C996" s="36"/>
      <c r="D996" s="91"/>
      <c r="E996" s="91"/>
      <c r="F996" s="80"/>
      <c r="G996" s="91"/>
      <c r="H996" s="91"/>
    </row>
    <row r="997" spans="2:8">
      <c r="B997" s="91"/>
      <c r="C997" s="36"/>
      <c r="D997" s="91"/>
      <c r="E997" s="91"/>
      <c r="F997" s="80"/>
      <c r="G997" s="91"/>
      <c r="H997" s="91"/>
    </row>
    <row r="998" spans="2:8">
      <c r="B998" s="91"/>
      <c r="C998" s="36"/>
      <c r="D998" s="91"/>
      <c r="E998" s="91"/>
      <c r="F998" s="80"/>
      <c r="G998" s="91"/>
      <c r="H998" s="91"/>
    </row>
    <row r="999" spans="2:8">
      <c r="B999" s="91"/>
      <c r="C999" s="36"/>
      <c r="D999" s="91"/>
      <c r="E999" s="91"/>
      <c r="F999" s="80"/>
      <c r="G999" s="91"/>
      <c r="H999" s="91"/>
    </row>
    <row r="1000" spans="2:8">
      <c r="B1000" s="91"/>
      <c r="C1000" s="36"/>
      <c r="D1000" s="91"/>
      <c r="E1000" s="91"/>
      <c r="F1000" s="80"/>
      <c r="G1000" s="91"/>
      <c r="H1000" s="91"/>
    </row>
    <row r="1001" spans="2:8">
      <c r="B1001" s="91"/>
      <c r="C1001" s="36"/>
      <c r="D1001" s="91"/>
      <c r="E1001" s="91"/>
      <c r="F1001" s="80"/>
      <c r="G1001" s="91"/>
      <c r="H1001" s="91"/>
    </row>
    <row r="1002" spans="2:8">
      <c r="B1002" s="91"/>
      <c r="C1002" s="36"/>
      <c r="D1002" s="91"/>
      <c r="E1002" s="91"/>
      <c r="F1002" s="80"/>
      <c r="G1002" s="91"/>
      <c r="H1002" s="91"/>
    </row>
    <row r="1003" spans="2:8">
      <c r="B1003" s="91"/>
      <c r="C1003" s="36"/>
      <c r="D1003" s="91"/>
      <c r="E1003" s="91"/>
      <c r="F1003" s="80"/>
      <c r="G1003" s="91"/>
      <c r="H1003" s="91"/>
    </row>
    <row r="1004" spans="2:8">
      <c r="B1004" s="91"/>
      <c r="C1004" s="36"/>
      <c r="D1004" s="91"/>
      <c r="E1004" s="91"/>
      <c r="F1004" s="80"/>
      <c r="G1004" s="91"/>
      <c r="H1004" s="91"/>
    </row>
    <row r="1005" spans="2:8">
      <c r="B1005" s="91"/>
      <c r="C1005" s="36"/>
      <c r="D1005" s="91"/>
      <c r="E1005" s="91"/>
      <c r="F1005" s="80"/>
      <c r="G1005" s="91"/>
      <c r="H1005" s="91"/>
    </row>
    <row r="1006" spans="2:8">
      <c r="B1006" s="91"/>
      <c r="C1006" s="36"/>
      <c r="D1006" s="91"/>
      <c r="E1006" s="91"/>
      <c r="F1006" s="80"/>
      <c r="G1006" s="91"/>
      <c r="H1006" s="91"/>
    </row>
    <row r="1007" spans="2:8">
      <c r="B1007" s="91"/>
      <c r="C1007" s="36"/>
      <c r="D1007" s="91"/>
      <c r="E1007" s="91"/>
      <c r="F1007" s="80"/>
      <c r="G1007" s="91"/>
      <c r="H1007" s="91"/>
    </row>
    <row r="1008" spans="2:8">
      <c r="B1008" s="91"/>
      <c r="C1008" s="36"/>
      <c r="D1008" s="91"/>
      <c r="E1008" s="91"/>
      <c r="F1008" s="80"/>
      <c r="G1008" s="91"/>
      <c r="H1008" s="91"/>
    </row>
    <row r="1009" spans="2:8">
      <c r="B1009" s="91"/>
      <c r="C1009" s="36"/>
      <c r="D1009" s="91"/>
      <c r="E1009" s="91"/>
      <c r="F1009" s="80"/>
      <c r="G1009" s="91"/>
      <c r="H1009" s="91"/>
    </row>
    <row r="1010" spans="2:8">
      <c r="B1010" s="91"/>
      <c r="C1010" s="36"/>
      <c r="D1010" s="91"/>
      <c r="E1010" s="91"/>
      <c r="F1010" s="80"/>
      <c r="G1010" s="91"/>
      <c r="H1010" s="91"/>
    </row>
    <row r="1011" spans="2:8">
      <c r="B1011" s="91"/>
      <c r="C1011" s="36"/>
      <c r="D1011" s="91"/>
      <c r="E1011" s="91"/>
      <c r="F1011" s="80"/>
      <c r="G1011" s="91"/>
      <c r="H1011" s="91"/>
    </row>
    <row r="1012" spans="2:8">
      <c r="B1012" s="91"/>
      <c r="C1012" s="36"/>
      <c r="D1012" s="91"/>
      <c r="E1012" s="91"/>
      <c r="F1012" s="80"/>
      <c r="G1012" s="91"/>
      <c r="H1012" s="91"/>
    </row>
    <row r="1013" spans="2:8">
      <c r="B1013" s="91"/>
      <c r="C1013" s="36"/>
      <c r="D1013" s="91"/>
      <c r="E1013" s="91"/>
      <c r="F1013" s="80"/>
      <c r="G1013" s="91"/>
      <c r="H1013" s="91"/>
    </row>
    <row r="1014" spans="2:8">
      <c r="B1014" s="91"/>
      <c r="C1014" s="36"/>
      <c r="D1014" s="91"/>
      <c r="E1014" s="91"/>
      <c r="F1014" s="80"/>
      <c r="G1014" s="91"/>
      <c r="H1014" s="91"/>
    </row>
    <row r="1015" spans="2:8">
      <c r="B1015" s="91"/>
      <c r="C1015" s="36"/>
      <c r="D1015" s="91"/>
      <c r="E1015" s="91"/>
      <c r="F1015" s="80"/>
      <c r="G1015" s="91"/>
      <c r="H1015" s="91"/>
    </row>
    <row r="1016" spans="2:8">
      <c r="B1016" s="91"/>
      <c r="C1016" s="36"/>
      <c r="D1016" s="91"/>
      <c r="E1016" s="91"/>
      <c r="F1016" s="80"/>
      <c r="G1016" s="91"/>
      <c r="H1016" s="91"/>
    </row>
    <row r="1017" spans="2:8">
      <c r="B1017" s="91"/>
      <c r="C1017" s="36"/>
      <c r="D1017" s="91"/>
      <c r="E1017" s="91"/>
      <c r="F1017" s="80"/>
      <c r="G1017" s="91"/>
      <c r="H1017" s="91"/>
    </row>
    <row r="1018" spans="2:8">
      <c r="B1018" s="91"/>
      <c r="C1018" s="36"/>
      <c r="D1018" s="91"/>
      <c r="E1018" s="91"/>
      <c r="F1018" s="80"/>
      <c r="G1018" s="91"/>
      <c r="H1018" s="91"/>
    </row>
    <row r="1019" spans="2:8">
      <c r="B1019" s="91"/>
      <c r="C1019" s="36"/>
      <c r="D1019" s="91"/>
      <c r="E1019" s="91"/>
      <c r="F1019" s="80"/>
      <c r="G1019" s="91"/>
      <c r="H1019" s="91"/>
    </row>
    <row r="1020" spans="2:8">
      <c r="B1020" s="91"/>
      <c r="C1020" s="36"/>
      <c r="D1020" s="91"/>
      <c r="E1020" s="91"/>
      <c r="F1020" s="80"/>
      <c r="G1020" s="91"/>
      <c r="H1020" s="91"/>
    </row>
    <row r="1021" spans="2:8">
      <c r="B1021" s="91"/>
      <c r="C1021" s="36"/>
      <c r="D1021" s="91"/>
      <c r="E1021" s="91"/>
      <c r="F1021" s="80"/>
      <c r="G1021" s="91"/>
      <c r="H1021" s="91"/>
    </row>
    <row r="1022" spans="2:8">
      <c r="B1022" s="91"/>
      <c r="C1022" s="36"/>
      <c r="D1022" s="91"/>
      <c r="E1022" s="91"/>
      <c r="F1022" s="80"/>
      <c r="G1022" s="91"/>
      <c r="H1022" s="91"/>
    </row>
    <row r="1023" spans="2:8">
      <c r="B1023" s="91"/>
      <c r="C1023" s="36"/>
      <c r="D1023" s="91"/>
      <c r="E1023" s="91"/>
      <c r="F1023" s="80"/>
      <c r="G1023" s="91"/>
      <c r="H1023" s="91"/>
    </row>
    <row r="1024" spans="2:8">
      <c r="B1024" s="91"/>
      <c r="C1024" s="36"/>
      <c r="D1024" s="91"/>
      <c r="E1024" s="91"/>
      <c r="F1024" s="80"/>
      <c r="G1024" s="91"/>
      <c r="H1024" s="91"/>
    </row>
    <row r="1025" spans="2:8">
      <c r="B1025" s="91"/>
      <c r="C1025" s="36"/>
      <c r="D1025" s="91"/>
      <c r="E1025" s="91"/>
      <c r="F1025" s="80"/>
      <c r="G1025" s="91"/>
      <c r="H1025" s="91"/>
    </row>
    <row r="1026" spans="2:8">
      <c r="B1026" s="91"/>
      <c r="C1026" s="36"/>
      <c r="D1026" s="91"/>
      <c r="E1026" s="91"/>
      <c r="F1026" s="80"/>
      <c r="G1026" s="91"/>
      <c r="H1026" s="91"/>
    </row>
    <row r="1027" spans="2:8">
      <c r="B1027" s="91"/>
      <c r="C1027" s="36"/>
      <c r="D1027" s="91"/>
      <c r="E1027" s="91"/>
      <c r="F1027" s="80"/>
      <c r="G1027" s="91"/>
      <c r="H1027" s="91"/>
    </row>
    <row r="1028" spans="2:8">
      <c r="B1028" s="91"/>
      <c r="C1028" s="36"/>
      <c r="D1028" s="91"/>
      <c r="E1028" s="91"/>
      <c r="F1028" s="80"/>
      <c r="G1028" s="91"/>
      <c r="H1028" s="91"/>
    </row>
    <row r="1029" spans="2:8">
      <c r="B1029" s="91"/>
      <c r="C1029" s="36"/>
      <c r="D1029" s="91"/>
      <c r="E1029" s="91"/>
      <c r="F1029" s="80"/>
      <c r="G1029" s="91"/>
      <c r="H1029" s="91"/>
    </row>
    <row r="1030" spans="2:8">
      <c r="B1030" s="91"/>
      <c r="C1030" s="36"/>
      <c r="D1030" s="91"/>
      <c r="E1030" s="91"/>
      <c r="F1030" s="80"/>
      <c r="G1030" s="91"/>
      <c r="H1030" s="91"/>
    </row>
    <row r="1031" spans="2:8">
      <c r="B1031" s="91"/>
      <c r="C1031" s="36"/>
      <c r="D1031" s="91"/>
      <c r="E1031" s="91"/>
      <c r="F1031" s="80"/>
      <c r="G1031" s="91"/>
      <c r="H1031" s="91"/>
    </row>
    <row r="1032" spans="2:8">
      <c r="B1032" s="91"/>
      <c r="C1032" s="36"/>
      <c r="D1032" s="91"/>
      <c r="E1032" s="91"/>
      <c r="F1032" s="80"/>
      <c r="G1032" s="91"/>
      <c r="H1032" s="91"/>
    </row>
    <row r="1033" spans="2:8">
      <c r="B1033" s="91"/>
      <c r="C1033" s="36"/>
      <c r="D1033" s="91"/>
      <c r="E1033" s="91"/>
      <c r="F1033" s="80"/>
      <c r="G1033" s="91"/>
      <c r="H1033" s="91"/>
    </row>
    <row r="1034" spans="2:8">
      <c r="B1034" s="91"/>
      <c r="C1034" s="36"/>
      <c r="D1034" s="91"/>
      <c r="E1034" s="91"/>
      <c r="F1034" s="80"/>
      <c r="G1034" s="91"/>
      <c r="H1034" s="91"/>
    </row>
    <row r="1035" spans="2:8">
      <c r="B1035" s="91"/>
      <c r="C1035" s="36"/>
      <c r="D1035" s="91"/>
      <c r="E1035" s="91"/>
      <c r="F1035" s="80"/>
      <c r="G1035" s="91"/>
      <c r="H1035" s="91"/>
    </row>
    <row r="1036" spans="2:8">
      <c r="B1036" s="91"/>
      <c r="C1036" s="36"/>
      <c r="D1036" s="91"/>
      <c r="E1036" s="91"/>
      <c r="F1036" s="80"/>
      <c r="G1036" s="91"/>
      <c r="H1036" s="91"/>
    </row>
    <row r="1037" spans="2:8">
      <c r="B1037" s="91"/>
      <c r="C1037" s="36"/>
      <c r="D1037" s="91"/>
      <c r="E1037" s="91"/>
      <c r="F1037" s="80"/>
      <c r="G1037" s="91"/>
      <c r="H1037" s="91"/>
    </row>
    <row r="1038" spans="2:8">
      <c r="B1038" s="91"/>
      <c r="C1038" s="36"/>
      <c r="D1038" s="91"/>
      <c r="E1038" s="91"/>
      <c r="F1038" s="80"/>
      <c r="G1038" s="91"/>
      <c r="H1038" s="91"/>
    </row>
    <row r="1039" spans="2:8">
      <c r="B1039" s="91"/>
      <c r="C1039" s="36"/>
      <c r="D1039" s="91"/>
      <c r="E1039" s="91"/>
      <c r="F1039" s="80"/>
      <c r="G1039" s="91"/>
      <c r="H1039" s="91"/>
    </row>
    <row r="1040" spans="2:8">
      <c r="B1040" s="91"/>
      <c r="C1040" s="36"/>
      <c r="D1040" s="91"/>
      <c r="E1040" s="91"/>
      <c r="F1040" s="80"/>
      <c r="G1040" s="91"/>
      <c r="H1040" s="91"/>
    </row>
    <row r="1041" spans="2:8">
      <c r="B1041" s="91"/>
      <c r="C1041" s="36"/>
      <c r="D1041" s="91"/>
      <c r="E1041" s="91"/>
      <c r="F1041" s="80"/>
      <c r="G1041" s="91"/>
      <c r="H1041" s="91"/>
    </row>
    <row r="1042" spans="2:8">
      <c r="B1042" s="91"/>
      <c r="C1042" s="36"/>
      <c r="D1042" s="91"/>
      <c r="E1042" s="91"/>
      <c r="F1042" s="80"/>
      <c r="G1042" s="91"/>
      <c r="H1042" s="91"/>
    </row>
    <row r="1043" spans="2:8">
      <c r="B1043" s="91"/>
      <c r="C1043" s="36"/>
      <c r="D1043" s="91"/>
      <c r="E1043" s="91"/>
      <c r="F1043" s="80"/>
      <c r="G1043" s="91"/>
      <c r="H1043" s="91"/>
    </row>
    <row r="1044" spans="2:8">
      <c r="B1044" s="91"/>
      <c r="C1044" s="36"/>
      <c r="D1044" s="91"/>
      <c r="E1044" s="91"/>
      <c r="F1044" s="80"/>
      <c r="G1044" s="91"/>
      <c r="H1044" s="91"/>
    </row>
    <row r="1045" spans="2:8">
      <c r="B1045" s="91"/>
      <c r="C1045" s="36"/>
      <c r="D1045" s="91"/>
      <c r="E1045" s="91"/>
      <c r="F1045" s="80"/>
      <c r="G1045" s="91"/>
      <c r="H1045" s="91"/>
    </row>
    <row r="1046" spans="2:8">
      <c r="B1046" s="91"/>
      <c r="C1046" s="36"/>
      <c r="D1046" s="91"/>
      <c r="E1046" s="91"/>
      <c r="F1046" s="80"/>
      <c r="G1046" s="91"/>
      <c r="H1046" s="91"/>
    </row>
    <row r="1047" spans="2:8">
      <c r="B1047" s="91"/>
      <c r="C1047" s="36"/>
      <c r="D1047" s="91"/>
      <c r="E1047" s="91"/>
      <c r="F1047" s="80"/>
      <c r="G1047" s="91"/>
      <c r="H1047" s="91"/>
    </row>
    <row r="1048" spans="2:8">
      <c r="B1048" s="91"/>
      <c r="C1048" s="36"/>
      <c r="D1048" s="91"/>
      <c r="E1048" s="91"/>
      <c r="F1048" s="80"/>
      <c r="G1048" s="91"/>
      <c r="H1048" s="91"/>
    </row>
    <row r="1049" spans="2:8">
      <c r="B1049" s="91"/>
      <c r="C1049" s="36"/>
      <c r="D1049" s="91"/>
      <c r="E1049" s="91"/>
      <c r="F1049" s="80"/>
      <c r="G1049" s="91"/>
      <c r="H1049" s="91"/>
    </row>
    <row r="1050" spans="2:8">
      <c r="B1050" s="91"/>
      <c r="C1050" s="36"/>
      <c r="D1050" s="91"/>
      <c r="E1050" s="91"/>
      <c r="F1050" s="80"/>
      <c r="G1050" s="91"/>
      <c r="H1050" s="91"/>
    </row>
    <row r="1051" spans="2:8">
      <c r="B1051" s="91"/>
      <c r="C1051" s="36"/>
      <c r="D1051" s="91"/>
      <c r="E1051" s="91"/>
      <c r="F1051" s="80"/>
      <c r="G1051" s="91"/>
      <c r="H1051" s="91"/>
    </row>
    <row r="1052" spans="2:8">
      <c r="B1052" s="91"/>
      <c r="C1052" s="36"/>
      <c r="D1052" s="91"/>
      <c r="E1052" s="91"/>
      <c r="F1052" s="80"/>
      <c r="G1052" s="91"/>
      <c r="H1052" s="91"/>
    </row>
    <row r="1053" spans="2:8">
      <c r="B1053" s="91"/>
      <c r="C1053" s="36"/>
      <c r="D1053" s="91"/>
      <c r="E1053" s="91"/>
      <c r="F1053" s="80"/>
      <c r="G1053" s="91"/>
      <c r="H1053" s="91"/>
    </row>
    <row r="1054" spans="2:8">
      <c r="B1054" s="91"/>
      <c r="C1054" s="36"/>
      <c r="D1054" s="91"/>
      <c r="E1054" s="91"/>
      <c r="F1054" s="80"/>
      <c r="G1054" s="91"/>
      <c r="H1054" s="91"/>
    </row>
    <row r="1055" spans="2:8">
      <c r="B1055" s="91"/>
      <c r="C1055" s="36"/>
      <c r="D1055" s="91"/>
      <c r="E1055" s="91"/>
      <c r="F1055" s="80"/>
      <c r="G1055" s="91"/>
      <c r="H1055" s="91"/>
    </row>
    <row r="1056" spans="2:8">
      <c r="B1056" s="91"/>
      <c r="C1056" s="36"/>
      <c r="D1056" s="91"/>
      <c r="E1056" s="91"/>
      <c r="F1056" s="80"/>
      <c r="G1056" s="91"/>
      <c r="H1056" s="91"/>
    </row>
    <row r="1057" spans="2:8">
      <c r="B1057" s="91"/>
      <c r="C1057" s="36"/>
      <c r="D1057" s="91"/>
      <c r="E1057" s="91"/>
      <c r="F1057" s="80"/>
      <c r="G1057" s="91"/>
      <c r="H1057" s="91"/>
    </row>
    <row r="1058" spans="2:8">
      <c r="B1058" s="91"/>
      <c r="C1058" s="36"/>
      <c r="D1058" s="91"/>
      <c r="E1058" s="91"/>
      <c r="F1058" s="80"/>
      <c r="G1058" s="91"/>
      <c r="H1058" s="91"/>
    </row>
    <row r="1059" spans="2:8">
      <c r="B1059" s="91"/>
      <c r="C1059" s="36"/>
      <c r="D1059" s="91"/>
      <c r="E1059" s="91"/>
      <c r="F1059" s="80"/>
      <c r="G1059" s="91"/>
      <c r="H1059" s="91"/>
    </row>
    <row r="1060" spans="2:8">
      <c r="B1060" s="91"/>
      <c r="C1060" s="36"/>
      <c r="D1060" s="91"/>
      <c r="E1060" s="91"/>
      <c r="F1060" s="80"/>
      <c r="G1060" s="91"/>
      <c r="H1060" s="91"/>
    </row>
    <row r="1061" spans="2:8">
      <c r="B1061" s="91"/>
      <c r="C1061" s="36"/>
      <c r="D1061" s="91"/>
      <c r="E1061" s="91"/>
      <c r="F1061" s="80"/>
      <c r="G1061" s="91"/>
      <c r="H1061" s="91"/>
    </row>
    <row r="1062" spans="2:8">
      <c r="B1062" s="91"/>
      <c r="C1062" s="36"/>
      <c r="D1062" s="91"/>
      <c r="E1062" s="91"/>
      <c r="F1062" s="80"/>
      <c r="G1062" s="91"/>
      <c r="H1062" s="91"/>
    </row>
    <row r="1063" spans="2:8">
      <c r="B1063" s="91"/>
      <c r="C1063" s="36"/>
      <c r="D1063" s="91"/>
      <c r="E1063" s="91"/>
      <c r="F1063" s="80"/>
      <c r="G1063" s="91"/>
      <c r="H1063" s="91"/>
    </row>
    <row r="1064" spans="2:8">
      <c r="B1064" s="91"/>
      <c r="C1064" s="36"/>
      <c r="D1064" s="91"/>
      <c r="E1064" s="91"/>
      <c r="F1064" s="80"/>
      <c r="G1064" s="91"/>
      <c r="H1064" s="91"/>
    </row>
    <row r="1065" spans="2:8">
      <c r="B1065" s="91"/>
      <c r="C1065" s="36"/>
      <c r="D1065" s="91"/>
      <c r="E1065" s="91"/>
      <c r="F1065" s="80"/>
      <c r="G1065" s="91"/>
      <c r="H1065" s="91"/>
    </row>
    <row r="1066" spans="2:8">
      <c r="B1066" s="91"/>
      <c r="C1066" s="36"/>
      <c r="D1066" s="91"/>
      <c r="E1066" s="91"/>
      <c r="F1066" s="80"/>
      <c r="G1066" s="91"/>
      <c r="H1066" s="91"/>
    </row>
    <row r="1067" spans="2:8">
      <c r="B1067" s="91"/>
      <c r="C1067" s="36"/>
      <c r="D1067" s="91"/>
      <c r="E1067" s="91"/>
      <c r="F1067" s="80"/>
      <c r="G1067" s="91"/>
      <c r="H1067" s="91"/>
    </row>
    <row r="1068" spans="2:8">
      <c r="B1068" s="91"/>
      <c r="C1068" s="36"/>
      <c r="D1068" s="91"/>
      <c r="E1068" s="91"/>
      <c r="F1068" s="80"/>
      <c r="G1068" s="91"/>
      <c r="H1068" s="91"/>
    </row>
    <row r="1069" spans="2:8">
      <c r="B1069" s="91"/>
      <c r="C1069" s="36"/>
      <c r="D1069" s="91"/>
      <c r="E1069" s="91"/>
      <c r="F1069" s="80"/>
      <c r="G1069" s="91"/>
      <c r="H1069" s="91"/>
    </row>
    <row r="1070" spans="2:8">
      <c r="B1070" s="91"/>
      <c r="C1070" s="36"/>
      <c r="D1070" s="91"/>
      <c r="E1070" s="91"/>
      <c r="F1070" s="80"/>
      <c r="G1070" s="91"/>
      <c r="H1070" s="91"/>
    </row>
    <row r="1071" spans="2:8">
      <c r="B1071" s="91"/>
      <c r="C1071" s="36"/>
      <c r="D1071" s="91"/>
      <c r="E1071" s="91"/>
      <c r="F1071" s="80"/>
      <c r="G1071" s="91"/>
      <c r="H1071" s="91"/>
    </row>
    <row r="1072" spans="2:8">
      <c r="B1072" s="91"/>
      <c r="C1072" s="36"/>
      <c r="D1072" s="91"/>
      <c r="E1072" s="91"/>
      <c r="F1072" s="80"/>
      <c r="G1072" s="91"/>
      <c r="H1072" s="91"/>
    </row>
    <row r="1073" spans="2:8">
      <c r="B1073" s="91"/>
      <c r="C1073" s="36"/>
      <c r="D1073" s="91"/>
      <c r="E1073" s="91"/>
      <c r="F1073" s="80"/>
      <c r="G1073" s="91"/>
      <c r="H1073" s="91"/>
    </row>
    <row r="1074" spans="2:8">
      <c r="B1074" s="91"/>
      <c r="C1074" s="36"/>
      <c r="D1074" s="91"/>
      <c r="E1074" s="91"/>
      <c r="F1074" s="80"/>
      <c r="G1074" s="91"/>
      <c r="H1074" s="91"/>
    </row>
    <row r="1075" spans="2:8">
      <c r="B1075" s="91"/>
      <c r="C1075" s="36"/>
      <c r="D1075" s="91"/>
      <c r="E1075" s="91"/>
      <c r="F1075" s="80"/>
      <c r="G1075" s="91"/>
      <c r="H1075" s="91"/>
    </row>
    <row r="1076" spans="2:8">
      <c r="B1076" s="91"/>
      <c r="C1076" s="36"/>
      <c r="D1076" s="91"/>
      <c r="E1076" s="91"/>
      <c r="F1076" s="80"/>
      <c r="G1076" s="91"/>
      <c r="H1076" s="91"/>
    </row>
    <row r="1077" spans="2:8">
      <c r="B1077" s="91"/>
      <c r="C1077" s="36"/>
      <c r="D1077" s="91"/>
      <c r="E1077" s="91"/>
      <c r="F1077" s="80"/>
      <c r="G1077" s="91"/>
      <c r="H1077" s="91"/>
    </row>
    <row r="1078" spans="2:8">
      <c r="B1078" s="91"/>
      <c r="C1078" s="36"/>
      <c r="D1078" s="91"/>
      <c r="E1078" s="91"/>
      <c r="F1078" s="80"/>
      <c r="G1078" s="91"/>
      <c r="H1078" s="91"/>
    </row>
    <row r="1079" spans="2:8">
      <c r="B1079" s="91"/>
      <c r="C1079" s="36"/>
      <c r="D1079" s="91"/>
      <c r="E1079" s="91"/>
      <c r="F1079" s="80"/>
      <c r="G1079" s="91"/>
      <c r="H1079" s="91"/>
    </row>
    <row r="1080" spans="2:8">
      <c r="B1080" s="91"/>
      <c r="C1080" s="36"/>
      <c r="D1080" s="91"/>
      <c r="E1080" s="91"/>
      <c r="F1080" s="80"/>
      <c r="G1080" s="91"/>
      <c r="H1080" s="91"/>
    </row>
    <row r="1081" spans="2:8">
      <c r="B1081" s="91"/>
      <c r="C1081" s="36"/>
      <c r="D1081" s="91"/>
      <c r="E1081" s="91"/>
      <c r="F1081" s="80"/>
      <c r="G1081" s="91"/>
      <c r="H1081" s="91"/>
    </row>
    <row r="1082" spans="2:8">
      <c r="B1082" s="91"/>
      <c r="C1082" s="36"/>
      <c r="D1082" s="91"/>
      <c r="E1082" s="91"/>
      <c r="F1082" s="80"/>
      <c r="G1082" s="91"/>
      <c r="H1082" s="91"/>
    </row>
    <row r="1083" spans="2:8">
      <c r="B1083" s="91"/>
      <c r="C1083" s="36"/>
      <c r="D1083" s="91"/>
      <c r="E1083" s="91"/>
      <c r="F1083" s="80"/>
      <c r="G1083" s="91"/>
      <c r="H1083" s="91"/>
    </row>
    <row r="1084" spans="2:8">
      <c r="B1084" s="91"/>
      <c r="C1084" s="36"/>
      <c r="D1084" s="91"/>
      <c r="E1084" s="91"/>
      <c r="F1084" s="80"/>
      <c r="G1084" s="91"/>
      <c r="H1084" s="91"/>
    </row>
    <row r="1085" spans="2:8">
      <c r="B1085" s="91"/>
      <c r="C1085" s="36"/>
      <c r="D1085" s="91"/>
      <c r="E1085" s="91"/>
      <c r="F1085" s="80"/>
      <c r="G1085" s="91"/>
      <c r="H1085" s="91"/>
    </row>
    <row r="1086" spans="2:8">
      <c r="B1086" s="91"/>
      <c r="C1086" s="36"/>
      <c r="D1086" s="91"/>
      <c r="E1086" s="91"/>
      <c r="F1086" s="80"/>
      <c r="G1086" s="91"/>
      <c r="H1086" s="91"/>
    </row>
    <row r="1087" spans="2:8">
      <c r="B1087" s="91"/>
      <c r="C1087" s="36"/>
      <c r="D1087" s="91"/>
      <c r="E1087" s="91"/>
      <c r="F1087" s="80"/>
      <c r="G1087" s="91"/>
      <c r="H1087" s="91"/>
    </row>
    <row r="1088" spans="2:8">
      <c r="B1088" s="91"/>
      <c r="C1088" s="36"/>
      <c r="D1088" s="91"/>
      <c r="E1088" s="91"/>
      <c r="F1088" s="80"/>
      <c r="G1088" s="91"/>
      <c r="H1088" s="91"/>
    </row>
    <row r="1089" spans="2:8">
      <c r="B1089" s="91"/>
      <c r="C1089" s="36"/>
      <c r="D1089" s="91"/>
      <c r="E1089" s="91"/>
      <c r="F1089" s="80"/>
      <c r="G1089" s="91"/>
      <c r="H1089" s="91"/>
    </row>
    <row r="1090" spans="2:8">
      <c r="B1090" s="91"/>
      <c r="C1090" s="36"/>
      <c r="D1090" s="91"/>
      <c r="E1090" s="91"/>
      <c r="F1090" s="80"/>
      <c r="G1090" s="91"/>
      <c r="H1090" s="91"/>
    </row>
    <row r="1091" spans="2:8">
      <c r="B1091" s="91"/>
      <c r="C1091" s="36"/>
      <c r="D1091" s="91"/>
      <c r="E1091" s="91"/>
      <c r="F1091" s="80"/>
      <c r="G1091" s="91"/>
      <c r="H1091" s="91"/>
    </row>
    <row r="1092" spans="2:8">
      <c r="B1092" s="91"/>
      <c r="C1092" s="36"/>
      <c r="D1092" s="91"/>
      <c r="E1092" s="91"/>
      <c r="F1092" s="80"/>
      <c r="G1092" s="91"/>
      <c r="H1092" s="91"/>
    </row>
    <row r="1093" spans="2:8">
      <c r="B1093" s="91"/>
      <c r="C1093" s="36"/>
      <c r="D1093" s="91"/>
      <c r="E1093" s="91"/>
      <c r="F1093" s="80"/>
      <c r="G1093" s="91"/>
      <c r="H1093" s="91"/>
    </row>
    <row r="1094" spans="2:8">
      <c r="B1094" s="91"/>
      <c r="C1094" s="36"/>
      <c r="D1094" s="91"/>
      <c r="E1094" s="91"/>
      <c r="F1094" s="80"/>
      <c r="G1094" s="91"/>
      <c r="H1094" s="91"/>
    </row>
    <row r="1095" spans="2:8">
      <c r="B1095" s="91"/>
      <c r="C1095" s="36"/>
      <c r="D1095" s="91"/>
      <c r="E1095" s="91"/>
      <c r="F1095" s="80"/>
      <c r="G1095" s="91"/>
      <c r="H1095" s="91"/>
    </row>
    <row r="1096" spans="2:8">
      <c r="B1096" s="91"/>
      <c r="C1096" s="36"/>
      <c r="D1096" s="91"/>
      <c r="E1096" s="91"/>
      <c r="F1096" s="80"/>
      <c r="G1096" s="91"/>
      <c r="H1096" s="91"/>
    </row>
    <row r="1097" spans="2:8">
      <c r="B1097" s="91"/>
      <c r="C1097" s="36"/>
      <c r="D1097" s="91"/>
      <c r="E1097" s="91"/>
      <c r="F1097" s="80"/>
      <c r="G1097" s="91"/>
      <c r="H1097" s="91"/>
    </row>
    <row r="1098" spans="2:8">
      <c r="B1098" s="91"/>
      <c r="C1098" s="36"/>
      <c r="D1098" s="91"/>
      <c r="E1098" s="91"/>
      <c r="F1098" s="80"/>
      <c r="G1098" s="91"/>
      <c r="H1098" s="91"/>
    </row>
    <row r="1099" spans="2:8">
      <c r="B1099" s="91"/>
      <c r="C1099" s="36"/>
      <c r="D1099" s="91"/>
      <c r="E1099" s="91"/>
      <c r="F1099" s="80"/>
      <c r="G1099" s="91"/>
      <c r="H1099" s="91"/>
    </row>
    <row r="1100" spans="2:8">
      <c r="B1100" s="91"/>
      <c r="C1100" s="36"/>
      <c r="D1100" s="91"/>
      <c r="E1100" s="91"/>
      <c r="F1100" s="80"/>
      <c r="G1100" s="91"/>
      <c r="H1100" s="91"/>
    </row>
    <row r="1101" spans="2:8">
      <c r="B1101" s="91"/>
      <c r="C1101" s="36"/>
      <c r="D1101" s="91"/>
      <c r="E1101" s="91"/>
      <c r="F1101" s="80"/>
      <c r="G1101" s="91"/>
      <c r="H1101" s="91"/>
    </row>
    <row r="1102" spans="2:8">
      <c r="B1102" s="91"/>
      <c r="C1102" s="36"/>
      <c r="D1102" s="91"/>
      <c r="E1102" s="91"/>
      <c r="F1102" s="80"/>
      <c r="G1102" s="91"/>
      <c r="H1102" s="91"/>
    </row>
    <row r="1103" spans="2:8">
      <c r="B1103" s="91"/>
      <c r="C1103" s="36"/>
      <c r="D1103" s="91"/>
      <c r="E1103" s="91"/>
      <c r="F1103" s="80"/>
      <c r="G1103" s="91"/>
      <c r="H1103" s="91"/>
    </row>
    <row r="1104" spans="2:8">
      <c r="B1104" s="91"/>
      <c r="C1104" s="36"/>
      <c r="D1104" s="91"/>
      <c r="E1104" s="91"/>
      <c r="F1104" s="80"/>
      <c r="G1104" s="91"/>
      <c r="H1104" s="91"/>
    </row>
    <row r="1105" spans="2:8">
      <c r="B1105" s="91"/>
      <c r="C1105" s="36"/>
      <c r="D1105" s="91"/>
      <c r="E1105" s="91"/>
      <c r="F1105" s="80"/>
      <c r="G1105" s="91"/>
      <c r="H1105" s="91"/>
    </row>
    <row r="1106" spans="2:8">
      <c r="B1106" s="91"/>
      <c r="C1106" s="36"/>
      <c r="D1106" s="91"/>
      <c r="E1106" s="91"/>
      <c r="F1106" s="80"/>
      <c r="G1106" s="91"/>
      <c r="H1106" s="91"/>
    </row>
    <row r="1107" spans="2:8">
      <c r="B1107" s="91"/>
      <c r="C1107" s="36"/>
      <c r="D1107" s="91"/>
      <c r="E1107" s="91"/>
      <c r="F1107" s="80"/>
      <c r="G1107" s="91"/>
      <c r="H1107" s="91"/>
    </row>
    <row r="1108" spans="2:8">
      <c r="B1108" s="91"/>
      <c r="C1108" s="36"/>
      <c r="D1108" s="91"/>
      <c r="E1108" s="91"/>
      <c r="F1108" s="80"/>
      <c r="G1108" s="91"/>
      <c r="H1108" s="91"/>
    </row>
    <row r="1109" spans="2:8">
      <c r="B1109" s="91"/>
      <c r="C1109" s="36"/>
      <c r="D1109" s="91"/>
      <c r="E1109" s="91"/>
      <c r="F1109" s="80"/>
      <c r="G1109" s="91"/>
      <c r="H1109" s="91"/>
    </row>
    <row r="1110" spans="2:8">
      <c r="B1110" s="91"/>
      <c r="C1110" s="36"/>
      <c r="D1110" s="91"/>
      <c r="E1110" s="91"/>
      <c r="F1110" s="80"/>
      <c r="G1110" s="91"/>
      <c r="H1110" s="91"/>
    </row>
    <row r="1111" spans="2:8">
      <c r="B1111" s="91"/>
      <c r="C1111" s="36"/>
      <c r="D1111" s="91"/>
      <c r="E1111" s="91"/>
      <c r="F1111" s="80"/>
      <c r="G1111" s="91"/>
      <c r="H1111" s="91"/>
    </row>
    <row r="1112" spans="2:8">
      <c r="B1112" s="91"/>
      <c r="C1112" s="36"/>
      <c r="D1112" s="91"/>
      <c r="E1112" s="91"/>
      <c r="F1112" s="80"/>
      <c r="G1112" s="91"/>
      <c r="H1112" s="91"/>
    </row>
    <row r="1113" spans="2:8">
      <c r="B1113" s="91"/>
      <c r="C1113" s="36"/>
      <c r="D1113" s="91"/>
      <c r="E1113" s="91"/>
      <c r="F1113" s="80"/>
      <c r="G1113" s="91"/>
      <c r="H1113" s="91"/>
    </row>
    <row r="1114" spans="2:8">
      <c r="B1114" s="91"/>
      <c r="C1114" s="36"/>
      <c r="D1114" s="91"/>
      <c r="E1114" s="91"/>
      <c r="F1114" s="80"/>
      <c r="G1114" s="91"/>
      <c r="H1114" s="91"/>
    </row>
    <row r="1115" spans="2:8">
      <c r="B1115" s="91"/>
      <c r="C1115" s="36"/>
      <c r="D1115" s="91"/>
      <c r="E1115" s="91"/>
      <c r="F1115" s="80"/>
      <c r="G1115" s="91"/>
      <c r="H1115" s="91"/>
    </row>
    <row r="1116" spans="2:8">
      <c r="B1116" s="91"/>
      <c r="C1116" s="36"/>
      <c r="D1116" s="91"/>
      <c r="E1116" s="91"/>
      <c r="F1116" s="80"/>
      <c r="G1116" s="91"/>
      <c r="H1116" s="91"/>
    </row>
    <row r="1117" spans="2:8">
      <c r="B1117" s="91"/>
      <c r="C1117" s="36"/>
      <c r="D1117" s="91"/>
      <c r="E1117" s="91"/>
      <c r="F1117" s="80"/>
      <c r="G1117" s="91"/>
      <c r="H1117" s="91"/>
    </row>
    <row r="1118" spans="2:8">
      <c r="B1118" s="91"/>
      <c r="C1118" s="36"/>
      <c r="D1118" s="91"/>
      <c r="E1118" s="91"/>
      <c r="F1118" s="80"/>
      <c r="G1118" s="91"/>
      <c r="H1118" s="91"/>
    </row>
    <row r="1119" spans="2:8">
      <c r="B1119" s="91"/>
      <c r="C1119" s="36"/>
      <c r="D1119" s="91"/>
      <c r="E1119" s="91"/>
      <c r="F1119" s="80"/>
      <c r="G1119" s="91"/>
      <c r="H1119" s="91"/>
    </row>
    <row r="1120" spans="2:8">
      <c r="B1120" s="91"/>
      <c r="C1120" s="36"/>
      <c r="D1120" s="91"/>
      <c r="E1120" s="91"/>
      <c r="F1120" s="80"/>
      <c r="G1120" s="91"/>
      <c r="H1120" s="91"/>
    </row>
    <row r="1121" spans="2:8">
      <c r="B1121" s="91"/>
      <c r="C1121" s="36"/>
      <c r="D1121" s="91"/>
      <c r="E1121" s="91"/>
      <c r="F1121" s="80"/>
      <c r="G1121" s="91"/>
      <c r="H1121" s="91"/>
    </row>
    <row r="1122" spans="2:8">
      <c r="B1122" s="91"/>
      <c r="C1122" s="36"/>
      <c r="D1122" s="91"/>
      <c r="E1122" s="91"/>
      <c r="F1122" s="80"/>
      <c r="G1122" s="91"/>
      <c r="H1122" s="91"/>
    </row>
    <row r="1123" spans="2:8">
      <c r="B1123" s="91"/>
      <c r="C1123" s="36"/>
      <c r="D1123" s="91"/>
      <c r="E1123" s="91"/>
      <c r="F1123" s="80"/>
      <c r="G1123" s="91"/>
      <c r="H1123" s="91"/>
    </row>
    <row r="1124" spans="2:8">
      <c r="B1124" s="91"/>
      <c r="C1124" s="36"/>
      <c r="D1124" s="91"/>
      <c r="E1124" s="91"/>
      <c r="F1124" s="80"/>
      <c r="G1124" s="91"/>
      <c r="H1124" s="91"/>
    </row>
    <row r="1125" spans="2:8">
      <c r="B1125" s="91"/>
      <c r="C1125" s="36"/>
      <c r="D1125" s="91"/>
      <c r="E1125" s="91"/>
      <c r="F1125" s="80"/>
      <c r="G1125" s="91"/>
      <c r="H1125" s="91"/>
    </row>
    <row r="1126" spans="2:8">
      <c r="B1126" s="91"/>
      <c r="C1126" s="36"/>
      <c r="D1126" s="91"/>
      <c r="E1126" s="91"/>
      <c r="F1126" s="80"/>
      <c r="G1126" s="91"/>
      <c r="H1126" s="91"/>
    </row>
    <row r="1127" spans="2:8">
      <c r="B1127" s="91"/>
      <c r="C1127" s="36"/>
      <c r="D1127" s="91"/>
      <c r="E1127" s="91"/>
      <c r="F1127" s="80"/>
      <c r="G1127" s="91"/>
      <c r="H1127" s="91"/>
    </row>
    <row r="1128" spans="2:8">
      <c r="B1128" s="91"/>
      <c r="C1128" s="36"/>
      <c r="D1128" s="91"/>
      <c r="E1128" s="91"/>
      <c r="F1128" s="80"/>
      <c r="G1128" s="91"/>
      <c r="H1128" s="91"/>
    </row>
    <row r="1129" spans="2:8">
      <c r="B1129" s="91"/>
      <c r="C1129" s="36"/>
      <c r="D1129" s="91"/>
      <c r="E1129" s="91"/>
      <c r="F1129" s="80"/>
      <c r="G1129" s="91"/>
      <c r="H1129" s="91"/>
    </row>
    <row r="1130" spans="2:8">
      <c r="B1130" s="91"/>
      <c r="C1130" s="36"/>
      <c r="D1130" s="91"/>
      <c r="E1130" s="91"/>
      <c r="F1130" s="80"/>
      <c r="G1130" s="91"/>
      <c r="H1130" s="91"/>
    </row>
    <row r="1131" spans="2:8">
      <c r="B1131" s="91"/>
      <c r="C1131" s="36"/>
      <c r="D1131" s="91"/>
      <c r="E1131" s="91"/>
      <c r="F1131" s="80"/>
      <c r="G1131" s="91"/>
      <c r="H1131" s="91"/>
    </row>
    <row r="1132" spans="2:8">
      <c r="B1132" s="91"/>
      <c r="C1132" s="36"/>
      <c r="D1132" s="91"/>
      <c r="E1132" s="91"/>
      <c r="F1132" s="80"/>
      <c r="G1132" s="91"/>
      <c r="H1132" s="91"/>
    </row>
    <row r="1133" spans="2:8">
      <c r="B1133" s="91"/>
      <c r="C1133" s="36"/>
      <c r="D1133" s="91"/>
      <c r="E1133" s="91"/>
      <c r="F1133" s="80"/>
      <c r="G1133" s="91"/>
      <c r="H1133" s="91"/>
    </row>
    <row r="1134" spans="2:8">
      <c r="B1134" s="91"/>
      <c r="C1134" s="36"/>
      <c r="D1134" s="91"/>
      <c r="E1134" s="91"/>
      <c r="F1134" s="80"/>
      <c r="G1134" s="91"/>
      <c r="H1134" s="91"/>
    </row>
    <row r="1135" spans="2:8">
      <c r="B1135" s="91"/>
      <c r="C1135" s="36"/>
      <c r="D1135" s="91"/>
      <c r="E1135" s="91"/>
      <c r="F1135" s="80"/>
      <c r="G1135" s="91"/>
      <c r="H1135" s="91"/>
    </row>
    <row r="1136" spans="2:8">
      <c r="B1136" s="91"/>
      <c r="C1136" s="36"/>
      <c r="D1136" s="91"/>
      <c r="E1136" s="91"/>
      <c r="F1136" s="80"/>
      <c r="G1136" s="91"/>
      <c r="H1136" s="91"/>
    </row>
    <row r="1137" spans="2:8">
      <c r="B1137" s="91"/>
      <c r="C1137" s="36"/>
      <c r="D1137" s="91"/>
      <c r="E1137" s="91"/>
      <c r="F1137" s="80"/>
      <c r="G1137" s="91"/>
      <c r="H1137" s="91"/>
    </row>
    <row r="1138" spans="2:8">
      <c r="B1138" s="91"/>
      <c r="C1138" s="36"/>
      <c r="D1138" s="91"/>
      <c r="E1138" s="91"/>
      <c r="F1138" s="80"/>
      <c r="G1138" s="91"/>
      <c r="H1138" s="91"/>
    </row>
    <row r="1139" spans="2:8">
      <c r="B1139" s="91"/>
      <c r="C1139" s="36"/>
      <c r="D1139" s="91"/>
      <c r="E1139" s="91"/>
      <c r="F1139" s="80"/>
      <c r="G1139" s="91"/>
      <c r="H1139" s="91"/>
    </row>
    <row r="1140" spans="2:8">
      <c r="B1140" s="91"/>
      <c r="C1140" s="36"/>
      <c r="D1140" s="91"/>
      <c r="E1140" s="91"/>
      <c r="F1140" s="80"/>
      <c r="G1140" s="91"/>
      <c r="H1140" s="91"/>
    </row>
    <row r="1141" spans="2:8">
      <c r="B1141" s="91"/>
      <c r="C1141" s="36"/>
      <c r="D1141" s="91"/>
      <c r="E1141" s="91"/>
      <c r="F1141" s="80"/>
      <c r="G1141" s="91"/>
      <c r="H1141" s="91"/>
    </row>
    <row r="1142" spans="2:8">
      <c r="B1142" s="91"/>
      <c r="C1142" s="36"/>
      <c r="D1142" s="91"/>
      <c r="E1142" s="91"/>
      <c r="F1142" s="80"/>
      <c r="G1142" s="91"/>
      <c r="H1142" s="91"/>
    </row>
    <row r="1143" spans="2:8">
      <c r="B1143" s="91"/>
      <c r="C1143" s="36"/>
      <c r="D1143" s="91"/>
      <c r="E1143" s="91"/>
      <c r="F1143" s="80"/>
      <c r="G1143" s="91"/>
      <c r="H1143" s="91"/>
    </row>
    <row r="1144" spans="2:8">
      <c r="B1144" s="91"/>
      <c r="C1144" s="36"/>
      <c r="D1144" s="91"/>
      <c r="E1144" s="91"/>
      <c r="F1144" s="80"/>
      <c r="G1144" s="91"/>
      <c r="H1144" s="91"/>
    </row>
    <row r="1145" spans="2:8">
      <c r="B1145" s="91"/>
      <c r="C1145" s="36"/>
      <c r="D1145" s="91"/>
      <c r="E1145" s="91"/>
      <c r="F1145" s="80"/>
      <c r="G1145" s="91"/>
      <c r="H1145" s="91"/>
    </row>
    <row r="1146" spans="2:8">
      <c r="B1146" s="91"/>
      <c r="C1146" s="36"/>
      <c r="D1146" s="91"/>
      <c r="E1146" s="91"/>
      <c r="F1146" s="80"/>
      <c r="G1146" s="91"/>
      <c r="H1146" s="91"/>
    </row>
    <row r="1147" spans="2:8">
      <c r="B1147" s="91"/>
      <c r="C1147" s="36"/>
      <c r="D1147" s="91"/>
      <c r="E1147" s="91"/>
      <c r="F1147" s="80"/>
      <c r="G1147" s="91"/>
      <c r="H1147" s="91"/>
    </row>
    <row r="1148" spans="2:8">
      <c r="B1148" s="91"/>
      <c r="C1148" s="36"/>
      <c r="D1148" s="91"/>
      <c r="E1148" s="91"/>
      <c r="F1148" s="80"/>
      <c r="G1148" s="91"/>
      <c r="H1148" s="91"/>
    </row>
    <row r="1149" spans="2:8">
      <c r="B1149" s="91"/>
      <c r="C1149" s="36"/>
      <c r="D1149" s="91"/>
      <c r="E1149" s="91"/>
      <c r="F1149" s="80"/>
      <c r="G1149" s="91"/>
      <c r="H1149" s="91"/>
    </row>
    <row r="1150" spans="2:8">
      <c r="B1150" s="91"/>
      <c r="C1150" s="36"/>
      <c r="D1150" s="91"/>
      <c r="E1150" s="91"/>
      <c r="F1150" s="80"/>
      <c r="G1150" s="91"/>
      <c r="H1150" s="91"/>
    </row>
    <row r="1151" spans="2:8">
      <c r="B1151" s="91"/>
      <c r="C1151" s="36"/>
      <c r="D1151" s="91"/>
      <c r="E1151" s="91"/>
      <c r="F1151" s="80"/>
      <c r="G1151" s="91"/>
      <c r="H1151" s="91"/>
    </row>
    <row r="1152" spans="2:8">
      <c r="B1152" s="91"/>
      <c r="C1152" s="36"/>
      <c r="D1152" s="91"/>
      <c r="E1152" s="91"/>
      <c r="F1152" s="80"/>
      <c r="G1152" s="91"/>
      <c r="H1152" s="91"/>
    </row>
    <row r="1153" spans="2:8">
      <c r="B1153" s="91"/>
      <c r="C1153" s="36"/>
      <c r="D1153" s="91"/>
      <c r="E1153" s="91"/>
      <c r="F1153" s="80"/>
      <c r="G1153" s="91"/>
      <c r="H1153" s="91"/>
    </row>
    <row r="1154" spans="2:8">
      <c r="B1154" s="91"/>
      <c r="C1154" s="36"/>
      <c r="D1154" s="91"/>
      <c r="E1154" s="91"/>
      <c r="F1154" s="80"/>
      <c r="G1154" s="91"/>
      <c r="H1154" s="91"/>
    </row>
    <row r="1155" spans="2:8">
      <c r="B1155" s="91"/>
      <c r="C1155" s="36"/>
      <c r="D1155" s="91"/>
      <c r="E1155" s="91"/>
      <c r="F1155" s="80"/>
      <c r="G1155" s="91"/>
      <c r="H1155" s="91"/>
    </row>
    <row r="1156" spans="2:8">
      <c r="B1156" s="91"/>
      <c r="C1156" s="36"/>
      <c r="D1156" s="91"/>
      <c r="E1156" s="91"/>
      <c r="F1156" s="80"/>
      <c r="G1156" s="91"/>
      <c r="H1156" s="91"/>
    </row>
    <row r="1157" spans="2:8">
      <c r="B1157" s="91"/>
      <c r="C1157" s="36"/>
      <c r="D1157" s="91"/>
      <c r="E1157" s="91"/>
      <c r="F1157" s="80"/>
      <c r="G1157" s="91"/>
      <c r="H1157" s="91"/>
    </row>
    <row r="1158" spans="2:8">
      <c r="B1158" s="91"/>
      <c r="C1158" s="36"/>
      <c r="D1158" s="91"/>
      <c r="E1158" s="91"/>
      <c r="F1158" s="80"/>
      <c r="G1158" s="91"/>
      <c r="H1158" s="91"/>
    </row>
    <row r="1159" spans="2:8">
      <c r="B1159" s="91"/>
      <c r="C1159" s="36"/>
      <c r="D1159" s="91"/>
      <c r="E1159" s="91"/>
      <c r="F1159" s="80"/>
      <c r="G1159" s="91"/>
      <c r="H1159" s="91"/>
    </row>
    <row r="1160" spans="2:8">
      <c r="B1160" s="91"/>
      <c r="C1160" s="36"/>
      <c r="D1160" s="91"/>
      <c r="E1160" s="91"/>
      <c r="F1160" s="80"/>
      <c r="G1160" s="91"/>
      <c r="H1160" s="91"/>
    </row>
    <row r="1161" spans="2:8">
      <c r="B1161" s="91"/>
      <c r="C1161" s="36"/>
      <c r="D1161" s="91"/>
      <c r="E1161" s="91"/>
      <c r="F1161" s="80"/>
      <c r="G1161" s="91"/>
      <c r="H1161" s="91"/>
    </row>
    <row r="1162" spans="2:8">
      <c r="B1162" s="91"/>
      <c r="C1162" s="36"/>
      <c r="D1162" s="91"/>
      <c r="E1162" s="91"/>
      <c r="F1162" s="80"/>
      <c r="G1162" s="91"/>
      <c r="H1162" s="91"/>
    </row>
    <row r="1163" spans="2:8">
      <c r="B1163" s="91"/>
      <c r="C1163" s="36"/>
      <c r="D1163" s="91"/>
      <c r="E1163" s="91"/>
      <c r="F1163" s="80"/>
      <c r="G1163" s="91"/>
      <c r="H1163" s="91"/>
    </row>
    <row r="1164" spans="2:8">
      <c r="B1164" s="91"/>
      <c r="C1164" s="36"/>
      <c r="D1164" s="91"/>
      <c r="E1164" s="91"/>
      <c r="F1164" s="80"/>
      <c r="G1164" s="91"/>
      <c r="H1164" s="91"/>
    </row>
    <row r="1165" spans="2:8">
      <c r="B1165" s="91"/>
      <c r="C1165" s="36"/>
      <c r="D1165" s="91"/>
      <c r="E1165" s="91"/>
      <c r="F1165" s="80"/>
      <c r="G1165" s="91"/>
      <c r="H1165" s="91"/>
    </row>
    <row r="1166" spans="2:8">
      <c r="B1166" s="91"/>
      <c r="C1166" s="36"/>
      <c r="D1166" s="91"/>
      <c r="E1166" s="91"/>
      <c r="F1166" s="80"/>
      <c r="G1166" s="91"/>
      <c r="H1166" s="91"/>
    </row>
    <row r="1167" spans="2:8">
      <c r="B1167" s="91"/>
      <c r="C1167" s="36"/>
      <c r="D1167" s="91"/>
      <c r="E1167" s="91"/>
      <c r="F1167" s="80"/>
      <c r="G1167" s="91"/>
      <c r="H1167" s="91"/>
    </row>
    <row r="1168" spans="2:8">
      <c r="B1168" s="91"/>
      <c r="C1168" s="36"/>
      <c r="D1168" s="91"/>
      <c r="E1168" s="91"/>
      <c r="F1168" s="80"/>
      <c r="G1168" s="91"/>
      <c r="H1168" s="91"/>
    </row>
    <row r="1169" spans="2:8">
      <c r="B1169" s="91"/>
      <c r="C1169" s="36"/>
      <c r="D1169" s="91"/>
      <c r="E1169" s="91"/>
      <c r="F1169" s="80"/>
      <c r="G1169" s="91"/>
      <c r="H1169" s="91"/>
    </row>
    <row r="1170" spans="2:8">
      <c r="B1170" s="91"/>
      <c r="C1170" s="36"/>
      <c r="D1170" s="91"/>
      <c r="E1170" s="91"/>
      <c r="F1170" s="80"/>
      <c r="G1170" s="91"/>
      <c r="H1170" s="91"/>
    </row>
    <row r="1171" spans="2:8">
      <c r="B1171" s="91"/>
      <c r="C1171" s="36"/>
      <c r="D1171" s="91"/>
      <c r="E1171" s="91"/>
      <c r="F1171" s="80"/>
      <c r="G1171" s="91"/>
      <c r="H1171" s="91"/>
    </row>
    <row r="1172" spans="2:8">
      <c r="B1172" s="91"/>
      <c r="C1172" s="36"/>
      <c r="D1172" s="91"/>
      <c r="E1172" s="91"/>
      <c r="F1172" s="80"/>
      <c r="G1172" s="91"/>
      <c r="H1172" s="91"/>
    </row>
    <row r="1173" spans="2:8">
      <c r="B1173" s="91"/>
      <c r="C1173" s="36"/>
      <c r="D1173" s="91"/>
      <c r="E1173" s="91"/>
      <c r="F1173" s="80"/>
      <c r="G1173" s="91"/>
      <c r="H1173" s="91"/>
    </row>
    <row r="1174" spans="2:8">
      <c r="B1174" s="91"/>
      <c r="C1174" s="36"/>
      <c r="D1174" s="91"/>
      <c r="E1174" s="91"/>
      <c r="F1174" s="80"/>
      <c r="G1174" s="91"/>
      <c r="H1174" s="91"/>
    </row>
    <row r="1175" spans="2:8">
      <c r="B1175" s="91"/>
      <c r="C1175" s="36"/>
      <c r="D1175" s="91"/>
      <c r="E1175" s="91"/>
      <c r="F1175" s="80"/>
      <c r="G1175" s="91"/>
      <c r="H1175" s="91"/>
    </row>
    <row r="1176" spans="2:8">
      <c r="B1176" s="91"/>
      <c r="C1176" s="36"/>
      <c r="D1176" s="91"/>
      <c r="E1176" s="91"/>
      <c r="F1176" s="80"/>
      <c r="G1176" s="91"/>
      <c r="H1176" s="91"/>
    </row>
    <row r="1177" spans="2:8">
      <c r="B1177" s="91"/>
      <c r="C1177" s="36"/>
      <c r="D1177" s="91"/>
      <c r="E1177" s="91"/>
      <c r="F1177" s="80"/>
      <c r="G1177" s="91"/>
      <c r="H1177" s="91"/>
    </row>
    <row r="1178" spans="2:8">
      <c r="B1178" s="91"/>
      <c r="C1178" s="36"/>
      <c r="D1178" s="91"/>
      <c r="E1178" s="91"/>
      <c r="F1178" s="80"/>
      <c r="G1178" s="91"/>
      <c r="H1178" s="91"/>
    </row>
    <row r="1179" spans="2:8">
      <c r="B1179" s="91"/>
      <c r="C1179" s="36"/>
      <c r="D1179" s="91"/>
      <c r="E1179" s="91"/>
      <c r="F1179" s="80"/>
      <c r="G1179" s="91"/>
      <c r="H1179" s="91"/>
    </row>
    <row r="1180" spans="2:8">
      <c r="B1180" s="91"/>
      <c r="C1180" s="36"/>
      <c r="D1180" s="91"/>
      <c r="E1180" s="91"/>
      <c r="F1180" s="80"/>
      <c r="G1180" s="91"/>
      <c r="H1180" s="91"/>
    </row>
    <row r="1181" spans="2:8">
      <c r="B1181" s="91"/>
      <c r="C1181" s="36"/>
      <c r="D1181" s="91"/>
      <c r="E1181" s="91"/>
      <c r="F1181" s="80"/>
      <c r="G1181" s="91"/>
      <c r="H1181" s="91"/>
    </row>
    <row r="1182" spans="2:8">
      <c r="B1182" s="91"/>
      <c r="C1182" s="36"/>
      <c r="D1182" s="91"/>
      <c r="E1182" s="91"/>
      <c r="F1182" s="80"/>
      <c r="G1182" s="91"/>
      <c r="H1182" s="91"/>
    </row>
    <row r="1183" spans="2:8">
      <c r="B1183" s="91"/>
      <c r="C1183" s="36"/>
      <c r="D1183" s="91"/>
      <c r="E1183" s="91"/>
      <c r="F1183" s="80"/>
      <c r="G1183" s="91"/>
      <c r="H1183" s="91"/>
    </row>
    <row r="1184" spans="2:8">
      <c r="B1184" s="91"/>
      <c r="C1184" s="36"/>
      <c r="D1184" s="91"/>
      <c r="E1184" s="91"/>
      <c r="F1184" s="80"/>
      <c r="G1184" s="91"/>
      <c r="H1184" s="91"/>
    </row>
    <row r="1185" spans="2:8">
      <c r="B1185" s="91"/>
      <c r="C1185" s="36"/>
      <c r="D1185" s="91"/>
      <c r="E1185" s="91"/>
      <c r="F1185" s="80"/>
      <c r="G1185" s="91"/>
      <c r="H1185" s="91"/>
    </row>
    <row r="1186" spans="2:8">
      <c r="B1186" s="91"/>
      <c r="C1186" s="36"/>
      <c r="D1186" s="91"/>
      <c r="E1186" s="91"/>
      <c r="F1186" s="80"/>
      <c r="G1186" s="91"/>
      <c r="H1186" s="91"/>
    </row>
    <row r="1187" spans="2:8">
      <c r="B1187" s="91"/>
      <c r="C1187" s="36"/>
      <c r="D1187" s="91"/>
      <c r="E1187" s="91"/>
      <c r="F1187" s="80"/>
      <c r="G1187" s="91"/>
      <c r="H1187" s="91"/>
    </row>
    <row r="1188" spans="2:8">
      <c r="B1188" s="91"/>
      <c r="C1188" s="36"/>
      <c r="D1188" s="91"/>
      <c r="E1188" s="91"/>
      <c r="F1188" s="80"/>
      <c r="G1188" s="91"/>
      <c r="H1188" s="91"/>
    </row>
    <row r="1189" spans="2:8">
      <c r="B1189" s="91"/>
      <c r="C1189" s="36"/>
      <c r="D1189" s="91"/>
      <c r="E1189" s="91"/>
      <c r="F1189" s="80"/>
      <c r="G1189" s="91"/>
      <c r="H1189" s="91"/>
    </row>
    <row r="1190" spans="2:8">
      <c r="B1190" s="91"/>
      <c r="C1190" s="36"/>
      <c r="D1190" s="91"/>
      <c r="E1190" s="91"/>
      <c r="F1190" s="80"/>
      <c r="G1190" s="91"/>
      <c r="H1190" s="91"/>
    </row>
    <row r="1191" spans="2:8">
      <c r="B1191" s="91"/>
      <c r="C1191" s="36"/>
      <c r="D1191" s="91"/>
      <c r="E1191" s="91"/>
      <c r="F1191" s="80"/>
      <c r="G1191" s="91"/>
      <c r="H1191" s="91"/>
    </row>
    <row r="1192" spans="2:8">
      <c r="B1192" s="91"/>
      <c r="C1192" s="36"/>
      <c r="D1192" s="91"/>
      <c r="E1192" s="91"/>
      <c r="F1192" s="80"/>
      <c r="G1192" s="91"/>
      <c r="H1192" s="91"/>
    </row>
    <row r="1193" spans="2:8">
      <c r="B1193" s="91"/>
      <c r="C1193" s="36"/>
      <c r="D1193" s="91"/>
      <c r="E1193" s="91"/>
      <c r="F1193" s="80"/>
      <c r="G1193" s="91"/>
      <c r="H1193" s="91"/>
    </row>
    <row r="1194" spans="2:8">
      <c r="B1194" s="91"/>
      <c r="C1194" s="36"/>
      <c r="D1194" s="91"/>
      <c r="E1194" s="91"/>
      <c r="F1194" s="80"/>
      <c r="G1194" s="91"/>
      <c r="H1194" s="91"/>
    </row>
    <row r="1195" spans="2:8">
      <c r="B1195" s="91"/>
      <c r="C1195" s="36"/>
      <c r="D1195" s="91"/>
      <c r="E1195" s="91"/>
      <c r="F1195" s="80"/>
      <c r="G1195" s="91"/>
      <c r="H1195" s="91"/>
    </row>
    <row r="1196" spans="2:8">
      <c r="B1196" s="91"/>
      <c r="C1196" s="36"/>
      <c r="D1196" s="91"/>
      <c r="E1196" s="91"/>
      <c r="F1196" s="80"/>
      <c r="G1196" s="91"/>
      <c r="H1196" s="91"/>
    </row>
    <row r="1197" spans="2:8">
      <c r="B1197" s="91"/>
      <c r="C1197" s="36"/>
      <c r="D1197" s="91"/>
      <c r="E1197" s="91"/>
      <c r="F1197" s="80"/>
      <c r="G1197" s="91"/>
      <c r="H1197" s="91"/>
    </row>
    <row r="1198" spans="2:8">
      <c r="B1198" s="91"/>
      <c r="C1198" s="36"/>
      <c r="D1198" s="91"/>
      <c r="E1198" s="91"/>
      <c r="F1198" s="80"/>
      <c r="G1198" s="91"/>
      <c r="H1198" s="91"/>
    </row>
    <row r="1199" spans="2:8">
      <c r="B1199" s="91"/>
      <c r="C1199" s="36"/>
      <c r="D1199" s="91"/>
      <c r="E1199" s="91"/>
      <c r="F1199" s="80"/>
      <c r="G1199" s="91"/>
      <c r="H1199" s="91"/>
    </row>
    <row r="1200" spans="2:8">
      <c r="B1200" s="91"/>
      <c r="C1200" s="36"/>
      <c r="D1200" s="91"/>
      <c r="E1200" s="91"/>
      <c r="F1200" s="80"/>
      <c r="G1200" s="91"/>
      <c r="H1200" s="91"/>
    </row>
    <row r="1201" spans="2:8">
      <c r="B1201" s="91"/>
      <c r="C1201" s="36"/>
      <c r="D1201" s="91"/>
      <c r="E1201" s="91"/>
      <c r="F1201" s="80"/>
      <c r="G1201" s="91"/>
      <c r="H1201" s="91"/>
    </row>
    <row r="1202" spans="2:8">
      <c r="B1202" s="91"/>
      <c r="C1202" s="36"/>
      <c r="D1202" s="91"/>
      <c r="E1202" s="91"/>
      <c r="F1202" s="80"/>
      <c r="G1202" s="91"/>
      <c r="H1202" s="91"/>
    </row>
    <row r="1203" spans="2:8">
      <c r="B1203" s="91"/>
      <c r="C1203" s="36"/>
      <c r="D1203" s="91"/>
      <c r="E1203" s="91"/>
      <c r="F1203" s="80"/>
      <c r="G1203" s="91"/>
      <c r="H1203" s="91"/>
    </row>
    <row r="1204" spans="2:8">
      <c r="B1204" s="91"/>
      <c r="C1204" s="36"/>
      <c r="D1204" s="91"/>
      <c r="E1204" s="91"/>
      <c r="F1204" s="80"/>
      <c r="G1204" s="91"/>
      <c r="H1204" s="91"/>
    </row>
    <row r="1205" spans="2:8">
      <c r="B1205" s="91"/>
      <c r="C1205" s="36"/>
      <c r="D1205" s="91"/>
      <c r="E1205" s="91"/>
      <c r="F1205" s="80"/>
      <c r="G1205" s="91"/>
      <c r="H1205" s="91"/>
    </row>
    <row r="1206" spans="2:8">
      <c r="B1206" s="91"/>
      <c r="C1206" s="36"/>
      <c r="D1206" s="91"/>
      <c r="E1206" s="91"/>
      <c r="F1206" s="80"/>
      <c r="G1206" s="91"/>
      <c r="H1206" s="91"/>
    </row>
    <row r="1207" spans="2:8">
      <c r="B1207" s="91"/>
      <c r="C1207" s="36"/>
      <c r="D1207" s="91"/>
      <c r="E1207" s="91"/>
      <c r="F1207" s="80"/>
      <c r="G1207" s="91"/>
      <c r="H1207" s="91"/>
    </row>
    <row r="1208" spans="2:8">
      <c r="B1208" s="91"/>
      <c r="C1208" s="36"/>
      <c r="D1208" s="91"/>
      <c r="E1208" s="91"/>
      <c r="F1208" s="80"/>
      <c r="G1208" s="91"/>
      <c r="H1208" s="91"/>
    </row>
    <row r="1209" spans="2:8">
      <c r="B1209" s="91"/>
      <c r="C1209" s="36"/>
      <c r="D1209" s="91"/>
      <c r="E1209" s="91"/>
      <c r="F1209" s="80"/>
      <c r="G1209" s="91"/>
      <c r="H1209" s="91"/>
    </row>
    <row r="1210" spans="2:8">
      <c r="B1210" s="91"/>
      <c r="C1210" s="36"/>
      <c r="D1210" s="91"/>
      <c r="E1210" s="91"/>
      <c r="F1210" s="80"/>
      <c r="G1210" s="91"/>
      <c r="H1210" s="91"/>
    </row>
    <row r="1211" spans="2:8">
      <c r="B1211" s="91"/>
      <c r="C1211" s="36"/>
      <c r="D1211" s="91"/>
      <c r="E1211" s="91"/>
      <c r="F1211" s="80"/>
      <c r="G1211" s="91"/>
      <c r="H1211" s="91"/>
    </row>
    <row r="1212" spans="2:8">
      <c r="B1212" s="91"/>
      <c r="C1212" s="36"/>
      <c r="D1212" s="91"/>
      <c r="E1212" s="91"/>
      <c r="F1212" s="80"/>
      <c r="G1212" s="91"/>
      <c r="H1212" s="91"/>
    </row>
    <row r="1213" spans="2:8">
      <c r="B1213" s="91"/>
      <c r="C1213" s="36"/>
      <c r="D1213" s="91"/>
      <c r="E1213" s="91"/>
      <c r="F1213" s="80"/>
      <c r="G1213" s="91"/>
      <c r="H1213" s="91"/>
    </row>
    <row r="1214" spans="2:8">
      <c r="B1214" s="91"/>
      <c r="C1214" s="36"/>
      <c r="D1214" s="91"/>
      <c r="E1214" s="91"/>
      <c r="F1214" s="80"/>
      <c r="G1214" s="91"/>
      <c r="H1214" s="91"/>
    </row>
    <row r="1215" spans="2:8">
      <c r="B1215" s="91"/>
      <c r="C1215" s="36"/>
      <c r="D1215" s="91"/>
      <c r="E1215" s="91"/>
      <c r="F1215" s="80"/>
      <c r="G1215" s="91"/>
      <c r="H1215" s="91"/>
    </row>
    <row r="1216" spans="2:8">
      <c r="B1216" s="91"/>
      <c r="C1216" s="36"/>
      <c r="D1216" s="91"/>
      <c r="E1216" s="91"/>
      <c r="F1216" s="80"/>
      <c r="G1216" s="91"/>
      <c r="H1216" s="91"/>
    </row>
    <row r="1217" spans="2:8">
      <c r="B1217" s="91"/>
      <c r="C1217" s="36"/>
      <c r="D1217" s="91"/>
      <c r="E1217" s="91"/>
      <c r="F1217" s="80"/>
      <c r="G1217" s="91"/>
      <c r="H1217" s="91"/>
    </row>
    <row r="1218" spans="2:8">
      <c r="B1218" s="91"/>
      <c r="C1218" s="36"/>
      <c r="D1218" s="91"/>
      <c r="E1218" s="91"/>
      <c r="F1218" s="80"/>
      <c r="G1218" s="91"/>
      <c r="H1218" s="91"/>
    </row>
    <row r="1219" spans="2:8">
      <c r="B1219" s="91"/>
      <c r="C1219" s="36"/>
      <c r="D1219" s="91"/>
      <c r="E1219" s="91"/>
      <c r="F1219" s="80"/>
      <c r="G1219" s="91"/>
      <c r="H1219" s="91"/>
    </row>
    <row r="1220" spans="2:8">
      <c r="B1220" s="91"/>
      <c r="C1220" s="36"/>
      <c r="D1220" s="91"/>
      <c r="E1220" s="91"/>
      <c r="F1220" s="80"/>
      <c r="G1220" s="91"/>
      <c r="H1220" s="91"/>
    </row>
    <row r="1221" spans="2:8">
      <c r="B1221" s="91"/>
      <c r="C1221" s="36"/>
      <c r="D1221" s="91"/>
      <c r="E1221" s="91"/>
      <c r="F1221" s="80"/>
      <c r="G1221" s="91"/>
      <c r="H1221" s="91"/>
    </row>
    <row r="1222" spans="2:8">
      <c r="B1222" s="91"/>
      <c r="C1222" s="36"/>
      <c r="D1222" s="91"/>
      <c r="E1222" s="91"/>
      <c r="F1222" s="80"/>
      <c r="G1222" s="91"/>
      <c r="H1222" s="91"/>
    </row>
    <row r="1223" spans="2:8">
      <c r="B1223" s="91"/>
      <c r="C1223" s="36"/>
      <c r="D1223" s="91"/>
      <c r="E1223" s="91"/>
      <c r="F1223" s="80"/>
      <c r="G1223" s="91"/>
      <c r="H1223" s="91"/>
    </row>
    <row r="1224" spans="2:8">
      <c r="B1224" s="91"/>
      <c r="C1224" s="36"/>
      <c r="D1224" s="91"/>
      <c r="E1224" s="91"/>
      <c r="F1224" s="80"/>
      <c r="G1224" s="91"/>
      <c r="H1224" s="91"/>
    </row>
    <row r="1225" spans="2:8">
      <c r="B1225" s="91"/>
      <c r="C1225" s="36"/>
      <c r="D1225" s="91"/>
      <c r="E1225" s="91"/>
      <c r="F1225" s="80"/>
      <c r="G1225" s="91"/>
      <c r="H1225" s="91"/>
    </row>
    <row r="1226" spans="2:8">
      <c r="B1226" s="91"/>
      <c r="C1226" s="36"/>
      <c r="D1226" s="91"/>
      <c r="E1226" s="91"/>
      <c r="F1226" s="80"/>
      <c r="G1226" s="91"/>
      <c r="H1226" s="91"/>
    </row>
    <row r="1227" spans="2:8">
      <c r="B1227" s="91"/>
      <c r="C1227" s="36"/>
      <c r="D1227" s="91"/>
      <c r="E1227" s="91"/>
      <c r="F1227" s="80"/>
      <c r="G1227" s="91"/>
      <c r="H1227" s="91"/>
    </row>
    <row r="1228" spans="2:8">
      <c r="B1228" s="91"/>
      <c r="C1228" s="36"/>
      <c r="D1228" s="91"/>
      <c r="E1228" s="91"/>
      <c r="F1228" s="80"/>
      <c r="G1228" s="91"/>
      <c r="H1228" s="91"/>
    </row>
    <row r="1229" spans="2:8">
      <c r="B1229" s="91"/>
      <c r="C1229" s="36"/>
      <c r="D1229" s="91"/>
      <c r="E1229" s="91"/>
      <c r="F1229" s="80"/>
      <c r="G1229" s="91"/>
      <c r="H1229" s="91"/>
    </row>
    <row r="1230" spans="2:8">
      <c r="B1230" s="91"/>
      <c r="C1230" s="36"/>
      <c r="D1230" s="91"/>
      <c r="E1230" s="91"/>
      <c r="F1230" s="80"/>
      <c r="G1230" s="91"/>
      <c r="H1230" s="91"/>
    </row>
    <row r="1231" spans="2:8">
      <c r="B1231" s="91"/>
      <c r="C1231" s="36"/>
      <c r="D1231" s="91"/>
      <c r="E1231" s="91"/>
      <c r="F1231" s="80"/>
      <c r="G1231" s="91"/>
      <c r="H1231" s="91"/>
    </row>
    <row r="1232" spans="2:8">
      <c r="B1232" s="91"/>
      <c r="C1232" s="36"/>
      <c r="D1232" s="91"/>
      <c r="E1232" s="91"/>
      <c r="F1232" s="80"/>
      <c r="G1232" s="91"/>
      <c r="H1232" s="91"/>
    </row>
    <row r="1233" spans="2:8">
      <c r="B1233" s="91"/>
      <c r="C1233" s="36"/>
      <c r="D1233" s="91"/>
      <c r="E1233" s="91"/>
      <c r="F1233" s="80"/>
      <c r="G1233" s="91"/>
      <c r="H1233" s="91"/>
    </row>
    <row r="1234" spans="2:8">
      <c r="B1234" s="91"/>
      <c r="C1234" s="36"/>
      <c r="D1234" s="91"/>
      <c r="E1234" s="91"/>
      <c r="F1234" s="80"/>
      <c r="G1234" s="91"/>
      <c r="H1234" s="91"/>
    </row>
    <row r="1235" spans="2:8">
      <c r="B1235" s="91"/>
      <c r="C1235" s="36"/>
      <c r="D1235" s="91"/>
      <c r="E1235" s="91"/>
      <c r="F1235" s="80"/>
      <c r="G1235" s="91"/>
      <c r="H1235" s="91"/>
    </row>
    <row r="1236" spans="2:8">
      <c r="B1236" s="91"/>
      <c r="C1236" s="36"/>
      <c r="D1236" s="91"/>
      <c r="E1236" s="91"/>
      <c r="F1236" s="80"/>
      <c r="G1236" s="91"/>
      <c r="H1236" s="91"/>
    </row>
    <row r="1237" spans="2:8">
      <c r="B1237" s="91"/>
      <c r="C1237" s="36"/>
      <c r="D1237" s="91"/>
      <c r="E1237" s="91"/>
      <c r="F1237" s="80"/>
      <c r="G1237" s="91"/>
      <c r="H1237" s="91"/>
    </row>
    <row r="1238" spans="2:8">
      <c r="B1238" s="91"/>
      <c r="C1238" s="36"/>
      <c r="D1238" s="91"/>
      <c r="E1238" s="91"/>
      <c r="F1238" s="80"/>
      <c r="G1238" s="91"/>
      <c r="H1238" s="91"/>
    </row>
    <row r="1239" spans="2:8">
      <c r="B1239" s="91"/>
      <c r="C1239" s="36"/>
      <c r="D1239" s="91"/>
      <c r="E1239" s="91"/>
      <c r="F1239" s="80"/>
      <c r="G1239" s="91"/>
      <c r="H1239" s="91"/>
    </row>
    <row r="1240" spans="2:8">
      <c r="B1240" s="91"/>
      <c r="C1240" s="36"/>
      <c r="D1240" s="91"/>
      <c r="E1240" s="91"/>
      <c r="F1240" s="80"/>
      <c r="G1240" s="91"/>
      <c r="H1240" s="91"/>
    </row>
    <row r="1241" spans="2:8">
      <c r="B1241" s="91"/>
      <c r="C1241" s="36"/>
      <c r="D1241" s="91"/>
      <c r="E1241" s="91"/>
      <c r="F1241" s="80"/>
      <c r="G1241" s="91"/>
      <c r="H1241" s="91"/>
    </row>
    <row r="1242" spans="2:8">
      <c r="B1242" s="91"/>
      <c r="C1242" s="36"/>
      <c r="D1242" s="91"/>
      <c r="E1242" s="91"/>
      <c r="F1242" s="80"/>
      <c r="G1242" s="91"/>
      <c r="H1242" s="91"/>
    </row>
    <row r="1243" spans="2:8">
      <c r="B1243" s="91"/>
      <c r="C1243" s="36"/>
      <c r="D1243" s="91"/>
      <c r="E1243" s="91"/>
      <c r="F1243" s="80"/>
      <c r="G1243" s="91"/>
      <c r="H1243" s="91"/>
    </row>
    <row r="1244" spans="2:8">
      <c r="B1244" s="91"/>
      <c r="C1244" s="36"/>
      <c r="D1244" s="91"/>
      <c r="E1244" s="91"/>
      <c r="F1244" s="80"/>
      <c r="G1244" s="91"/>
      <c r="H1244" s="91"/>
    </row>
    <row r="1245" spans="2:8">
      <c r="B1245" s="91"/>
      <c r="C1245" s="36"/>
      <c r="D1245" s="91"/>
      <c r="E1245" s="91"/>
      <c r="F1245" s="80"/>
      <c r="G1245" s="91"/>
      <c r="H1245" s="91"/>
    </row>
    <row r="1246" spans="2:8">
      <c r="B1246" s="91"/>
      <c r="C1246" s="36"/>
      <c r="D1246" s="91"/>
      <c r="E1246" s="91"/>
      <c r="F1246" s="80"/>
      <c r="G1246" s="91"/>
      <c r="H1246" s="91"/>
    </row>
    <row r="1247" spans="2:8">
      <c r="B1247" s="91"/>
      <c r="C1247" s="36"/>
      <c r="D1247" s="91"/>
      <c r="E1247" s="91"/>
      <c r="F1247" s="80"/>
      <c r="G1247" s="91"/>
      <c r="H1247" s="91"/>
    </row>
    <row r="1248" spans="2:8">
      <c r="B1248" s="91"/>
      <c r="C1248" s="36"/>
      <c r="D1248" s="91"/>
      <c r="E1248" s="91"/>
      <c r="F1248" s="80"/>
      <c r="G1248" s="91"/>
      <c r="H1248" s="91"/>
    </row>
    <row r="1249" spans="2:8">
      <c r="B1249" s="91"/>
      <c r="C1249" s="36"/>
      <c r="D1249" s="91"/>
      <c r="E1249" s="91"/>
      <c r="F1249" s="80"/>
      <c r="G1249" s="91"/>
      <c r="H1249" s="91"/>
    </row>
    <row r="1250" spans="2:8">
      <c r="B1250" s="91"/>
      <c r="C1250" s="36"/>
      <c r="D1250" s="91"/>
      <c r="E1250" s="91"/>
      <c r="F1250" s="80"/>
      <c r="G1250" s="91"/>
      <c r="H1250" s="91"/>
    </row>
    <row r="1251" spans="2:8">
      <c r="B1251" s="91"/>
      <c r="C1251" s="36"/>
      <c r="D1251" s="91"/>
      <c r="E1251" s="91"/>
      <c r="F1251" s="80"/>
      <c r="G1251" s="91"/>
      <c r="H1251" s="91"/>
    </row>
    <row r="1252" spans="2:8">
      <c r="B1252" s="91"/>
      <c r="C1252" s="36"/>
      <c r="D1252" s="91"/>
      <c r="E1252" s="91"/>
      <c r="F1252" s="80"/>
      <c r="G1252" s="91"/>
      <c r="H1252" s="91"/>
    </row>
    <row r="1253" spans="2:8">
      <c r="B1253" s="91"/>
      <c r="C1253" s="36"/>
      <c r="D1253" s="91"/>
      <c r="E1253" s="91"/>
      <c r="F1253" s="80"/>
      <c r="G1253" s="91"/>
      <c r="H1253" s="91"/>
    </row>
    <row r="1254" spans="2:8">
      <c r="B1254" s="91"/>
      <c r="C1254" s="36"/>
      <c r="D1254" s="91"/>
      <c r="E1254" s="91"/>
      <c r="F1254" s="80"/>
      <c r="G1254" s="91"/>
      <c r="H1254" s="91"/>
    </row>
    <row r="1255" spans="2:8">
      <c r="B1255" s="91"/>
      <c r="C1255" s="36"/>
      <c r="D1255" s="91"/>
      <c r="E1255" s="91"/>
      <c r="F1255" s="80"/>
      <c r="G1255" s="91"/>
      <c r="H1255" s="91"/>
    </row>
    <row r="1256" spans="2:8">
      <c r="B1256" s="91"/>
      <c r="C1256" s="36"/>
      <c r="D1256" s="91"/>
      <c r="E1256" s="91"/>
      <c r="F1256" s="80"/>
      <c r="G1256" s="91"/>
      <c r="H1256" s="91"/>
    </row>
    <row r="1257" spans="2:8">
      <c r="B1257" s="91"/>
      <c r="C1257" s="36"/>
      <c r="D1257" s="91"/>
      <c r="E1257" s="91"/>
      <c r="F1257" s="80"/>
      <c r="G1257" s="91"/>
      <c r="H1257" s="91"/>
    </row>
    <row r="1258" spans="2:8">
      <c r="B1258" s="91"/>
      <c r="C1258" s="36"/>
      <c r="D1258" s="91"/>
      <c r="E1258" s="91"/>
      <c r="F1258" s="80"/>
      <c r="G1258" s="91"/>
      <c r="H1258" s="91"/>
    </row>
    <row r="1259" spans="2:8">
      <c r="B1259" s="91"/>
      <c r="C1259" s="36"/>
      <c r="D1259" s="91"/>
      <c r="E1259" s="91"/>
      <c r="F1259" s="80"/>
      <c r="G1259" s="91"/>
      <c r="H1259" s="91"/>
    </row>
    <row r="1260" spans="2:8">
      <c r="B1260" s="91"/>
      <c r="C1260" s="36"/>
      <c r="D1260" s="91"/>
      <c r="E1260" s="91"/>
      <c r="F1260" s="80"/>
      <c r="G1260" s="91"/>
      <c r="H1260" s="91"/>
    </row>
    <row r="1261" spans="2:8">
      <c r="B1261" s="91"/>
      <c r="C1261" s="36"/>
      <c r="D1261" s="91"/>
      <c r="E1261" s="91"/>
      <c r="F1261" s="80"/>
      <c r="G1261" s="91"/>
      <c r="H1261" s="91"/>
    </row>
    <row r="1262" spans="2:8">
      <c r="B1262" s="91"/>
      <c r="C1262" s="36"/>
      <c r="D1262" s="91"/>
      <c r="E1262" s="91"/>
      <c r="F1262" s="80"/>
      <c r="G1262" s="91"/>
      <c r="H1262" s="91"/>
    </row>
    <row r="1263" spans="2:8">
      <c r="B1263" s="91"/>
      <c r="C1263" s="36"/>
      <c r="D1263" s="91"/>
      <c r="E1263" s="91"/>
      <c r="F1263" s="80"/>
      <c r="G1263" s="91"/>
      <c r="H1263" s="91"/>
    </row>
    <row r="1264" spans="2:8">
      <c r="B1264" s="91"/>
      <c r="C1264" s="36"/>
      <c r="D1264" s="91"/>
      <c r="E1264" s="91"/>
      <c r="F1264" s="80"/>
      <c r="G1264" s="91"/>
      <c r="H1264" s="91"/>
    </row>
    <row r="1265" spans="2:8">
      <c r="B1265" s="91"/>
      <c r="C1265" s="36"/>
      <c r="D1265" s="91"/>
      <c r="E1265" s="91"/>
      <c r="F1265" s="80"/>
      <c r="G1265" s="91"/>
      <c r="H1265" s="91"/>
    </row>
    <row r="1266" spans="2:8">
      <c r="B1266" s="91"/>
      <c r="C1266" s="36"/>
      <c r="D1266" s="91"/>
      <c r="E1266" s="91"/>
      <c r="F1266" s="80"/>
      <c r="G1266" s="91"/>
      <c r="H1266" s="91"/>
    </row>
    <row r="1267" spans="2:8">
      <c r="B1267" s="91"/>
      <c r="C1267" s="36"/>
      <c r="D1267" s="91"/>
      <c r="E1267" s="91"/>
      <c r="F1267" s="80"/>
      <c r="G1267" s="91"/>
      <c r="H1267" s="91"/>
    </row>
    <row r="1268" spans="2:8">
      <c r="B1268" s="91"/>
      <c r="C1268" s="36"/>
      <c r="D1268" s="91"/>
      <c r="E1268" s="91"/>
      <c r="F1268" s="80"/>
      <c r="G1268" s="91"/>
      <c r="H1268" s="91"/>
    </row>
    <row r="1269" spans="2:8">
      <c r="B1269" s="91"/>
      <c r="C1269" s="36"/>
      <c r="D1269" s="91"/>
      <c r="E1269" s="91"/>
      <c r="F1269" s="80"/>
      <c r="G1269" s="91"/>
      <c r="H1269" s="91"/>
    </row>
    <row r="1270" spans="2:8">
      <c r="B1270" s="91"/>
      <c r="C1270" s="36"/>
      <c r="D1270" s="91"/>
      <c r="E1270" s="91"/>
      <c r="F1270" s="80"/>
      <c r="G1270" s="91"/>
      <c r="H1270" s="91"/>
    </row>
    <row r="1271" spans="2:8">
      <c r="B1271" s="91"/>
      <c r="C1271" s="36"/>
      <c r="D1271" s="91"/>
      <c r="E1271" s="91"/>
      <c r="F1271" s="80"/>
      <c r="G1271" s="91"/>
      <c r="H1271" s="91"/>
    </row>
    <row r="1272" spans="2:8">
      <c r="B1272" s="91"/>
      <c r="C1272" s="36"/>
      <c r="D1272" s="91"/>
      <c r="E1272" s="91"/>
      <c r="F1272" s="80"/>
      <c r="G1272" s="91"/>
      <c r="H1272" s="91"/>
    </row>
    <row r="1273" spans="2:8">
      <c r="B1273" s="91"/>
      <c r="C1273" s="36"/>
      <c r="D1273" s="91"/>
      <c r="E1273" s="91"/>
      <c r="F1273" s="80"/>
      <c r="G1273" s="91"/>
      <c r="H1273" s="91"/>
    </row>
    <row r="1274" spans="2:8">
      <c r="B1274" s="91"/>
      <c r="C1274" s="36"/>
      <c r="D1274" s="91"/>
      <c r="E1274" s="91"/>
      <c r="F1274" s="80"/>
      <c r="G1274" s="91"/>
      <c r="H1274" s="91"/>
    </row>
    <row r="1275" spans="2:8">
      <c r="B1275" s="91"/>
      <c r="C1275" s="36"/>
      <c r="D1275" s="91"/>
      <c r="E1275" s="91"/>
      <c r="F1275" s="80"/>
      <c r="G1275" s="91"/>
      <c r="H1275" s="91"/>
    </row>
    <row r="1276" spans="2:8">
      <c r="B1276" s="91"/>
      <c r="C1276" s="36"/>
      <c r="D1276" s="91"/>
      <c r="E1276" s="91"/>
      <c r="F1276" s="80"/>
      <c r="G1276" s="91"/>
      <c r="H1276" s="91"/>
    </row>
    <row r="1277" spans="2:8">
      <c r="B1277" s="91"/>
      <c r="C1277" s="36"/>
      <c r="D1277" s="91"/>
      <c r="E1277" s="91"/>
      <c r="F1277" s="80"/>
      <c r="G1277" s="91"/>
      <c r="H1277" s="91"/>
    </row>
    <row r="1278" spans="2:8">
      <c r="B1278" s="91"/>
      <c r="C1278" s="36"/>
      <c r="D1278" s="91"/>
      <c r="E1278" s="91"/>
      <c r="F1278" s="80"/>
      <c r="G1278" s="91"/>
      <c r="H1278" s="91"/>
    </row>
    <row r="1279" spans="2:8">
      <c r="B1279" s="91"/>
      <c r="C1279" s="36"/>
      <c r="D1279" s="91"/>
      <c r="E1279" s="91"/>
      <c r="F1279" s="80"/>
      <c r="G1279" s="91"/>
      <c r="H1279" s="91"/>
    </row>
    <row r="1280" spans="2:8">
      <c r="B1280" s="91"/>
      <c r="C1280" s="36"/>
      <c r="D1280" s="91"/>
      <c r="E1280" s="91"/>
      <c r="F1280" s="80"/>
      <c r="G1280" s="91"/>
      <c r="H1280" s="91"/>
    </row>
    <row r="1281" spans="2:8">
      <c r="B1281" s="91"/>
      <c r="C1281" s="36"/>
      <c r="D1281" s="91"/>
      <c r="E1281" s="91"/>
      <c r="F1281" s="80"/>
      <c r="G1281" s="91"/>
      <c r="H1281" s="91"/>
    </row>
    <row r="1282" spans="2:8">
      <c r="B1282" s="91"/>
      <c r="C1282" s="36"/>
      <c r="D1282" s="91"/>
      <c r="E1282" s="91"/>
      <c r="F1282" s="80"/>
      <c r="G1282" s="91"/>
      <c r="H1282" s="91"/>
    </row>
    <row r="1283" spans="2:8">
      <c r="B1283" s="91"/>
      <c r="C1283" s="36"/>
      <c r="D1283" s="91"/>
      <c r="E1283" s="91"/>
      <c r="F1283" s="80"/>
      <c r="G1283" s="91"/>
      <c r="H1283" s="91"/>
    </row>
    <row r="1284" spans="2:8">
      <c r="B1284" s="91"/>
      <c r="C1284" s="36"/>
      <c r="D1284" s="91"/>
      <c r="E1284" s="91"/>
      <c r="F1284" s="80"/>
      <c r="G1284" s="91"/>
      <c r="H1284" s="91"/>
    </row>
    <row r="1285" spans="2:8">
      <c r="B1285" s="91"/>
      <c r="C1285" s="36"/>
      <c r="D1285" s="91"/>
      <c r="E1285" s="91"/>
      <c r="F1285" s="80"/>
      <c r="G1285" s="91"/>
      <c r="H1285" s="91"/>
    </row>
    <row r="1286" spans="2:8">
      <c r="B1286" s="91"/>
      <c r="C1286" s="36"/>
      <c r="D1286" s="91"/>
      <c r="E1286" s="91"/>
      <c r="F1286" s="80"/>
      <c r="G1286" s="91"/>
      <c r="H1286" s="91"/>
    </row>
    <row r="1287" spans="2:8">
      <c r="B1287" s="91"/>
      <c r="C1287" s="36"/>
      <c r="D1287" s="91"/>
      <c r="E1287" s="91"/>
      <c r="F1287" s="80"/>
      <c r="G1287" s="91"/>
      <c r="H1287" s="91"/>
    </row>
    <row r="1288" spans="2:8">
      <c r="B1288" s="91"/>
      <c r="C1288" s="36"/>
      <c r="D1288" s="91"/>
      <c r="E1288" s="91"/>
      <c r="F1288" s="80"/>
      <c r="G1288" s="91"/>
      <c r="H1288" s="91"/>
    </row>
    <row r="1289" spans="2:8">
      <c r="B1289" s="91"/>
      <c r="C1289" s="36"/>
      <c r="D1289" s="91"/>
      <c r="E1289" s="91"/>
      <c r="F1289" s="80"/>
      <c r="G1289" s="91"/>
      <c r="H1289" s="91"/>
    </row>
    <row r="1290" spans="2:8">
      <c r="B1290" s="91"/>
      <c r="C1290" s="36"/>
      <c r="D1290" s="91"/>
      <c r="E1290" s="91"/>
      <c r="F1290" s="80"/>
      <c r="G1290" s="91"/>
      <c r="H1290" s="91"/>
    </row>
    <row r="1291" spans="2:8">
      <c r="B1291" s="91"/>
      <c r="C1291" s="36"/>
      <c r="D1291" s="91"/>
      <c r="E1291" s="91"/>
      <c r="F1291" s="80"/>
      <c r="G1291" s="91"/>
      <c r="H1291" s="91"/>
    </row>
    <row r="1292" spans="2:8">
      <c r="B1292" s="91"/>
      <c r="C1292" s="36"/>
      <c r="D1292" s="91"/>
      <c r="E1292" s="91"/>
      <c r="F1292" s="80"/>
      <c r="G1292" s="91"/>
      <c r="H1292" s="91"/>
    </row>
    <row r="1293" spans="2:8">
      <c r="B1293" s="91"/>
      <c r="C1293" s="36"/>
      <c r="D1293" s="91"/>
      <c r="E1293" s="91"/>
      <c r="F1293" s="80"/>
      <c r="G1293" s="91"/>
      <c r="H1293" s="91"/>
    </row>
    <row r="1294" spans="2:8">
      <c r="B1294" s="91"/>
      <c r="C1294" s="36"/>
      <c r="D1294" s="91"/>
      <c r="E1294" s="91"/>
      <c r="F1294" s="80"/>
      <c r="G1294" s="91"/>
      <c r="H1294" s="91"/>
    </row>
    <row r="1295" spans="2:8">
      <c r="B1295" s="91"/>
      <c r="C1295" s="36"/>
      <c r="D1295" s="91"/>
      <c r="E1295" s="91"/>
      <c r="F1295" s="80"/>
      <c r="G1295" s="91"/>
      <c r="H1295" s="91"/>
    </row>
    <row r="1296" spans="2:8">
      <c r="B1296" s="91"/>
      <c r="C1296" s="36"/>
      <c r="D1296" s="91"/>
      <c r="E1296" s="91"/>
      <c r="F1296" s="80"/>
      <c r="G1296" s="91"/>
      <c r="H1296" s="91"/>
    </row>
    <row r="1297" spans="2:8">
      <c r="B1297" s="91"/>
      <c r="C1297" s="36"/>
      <c r="D1297" s="91"/>
      <c r="E1297" s="91"/>
      <c r="F1297" s="80"/>
      <c r="G1297" s="91"/>
      <c r="H1297" s="91"/>
    </row>
    <row r="1298" spans="2:8">
      <c r="B1298" s="91"/>
      <c r="C1298" s="36"/>
      <c r="D1298" s="91"/>
      <c r="E1298" s="91"/>
      <c r="F1298" s="80"/>
      <c r="G1298" s="91"/>
      <c r="H1298" s="91"/>
    </row>
    <row r="1299" spans="2:8">
      <c r="B1299" s="91"/>
      <c r="C1299" s="36"/>
      <c r="D1299" s="91"/>
      <c r="E1299" s="91"/>
      <c r="F1299" s="80"/>
      <c r="G1299" s="91"/>
      <c r="H1299" s="91"/>
    </row>
    <row r="1300" spans="2:8">
      <c r="B1300" s="91"/>
      <c r="C1300" s="36"/>
      <c r="D1300" s="91"/>
      <c r="E1300" s="91"/>
      <c r="F1300" s="80"/>
      <c r="G1300" s="91"/>
      <c r="H1300" s="91"/>
    </row>
    <row r="1301" spans="2:8">
      <c r="B1301" s="91"/>
      <c r="C1301" s="36"/>
      <c r="D1301" s="91"/>
      <c r="E1301" s="91"/>
      <c r="F1301" s="80"/>
      <c r="G1301" s="91"/>
      <c r="H1301" s="91"/>
    </row>
    <row r="1302" spans="2:8">
      <c r="B1302" s="91"/>
      <c r="C1302" s="36"/>
      <c r="D1302" s="91"/>
      <c r="E1302" s="91"/>
      <c r="F1302" s="80"/>
      <c r="G1302" s="91"/>
      <c r="H1302" s="91"/>
    </row>
    <row r="1303" spans="2:8">
      <c r="B1303" s="91"/>
      <c r="C1303" s="36"/>
      <c r="D1303" s="91"/>
      <c r="E1303" s="91"/>
      <c r="F1303" s="80"/>
      <c r="G1303" s="91"/>
      <c r="H1303" s="91"/>
    </row>
    <row r="1304" spans="2:8">
      <c r="B1304" s="91"/>
      <c r="C1304" s="36"/>
      <c r="D1304" s="91"/>
      <c r="E1304" s="91"/>
      <c r="F1304" s="80"/>
      <c r="G1304" s="91"/>
      <c r="H1304" s="91"/>
    </row>
    <row r="1305" spans="2:8">
      <c r="B1305" s="91"/>
      <c r="C1305" s="36"/>
      <c r="D1305" s="91"/>
      <c r="E1305" s="91"/>
      <c r="F1305" s="80"/>
      <c r="G1305" s="91"/>
      <c r="H1305" s="91"/>
    </row>
    <row r="1306" spans="2:8">
      <c r="B1306" s="91"/>
      <c r="C1306" s="36"/>
      <c r="D1306" s="91"/>
      <c r="E1306" s="91"/>
      <c r="F1306" s="80"/>
      <c r="G1306" s="91"/>
      <c r="H1306" s="91"/>
    </row>
    <row r="1307" spans="2:8">
      <c r="B1307" s="91"/>
      <c r="C1307" s="36"/>
      <c r="D1307" s="91"/>
      <c r="E1307" s="91"/>
      <c r="F1307" s="80"/>
      <c r="G1307" s="91"/>
      <c r="H1307" s="91"/>
    </row>
    <row r="1308" spans="2:8">
      <c r="B1308" s="91"/>
      <c r="C1308" s="36"/>
      <c r="D1308" s="91"/>
      <c r="E1308" s="91"/>
      <c r="F1308" s="80"/>
      <c r="G1308" s="91"/>
      <c r="H1308" s="91"/>
    </row>
    <row r="1309" spans="2:8">
      <c r="B1309" s="91"/>
      <c r="C1309" s="36"/>
      <c r="D1309" s="91"/>
      <c r="E1309" s="91"/>
      <c r="F1309" s="80"/>
      <c r="G1309" s="91"/>
      <c r="H1309" s="91"/>
    </row>
    <row r="1310" spans="2:8">
      <c r="B1310" s="91"/>
      <c r="C1310" s="36"/>
      <c r="D1310" s="91"/>
      <c r="E1310" s="91"/>
      <c r="F1310" s="80"/>
      <c r="G1310" s="91"/>
      <c r="H1310" s="91"/>
    </row>
    <row r="1311" spans="2:8">
      <c r="B1311" s="91"/>
      <c r="C1311" s="36"/>
      <c r="D1311" s="91"/>
      <c r="E1311" s="91"/>
      <c r="F1311" s="80"/>
      <c r="G1311" s="91"/>
      <c r="H1311" s="91"/>
    </row>
    <row r="1312" spans="2:8">
      <c r="B1312" s="91"/>
      <c r="C1312" s="36"/>
      <c r="D1312" s="91"/>
      <c r="E1312" s="91"/>
      <c r="F1312" s="80"/>
      <c r="G1312" s="91"/>
      <c r="H1312" s="91"/>
    </row>
    <row r="1313" spans="2:8">
      <c r="B1313" s="91"/>
      <c r="C1313" s="36"/>
      <c r="D1313" s="91"/>
      <c r="E1313" s="91"/>
      <c r="F1313" s="80"/>
      <c r="G1313" s="91"/>
      <c r="H1313" s="91"/>
    </row>
    <row r="1314" spans="2:8">
      <c r="B1314" s="91"/>
      <c r="C1314" s="36"/>
      <c r="D1314" s="91"/>
      <c r="E1314" s="91"/>
      <c r="F1314" s="80"/>
      <c r="G1314" s="91"/>
      <c r="H1314" s="91"/>
    </row>
    <row r="1315" spans="2:8">
      <c r="B1315" s="91"/>
      <c r="C1315" s="36"/>
      <c r="D1315" s="91"/>
      <c r="E1315" s="91"/>
      <c r="F1315" s="80"/>
      <c r="G1315" s="91"/>
      <c r="H1315" s="91"/>
    </row>
    <row r="1316" spans="2:8">
      <c r="B1316" s="91"/>
      <c r="C1316" s="36"/>
      <c r="D1316" s="91"/>
      <c r="E1316" s="91"/>
      <c r="F1316" s="80"/>
      <c r="G1316" s="91"/>
      <c r="H1316" s="91"/>
    </row>
    <row r="1317" spans="2:8">
      <c r="B1317" s="91"/>
      <c r="C1317" s="36"/>
      <c r="D1317" s="91"/>
      <c r="E1317" s="91"/>
      <c r="F1317" s="80"/>
      <c r="G1317" s="91"/>
      <c r="H1317" s="91"/>
    </row>
    <row r="1318" spans="2:8">
      <c r="B1318" s="91"/>
      <c r="C1318" s="36"/>
      <c r="D1318" s="91"/>
      <c r="E1318" s="91"/>
      <c r="F1318" s="80"/>
      <c r="G1318" s="91"/>
      <c r="H1318" s="91"/>
    </row>
    <row r="1319" spans="2:8">
      <c r="B1319" s="91"/>
      <c r="C1319" s="36"/>
      <c r="D1319" s="91"/>
      <c r="E1319" s="91"/>
      <c r="F1319" s="80"/>
      <c r="G1319" s="91"/>
      <c r="H1319" s="91"/>
    </row>
    <row r="1320" spans="2:8">
      <c r="B1320" s="91"/>
      <c r="C1320" s="36"/>
      <c r="D1320" s="91"/>
      <c r="E1320" s="91"/>
      <c r="F1320" s="80"/>
      <c r="G1320" s="91"/>
      <c r="H1320" s="91"/>
    </row>
    <row r="1321" spans="2:8">
      <c r="B1321" s="91"/>
      <c r="C1321" s="36"/>
      <c r="D1321" s="91"/>
      <c r="E1321" s="91"/>
      <c r="F1321" s="80"/>
      <c r="G1321" s="91"/>
      <c r="H1321" s="91"/>
    </row>
    <row r="1322" spans="2:8">
      <c r="B1322" s="91"/>
      <c r="C1322" s="36"/>
      <c r="D1322" s="91"/>
      <c r="E1322" s="91"/>
      <c r="F1322" s="80"/>
      <c r="G1322" s="91"/>
      <c r="H1322" s="91"/>
    </row>
    <row r="1323" spans="2:8">
      <c r="B1323" s="91"/>
      <c r="C1323" s="36"/>
      <c r="D1323" s="91"/>
      <c r="E1323" s="91"/>
      <c r="F1323" s="80"/>
      <c r="G1323" s="91"/>
      <c r="H1323" s="91"/>
    </row>
    <row r="1324" spans="2:8">
      <c r="B1324" s="91"/>
      <c r="C1324" s="36"/>
      <c r="D1324" s="91"/>
      <c r="E1324" s="91"/>
      <c r="F1324" s="80"/>
      <c r="G1324" s="91"/>
      <c r="H1324" s="91"/>
    </row>
    <row r="1325" spans="2:8">
      <c r="B1325" s="91"/>
      <c r="C1325" s="36"/>
      <c r="D1325" s="91"/>
      <c r="E1325" s="91"/>
      <c r="F1325" s="80"/>
      <c r="G1325" s="91"/>
      <c r="H1325" s="91"/>
    </row>
    <row r="1326" spans="2:8">
      <c r="B1326" s="91"/>
      <c r="C1326" s="36"/>
      <c r="D1326" s="91"/>
      <c r="E1326" s="91"/>
      <c r="F1326" s="80"/>
      <c r="G1326" s="91"/>
      <c r="H1326" s="91"/>
    </row>
    <row r="1327" spans="2:8">
      <c r="B1327" s="91"/>
      <c r="C1327" s="36"/>
      <c r="D1327" s="91"/>
      <c r="E1327" s="91"/>
      <c r="F1327" s="80"/>
      <c r="G1327" s="91"/>
      <c r="H1327" s="91"/>
    </row>
    <row r="1328" spans="2:8">
      <c r="B1328" s="91"/>
      <c r="C1328" s="36"/>
      <c r="D1328" s="91"/>
      <c r="E1328" s="91"/>
      <c r="F1328" s="80"/>
      <c r="G1328" s="91"/>
      <c r="H1328" s="91"/>
    </row>
    <row r="1329" spans="2:8">
      <c r="B1329" s="91"/>
      <c r="C1329" s="36"/>
      <c r="D1329" s="91"/>
      <c r="E1329" s="91"/>
      <c r="F1329" s="80"/>
      <c r="G1329" s="91"/>
      <c r="H1329" s="91"/>
    </row>
    <row r="1330" spans="2:8">
      <c r="B1330" s="91"/>
      <c r="C1330" s="36"/>
      <c r="D1330" s="91"/>
      <c r="E1330" s="91"/>
      <c r="F1330" s="80"/>
      <c r="G1330" s="91"/>
      <c r="H1330" s="91"/>
    </row>
    <row r="1331" spans="2:8">
      <c r="B1331" s="91"/>
      <c r="C1331" s="36"/>
      <c r="D1331" s="91"/>
      <c r="E1331" s="91"/>
      <c r="F1331" s="80"/>
      <c r="G1331" s="91"/>
      <c r="H1331" s="91"/>
    </row>
    <row r="1332" spans="2:8">
      <c r="B1332" s="91"/>
      <c r="C1332" s="36"/>
      <c r="D1332" s="91"/>
      <c r="E1332" s="91"/>
      <c r="F1332" s="80"/>
      <c r="G1332" s="91"/>
      <c r="H1332" s="91"/>
    </row>
    <row r="1333" spans="2:8">
      <c r="B1333" s="91"/>
      <c r="C1333" s="36"/>
      <c r="D1333" s="91"/>
      <c r="E1333" s="91"/>
      <c r="F1333" s="80"/>
      <c r="G1333" s="91"/>
      <c r="H1333" s="91"/>
    </row>
    <row r="1334" spans="2:8">
      <c r="B1334" s="91"/>
      <c r="C1334" s="36"/>
      <c r="D1334" s="91"/>
      <c r="E1334" s="91"/>
      <c r="F1334" s="80"/>
      <c r="G1334" s="91"/>
      <c r="H1334" s="91"/>
    </row>
    <row r="1335" spans="2:8">
      <c r="B1335" s="91"/>
      <c r="C1335" s="36"/>
      <c r="D1335" s="91"/>
      <c r="E1335" s="91"/>
      <c r="F1335" s="80"/>
      <c r="G1335" s="91"/>
      <c r="H1335" s="91"/>
    </row>
    <row r="1336" spans="2:8">
      <c r="B1336" s="91"/>
      <c r="C1336" s="36"/>
      <c r="D1336" s="91"/>
      <c r="E1336" s="91"/>
      <c r="F1336" s="80"/>
      <c r="G1336" s="91"/>
      <c r="H1336" s="91"/>
    </row>
    <row r="1337" spans="2:8">
      <c r="B1337" s="91"/>
      <c r="C1337" s="36"/>
      <c r="D1337" s="91"/>
      <c r="E1337" s="91"/>
      <c r="F1337" s="80"/>
      <c r="G1337" s="91"/>
      <c r="H1337" s="91"/>
    </row>
    <row r="1338" spans="2:8">
      <c r="B1338" s="91"/>
      <c r="C1338" s="36"/>
      <c r="D1338" s="91"/>
      <c r="E1338" s="91"/>
      <c r="F1338" s="80"/>
      <c r="G1338" s="91"/>
      <c r="H1338" s="91"/>
    </row>
    <row r="1339" spans="2:8">
      <c r="B1339" s="91"/>
      <c r="C1339" s="36"/>
      <c r="D1339" s="91"/>
      <c r="E1339" s="91"/>
      <c r="F1339" s="80"/>
      <c r="G1339" s="91"/>
      <c r="H1339" s="91"/>
    </row>
    <row r="1340" spans="2:8">
      <c r="B1340" s="91"/>
      <c r="C1340" s="36"/>
      <c r="D1340" s="91"/>
      <c r="E1340" s="91"/>
      <c r="F1340" s="80"/>
      <c r="G1340" s="91"/>
      <c r="H1340" s="91"/>
    </row>
    <row r="1341" spans="2:8">
      <c r="B1341" s="91"/>
      <c r="C1341" s="36"/>
      <c r="D1341" s="91"/>
      <c r="E1341" s="91"/>
      <c r="F1341" s="80"/>
      <c r="G1341" s="91"/>
      <c r="H1341" s="91"/>
    </row>
    <row r="1342" spans="2:8">
      <c r="B1342" s="91"/>
      <c r="C1342" s="36"/>
      <c r="D1342" s="91"/>
      <c r="E1342" s="91"/>
      <c r="F1342" s="80"/>
      <c r="G1342" s="91"/>
      <c r="H1342" s="91"/>
    </row>
    <row r="1343" spans="2:8">
      <c r="B1343" s="91"/>
      <c r="C1343" s="36"/>
      <c r="D1343" s="91"/>
      <c r="E1343" s="91"/>
      <c r="F1343" s="80"/>
      <c r="G1343" s="91"/>
      <c r="H1343" s="91"/>
    </row>
    <row r="1344" spans="2:8">
      <c r="B1344" s="91"/>
      <c r="C1344" s="36"/>
      <c r="D1344" s="91"/>
      <c r="E1344" s="91"/>
      <c r="F1344" s="80"/>
      <c r="G1344" s="91"/>
      <c r="H1344" s="91"/>
    </row>
    <row r="1345" spans="2:8">
      <c r="B1345" s="91"/>
      <c r="C1345" s="36"/>
      <c r="D1345" s="91"/>
      <c r="E1345" s="91"/>
      <c r="F1345" s="80"/>
      <c r="G1345" s="91"/>
      <c r="H1345" s="91"/>
    </row>
    <row r="1346" spans="2:8">
      <c r="B1346" s="91"/>
      <c r="C1346" s="36"/>
      <c r="D1346" s="91"/>
      <c r="E1346" s="91"/>
      <c r="F1346" s="80"/>
      <c r="G1346" s="91"/>
      <c r="H1346" s="91"/>
    </row>
    <row r="1347" spans="2:8">
      <c r="B1347" s="91"/>
      <c r="C1347" s="36"/>
      <c r="D1347" s="91"/>
      <c r="E1347" s="91"/>
      <c r="F1347" s="80"/>
      <c r="G1347" s="91"/>
      <c r="H1347" s="91"/>
    </row>
    <row r="1348" spans="2:8">
      <c r="B1348" s="91"/>
      <c r="C1348" s="36"/>
      <c r="D1348" s="91"/>
      <c r="E1348" s="91"/>
      <c r="F1348" s="80"/>
      <c r="G1348" s="91"/>
      <c r="H1348" s="91"/>
    </row>
    <row r="1349" spans="2:8">
      <c r="B1349" s="91"/>
      <c r="C1349" s="36"/>
      <c r="D1349" s="91"/>
      <c r="E1349" s="91"/>
      <c r="F1349" s="80"/>
      <c r="G1349" s="91"/>
      <c r="H1349" s="91"/>
    </row>
    <row r="1350" spans="2:8">
      <c r="B1350" s="91"/>
      <c r="C1350" s="36"/>
      <c r="D1350" s="91"/>
      <c r="E1350" s="91"/>
      <c r="F1350" s="80"/>
      <c r="G1350" s="91"/>
      <c r="H1350" s="91"/>
    </row>
    <row r="1351" spans="2:8">
      <c r="B1351" s="91"/>
      <c r="C1351" s="36"/>
      <c r="D1351" s="91"/>
      <c r="E1351" s="91"/>
      <c r="F1351" s="80"/>
      <c r="G1351" s="91"/>
      <c r="H1351" s="91"/>
    </row>
    <row r="1352" spans="2:8">
      <c r="B1352" s="91"/>
      <c r="C1352" s="36"/>
      <c r="D1352" s="91"/>
      <c r="E1352" s="91"/>
      <c r="F1352" s="80"/>
      <c r="G1352" s="91"/>
      <c r="H1352" s="91"/>
    </row>
    <row r="1353" spans="2:8">
      <c r="B1353" s="91"/>
      <c r="C1353" s="36"/>
      <c r="D1353" s="91"/>
      <c r="E1353" s="91"/>
      <c r="F1353" s="80"/>
      <c r="G1353" s="91"/>
      <c r="H1353" s="91"/>
    </row>
    <row r="1354" spans="2:8">
      <c r="B1354" s="91"/>
      <c r="C1354" s="36"/>
      <c r="D1354" s="91"/>
      <c r="E1354" s="91"/>
      <c r="F1354" s="80"/>
      <c r="G1354" s="91"/>
      <c r="H1354" s="91"/>
    </row>
    <row r="1355" spans="2:8">
      <c r="B1355" s="91"/>
      <c r="C1355" s="36"/>
      <c r="D1355" s="91"/>
      <c r="E1355" s="91"/>
      <c r="F1355" s="80"/>
      <c r="G1355" s="91"/>
      <c r="H1355" s="91"/>
    </row>
    <row r="1356" spans="2:8">
      <c r="B1356" s="91"/>
      <c r="C1356" s="36"/>
      <c r="D1356" s="91"/>
      <c r="E1356" s="91"/>
      <c r="F1356" s="80"/>
      <c r="G1356" s="91"/>
      <c r="H1356" s="91"/>
    </row>
    <row r="1357" spans="2:8">
      <c r="B1357" s="91"/>
      <c r="C1357" s="36"/>
      <c r="D1357" s="91"/>
      <c r="E1357" s="91"/>
      <c r="F1357" s="80"/>
      <c r="G1357" s="91"/>
      <c r="H1357" s="91"/>
    </row>
    <row r="1358" spans="2:8">
      <c r="B1358" s="91"/>
      <c r="C1358" s="36"/>
      <c r="D1358" s="91"/>
      <c r="E1358" s="91"/>
      <c r="F1358" s="80"/>
      <c r="G1358" s="91"/>
      <c r="H1358" s="91"/>
    </row>
    <row r="1359" spans="2:8">
      <c r="B1359" s="91"/>
      <c r="C1359" s="36"/>
      <c r="D1359" s="91"/>
      <c r="E1359" s="91"/>
      <c r="F1359" s="80"/>
      <c r="G1359" s="91"/>
      <c r="H1359" s="91"/>
    </row>
    <row r="1360" spans="2:8">
      <c r="B1360" s="91"/>
      <c r="C1360" s="36"/>
      <c r="D1360" s="91"/>
      <c r="E1360" s="91"/>
      <c r="F1360" s="80"/>
      <c r="G1360" s="91"/>
      <c r="H1360" s="91"/>
    </row>
    <row r="1361" spans="2:8">
      <c r="B1361" s="91"/>
      <c r="C1361" s="36"/>
      <c r="D1361" s="91"/>
      <c r="E1361" s="91"/>
      <c r="F1361" s="80"/>
      <c r="G1361" s="91"/>
      <c r="H1361" s="91"/>
    </row>
    <row r="1362" spans="2:8">
      <c r="B1362" s="91"/>
      <c r="C1362" s="36"/>
      <c r="D1362" s="91"/>
      <c r="E1362" s="91"/>
      <c r="F1362" s="80"/>
      <c r="G1362" s="91"/>
      <c r="H1362" s="91"/>
    </row>
    <row r="1363" spans="2:8">
      <c r="B1363" s="91"/>
      <c r="C1363" s="36"/>
      <c r="D1363" s="91"/>
      <c r="E1363" s="91"/>
      <c r="F1363" s="80"/>
      <c r="G1363" s="91"/>
      <c r="H1363" s="91"/>
    </row>
    <row r="1364" spans="2:8">
      <c r="B1364" s="91"/>
      <c r="C1364" s="36"/>
      <c r="D1364" s="91"/>
      <c r="E1364" s="91"/>
      <c r="F1364" s="80"/>
      <c r="G1364" s="91"/>
      <c r="H1364" s="91"/>
    </row>
    <row r="1365" spans="2:8">
      <c r="B1365" s="91"/>
      <c r="C1365" s="36"/>
      <c r="D1365" s="91"/>
      <c r="E1365" s="91"/>
      <c r="F1365" s="80"/>
      <c r="G1365" s="91"/>
      <c r="H1365" s="91"/>
    </row>
    <row r="1366" spans="2:8">
      <c r="B1366" s="91"/>
      <c r="C1366" s="36"/>
      <c r="D1366" s="91"/>
      <c r="E1366" s="91"/>
      <c r="F1366" s="80"/>
      <c r="G1366" s="91"/>
      <c r="H1366" s="91"/>
    </row>
    <row r="1367" spans="2:8">
      <c r="B1367" s="91"/>
      <c r="C1367" s="36"/>
      <c r="D1367" s="91"/>
      <c r="E1367" s="91"/>
      <c r="F1367" s="80"/>
      <c r="G1367" s="91"/>
      <c r="H1367" s="91"/>
    </row>
    <row r="1368" spans="2:8">
      <c r="B1368" s="91"/>
      <c r="C1368" s="36"/>
      <c r="D1368" s="91"/>
      <c r="E1368" s="91"/>
      <c r="F1368" s="80"/>
      <c r="G1368" s="91"/>
      <c r="H1368" s="91"/>
    </row>
    <row r="1369" spans="2:8">
      <c r="B1369" s="91"/>
      <c r="C1369" s="36"/>
      <c r="D1369" s="91"/>
      <c r="E1369" s="91"/>
      <c r="F1369" s="80"/>
      <c r="G1369" s="91"/>
      <c r="H1369" s="91"/>
    </row>
    <row r="1370" spans="2:8">
      <c r="B1370" s="91"/>
      <c r="C1370" s="36"/>
      <c r="D1370" s="91"/>
      <c r="E1370" s="91"/>
      <c r="F1370" s="80"/>
      <c r="G1370" s="91"/>
      <c r="H1370" s="91"/>
    </row>
    <row r="1371" spans="2:8">
      <c r="B1371" s="91"/>
      <c r="C1371" s="36"/>
      <c r="D1371" s="91"/>
      <c r="E1371" s="91"/>
      <c r="F1371" s="80"/>
      <c r="G1371" s="91"/>
      <c r="H1371" s="91"/>
    </row>
    <row r="1372" spans="2:8">
      <c r="B1372" s="91"/>
      <c r="C1372" s="36"/>
      <c r="D1372" s="91"/>
      <c r="E1372" s="91"/>
      <c r="F1372" s="80"/>
      <c r="G1372" s="91"/>
      <c r="H1372" s="91"/>
    </row>
    <row r="1373" spans="2:8">
      <c r="B1373" s="91"/>
      <c r="C1373" s="36"/>
      <c r="D1373" s="91"/>
      <c r="E1373" s="91"/>
      <c r="F1373" s="80"/>
      <c r="G1373" s="91"/>
      <c r="H1373" s="91"/>
    </row>
    <row r="1374" spans="2:8">
      <c r="B1374" s="91"/>
      <c r="C1374" s="36"/>
      <c r="D1374" s="91"/>
      <c r="E1374" s="91"/>
      <c r="F1374" s="80"/>
      <c r="G1374" s="91"/>
      <c r="H1374" s="91"/>
    </row>
    <row r="1375" spans="2:8">
      <c r="B1375" s="91"/>
      <c r="C1375" s="36"/>
      <c r="D1375" s="91"/>
      <c r="E1375" s="91"/>
      <c r="F1375" s="80"/>
      <c r="G1375" s="91"/>
      <c r="H1375" s="91"/>
    </row>
    <row r="1376" spans="2:8">
      <c r="B1376" s="91"/>
      <c r="C1376" s="36"/>
      <c r="D1376" s="91"/>
      <c r="E1376" s="91"/>
      <c r="F1376" s="80"/>
      <c r="G1376" s="91"/>
      <c r="H1376" s="91"/>
    </row>
    <row r="1377" spans="2:8">
      <c r="B1377" s="91"/>
      <c r="C1377" s="36"/>
      <c r="D1377" s="91"/>
      <c r="E1377" s="91"/>
      <c r="F1377" s="80"/>
      <c r="G1377" s="91"/>
      <c r="H1377" s="91"/>
    </row>
    <row r="1378" spans="2:8">
      <c r="B1378" s="91"/>
      <c r="C1378" s="36"/>
      <c r="D1378" s="91"/>
      <c r="E1378" s="91"/>
      <c r="F1378" s="80"/>
      <c r="G1378" s="91"/>
      <c r="H1378" s="91"/>
    </row>
    <row r="1379" spans="2:8">
      <c r="B1379" s="91"/>
      <c r="C1379" s="36"/>
      <c r="D1379" s="91"/>
      <c r="E1379" s="91"/>
      <c r="F1379" s="80"/>
      <c r="G1379" s="91"/>
      <c r="H1379" s="91"/>
    </row>
    <row r="1380" spans="2:8">
      <c r="B1380" s="91"/>
      <c r="C1380" s="36"/>
      <c r="D1380" s="91"/>
      <c r="E1380" s="91"/>
      <c r="F1380" s="80"/>
      <c r="G1380" s="91"/>
      <c r="H1380" s="91"/>
    </row>
    <row r="1381" spans="2:8">
      <c r="B1381" s="91"/>
      <c r="C1381" s="36"/>
      <c r="D1381" s="91"/>
      <c r="E1381" s="91"/>
      <c r="F1381" s="80"/>
      <c r="G1381" s="91"/>
      <c r="H1381" s="91"/>
    </row>
    <row r="1382" spans="2:8">
      <c r="B1382" s="91"/>
      <c r="C1382" s="36"/>
      <c r="D1382" s="91"/>
      <c r="E1382" s="91"/>
      <c r="F1382" s="80"/>
      <c r="G1382" s="91"/>
      <c r="H1382" s="91"/>
    </row>
    <row r="1383" spans="2:8">
      <c r="B1383" s="91"/>
      <c r="C1383" s="36"/>
      <c r="D1383" s="91"/>
      <c r="E1383" s="91"/>
      <c r="F1383" s="80"/>
      <c r="G1383" s="91"/>
      <c r="H1383" s="91"/>
    </row>
    <row r="1384" spans="2:8">
      <c r="B1384" s="91"/>
      <c r="C1384" s="36"/>
      <c r="D1384" s="91"/>
      <c r="E1384" s="91"/>
      <c r="F1384" s="80"/>
      <c r="G1384" s="91"/>
      <c r="H1384" s="91"/>
    </row>
    <row r="1385" spans="2:8">
      <c r="B1385" s="91"/>
      <c r="C1385" s="36"/>
      <c r="D1385" s="91"/>
      <c r="E1385" s="91"/>
      <c r="F1385" s="80"/>
      <c r="G1385" s="91"/>
      <c r="H1385" s="91"/>
    </row>
    <row r="1386" spans="2:8">
      <c r="B1386" s="91"/>
      <c r="C1386" s="36"/>
      <c r="D1386" s="91"/>
      <c r="E1386" s="91"/>
      <c r="F1386" s="80"/>
      <c r="G1386" s="91"/>
      <c r="H1386" s="91"/>
    </row>
    <row r="1387" spans="2:8">
      <c r="B1387" s="91"/>
      <c r="C1387" s="36"/>
      <c r="D1387" s="91"/>
      <c r="E1387" s="91"/>
      <c r="F1387" s="80"/>
      <c r="G1387" s="91"/>
      <c r="H1387" s="91"/>
    </row>
    <row r="1388" spans="2:8">
      <c r="B1388" s="91"/>
      <c r="C1388" s="36"/>
      <c r="D1388" s="91"/>
      <c r="E1388" s="91"/>
      <c r="F1388" s="80"/>
      <c r="G1388" s="91"/>
      <c r="H1388" s="91"/>
    </row>
    <row r="1389" spans="2:8">
      <c r="B1389" s="91"/>
      <c r="C1389" s="36"/>
      <c r="D1389" s="91"/>
      <c r="E1389" s="91"/>
      <c r="F1389" s="80"/>
      <c r="G1389" s="91"/>
      <c r="H1389" s="91"/>
    </row>
    <row r="1390" spans="2:8">
      <c r="B1390" s="91"/>
      <c r="C1390" s="36"/>
      <c r="D1390" s="91"/>
      <c r="E1390" s="91"/>
      <c r="F1390" s="80"/>
      <c r="G1390" s="91"/>
      <c r="H1390" s="91"/>
    </row>
    <row r="1391" spans="2:8">
      <c r="B1391" s="91"/>
      <c r="C1391" s="36"/>
      <c r="D1391" s="91"/>
      <c r="E1391" s="91"/>
      <c r="F1391" s="80"/>
      <c r="G1391" s="91"/>
      <c r="H1391" s="91"/>
    </row>
    <row r="1392" spans="2:8">
      <c r="B1392" s="91"/>
      <c r="C1392" s="36"/>
      <c r="D1392" s="91"/>
      <c r="E1392" s="91"/>
      <c r="F1392" s="80"/>
      <c r="G1392" s="91"/>
      <c r="H1392" s="91"/>
    </row>
    <row r="1393" spans="2:8">
      <c r="B1393" s="91"/>
      <c r="C1393" s="36"/>
      <c r="D1393" s="91"/>
      <c r="E1393" s="91"/>
      <c r="F1393" s="80"/>
      <c r="G1393" s="91"/>
      <c r="H1393" s="91"/>
    </row>
    <row r="1394" spans="2:8">
      <c r="B1394" s="91"/>
      <c r="C1394" s="36"/>
      <c r="D1394" s="91"/>
      <c r="E1394" s="91"/>
      <c r="F1394" s="80"/>
      <c r="G1394" s="91"/>
      <c r="H1394" s="91"/>
    </row>
    <row r="1395" spans="2:8">
      <c r="B1395" s="91"/>
      <c r="C1395" s="36"/>
      <c r="D1395" s="91"/>
      <c r="E1395" s="91"/>
      <c r="F1395" s="80"/>
      <c r="G1395" s="91"/>
      <c r="H1395" s="91"/>
    </row>
    <row r="1396" spans="2:8">
      <c r="B1396" s="91"/>
      <c r="C1396" s="36"/>
      <c r="D1396" s="91"/>
      <c r="E1396" s="91"/>
      <c r="F1396" s="80"/>
      <c r="G1396" s="91"/>
      <c r="H1396" s="91"/>
    </row>
    <row r="1397" spans="2:8">
      <c r="B1397" s="91"/>
      <c r="C1397" s="36"/>
      <c r="D1397" s="91"/>
      <c r="E1397" s="91"/>
      <c r="F1397" s="80"/>
      <c r="G1397" s="91"/>
      <c r="H1397" s="91"/>
    </row>
    <row r="1398" spans="2:8">
      <c r="B1398" s="91"/>
      <c r="C1398" s="36"/>
      <c r="D1398" s="91"/>
      <c r="E1398" s="91"/>
      <c r="F1398" s="80"/>
      <c r="G1398" s="91"/>
      <c r="H1398" s="91"/>
    </row>
    <row r="1399" spans="2:8">
      <c r="B1399" s="91"/>
      <c r="C1399" s="36"/>
      <c r="D1399" s="91"/>
      <c r="E1399" s="91"/>
      <c r="F1399" s="80"/>
      <c r="G1399" s="91"/>
      <c r="H1399" s="91"/>
    </row>
    <row r="1400" spans="2:8">
      <c r="B1400" s="91"/>
      <c r="C1400" s="36"/>
      <c r="D1400" s="91"/>
      <c r="E1400" s="91"/>
      <c r="F1400" s="80"/>
      <c r="G1400" s="91"/>
      <c r="H1400" s="91"/>
    </row>
    <row r="1401" spans="2:8">
      <c r="B1401" s="91"/>
      <c r="C1401" s="36"/>
      <c r="D1401" s="91"/>
      <c r="E1401" s="91"/>
      <c r="F1401" s="80"/>
      <c r="G1401" s="91"/>
      <c r="H1401" s="91"/>
    </row>
    <row r="1402" spans="2:8">
      <c r="B1402" s="91"/>
      <c r="C1402" s="36"/>
      <c r="D1402" s="91"/>
      <c r="E1402" s="91"/>
      <c r="F1402" s="80"/>
      <c r="G1402" s="91"/>
      <c r="H1402" s="91"/>
    </row>
    <row r="1403" spans="2:8">
      <c r="B1403" s="91"/>
      <c r="C1403" s="36"/>
      <c r="D1403" s="91"/>
      <c r="E1403" s="91"/>
      <c r="F1403" s="80"/>
      <c r="G1403" s="91"/>
      <c r="H1403" s="91"/>
    </row>
    <row r="1404" spans="2:8">
      <c r="B1404" s="91"/>
      <c r="C1404" s="36"/>
      <c r="D1404" s="91"/>
      <c r="E1404" s="91"/>
      <c r="F1404" s="80"/>
      <c r="G1404" s="91"/>
      <c r="H1404" s="91"/>
    </row>
    <row r="1405" spans="2:8">
      <c r="B1405" s="91"/>
      <c r="C1405" s="36"/>
      <c r="D1405" s="91"/>
      <c r="E1405" s="91"/>
      <c r="F1405" s="80"/>
      <c r="G1405" s="91"/>
      <c r="H1405" s="91"/>
    </row>
    <row r="1406" spans="2:8">
      <c r="B1406" s="91"/>
      <c r="C1406" s="36"/>
      <c r="D1406" s="91"/>
      <c r="E1406" s="91"/>
      <c r="F1406" s="80"/>
      <c r="G1406" s="91"/>
      <c r="H1406" s="91"/>
    </row>
    <row r="1407" spans="2:8">
      <c r="B1407" s="91"/>
      <c r="C1407" s="36"/>
      <c r="D1407" s="91"/>
      <c r="E1407" s="91"/>
      <c r="F1407" s="80"/>
      <c r="G1407" s="91"/>
      <c r="H1407" s="91"/>
    </row>
    <row r="1408" spans="2:8">
      <c r="B1408" s="91"/>
      <c r="C1408" s="36"/>
      <c r="D1408" s="91"/>
      <c r="E1408" s="91"/>
      <c r="F1408" s="80"/>
      <c r="G1408" s="91"/>
      <c r="H1408" s="91"/>
    </row>
    <row r="1409" spans="2:8">
      <c r="B1409" s="91"/>
      <c r="C1409" s="36"/>
      <c r="D1409" s="91"/>
      <c r="E1409" s="91"/>
      <c r="F1409" s="80"/>
      <c r="G1409" s="91"/>
      <c r="H1409" s="91"/>
    </row>
    <row r="1410" spans="2:8">
      <c r="B1410" s="91"/>
      <c r="C1410" s="36"/>
      <c r="D1410" s="91"/>
      <c r="E1410" s="91"/>
      <c r="F1410" s="80"/>
      <c r="G1410" s="91"/>
      <c r="H1410" s="91"/>
    </row>
    <row r="1411" spans="2:8">
      <c r="B1411" s="91"/>
      <c r="C1411" s="36"/>
      <c r="D1411" s="91"/>
      <c r="E1411" s="91"/>
      <c r="F1411" s="80"/>
      <c r="G1411" s="91"/>
      <c r="H1411" s="91"/>
    </row>
    <row r="1412" spans="2:8">
      <c r="B1412" s="91"/>
      <c r="C1412" s="36"/>
      <c r="D1412" s="91"/>
      <c r="E1412" s="91"/>
      <c r="F1412" s="80"/>
      <c r="G1412" s="91"/>
      <c r="H1412" s="91"/>
    </row>
    <row r="1413" spans="2:8">
      <c r="B1413" s="91"/>
      <c r="C1413" s="36"/>
      <c r="D1413" s="91"/>
      <c r="E1413" s="91"/>
      <c r="F1413" s="80"/>
      <c r="G1413" s="91"/>
      <c r="H1413" s="91"/>
    </row>
    <row r="1414" spans="2:8">
      <c r="B1414" s="91"/>
      <c r="C1414" s="36"/>
      <c r="D1414" s="91"/>
      <c r="E1414" s="91"/>
      <c r="F1414" s="80"/>
      <c r="G1414" s="91"/>
      <c r="H1414" s="91"/>
    </row>
    <row r="1415" spans="2:8">
      <c r="B1415" s="91"/>
      <c r="C1415" s="36"/>
      <c r="D1415" s="91"/>
      <c r="E1415" s="91"/>
      <c r="F1415" s="80"/>
      <c r="G1415" s="91"/>
      <c r="H1415" s="91"/>
    </row>
    <row r="1416" spans="2:8">
      <c r="B1416" s="91"/>
      <c r="C1416" s="36"/>
      <c r="D1416" s="91"/>
      <c r="E1416" s="91"/>
      <c r="F1416" s="80"/>
      <c r="G1416" s="91"/>
      <c r="H1416" s="91"/>
    </row>
    <row r="1417" spans="2:8">
      <c r="B1417" s="91"/>
      <c r="C1417" s="36"/>
      <c r="D1417" s="91"/>
      <c r="E1417" s="91"/>
      <c r="F1417" s="80"/>
      <c r="G1417" s="91"/>
      <c r="H1417" s="91"/>
    </row>
    <row r="1418" spans="2:8">
      <c r="B1418" s="91"/>
      <c r="C1418" s="36"/>
      <c r="D1418" s="91"/>
      <c r="E1418" s="91"/>
      <c r="F1418" s="80"/>
      <c r="G1418" s="91"/>
      <c r="H1418" s="91"/>
    </row>
    <row r="1419" spans="2:8">
      <c r="B1419" s="91"/>
      <c r="C1419" s="36"/>
      <c r="D1419" s="91"/>
      <c r="E1419" s="91"/>
      <c r="F1419" s="80"/>
      <c r="G1419" s="91"/>
      <c r="H1419" s="91"/>
    </row>
    <row r="1420" spans="2:8">
      <c r="B1420" s="91"/>
      <c r="C1420" s="36"/>
      <c r="D1420" s="91"/>
      <c r="E1420" s="91"/>
      <c r="F1420" s="80"/>
      <c r="G1420" s="91"/>
      <c r="H1420" s="91"/>
    </row>
    <row r="1421" spans="2:8">
      <c r="B1421" s="91"/>
      <c r="C1421" s="36"/>
      <c r="D1421" s="91"/>
      <c r="E1421" s="91"/>
      <c r="F1421" s="80"/>
      <c r="G1421" s="91"/>
      <c r="H1421" s="91"/>
    </row>
    <row r="1422" spans="2:8">
      <c r="B1422" s="91"/>
      <c r="C1422" s="36"/>
      <c r="D1422" s="91"/>
      <c r="E1422" s="91"/>
      <c r="F1422" s="80"/>
      <c r="G1422" s="91"/>
      <c r="H1422" s="91"/>
    </row>
    <row r="1423" spans="2:8">
      <c r="B1423" s="91"/>
      <c r="C1423" s="36"/>
      <c r="D1423" s="91"/>
      <c r="E1423" s="91"/>
      <c r="F1423" s="80"/>
      <c r="G1423" s="91"/>
      <c r="H1423" s="91"/>
    </row>
    <row r="1424" spans="2:8">
      <c r="B1424" s="91"/>
      <c r="C1424" s="36"/>
      <c r="D1424" s="91"/>
      <c r="E1424" s="91"/>
      <c r="F1424" s="80"/>
      <c r="G1424" s="91"/>
      <c r="H1424" s="91"/>
    </row>
    <row r="1425" spans="2:8">
      <c r="B1425" s="91"/>
      <c r="C1425" s="36"/>
      <c r="D1425" s="91"/>
      <c r="E1425" s="91"/>
      <c r="F1425" s="80"/>
      <c r="G1425" s="91"/>
      <c r="H1425" s="91"/>
    </row>
    <row r="1426" spans="2:8">
      <c r="B1426" s="91"/>
      <c r="C1426" s="36"/>
      <c r="D1426" s="91"/>
      <c r="E1426" s="91"/>
      <c r="F1426" s="80"/>
      <c r="G1426" s="91"/>
      <c r="H1426" s="91"/>
    </row>
    <row r="1427" spans="2:8">
      <c r="B1427" s="91"/>
      <c r="C1427" s="36"/>
      <c r="D1427" s="91"/>
      <c r="E1427" s="91"/>
      <c r="F1427" s="80"/>
      <c r="G1427" s="91"/>
      <c r="H1427" s="91"/>
    </row>
    <row r="1428" spans="2:8">
      <c r="B1428" s="91"/>
      <c r="C1428" s="36"/>
      <c r="D1428" s="91"/>
      <c r="E1428" s="91"/>
      <c r="F1428" s="80"/>
      <c r="G1428" s="91"/>
      <c r="H1428" s="91"/>
    </row>
    <row r="1429" spans="2:8">
      <c r="B1429" s="91"/>
      <c r="C1429" s="36"/>
      <c r="D1429" s="91"/>
      <c r="E1429" s="91"/>
      <c r="F1429" s="80"/>
      <c r="G1429" s="91"/>
      <c r="H1429" s="91"/>
    </row>
    <row r="1430" spans="2:8">
      <c r="B1430" s="91"/>
      <c r="C1430" s="36"/>
      <c r="D1430" s="91"/>
      <c r="E1430" s="91"/>
      <c r="F1430" s="80"/>
      <c r="G1430" s="91"/>
      <c r="H1430" s="91"/>
    </row>
    <row r="1431" spans="2:8">
      <c r="B1431" s="91"/>
      <c r="C1431" s="36"/>
      <c r="D1431" s="91"/>
      <c r="E1431" s="91"/>
      <c r="F1431" s="80"/>
      <c r="G1431" s="91"/>
      <c r="H1431" s="91"/>
    </row>
    <row r="1432" spans="2:8">
      <c r="B1432" s="91"/>
      <c r="C1432" s="36"/>
      <c r="D1432" s="91"/>
      <c r="E1432" s="91"/>
      <c r="F1432" s="80"/>
      <c r="G1432" s="91"/>
      <c r="H1432" s="91"/>
    </row>
    <row r="1433" spans="2:8">
      <c r="B1433" s="91"/>
      <c r="C1433" s="36"/>
      <c r="D1433" s="91"/>
      <c r="E1433" s="91"/>
      <c r="F1433" s="80"/>
      <c r="G1433" s="91"/>
      <c r="H1433" s="91"/>
    </row>
    <row r="1434" spans="2:8">
      <c r="B1434" s="91"/>
      <c r="C1434" s="36"/>
      <c r="D1434" s="91"/>
      <c r="E1434" s="91"/>
      <c r="F1434" s="80"/>
      <c r="G1434" s="91"/>
      <c r="H1434" s="91"/>
    </row>
    <row r="1435" spans="2:8">
      <c r="B1435" s="91"/>
      <c r="C1435" s="36"/>
      <c r="D1435" s="91"/>
      <c r="E1435" s="91"/>
      <c r="F1435" s="80"/>
      <c r="G1435" s="91"/>
      <c r="H1435" s="91"/>
    </row>
    <row r="1436" spans="2:8">
      <c r="B1436" s="91"/>
      <c r="C1436" s="36"/>
      <c r="D1436" s="91"/>
      <c r="E1436" s="91"/>
      <c r="F1436" s="80"/>
      <c r="G1436" s="91"/>
      <c r="H1436" s="91"/>
    </row>
    <row r="1437" spans="2:8">
      <c r="B1437" s="91"/>
      <c r="C1437" s="36"/>
      <c r="D1437" s="91"/>
      <c r="E1437" s="91"/>
      <c r="F1437" s="80"/>
      <c r="G1437" s="91"/>
      <c r="H1437" s="91"/>
    </row>
    <row r="1438" spans="2:8">
      <c r="B1438" s="91"/>
      <c r="C1438" s="36"/>
      <c r="D1438" s="91"/>
      <c r="E1438" s="91"/>
      <c r="F1438" s="80"/>
      <c r="G1438" s="91"/>
      <c r="H1438" s="91"/>
    </row>
    <row r="1439" spans="2:8">
      <c r="B1439" s="91"/>
      <c r="C1439" s="36"/>
      <c r="D1439" s="91"/>
      <c r="E1439" s="91"/>
      <c r="F1439" s="80"/>
      <c r="G1439" s="91"/>
      <c r="H1439" s="91"/>
    </row>
    <row r="1440" spans="2:8">
      <c r="B1440" s="91"/>
      <c r="C1440" s="36"/>
      <c r="D1440" s="91"/>
      <c r="E1440" s="91"/>
      <c r="F1440" s="80"/>
      <c r="G1440" s="91"/>
      <c r="H1440" s="91"/>
    </row>
    <row r="1441" spans="2:8">
      <c r="B1441" s="91"/>
      <c r="C1441" s="36"/>
      <c r="D1441" s="91"/>
      <c r="E1441" s="91"/>
      <c r="F1441" s="80"/>
      <c r="G1441" s="91"/>
      <c r="H1441" s="91"/>
    </row>
    <row r="1442" spans="2:8">
      <c r="B1442" s="91"/>
      <c r="C1442" s="36"/>
      <c r="D1442" s="91"/>
      <c r="E1442" s="91"/>
      <c r="F1442" s="80"/>
      <c r="G1442" s="91"/>
      <c r="H1442" s="91"/>
    </row>
    <row r="1443" spans="2:8">
      <c r="B1443" s="91"/>
      <c r="C1443" s="36"/>
      <c r="D1443" s="91"/>
      <c r="E1443" s="91"/>
      <c r="F1443" s="80"/>
      <c r="G1443" s="91"/>
      <c r="H1443" s="91"/>
    </row>
    <row r="1444" spans="2:8">
      <c r="B1444" s="91"/>
      <c r="C1444" s="36"/>
      <c r="D1444" s="91"/>
      <c r="E1444" s="91"/>
      <c r="F1444" s="80"/>
      <c r="G1444" s="91"/>
      <c r="H1444" s="91"/>
    </row>
    <row r="1445" spans="2:8">
      <c r="B1445" s="91"/>
      <c r="C1445" s="36"/>
      <c r="D1445" s="91"/>
      <c r="E1445" s="91"/>
      <c r="F1445" s="80"/>
      <c r="G1445" s="91"/>
      <c r="H1445" s="91"/>
    </row>
    <row r="1446" spans="2:8">
      <c r="B1446" s="91"/>
      <c r="C1446" s="36"/>
      <c r="D1446" s="91"/>
      <c r="E1446" s="91"/>
      <c r="F1446" s="80"/>
      <c r="G1446" s="91"/>
      <c r="H1446" s="91"/>
    </row>
    <row r="1447" spans="2:8">
      <c r="B1447" s="91"/>
      <c r="C1447" s="36"/>
      <c r="D1447" s="91"/>
      <c r="E1447" s="91"/>
      <c r="F1447" s="80"/>
      <c r="G1447" s="91"/>
      <c r="H1447" s="91"/>
    </row>
    <row r="1448" spans="2:8">
      <c r="B1448" s="91"/>
      <c r="C1448" s="36"/>
      <c r="D1448" s="91"/>
      <c r="E1448" s="91"/>
      <c r="F1448" s="80"/>
      <c r="G1448" s="91"/>
      <c r="H1448" s="91"/>
    </row>
    <row r="1449" spans="2:8">
      <c r="B1449" s="91"/>
      <c r="C1449" s="36"/>
      <c r="D1449" s="91"/>
      <c r="E1449" s="91"/>
      <c r="F1449" s="80"/>
      <c r="G1449" s="91"/>
      <c r="H1449" s="91"/>
    </row>
    <row r="1450" spans="2:8">
      <c r="B1450" s="91"/>
      <c r="C1450" s="36"/>
      <c r="D1450" s="91"/>
      <c r="E1450" s="91"/>
      <c r="F1450" s="80"/>
      <c r="G1450" s="91"/>
      <c r="H1450" s="91"/>
    </row>
    <row r="1451" spans="2:8">
      <c r="B1451" s="91"/>
      <c r="C1451" s="36"/>
      <c r="D1451" s="91"/>
      <c r="E1451" s="91"/>
      <c r="F1451" s="80"/>
      <c r="G1451" s="91"/>
      <c r="H1451" s="91"/>
    </row>
    <row r="1452" spans="2:8">
      <c r="B1452" s="91"/>
      <c r="C1452" s="36"/>
      <c r="D1452" s="91"/>
      <c r="E1452" s="91"/>
      <c r="F1452" s="80"/>
      <c r="G1452" s="91"/>
      <c r="H1452" s="91"/>
    </row>
    <row r="1453" spans="2:8">
      <c r="B1453" s="91"/>
      <c r="C1453" s="36"/>
      <c r="D1453" s="91"/>
      <c r="E1453" s="91"/>
      <c r="F1453" s="80"/>
      <c r="G1453" s="91"/>
      <c r="H1453" s="91"/>
    </row>
    <row r="1454" spans="2:8">
      <c r="B1454" s="91"/>
      <c r="C1454" s="36"/>
      <c r="D1454" s="91"/>
      <c r="E1454" s="91"/>
      <c r="F1454" s="80"/>
      <c r="G1454" s="91"/>
      <c r="H1454" s="91"/>
    </row>
    <row r="1455" spans="2:8">
      <c r="B1455" s="91"/>
      <c r="C1455" s="36"/>
      <c r="D1455" s="91"/>
      <c r="E1455" s="91"/>
      <c r="F1455" s="80"/>
      <c r="G1455" s="91"/>
      <c r="H1455" s="91"/>
    </row>
    <row r="1456" spans="2:8">
      <c r="B1456" s="91"/>
      <c r="C1456" s="36"/>
      <c r="D1456" s="91"/>
      <c r="E1456" s="91"/>
      <c r="F1456" s="80"/>
      <c r="G1456" s="91"/>
      <c r="H1456" s="91"/>
    </row>
    <row r="1457" spans="2:8">
      <c r="B1457" s="91"/>
      <c r="C1457" s="36"/>
      <c r="D1457" s="91"/>
      <c r="E1457" s="91"/>
      <c r="F1457" s="80"/>
      <c r="G1457" s="91"/>
      <c r="H1457" s="91"/>
    </row>
    <row r="1458" spans="2:8">
      <c r="B1458" s="91"/>
      <c r="C1458" s="36"/>
      <c r="D1458" s="91"/>
      <c r="E1458" s="91"/>
      <c r="F1458" s="80"/>
      <c r="G1458" s="91"/>
      <c r="H1458" s="91"/>
    </row>
    <row r="1459" spans="2:8">
      <c r="B1459" s="91"/>
      <c r="C1459" s="36"/>
      <c r="D1459" s="91"/>
      <c r="E1459" s="91"/>
      <c r="F1459" s="80"/>
      <c r="G1459" s="91"/>
      <c r="H1459" s="91"/>
    </row>
    <row r="1460" spans="2:8">
      <c r="B1460" s="91"/>
      <c r="C1460" s="36"/>
      <c r="D1460" s="91"/>
      <c r="E1460" s="91"/>
      <c r="F1460" s="80"/>
      <c r="G1460" s="91"/>
      <c r="H1460" s="91"/>
    </row>
    <row r="1461" spans="2:8">
      <c r="B1461" s="91"/>
      <c r="C1461" s="36"/>
      <c r="D1461" s="91"/>
      <c r="E1461" s="91"/>
      <c r="F1461" s="80"/>
      <c r="G1461" s="91"/>
      <c r="H1461" s="91"/>
    </row>
    <row r="1462" spans="2:8">
      <c r="B1462" s="91"/>
      <c r="C1462" s="36"/>
      <c r="D1462" s="91"/>
      <c r="E1462" s="91"/>
      <c r="F1462" s="80"/>
      <c r="G1462" s="91"/>
      <c r="H1462" s="91"/>
    </row>
    <row r="1463" spans="2:8">
      <c r="B1463" s="91"/>
      <c r="C1463" s="36"/>
      <c r="D1463" s="91"/>
      <c r="E1463" s="91"/>
      <c r="F1463" s="80"/>
      <c r="G1463" s="91"/>
      <c r="H1463" s="91"/>
    </row>
    <row r="1464" spans="2:8">
      <c r="B1464" s="91"/>
      <c r="C1464" s="36"/>
      <c r="D1464" s="91"/>
      <c r="E1464" s="91"/>
      <c r="F1464" s="80"/>
      <c r="G1464" s="91"/>
      <c r="H1464" s="91"/>
    </row>
    <row r="1465" spans="2:8">
      <c r="B1465" s="91"/>
      <c r="C1465" s="36"/>
      <c r="D1465" s="91"/>
      <c r="E1465" s="91"/>
      <c r="F1465" s="80"/>
      <c r="G1465" s="91"/>
      <c r="H1465" s="91"/>
    </row>
    <row r="1466" spans="2:8">
      <c r="B1466" s="91"/>
      <c r="C1466" s="36"/>
      <c r="D1466" s="91"/>
      <c r="E1466" s="91"/>
      <c r="F1466" s="80"/>
      <c r="G1466" s="91"/>
      <c r="H1466" s="91"/>
    </row>
    <row r="1467" spans="2:8">
      <c r="B1467" s="91"/>
      <c r="C1467" s="36"/>
      <c r="D1467" s="91"/>
      <c r="E1467" s="91"/>
      <c r="F1467" s="80"/>
      <c r="G1467" s="91"/>
      <c r="H1467" s="91"/>
    </row>
    <row r="1468" spans="2:8">
      <c r="B1468" s="91"/>
      <c r="C1468" s="36"/>
      <c r="D1468" s="91"/>
      <c r="E1468" s="91"/>
      <c r="F1468" s="80"/>
      <c r="G1468" s="91"/>
      <c r="H1468" s="91"/>
    </row>
    <row r="1469" spans="2:8">
      <c r="B1469" s="91"/>
      <c r="C1469" s="36"/>
      <c r="D1469" s="91"/>
      <c r="E1469" s="91"/>
      <c r="F1469" s="80"/>
      <c r="G1469" s="91"/>
      <c r="H1469" s="91"/>
    </row>
    <row r="1470" spans="2:8">
      <c r="B1470" s="91"/>
      <c r="C1470" s="36"/>
      <c r="D1470" s="91"/>
      <c r="E1470" s="91"/>
      <c r="F1470" s="80"/>
      <c r="G1470" s="91"/>
      <c r="H1470" s="91"/>
    </row>
    <row r="1471" spans="2:8">
      <c r="B1471" s="91"/>
      <c r="C1471" s="36"/>
      <c r="D1471" s="91"/>
      <c r="E1471" s="91"/>
      <c r="F1471" s="80"/>
      <c r="G1471" s="91"/>
      <c r="H1471" s="91"/>
    </row>
    <row r="1472" spans="2:8">
      <c r="B1472" s="91"/>
      <c r="C1472" s="36"/>
      <c r="D1472" s="91"/>
      <c r="E1472" s="91"/>
      <c r="F1472" s="80"/>
      <c r="G1472" s="91"/>
      <c r="H1472" s="91"/>
    </row>
    <row r="1473" spans="2:8">
      <c r="B1473" s="91"/>
      <c r="C1473" s="36"/>
      <c r="D1473" s="91"/>
      <c r="E1473" s="91"/>
      <c r="F1473" s="80"/>
      <c r="G1473" s="91"/>
      <c r="H1473" s="91"/>
    </row>
    <row r="1474" spans="2:8">
      <c r="B1474" s="91"/>
      <c r="C1474" s="36"/>
      <c r="D1474" s="91"/>
      <c r="E1474" s="91"/>
      <c r="F1474" s="80"/>
      <c r="G1474" s="91"/>
      <c r="H1474" s="91"/>
    </row>
    <row r="1475" spans="2:8">
      <c r="B1475" s="91"/>
      <c r="C1475" s="36"/>
      <c r="D1475" s="91"/>
      <c r="E1475" s="91"/>
      <c r="F1475" s="80"/>
      <c r="G1475" s="91"/>
      <c r="H1475" s="91"/>
    </row>
    <row r="1476" spans="2:8">
      <c r="B1476" s="91"/>
      <c r="C1476" s="36"/>
      <c r="D1476" s="91"/>
      <c r="E1476" s="91"/>
      <c r="F1476" s="80"/>
      <c r="G1476" s="91"/>
      <c r="H1476" s="91"/>
    </row>
    <row r="1477" spans="2:8">
      <c r="B1477" s="91"/>
      <c r="C1477" s="36"/>
      <c r="D1477" s="91"/>
      <c r="E1477" s="91"/>
      <c r="F1477" s="80"/>
      <c r="G1477" s="91"/>
      <c r="H1477" s="91"/>
    </row>
    <row r="1478" spans="2:8">
      <c r="B1478" s="91"/>
      <c r="C1478" s="36"/>
      <c r="D1478" s="91"/>
      <c r="E1478" s="91"/>
      <c r="F1478" s="80"/>
      <c r="G1478" s="91"/>
      <c r="H1478" s="91"/>
    </row>
    <row r="1479" spans="2:8">
      <c r="B1479" s="91"/>
      <c r="C1479" s="36"/>
      <c r="D1479" s="91"/>
      <c r="E1479" s="91"/>
      <c r="F1479" s="80"/>
      <c r="G1479" s="91"/>
      <c r="H1479" s="91"/>
    </row>
    <row r="1480" spans="2:8">
      <c r="B1480" s="91"/>
      <c r="C1480" s="36"/>
      <c r="D1480" s="91"/>
      <c r="E1480" s="91"/>
      <c r="F1480" s="80"/>
      <c r="G1480" s="91"/>
      <c r="H1480" s="91"/>
    </row>
    <row r="1481" spans="2:8">
      <c r="B1481" s="91"/>
      <c r="C1481" s="36"/>
      <c r="D1481" s="91"/>
      <c r="E1481" s="91"/>
      <c r="F1481" s="80"/>
      <c r="G1481" s="91"/>
      <c r="H1481" s="91"/>
    </row>
    <row r="1482" spans="2:8">
      <c r="B1482" s="91"/>
      <c r="C1482" s="36"/>
      <c r="D1482" s="91"/>
      <c r="E1482" s="91"/>
      <c r="F1482" s="80"/>
      <c r="G1482" s="91"/>
      <c r="H1482" s="91"/>
    </row>
    <row r="1483" spans="2:8">
      <c r="B1483" s="91"/>
      <c r="C1483" s="36"/>
      <c r="D1483" s="91"/>
      <c r="E1483" s="91"/>
      <c r="F1483" s="80"/>
      <c r="G1483" s="91"/>
      <c r="H1483" s="91"/>
    </row>
    <row r="1484" spans="2:8">
      <c r="B1484" s="91"/>
      <c r="C1484" s="36"/>
      <c r="D1484" s="91"/>
      <c r="E1484" s="91"/>
      <c r="F1484" s="80"/>
      <c r="G1484" s="91"/>
      <c r="H1484" s="91"/>
    </row>
    <row r="1485" spans="2:8">
      <c r="B1485" s="91"/>
      <c r="C1485" s="36"/>
      <c r="D1485" s="91"/>
      <c r="E1485" s="91"/>
      <c r="F1485" s="80"/>
      <c r="G1485" s="91"/>
      <c r="H1485" s="91"/>
    </row>
    <row r="1486" spans="2:8">
      <c r="B1486" s="91"/>
      <c r="C1486" s="36"/>
      <c r="D1486" s="91"/>
      <c r="E1486" s="91"/>
      <c r="F1486" s="80"/>
      <c r="G1486" s="91"/>
      <c r="H1486" s="91"/>
    </row>
    <row r="1487" spans="2:8">
      <c r="B1487" s="91"/>
      <c r="C1487" s="36"/>
      <c r="D1487" s="91"/>
      <c r="E1487" s="91"/>
      <c r="F1487" s="80"/>
      <c r="G1487" s="91"/>
      <c r="H1487" s="91"/>
    </row>
    <row r="1488" spans="2:8">
      <c r="B1488" s="91"/>
      <c r="C1488" s="36"/>
      <c r="D1488" s="91"/>
      <c r="E1488" s="91"/>
      <c r="F1488" s="80"/>
      <c r="G1488" s="91"/>
      <c r="H1488" s="91"/>
    </row>
    <row r="1489" spans="2:8">
      <c r="B1489" s="91"/>
      <c r="C1489" s="36"/>
      <c r="D1489" s="91"/>
      <c r="E1489" s="91"/>
      <c r="F1489" s="80"/>
      <c r="G1489" s="91"/>
      <c r="H1489" s="91"/>
    </row>
    <row r="1490" spans="2:8">
      <c r="B1490" s="91"/>
      <c r="C1490" s="36"/>
      <c r="D1490" s="91"/>
      <c r="E1490" s="91"/>
      <c r="F1490" s="80"/>
      <c r="G1490" s="91"/>
      <c r="H1490" s="91"/>
    </row>
    <row r="1491" spans="2:8">
      <c r="B1491" s="91"/>
      <c r="C1491" s="36"/>
      <c r="D1491" s="91"/>
      <c r="E1491" s="91"/>
      <c r="F1491" s="80"/>
      <c r="G1491" s="91"/>
      <c r="H1491" s="91"/>
    </row>
    <row r="1492" spans="2:8">
      <c r="B1492" s="91"/>
      <c r="C1492" s="36"/>
      <c r="D1492" s="91"/>
      <c r="E1492" s="91"/>
      <c r="F1492" s="80"/>
      <c r="G1492" s="91"/>
      <c r="H1492" s="91"/>
    </row>
    <row r="1493" spans="2:8">
      <c r="B1493" s="91"/>
      <c r="C1493" s="36"/>
      <c r="D1493" s="91"/>
      <c r="E1493" s="91"/>
      <c r="F1493" s="80"/>
      <c r="G1493" s="91"/>
      <c r="H1493" s="91"/>
    </row>
    <row r="1494" spans="2:8">
      <c r="B1494" s="91"/>
      <c r="C1494" s="36"/>
      <c r="D1494" s="91"/>
      <c r="E1494" s="91"/>
      <c r="F1494" s="80"/>
      <c r="G1494" s="91"/>
      <c r="H1494" s="91"/>
    </row>
    <row r="1495" spans="2:8">
      <c r="B1495" s="91"/>
      <c r="C1495" s="36"/>
      <c r="D1495" s="91"/>
      <c r="E1495" s="91"/>
      <c r="F1495" s="80"/>
      <c r="G1495" s="91"/>
      <c r="H1495" s="91"/>
    </row>
    <row r="1496" spans="2:8">
      <c r="B1496" s="91"/>
      <c r="C1496" s="36"/>
      <c r="D1496" s="91"/>
      <c r="E1496" s="91"/>
      <c r="F1496" s="80"/>
      <c r="G1496" s="91"/>
      <c r="H1496" s="91"/>
    </row>
    <row r="1497" spans="2:8">
      <c r="B1497" s="91"/>
      <c r="C1497" s="36"/>
      <c r="D1497" s="91"/>
      <c r="E1497" s="91"/>
      <c r="F1497" s="80"/>
      <c r="G1497" s="91"/>
      <c r="H1497" s="91"/>
    </row>
    <row r="1498" spans="2:8">
      <c r="B1498" s="91"/>
      <c r="C1498" s="36"/>
      <c r="D1498" s="91"/>
      <c r="E1498" s="91"/>
      <c r="F1498" s="80"/>
      <c r="G1498" s="91"/>
      <c r="H1498" s="91"/>
    </row>
    <row r="1499" spans="2:8">
      <c r="B1499" s="91"/>
      <c r="C1499" s="36"/>
      <c r="D1499" s="91"/>
      <c r="E1499" s="91"/>
      <c r="F1499" s="80"/>
      <c r="G1499" s="91"/>
      <c r="H1499" s="91"/>
    </row>
    <row r="1500" spans="2:8">
      <c r="B1500" s="91"/>
      <c r="C1500" s="36"/>
      <c r="D1500" s="91"/>
      <c r="E1500" s="91"/>
      <c r="F1500" s="80"/>
      <c r="G1500" s="91"/>
      <c r="H1500" s="91"/>
    </row>
    <row r="1501" spans="2:8">
      <c r="B1501" s="91"/>
      <c r="C1501" s="36"/>
      <c r="D1501" s="91"/>
      <c r="E1501" s="91"/>
      <c r="F1501" s="80"/>
      <c r="G1501" s="91"/>
      <c r="H1501" s="91"/>
    </row>
    <row r="1502" spans="2:8">
      <c r="B1502" s="91"/>
      <c r="C1502" s="36"/>
      <c r="D1502" s="91"/>
      <c r="E1502" s="91"/>
      <c r="F1502" s="80"/>
      <c r="G1502" s="91"/>
      <c r="H1502" s="91"/>
    </row>
    <row r="1503" spans="2:8">
      <c r="B1503" s="91"/>
      <c r="C1503" s="36"/>
      <c r="D1503" s="91"/>
      <c r="E1503" s="91"/>
      <c r="F1503" s="80"/>
      <c r="G1503" s="91"/>
      <c r="H1503" s="91"/>
    </row>
    <row r="1504" spans="2:8">
      <c r="B1504" s="91"/>
      <c r="C1504" s="36"/>
      <c r="D1504" s="91"/>
      <c r="E1504" s="91"/>
      <c r="F1504" s="80"/>
      <c r="G1504" s="91"/>
      <c r="H1504" s="91"/>
    </row>
    <row r="1505" spans="2:8">
      <c r="B1505" s="91"/>
      <c r="C1505" s="36"/>
      <c r="D1505" s="91"/>
      <c r="E1505" s="91"/>
      <c r="F1505" s="80"/>
      <c r="G1505" s="91"/>
      <c r="H1505" s="91"/>
    </row>
    <row r="1506" spans="2:8">
      <c r="B1506" s="91"/>
      <c r="C1506" s="36"/>
      <c r="D1506" s="91"/>
      <c r="E1506" s="91"/>
      <c r="F1506" s="80"/>
      <c r="G1506" s="91"/>
      <c r="H1506" s="91"/>
    </row>
    <row r="1507" spans="2:8">
      <c r="B1507" s="91"/>
      <c r="C1507" s="36"/>
      <c r="D1507" s="91"/>
      <c r="E1507" s="91"/>
      <c r="F1507" s="80"/>
      <c r="G1507" s="91"/>
      <c r="H1507" s="91"/>
    </row>
    <row r="1508" spans="2:8">
      <c r="B1508" s="91"/>
      <c r="C1508" s="36"/>
      <c r="D1508" s="91"/>
      <c r="E1508" s="91"/>
      <c r="F1508" s="80"/>
      <c r="G1508" s="91"/>
      <c r="H1508" s="91"/>
    </row>
    <row r="1509" spans="2:8">
      <c r="B1509" s="91"/>
      <c r="C1509" s="36"/>
      <c r="D1509" s="91"/>
      <c r="E1509" s="91"/>
      <c r="F1509" s="80"/>
      <c r="G1509" s="91"/>
      <c r="H1509" s="91"/>
    </row>
    <row r="1510" spans="2:8">
      <c r="B1510" s="91"/>
      <c r="C1510" s="36"/>
      <c r="D1510" s="91"/>
      <c r="E1510" s="91"/>
      <c r="F1510" s="80"/>
      <c r="G1510" s="91"/>
      <c r="H1510" s="91"/>
    </row>
    <row r="1511" spans="2:8">
      <c r="B1511" s="91"/>
      <c r="C1511" s="36"/>
      <c r="D1511" s="91"/>
      <c r="E1511" s="91"/>
      <c r="F1511" s="80"/>
      <c r="G1511" s="91"/>
      <c r="H1511" s="91"/>
    </row>
    <row r="1512" spans="2:8">
      <c r="B1512" s="91"/>
      <c r="C1512" s="36"/>
      <c r="D1512" s="91"/>
      <c r="E1512" s="91"/>
      <c r="F1512" s="80"/>
      <c r="G1512" s="91"/>
      <c r="H1512" s="91"/>
    </row>
    <row r="1513" spans="2:8">
      <c r="B1513" s="91"/>
      <c r="C1513" s="36"/>
      <c r="D1513" s="91"/>
      <c r="E1513" s="91"/>
      <c r="F1513" s="80"/>
      <c r="G1513" s="91"/>
      <c r="H1513" s="91"/>
    </row>
    <row r="1514" spans="2:8">
      <c r="B1514" s="91"/>
      <c r="C1514" s="36"/>
      <c r="D1514" s="91"/>
      <c r="E1514" s="91"/>
      <c r="F1514" s="80"/>
      <c r="G1514" s="91"/>
      <c r="H1514" s="91"/>
    </row>
    <row r="1515" spans="2:8">
      <c r="B1515" s="91"/>
      <c r="C1515" s="36"/>
      <c r="D1515" s="91"/>
      <c r="E1515" s="91"/>
      <c r="F1515" s="80"/>
      <c r="G1515" s="91"/>
      <c r="H1515" s="91"/>
    </row>
    <row r="1516" spans="2:8">
      <c r="B1516" s="91"/>
      <c r="C1516" s="36"/>
      <c r="D1516" s="91"/>
      <c r="E1516" s="91"/>
      <c r="F1516" s="80"/>
      <c r="G1516" s="91"/>
      <c r="H1516" s="91"/>
    </row>
    <row r="1517" spans="2:8">
      <c r="B1517" s="91"/>
      <c r="C1517" s="36"/>
      <c r="D1517" s="91"/>
      <c r="E1517" s="91"/>
      <c r="F1517" s="80"/>
      <c r="G1517" s="91"/>
      <c r="H1517" s="91"/>
    </row>
    <row r="1518" spans="2:8">
      <c r="B1518" s="91"/>
      <c r="C1518" s="36"/>
      <c r="D1518" s="91"/>
      <c r="E1518" s="91"/>
      <c r="F1518" s="80"/>
      <c r="G1518" s="91"/>
      <c r="H1518" s="91"/>
    </row>
    <row r="1519" spans="2:8">
      <c r="B1519" s="91"/>
      <c r="C1519" s="36"/>
      <c r="D1519" s="91"/>
      <c r="E1519" s="91"/>
      <c r="F1519" s="80"/>
      <c r="G1519" s="91"/>
      <c r="H1519" s="91"/>
    </row>
    <row r="1520" spans="2:8">
      <c r="B1520" s="91"/>
      <c r="C1520" s="36"/>
      <c r="D1520" s="91"/>
      <c r="E1520" s="91"/>
      <c r="F1520" s="80"/>
      <c r="G1520" s="91"/>
      <c r="H1520" s="91"/>
    </row>
    <row r="1521" spans="2:8">
      <c r="B1521" s="91"/>
      <c r="C1521" s="36"/>
      <c r="D1521" s="91"/>
      <c r="E1521" s="91"/>
      <c r="F1521" s="80"/>
      <c r="G1521" s="91"/>
      <c r="H1521" s="91"/>
    </row>
    <row r="1522" spans="2:8">
      <c r="B1522" s="91"/>
      <c r="C1522" s="36"/>
      <c r="D1522" s="91"/>
      <c r="E1522" s="91"/>
      <c r="F1522" s="80"/>
      <c r="G1522" s="91"/>
      <c r="H1522" s="91"/>
    </row>
    <row r="1523" spans="2:8">
      <c r="B1523" s="91"/>
      <c r="C1523" s="36"/>
      <c r="D1523" s="91"/>
      <c r="E1523" s="91"/>
      <c r="F1523" s="80"/>
      <c r="G1523" s="91"/>
      <c r="H1523" s="91"/>
    </row>
    <row r="1524" spans="2:8">
      <c r="B1524" s="91"/>
      <c r="C1524" s="36"/>
      <c r="D1524" s="91"/>
      <c r="E1524" s="91"/>
      <c r="F1524" s="80"/>
      <c r="G1524" s="91"/>
      <c r="H1524" s="91"/>
    </row>
    <row r="1525" spans="2:8">
      <c r="B1525" s="91"/>
      <c r="C1525" s="36"/>
      <c r="D1525" s="91"/>
      <c r="E1525" s="91"/>
      <c r="F1525" s="80"/>
      <c r="G1525" s="91"/>
      <c r="H1525" s="91"/>
    </row>
    <row r="1526" spans="2:8">
      <c r="B1526" s="91"/>
      <c r="C1526" s="36"/>
      <c r="D1526" s="91"/>
      <c r="E1526" s="91"/>
      <c r="F1526" s="80"/>
      <c r="G1526" s="91"/>
      <c r="H1526" s="91"/>
    </row>
    <row r="1527" spans="2:8">
      <c r="B1527" s="91"/>
      <c r="C1527" s="36"/>
      <c r="D1527" s="91"/>
      <c r="E1527" s="91"/>
      <c r="F1527" s="80"/>
      <c r="G1527" s="91"/>
      <c r="H1527" s="91"/>
    </row>
    <row r="1528" spans="2:8">
      <c r="B1528" s="91"/>
      <c r="C1528" s="36"/>
      <c r="D1528" s="91"/>
      <c r="E1528" s="91"/>
      <c r="F1528" s="80"/>
      <c r="G1528" s="91"/>
      <c r="H1528" s="91"/>
    </row>
    <row r="1529" spans="2:8">
      <c r="B1529" s="91"/>
      <c r="C1529" s="36"/>
      <c r="D1529" s="91"/>
      <c r="E1529" s="91"/>
      <c r="F1529" s="80"/>
      <c r="G1529" s="91"/>
      <c r="H1529" s="91"/>
    </row>
    <row r="1530" spans="2:8">
      <c r="B1530" s="91"/>
      <c r="C1530" s="36"/>
      <c r="D1530" s="91"/>
      <c r="E1530" s="91"/>
      <c r="F1530" s="80"/>
      <c r="G1530" s="91"/>
      <c r="H1530" s="91"/>
    </row>
    <row r="1531" spans="2:8">
      <c r="B1531" s="91"/>
      <c r="C1531" s="36"/>
      <c r="D1531" s="91"/>
      <c r="E1531" s="91"/>
      <c r="F1531" s="80"/>
      <c r="G1531" s="91"/>
      <c r="H1531" s="91"/>
    </row>
    <row r="1532" spans="2:8">
      <c r="B1532" s="91"/>
      <c r="C1532" s="36"/>
      <c r="D1532" s="91"/>
      <c r="E1532" s="91"/>
      <c r="F1532" s="80"/>
      <c r="G1532" s="91"/>
      <c r="H1532" s="91"/>
    </row>
    <row r="1533" spans="2:8">
      <c r="B1533" s="91"/>
      <c r="C1533" s="36"/>
      <c r="D1533" s="91"/>
      <c r="E1533" s="91"/>
      <c r="F1533" s="80"/>
      <c r="G1533" s="91"/>
      <c r="H1533" s="91"/>
    </row>
    <row r="1534" spans="2:8">
      <c r="B1534" s="91"/>
      <c r="C1534" s="36"/>
      <c r="D1534" s="91"/>
      <c r="E1534" s="91"/>
      <c r="F1534" s="80"/>
      <c r="G1534" s="91"/>
      <c r="H1534" s="91"/>
    </row>
    <row r="1535" spans="2:8">
      <c r="B1535" s="91"/>
      <c r="C1535" s="36"/>
      <c r="D1535" s="91"/>
      <c r="E1535" s="91"/>
      <c r="F1535" s="80"/>
      <c r="G1535" s="91"/>
      <c r="H1535" s="91"/>
    </row>
    <row r="1536" spans="2:8">
      <c r="B1536" s="91"/>
      <c r="C1536" s="36"/>
      <c r="D1536" s="91"/>
      <c r="E1536" s="91"/>
      <c r="F1536" s="80"/>
      <c r="G1536" s="91"/>
      <c r="H1536" s="91"/>
    </row>
    <row r="1537" spans="2:8">
      <c r="B1537" s="91"/>
      <c r="C1537" s="36"/>
      <c r="D1537" s="91"/>
      <c r="E1537" s="91"/>
      <c r="F1537" s="80"/>
      <c r="G1537" s="91"/>
      <c r="H1537" s="91"/>
    </row>
    <row r="1538" spans="2:8">
      <c r="B1538" s="91"/>
      <c r="C1538" s="36"/>
      <c r="D1538" s="91"/>
      <c r="E1538" s="91"/>
      <c r="F1538" s="80"/>
      <c r="G1538" s="91"/>
      <c r="H1538" s="91"/>
    </row>
    <row r="1539" spans="2:8">
      <c r="B1539" s="91"/>
      <c r="C1539" s="36"/>
      <c r="D1539" s="91"/>
      <c r="E1539" s="91"/>
      <c r="F1539" s="80"/>
      <c r="G1539" s="91"/>
      <c r="H1539" s="91"/>
    </row>
    <row r="1540" spans="2:8">
      <c r="B1540" s="91"/>
      <c r="C1540" s="36"/>
      <c r="D1540" s="91"/>
      <c r="E1540" s="91"/>
      <c r="F1540" s="80"/>
      <c r="G1540" s="91"/>
      <c r="H1540" s="91"/>
    </row>
    <row r="1541" spans="2:8">
      <c r="B1541" s="91"/>
      <c r="C1541" s="36"/>
      <c r="D1541" s="91"/>
      <c r="E1541" s="91"/>
      <c r="F1541" s="80"/>
      <c r="G1541" s="91"/>
      <c r="H1541" s="91"/>
    </row>
    <row r="1542" spans="2:8">
      <c r="B1542" s="91"/>
      <c r="C1542" s="36"/>
      <c r="D1542" s="91"/>
      <c r="E1542" s="91"/>
      <c r="F1542" s="80"/>
      <c r="G1542" s="91"/>
      <c r="H1542" s="91"/>
    </row>
    <row r="1543" spans="2:8">
      <c r="B1543" s="91"/>
      <c r="C1543" s="36"/>
      <c r="D1543" s="91"/>
      <c r="E1543" s="91"/>
      <c r="F1543" s="80"/>
      <c r="G1543" s="91"/>
      <c r="H1543" s="91"/>
    </row>
    <row r="1544" spans="2:8">
      <c r="B1544" s="91"/>
      <c r="C1544" s="36"/>
      <c r="D1544" s="91"/>
      <c r="E1544" s="91"/>
      <c r="F1544" s="80"/>
      <c r="G1544" s="91"/>
      <c r="H1544" s="91"/>
    </row>
    <row r="1545" spans="2:8">
      <c r="B1545" s="91"/>
      <c r="C1545" s="36"/>
      <c r="D1545" s="91"/>
      <c r="E1545" s="91"/>
      <c r="F1545" s="80"/>
      <c r="G1545" s="91"/>
      <c r="H1545" s="91"/>
    </row>
    <row r="1546" spans="2:8">
      <c r="B1546" s="91"/>
      <c r="C1546" s="36"/>
      <c r="D1546" s="91"/>
      <c r="E1546" s="91"/>
      <c r="F1546" s="80"/>
      <c r="G1546" s="91"/>
      <c r="H1546" s="91"/>
    </row>
    <row r="1547" spans="2:8">
      <c r="B1547" s="91"/>
      <c r="C1547" s="36"/>
      <c r="D1547" s="91"/>
      <c r="E1547" s="91"/>
      <c r="F1547" s="80"/>
      <c r="G1547" s="91"/>
      <c r="H1547" s="91"/>
    </row>
    <row r="1548" spans="2:8">
      <c r="B1548" s="91"/>
      <c r="C1548" s="36"/>
      <c r="D1548" s="91"/>
      <c r="E1548" s="91"/>
      <c r="F1548" s="80"/>
      <c r="G1548" s="91"/>
      <c r="H1548" s="91"/>
    </row>
    <row r="1549" spans="2:8">
      <c r="B1549" s="91"/>
      <c r="C1549" s="36"/>
      <c r="D1549" s="91"/>
      <c r="E1549" s="91"/>
      <c r="F1549" s="80"/>
      <c r="G1549" s="91"/>
      <c r="H1549" s="91"/>
    </row>
    <row r="1550" spans="2:8">
      <c r="B1550" s="91"/>
      <c r="C1550" s="36"/>
      <c r="D1550" s="91"/>
      <c r="E1550" s="91"/>
      <c r="F1550" s="80"/>
      <c r="G1550" s="91"/>
      <c r="H1550" s="91"/>
    </row>
    <row r="1551" spans="2:8">
      <c r="B1551" s="91"/>
      <c r="C1551" s="36"/>
      <c r="D1551" s="91"/>
      <c r="E1551" s="91"/>
      <c r="F1551" s="80"/>
      <c r="G1551" s="91"/>
      <c r="H1551" s="91"/>
    </row>
    <row r="1552" spans="2:8">
      <c r="B1552" s="91"/>
      <c r="C1552" s="36"/>
      <c r="D1552" s="91"/>
      <c r="E1552" s="91"/>
      <c r="F1552" s="80"/>
      <c r="G1552" s="91"/>
      <c r="H1552" s="91"/>
    </row>
    <row r="1553" spans="2:8">
      <c r="B1553" s="91"/>
      <c r="C1553" s="36"/>
      <c r="D1553" s="91"/>
      <c r="E1553" s="91"/>
      <c r="F1553" s="80"/>
      <c r="G1553" s="91"/>
      <c r="H1553" s="91"/>
    </row>
    <row r="1554" spans="2:8">
      <c r="B1554" s="91"/>
      <c r="C1554" s="36"/>
      <c r="D1554" s="91"/>
      <c r="E1554" s="91"/>
      <c r="F1554" s="80"/>
      <c r="G1554" s="91"/>
      <c r="H1554" s="91"/>
    </row>
    <row r="1555" spans="2:8">
      <c r="B1555" s="91"/>
      <c r="C1555" s="36"/>
      <c r="D1555" s="91"/>
      <c r="E1555" s="91"/>
      <c r="F1555" s="80"/>
      <c r="G1555" s="91"/>
      <c r="H1555" s="91"/>
    </row>
    <row r="1556" spans="2:8">
      <c r="B1556" s="91"/>
      <c r="C1556" s="36"/>
      <c r="D1556" s="91"/>
      <c r="E1556" s="91"/>
      <c r="F1556" s="80"/>
      <c r="G1556" s="91"/>
      <c r="H1556" s="91"/>
    </row>
    <row r="1557" spans="2:8">
      <c r="B1557" s="91"/>
      <c r="C1557" s="36"/>
      <c r="D1557" s="91"/>
      <c r="E1557" s="91"/>
      <c r="F1557" s="80"/>
      <c r="G1557" s="91"/>
      <c r="H1557" s="91"/>
    </row>
    <row r="1558" spans="2:8">
      <c r="B1558" s="91"/>
      <c r="C1558" s="36"/>
      <c r="D1558" s="91"/>
      <c r="E1558" s="91"/>
      <c r="F1558" s="80"/>
      <c r="G1558" s="91"/>
      <c r="H1558" s="91"/>
    </row>
    <row r="1559" spans="2:8">
      <c r="B1559" s="91"/>
      <c r="C1559" s="36"/>
      <c r="D1559" s="91"/>
      <c r="E1559" s="91"/>
      <c r="F1559" s="80"/>
      <c r="G1559" s="91"/>
      <c r="H1559" s="91"/>
    </row>
    <row r="1560" spans="2:8">
      <c r="B1560" s="91"/>
      <c r="C1560" s="36"/>
      <c r="D1560" s="91"/>
      <c r="E1560" s="91"/>
      <c r="F1560" s="80"/>
      <c r="G1560" s="91"/>
      <c r="H1560" s="91"/>
    </row>
    <row r="1561" spans="2:8">
      <c r="B1561" s="91"/>
      <c r="C1561" s="36"/>
      <c r="D1561" s="91"/>
      <c r="E1561" s="91"/>
      <c r="F1561" s="80"/>
      <c r="G1561" s="91"/>
      <c r="H1561" s="91"/>
    </row>
    <row r="1562" spans="2:8">
      <c r="B1562" s="91"/>
      <c r="C1562" s="36"/>
      <c r="D1562" s="91"/>
      <c r="E1562" s="91"/>
      <c r="F1562" s="80"/>
      <c r="G1562" s="91"/>
      <c r="H1562" s="91"/>
    </row>
    <row r="1563" spans="2:8">
      <c r="B1563" s="91"/>
      <c r="C1563" s="36"/>
      <c r="D1563" s="91"/>
      <c r="E1563" s="91"/>
      <c r="F1563" s="80"/>
      <c r="G1563" s="91"/>
      <c r="H1563" s="91"/>
    </row>
    <row r="1564" spans="2:8">
      <c r="B1564" s="91"/>
      <c r="C1564" s="36"/>
      <c r="D1564" s="91"/>
      <c r="E1564" s="91"/>
      <c r="F1564" s="80"/>
      <c r="G1564" s="91"/>
      <c r="H1564" s="91"/>
    </row>
    <row r="1565" spans="2:8">
      <c r="B1565" s="91"/>
      <c r="C1565" s="36"/>
      <c r="D1565" s="91"/>
      <c r="E1565" s="91"/>
      <c r="F1565" s="80"/>
      <c r="G1565" s="91"/>
      <c r="H1565" s="91"/>
    </row>
    <row r="1566" spans="2:8">
      <c r="B1566" s="91"/>
      <c r="C1566" s="36"/>
      <c r="D1566" s="91"/>
      <c r="E1566" s="91"/>
      <c r="F1566" s="80"/>
      <c r="G1566" s="91"/>
      <c r="H1566" s="91"/>
    </row>
    <row r="1567" spans="2:8">
      <c r="B1567" s="91"/>
      <c r="C1567" s="36"/>
      <c r="D1567" s="91"/>
      <c r="E1567" s="91"/>
      <c r="F1567" s="80"/>
      <c r="G1567" s="91"/>
      <c r="H1567" s="91"/>
    </row>
    <row r="1568" spans="2:8">
      <c r="B1568" s="91"/>
      <c r="C1568" s="36"/>
      <c r="D1568" s="91"/>
      <c r="E1568" s="91"/>
      <c r="F1568" s="80"/>
      <c r="G1568" s="91"/>
      <c r="H1568" s="91"/>
    </row>
    <row r="1569" spans="2:8">
      <c r="B1569" s="91"/>
      <c r="C1569" s="36"/>
      <c r="D1569" s="91"/>
      <c r="E1569" s="91"/>
      <c r="F1569" s="80"/>
      <c r="G1569" s="91"/>
      <c r="H1569" s="91"/>
    </row>
    <row r="1570" spans="2:8">
      <c r="B1570" s="91"/>
      <c r="C1570" s="36"/>
      <c r="D1570" s="91"/>
      <c r="E1570" s="91"/>
      <c r="F1570" s="80"/>
      <c r="G1570" s="91"/>
      <c r="H1570" s="91"/>
    </row>
    <row r="1571" spans="2:8">
      <c r="B1571" s="91"/>
      <c r="C1571" s="36"/>
      <c r="D1571" s="91"/>
      <c r="E1571" s="91"/>
      <c r="F1571" s="80"/>
      <c r="G1571" s="91"/>
      <c r="H1571" s="91"/>
    </row>
    <row r="1572" spans="2:8">
      <c r="B1572" s="91"/>
      <c r="C1572" s="36"/>
      <c r="D1572" s="91"/>
      <c r="E1572" s="91"/>
      <c r="F1572" s="80"/>
      <c r="G1572" s="91"/>
      <c r="H1572" s="91"/>
    </row>
    <row r="1573" spans="2:8">
      <c r="B1573" s="91"/>
      <c r="C1573" s="36"/>
      <c r="D1573" s="91"/>
      <c r="E1573" s="91"/>
      <c r="F1573" s="80"/>
      <c r="G1573" s="91"/>
      <c r="H1573" s="91"/>
    </row>
    <row r="1574" spans="2:8">
      <c r="B1574" s="91"/>
      <c r="C1574" s="36"/>
      <c r="D1574" s="91"/>
      <c r="E1574" s="91"/>
      <c r="F1574" s="80"/>
      <c r="G1574" s="91"/>
      <c r="H1574" s="91"/>
    </row>
    <row r="1575" spans="2:8">
      <c r="B1575" s="91"/>
      <c r="C1575" s="36"/>
      <c r="D1575" s="91"/>
      <c r="E1575" s="91"/>
      <c r="F1575" s="80"/>
      <c r="G1575" s="91"/>
      <c r="H1575" s="91"/>
    </row>
    <row r="1576" spans="2:8">
      <c r="B1576" s="91"/>
      <c r="C1576" s="36"/>
      <c r="D1576" s="91"/>
      <c r="E1576" s="91"/>
      <c r="F1576" s="80"/>
      <c r="G1576" s="91"/>
      <c r="H1576" s="91"/>
    </row>
    <row r="1577" spans="2:8">
      <c r="B1577" s="91"/>
      <c r="C1577" s="36"/>
      <c r="D1577" s="91"/>
      <c r="E1577" s="91"/>
      <c r="F1577" s="80"/>
      <c r="G1577" s="91"/>
      <c r="H1577" s="91"/>
    </row>
    <row r="1578" spans="2:8">
      <c r="B1578" s="91"/>
      <c r="C1578" s="36"/>
      <c r="D1578" s="91"/>
      <c r="E1578" s="91"/>
      <c r="F1578" s="80"/>
      <c r="G1578" s="91"/>
      <c r="H1578" s="91"/>
    </row>
    <row r="1579" spans="2:8">
      <c r="B1579" s="91"/>
      <c r="C1579" s="36"/>
      <c r="D1579" s="91"/>
      <c r="E1579" s="91"/>
      <c r="F1579" s="80"/>
      <c r="G1579" s="91"/>
      <c r="H1579" s="91"/>
    </row>
    <row r="1580" spans="2:8">
      <c r="B1580" s="91"/>
      <c r="C1580" s="36"/>
      <c r="D1580" s="91"/>
      <c r="E1580" s="91"/>
      <c r="F1580" s="80"/>
      <c r="G1580" s="91"/>
      <c r="H1580" s="91"/>
    </row>
    <row r="1581" spans="2:8">
      <c r="B1581" s="91"/>
      <c r="C1581" s="36"/>
      <c r="D1581" s="91"/>
      <c r="E1581" s="91"/>
      <c r="F1581" s="80"/>
      <c r="G1581" s="91"/>
      <c r="H1581" s="91"/>
    </row>
    <row r="1582" spans="2:8">
      <c r="B1582" s="91"/>
      <c r="C1582" s="36"/>
      <c r="D1582" s="91"/>
      <c r="E1582" s="91"/>
      <c r="F1582" s="80"/>
      <c r="G1582" s="91"/>
      <c r="H1582" s="91"/>
    </row>
    <row r="1583" spans="2:8">
      <c r="B1583" s="91"/>
      <c r="C1583" s="36"/>
      <c r="D1583" s="91"/>
      <c r="E1583" s="91"/>
      <c r="F1583" s="80"/>
      <c r="G1583" s="91"/>
      <c r="H1583" s="91"/>
    </row>
    <row r="1584" spans="2:8">
      <c r="B1584" s="91"/>
      <c r="C1584" s="36"/>
      <c r="D1584" s="91"/>
      <c r="E1584" s="91"/>
      <c r="F1584" s="80"/>
      <c r="G1584" s="91"/>
      <c r="H1584" s="91"/>
    </row>
    <row r="1585" spans="2:8">
      <c r="B1585" s="91"/>
      <c r="C1585" s="36"/>
      <c r="D1585" s="91"/>
      <c r="E1585" s="91"/>
      <c r="F1585" s="80"/>
      <c r="G1585" s="91"/>
      <c r="H1585" s="91"/>
    </row>
    <row r="1586" spans="2:8">
      <c r="B1586" s="91"/>
      <c r="C1586" s="36"/>
      <c r="D1586" s="91"/>
      <c r="E1586" s="91"/>
      <c r="F1586" s="80"/>
      <c r="G1586" s="91"/>
      <c r="H1586" s="91"/>
    </row>
    <row r="1587" spans="2:8">
      <c r="B1587" s="91"/>
      <c r="C1587" s="36"/>
      <c r="D1587" s="91"/>
      <c r="E1587" s="91"/>
      <c r="F1587" s="80"/>
      <c r="G1587" s="91"/>
      <c r="H1587" s="91"/>
    </row>
    <row r="1588" spans="2:8">
      <c r="B1588" s="91"/>
      <c r="C1588" s="36"/>
      <c r="D1588" s="91"/>
      <c r="E1588" s="91"/>
      <c r="F1588" s="80"/>
      <c r="G1588" s="91"/>
      <c r="H1588" s="91"/>
    </row>
    <row r="1589" spans="2:8">
      <c r="B1589" s="91"/>
      <c r="C1589" s="36"/>
      <c r="D1589" s="91"/>
      <c r="E1589" s="91"/>
      <c r="F1589" s="80"/>
      <c r="G1589" s="91"/>
      <c r="H1589" s="91"/>
    </row>
    <row r="1590" spans="2:8">
      <c r="B1590" s="91"/>
      <c r="C1590" s="36"/>
      <c r="D1590" s="91"/>
      <c r="E1590" s="91"/>
      <c r="F1590" s="80"/>
      <c r="G1590" s="91"/>
      <c r="H1590" s="91"/>
    </row>
    <row r="1591" spans="2:8">
      <c r="B1591" s="91"/>
      <c r="C1591" s="36"/>
      <c r="D1591" s="91"/>
      <c r="E1591" s="91"/>
      <c r="F1591" s="80"/>
      <c r="G1591" s="91"/>
      <c r="H1591" s="91"/>
    </row>
    <row r="1592" spans="2:8">
      <c r="B1592" s="91"/>
      <c r="C1592" s="36"/>
      <c r="D1592" s="91"/>
      <c r="E1592" s="91"/>
      <c r="F1592" s="80"/>
      <c r="G1592" s="91"/>
      <c r="H1592" s="91"/>
    </row>
    <row r="1593" spans="2:8">
      <c r="B1593" s="91"/>
      <c r="C1593" s="36"/>
      <c r="D1593" s="91"/>
      <c r="E1593" s="91"/>
      <c r="F1593" s="80"/>
      <c r="G1593" s="91"/>
      <c r="H1593" s="91"/>
    </row>
    <row r="1594" spans="2:8">
      <c r="B1594" s="91"/>
      <c r="C1594" s="36"/>
      <c r="D1594" s="91"/>
      <c r="E1594" s="91"/>
      <c r="F1594" s="80"/>
      <c r="G1594" s="91"/>
      <c r="H1594" s="91"/>
    </row>
    <row r="1595" spans="2:8">
      <c r="B1595" s="91"/>
      <c r="C1595" s="36"/>
      <c r="D1595" s="91"/>
      <c r="E1595" s="91"/>
      <c r="F1595" s="80"/>
      <c r="G1595" s="91"/>
      <c r="H1595" s="91"/>
    </row>
    <row r="1596" spans="2:8">
      <c r="B1596" s="91"/>
      <c r="C1596" s="36"/>
      <c r="D1596" s="91"/>
      <c r="E1596" s="91"/>
      <c r="F1596" s="80"/>
      <c r="G1596" s="91"/>
      <c r="H1596" s="91"/>
    </row>
    <row r="1597" spans="2:8">
      <c r="B1597" s="91"/>
      <c r="C1597" s="36"/>
      <c r="D1597" s="91"/>
      <c r="E1597" s="91"/>
      <c r="F1597" s="80"/>
      <c r="G1597" s="91"/>
      <c r="H1597" s="91"/>
    </row>
    <row r="1598" spans="2:8">
      <c r="B1598" s="91"/>
      <c r="C1598" s="36"/>
      <c r="D1598" s="91"/>
      <c r="E1598" s="91"/>
      <c r="F1598" s="80"/>
      <c r="G1598" s="91"/>
      <c r="H1598" s="91"/>
    </row>
    <row r="1599" spans="2:8">
      <c r="B1599" s="91"/>
      <c r="C1599" s="36"/>
      <c r="D1599" s="91"/>
      <c r="E1599" s="91"/>
      <c r="F1599" s="80"/>
      <c r="G1599" s="91"/>
      <c r="H1599" s="91"/>
    </row>
    <row r="1600" spans="2:8">
      <c r="B1600" s="91"/>
      <c r="C1600" s="36"/>
      <c r="D1600" s="91"/>
      <c r="E1600" s="91"/>
      <c r="F1600" s="80"/>
      <c r="G1600" s="91"/>
      <c r="H1600" s="91"/>
    </row>
    <row r="1601" spans="2:8">
      <c r="B1601" s="91"/>
      <c r="C1601" s="36"/>
      <c r="D1601" s="91"/>
      <c r="E1601" s="91"/>
      <c r="F1601" s="80"/>
      <c r="G1601" s="91"/>
      <c r="H1601" s="91"/>
    </row>
    <row r="1602" spans="2:8">
      <c r="B1602" s="91"/>
      <c r="C1602" s="36"/>
      <c r="D1602" s="91"/>
      <c r="E1602" s="91"/>
      <c r="F1602" s="80"/>
      <c r="G1602" s="91"/>
      <c r="H1602" s="91"/>
    </row>
    <row r="1603" spans="2:8">
      <c r="B1603" s="91"/>
      <c r="C1603" s="36"/>
      <c r="D1603" s="91"/>
      <c r="E1603" s="91"/>
      <c r="F1603" s="80"/>
      <c r="G1603" s="91"/>
      <c r="H1603" s="91"/>
    </row>
    <row r="1604" spans="2:8">
      <c r="B1604" s="91"/>
      <c r="C1604" s="36"/>
      <c r="D1604" s="91"/>
      <c r="E1604" s="91"/>
      <c r="F1604" s="80"/>
      <c r="G1604" s="91"/>
      <c r="H1604" s="91"/>
    </row>
    <row r="1605" spans="2:8">
      <c r="B1605" s="91"/>
      <c r="C1605" s="36"/>
      <c r="D1605" s="91"/>
      <c r="E1605" s="91"/>
      <c r="F1605" s="80"/>
      <c r="G1605" s="91"/>
      <c r="H1605" s="91"/>
    </row>
    <row r="1606" spans="2:8">
      <c r="B1606" s="91"/>
      <c r="C1606" s="36"/>
      <c r="D1606" s="91"/>
      <c r="E1606" s="91"/>
      <c r="F1606" s="80"/>
      <c r="G1606" s="91"/>
      <c r="H1606" s="91"/>
    </row>
    <row r="1607" spans="2:8">
      <c r="B1607" s="91"/>
      <c r="C1607" s="36"/>
      <c r="D1607" s="91"/>
      <c r="E1607" s="91"/>
      <c r="F1607" s="80"/>
      <c r="G1607" s="91"/>
      <c r="H1607" s="91"/>
    </row>
    <row r="1608" spans="2:8">
      <c r="B1608" s="91"/>
      <c r="C1608" s="36"/>
      <c r="D1608" s="91"/>
      <c r="E1608" s="91"/>
      <c r="F1608" s="80"/>
      <c r="G1608" s="91"/>
      <c r="H1608" s="91"/>
    </row>
    <row r="1609" spans="2:8">
      <c r="B1609" s="91"/>
      <c r="C1609" s="36"/>
      <c r="D1609" s="91"/>
      <c r="E1609" s="91"/>
      <c r="F1609" s="80"/>
      <c r="G1609" s="91"/>
      <c r="H1609" s="91"/>
    </row>
    <row r="1610" spans="2:8">
      <c r="B1610" s="91"/>
      <c r="C1610" s="36"/>
      <c r="D1610" s="91"/>
      <c r="E1610" s="91"/>
      <c r="F1610" s="80"/>
      <c r="G1610" s="91"/>
      <c r="H1610" s="91"/>
    </row>
    <row r="1611" spans="2:8">
      <c r="B1611" s="91"/>
      <c r="C1611" s="36"/>
      <c r="D1611" s="91"/>
      <c r="E1611" s="91"/>
      <c r="F1611" s="80"/>
      <c r="G1611" s="91"/>
      <c r="H1611" s="91"/>
    </row>
    <row r="1612" spans="2:8">
      <c r="B1612" s="91"/>
      <c r="C1612" s="36"/>
      <c r="D1612" s="91"/>
      <c r="E1612" s="91"/>
      <c r="F1612" s="80"/>
      <c r="G1612" s="91"/>
      <c r="H1612" s="91"/>
    </row>
    <row r="1613" spans="2:8">
      <c r="B1613" s="91"/>
      <c r="C1613" s="36"/>
      <c r="D1613" s="91"/>
      <c r="E1613" s="91"/>
      <c r="F1613" s="80"/>
      <c r="G1613" s="91"/>
      <c r="H1613" s="91"/>
    </row>
    <row r="1614" spans="2:8">
      <c r="B1614" s="91"/>
      <c r="C1614" s="36"/>
      <c r="D1614" s="91"/>
      <c r="E1614" s="91"/>
      <c r="F1614" s="80"/>
      <c r="G1614" s="91"/>
      <c r="H1614" s="91"/>
    </row>
    <row r="1615" spans="2:8">
      <c r="B1615" s="91"/>
      <c r="C1615" s="36"/>
      <c r="D1615" s="91"/>
      <c r="E1615" s="91"/>
      <c r="F1615" s="80"/>
      <c r="G1615" s="91"/>
      <c r="H1615" s="91"/>
    </row>
    <row r="1616" spans="2:8">
      <c r="B1616" s="91"/>
      <c r="C1616" s="36"/>
      <c r="D1616" s="91"/>
      <c r="E1616" s="91"/>
      <c r="F1616" s="80"/>
      <c r="G1616" s="91"/>
      <c r="H1616" s="91"/>
    </row>
    <row r="1617" spans="2:8">
      <c r="B1617" s="91"/>
      <c r="C1617" s="36"/>
      <c r="D1617" s="91"/>
      <c r="E1617" s="91"/>
      <c r="F1617" s="80"/>
      <c r="G1617" s="91"/>
      <c r="H1617" s="91"/>
    </row>
    <row r="1618" spans="2:8">
      <c r="B1618" s="91"/>
      <c r="C1618" s="36"/>
      <c r="D1618" s="91"/>
      <c r="E1618" s="91"/>
      <c r="F1618" s="80"/>
      <c r="G1618" s="91"/>
      <c r="H1618" s="91"/>
    </row>
    <row r="1619" spans="2:8">
      <c r="B1619" s="91"/>
      <c r="C1619" s="36"/>
      <c r="D1619" s="91"/>
      <c r="E1619" s="91"/>
      <c r="F1619" s="80"/>
      <c r="G1619" s="91"/>
      <c r="H1619" s="91"/>
    </row>
    <row r="1620" spans="2:8">
      <c r="B1620" s="91"/>
      <c r="C1620" s="36"/>
      <c r="D1620" s="91"/>
      <c r="E1620" s="91"/>
      <c r="F1620" s="80"/>
      <c r="G1620" s="91"/>
      <c r="H1620" s="91"/>
    </row>
    <row r="1621" spans="2:8">
      <c r="B1621" s="91"/>
      <c r="C1621" s="36"/>
      <c r="D1621" s="91"/>
      <c r="E1621" s="91"/>
      <c r="F1621" s="80"/>
      <c r="G1621" s="91"/>
      <c r="H1621" s="91"/>
    </row>
    <row r="1622" spans="2:8">
      <c r="B1622" s="91"/>
      <c r="C1622" s="36"/>
      <c r="D1622" s="91"/>
      <c r="E1622" s="91"/>
      <c r="F1622" s="80"/>
      <c r="G1622" s="91"/>
      <c r="H1622" s="91"/>
    </row>
    <row r="1623" spans="2:8">
      <c r="B1623" s="91"/>
      <c r="C1623" s="36"/>
      <c r="D1623" s="91"/>
      <c r="E1623" s="91"/>
      <c r="F1623" s="80"/>
      <c r="G1623" s="91"/>
      <c r="H1623" s="91"/>
    </row>
    <row r="1624" spans="2:8">
      <c r="B1624" s="91"/>
      <c r="C1624" s="36"/>
      <c r="D1624" s="91"/>
      <c r="E1624" s="91"/>
      <c r="F1624" s="80"/>
      <c r="G1624" s="91"/>
      <c r="H1624" s="91"/>
    </row>
    <row r="1625" spans="2:8">
      <c r="B1625" s="91"/>
      <c r="C1625" s="36"/>
      <c r="D1625" s="91"/>
      <c r="E1625" s="91"/>
      <c r="F1625" s="80"/>
      <c r="G1625" s="91"/>
      <c r="H1625" s="91"/>
    </row>
    <row r="1626" spans="2:8">
      <c r="B1626" s="91"/>
      <c r="C1626" s="36"/>
      <c r="D1626" s="91"/>
      <c r="E1626" s="91"/>
      <c r="F1626" s="80"/>
      <c r="G1626" s="91"/>
      <c r="H1626" s="91"/>
    </row>
    <row r="1627" spans="2:8">
      <c r="B1627" s="91"/>
      <c r="C1627" s="36"/>
      <c r="D1627" s="91"/>
      <c r="E1627" s="91"/>
      <c r="F1627" s="80"/>
      <c r="G1627" s="91"/>
      <c r="H1627" s="91"/>
    </row>
    <row r="1628" spans="2:8">
      <c r="B1628" s="91"/>
      <c r="C1628" s="36"/>
      <c r="D1628" s="91"/>
      <c r="E1628" s="91"/>
      <c r="F1628" s="80"/>
      <c r="G1628" s="91"/>
      <c r="H1628" s="91"/>
    </row>
    <row r="1629" spans="2:8">
      <c r="B1629" s="91"/>
      <c r="C1629" s="36"/>
      <c r="D1629" s="91"/>
      <c r="E1629" s="91"/>
      <c r="F1629" s="80"/>
      <c r="G1629" s="91"/>
      <c r="H1629" s="91"/>
    </row>
    <row r="1630" spans="2:8">
      <c r="B1630" s="91"/>
      <c r="C1630" s="36"/>
      <c r="D1630" s="91"/>
      <c r="E1630" s="91"/>
      <c r="F1630" s="80"/>
      <c r="G1630" s="91"/>
      <c r="H1630" s="91"/>
    </row>
    <row r="1631" spans="2:8">
      <c r="B1631" s="91"/>
      <c r="C1631" s="36"/>
      <c r="D1631" s="91"/>
      <c r="E1631" s="91"/>
      <c r="F1631" s="80"/>
      <c r="G1631" s="91"/>
      <c r="H1631" s="91"/>
    </row>
    <row r="1632" spans="2:8">
      <c r="B1632" s="91"/>
      <c r="C1632" s="36"/>
      <c r="D1632" s="91"/>
      <c r="E1632" s="91"/>
      <c r="F1632" s="80"/>
      <c r="G1632" s="91"/>
      <c r="H1632" s="91"/>
    </row>
    <row r="1633" spans="2:8">
      <c r="B1633" s="91"/>
      <c r="C1633" s="36"/>
      <c r="D1633" s="91"/>
      <c r="E1633" s="91"/>
      <c r="F1633" s="80"/>
      <c r="G1633" s="91"/>
      <c r="H1633" s="91"/>
    </row>
    <row r="1634" spans="2:8">
      <c r="B1634" s="91"/>
      <c r="C1634" s="36"/>
      <c r="D1634" s="91"/>
      <c r="E1634" s="91"/>
      <c r="F1634" s="80"/>
      <c r="G1634" s="91"/>
      <c r="H1634" s="91"/>
    </row>
    <row r="1635" spans="2:8">
      <c r="B1635" s="91"/>
      <c r="C1635" s="36"/>
      <c r="D1635" s="91"/>
      <c r="E1635" s="91"/>
      <c r="F1635" s="80"/>
      <c r="G1635" s="91"/>
      <c r="H1635" s="91"/>
    </row>
    <row r="1636" spans="2:8">
      <c r="B1636" s="91"/>
      <c r="C1636" s="36"/>
      <c r="D1636" s="91"/>
      <c r="E1636" s="91"/>
      <c r="F1636" s="80"/>
      <c r="G1636" s="91"/>
      <c r="H1636" s="91"/>
    </row>
    <row r="1637" spans="2:8">
      <c r="B1637" s="91"/>
      <c r="C1637" s="36"/>
      <c r="D1637" s="91"/>
      <c r="E1637" s="91"/>
      <c r="F1637" s="80"/>
      <c r="G1637" s="91"/>
      <c r="H1637" s="91"/>
    </row>
    <row r="1638" spans="2:8">
      <c r="B1638" s="91"/>
      <c r="C1638" s="36"/>
      <c r="D1638" s="91"/>
      <c r="E1638" s="91"/>
      <c r="F1638" s="80"/>
      <c r="G1638" s="91"/>
      <c r="H1638" s="91"/>
    </row>
    <row r="1639" spans="2:8">
      <c r="B1639" s="91"/>
      <c r="C1639" s="36"/>
      <c r="D1639" s="91"/>
      <c r="E1639" s="91"/>
      <c r="F1639" s="80"/>
      <c r="G1639" s="91"/>
      <c r="H1639" s="91"/>
    </row>
    <row r="1640" spans="2:8">
      <c r="B1640" s="91"/>
      <c r="C1640" s="36"/>
      <c r="D1640" s="91"/>
      <c r="E1640" s="91"/>
      <c r="F1640" s="80"/>
      <c r="G1640" s="91"/>
      <c r="H1640" s="91"/>
    </row>
    <row r="1641" spans="2:8">
      <c r="B1641" s="91"/>
      <c r="C1641" s="36"/>
      <c r="D1641" s="91"/>
      <c r="E1641" s="91"/>
      <c r="F1641" s="80"/>
      <c r="G1641" s="91"/>
      <c r="H1641" s="91"/>
    </row>
    <row r="1642" spans="2:8">
      <c r="B1642" s="91"/>
      <c r="C1642" s="36"/>
      <c r="D1642" s="91"/>
      <c r="E1642" s="91"/>
      <c r="F1642" s="80"/>
      <c r="G1642" s="91"/>
      <c r="H1642" s="91"/>
    </row>
    <row r="1643" spans="2:8">
      <c r="B1643" s="91"/>
      <c r="C1643" s="36"/>
      <c r="D1643" s="91"/>
      <c r="E1643" s="91"/>
      <c r="F1643" s="80"/>
      <c r="G1643" s="91"/>
      <c r="H1643" s="91"/>
    </row>
    <row r="1644" spans="2:8">
      <c r="B1644" s="91"/>
      <c r="C1644" s="36"/>
      <c r="D1644" s="91"/>
      <c r="E1644" s="91"/>
      <c r="F1644" s="80"/>
      <c r="G1644" s="91"/>
      <c r="H1644" s="91"/>
    </row>
    <row r="1645" spans="2:8">
      <c r="B1645" s="91"/>
      <c r="C1645" s="36"/>
      <c r="D1645" s="91"/>
      <c r="E1645" s="91"/>
      <c r="F1645" s="80"/>
      <c r="G1645" s="91"/>
      <c r="H1645" s="91"/>
    </row>
    <row r="1646" spans="2:8">
      <c r="B1646" s="91"/>
      <c r="C1646" s="36"/>
      <c r="D1646" s="91"/>
      <c r="E1646" s="91"/>
      <c r="F1646" s="80"/>
      <c r="G1646" s="91"/>
      <c r="H1646" s="91"/>
    </row>
    <row r="1647" spans="2:8">
      <c r="B1647" s="91"/>
      <c r="C1647" s="36"/>
      <c r="D1647" s="91"/>
      <c r="E1647" s="91"/>
      <c r="F1647" s="80"/>
      <c r="G1647" s="91"/>
      <c r="H1647" s="91"/>
    </row>
    <row r="1648" spans="2:8">
      <c r="B1648" s="91"/>
      <c r="C1648" s="36"/>
      <c r="D1648" s="91"/>
      <c r="E1648" s="91"/>
      <c r="F1648" s="80"/>
      <c r="G1648" s="91"/>
      <c r="H1648" s="91"/>
    </row>
    <row r="1649" spans="2:8">
      <c r="B1649" s="91"/>
      <c r="C1649" s="36"/>
      <c r="D1649" s="91"/>
      <c r="E1649" s="91"/>
      <c r="F1649" s="80"/>
      <c r="G1649" s="91"/>
      <c r="H1649" s="91"/>
    </row>
    <row r="1650" spans="2:8">
      <c r="B1650" s="91"/>
      <c r="C1650" s="36"/>
      <c r="D1650" s="91"/>
      <c r="E1650" s="91"/>
      <c r="F1650" s="80"/>
      <c r="G1650" s="91"/>
      <c r="H1650" s="91"/>
    </row>
    <row r="1651" spans="2:8">
      <c r="B1651" s="91"/>
      <c r="C1651" s="36"/>
      <c r="D1651" s="91"/>
      <c r="E1651" s="91"/>
      <c r="F1651" s="80"/>
      <c r="G1651" s="91"/>
      <c r="H1651" s="91"/>
    </row>
    <row r="1652" spans="2:8">
      <c r="B1652" s="91"/>
      <c r="C1652" s="36"/>
      <c r="D1652" s="91"/>
      <c r="E1652" s="91"/>
      <c r="F1652" s="80"/>
      <c r="G1652" s="91"/>
      <c r="H1652" s="91"/>
    </row>
    <row r="1653" spans="2:8">
      <c r="B1653" s="91"/>
      <c r="C1653" s="36"/>
      <c r="D1653" s="91"/>
      <c r="E1653" s="91"/>
      <c r="F1653" s="80"/>
      <c r="G1653" s="91"/>
      <c r="H1653" s="91"/>
    </row>
    <row r="1654" spans="2:8">
      <c r="B1654" s="91"/>
      <c r="C1654" s="36"/>
      <c r="D1654" s="91"/>
      <c r="E1654" s="91"/>
      <c r="F1654" s="80"/>
      <c r="G1654" s="91"/>
      <c r="H1654" s="91"/>
    </row>
    <row r="1655" spans="2:8">
      <c r="B1655" s="91"/>
      <c r="C1655" s="36"/>
      <c r="D1655" s="91"/>
      <c r="E1655" s="91"/>
      <c r="F1655" s="80"/>
      <c r="G1655" s="91"/>
      <c r="H1655" s="91"/>
    </row>
    <row r="1656" spans="2:8">
      <c r="B1656" s="91"/>
      <c r="C1656" s="36"/>
      <c r="D1656" s="91"/>
      <c r="E1656" s="91"/>
      <c r="F1656" s="80"/>
      <c r="G1656" s="91"/>
      <c r="H1656" s="91"/>
    </row>
    <row r="1657" spans="2:8">
      <c r="B1657" s="91"/>
      <c r="C1657" s="36"/>
      <c r="D1657" s="91"/>
      <c r="E1657" s="91"/>
      <c r="F1657" s="80"/>
      <c r="G1657" s="91"/>
      <c r="H1657" s="91"/>
    </row>
    <row r="1658" spans="2:8">
      <c r="B1658" s="91"/>
      <c r="C1658" s="36"/>
      <c r="D1658" s="91"/>
      <c r="E1658" s="91"/>
      <c r="F1658" s="80"/>
      <c r="G1658" s="91"/>
      <c r="H1658" s="91"/>
    </row>
    <row r="1659" spans="2:8">
      <c r="B1659" s="91"/>
      <c r="C1659" s="36"/>
      <c r="D1659" s="91"/>
      <c r="E1659" s="91"/>
      <c r="F1659" s="80"/>
      <c r="G1659" s="91"/>
      <c r="H1659" s="91"/>
    </row>
    <row r="1660" spans="2:8">
      <c r="B1660" s="91"/>
      <c r="C1660" s="36"/>
      <c r="D1660" s="91"/>
      <c r="E1660" s="91"/>
      <c r="F1660" s="80"/>
      <c r="G1660" s="91"/>
      <c r="H1660" s="91"/>
    </row>
    <row r="1661" spans="2:8">
      <c r="B1661" s="91"/>
      <c r="C1661" s="36"/>
      <c r="D1661" s="91"/>
      <c r="E1661" s="91"/>
      <c r="F1661" s="80"/>
      <c r="G1661" s="91"/>
      <c r="H1661" s="91"/>
    </row>
    <row r="1662" spans="2:8">
      <c r="B1662" s="91"/>
      <c r="C1662" s="36"/>
      <c r="D1662" s="91"/>
      <c r="E1662" s="91"/>
      <c r="F1662" s="80"/>
      <c r="G1662" s="91"/>
      <c r="H1662" s="91"/>
    </row>
    <row r="1663" spans="2:8">
      <c r="B1663" s="91"/>
      <c r="C1663" s="36"/>
      <c r="D1663" s="91"/>
      <c r="E1663" s="91"/>
      <c r="F1663" s="80"/>
      <c r="G1663" s="91"/>
      <c r="H1663" s="91"/>
    </row>
    <row r="1664" spans="2:8">
      <c r="B1664" s="91"/>
      <c r="C1664" s="36"/>
      <c r="D1664" s="91"/>
      <c r="E1664" s="91"/>
      <c r="F1664" s="80"/>
      <c r="G1664" s="91"/>
      <c r="H1664" s="91"/>
    </row>
    <row r="1665" spans="2:8">
      <c r="B1665" s="91"/>
      <c r="C1665" s="36"/>
      <c r="D1665" s="91"/>
      <c r="E1665" s="91"/>
      <c r="F1665" s="80"/>
      <c r="G1665" s="91"/>
      <c r="H1665" s="91"/>
    </row>
    <row r="1666" spans="2:8">
      <c r="B1666" s="91"/>
      <c r="C1666" s="36"/>
      <c r="D1666" s="91"/>
      <c r="E1666" s="91"/>
      <c r="F1666" s="80"/>
      <c r="G1666" s="91"/>
      <c r="H1666" s="91"/>
    </row>
    <row r="1667" spans="2:8">
      <c r="B1667" s="91"/>
      <c r="C1667" s="36"/>
      <c r="D1667" s="91"/>
      <c r="E1667" s="91"/>
      <c r="F1667" s="80"/>
      <c r="G1667" s="91"/>
      <c r="H1667" s="91"/>
    </row>
    <row r="1668" spans="2:8">
      <c r="B1668" s="91"/>
      <c r="C1668" s="36"/>
      <c r="D1668" s="91"/>
      <c r="E1668" s="91"/>
      <c r="F1668" s="80"/>
      <c r="G1668" s="91"/>
      <c r="H1668" s="91"/>
    </row>
    <row r="1669" spans="2:8">
      <c r="B1669" s="91"/>
      <c r="C1669" s="36"/>
      <c r="D1669" s="91"/>
      <c r="E1669" s="91"/>
      <c r="F1669" s="80"/>
      <c r="G1669" s="91"/>
      <c r="H1669" s="91"/>
    </row>
    <row r="1670" spans="2:8">
      <c r="B1670" s="91"/>
      <c r="C1670" s="36"/>
      <c r="D1670" s="91"/>
      <c r="E1670" s="91"/>
      <c r="F1670" s="80"/>
      <c r="G1670" s="91"/>
      <c r="H1670" s="91"/>
    </row>
    <row r="1671" spans="2:8">
      <c r="B1671" s="91"/>
      <c r="C1671" s="36"/>
      <c r="D1671" s="91"/>
      <c r="E1671" s="91"/>
      <c r="F1671" s="80"/>
      <c r="G1671" s="91"/>
      <c r="H1671" s="91"/>
    </row>
    <row r="1672" spans="2:8">
      <c r="B1672" s="91"/>
      <c r="C1672" s="36"/>
      <c r="D1672" s="91"/>
      <c r="E1672" s="91"/>
      <c r="F1672" s="80"/>
      <c r="G1672" s="91"/>
      <c r="H1672" s="91"/>
    </row>
    <row r="1673" spans="2:8">
      <c r="B1673" s="91"/>
      <c r="C1673" s="36"/>
      <c r="D1673" s="91"/>
      <c r="E1673" s="91"/>
      <c r="F1673" s="80"/>
      <c r="G1673" s="91"/>
      <c r="H1673" s="91"/>
    </row>
    <row r="1674" spans="2:8">
      <c r="B1674" s="91"/>
      <c r="C1674" s="36"/>
      <c r="D1674" s="91"/>
      <c r="E1674" s="91"/>
      <c r="F1674" s="80"/>
      <c r="G1674" s="91"/>
      <c r="H1674" s="91"/>
    </row>
    <row r="1675" spans="2:8">
      <c r="B1675" s="91"/>
      <c r="C1675" s="36"/>
      <c r="D1675" s="91"/>
      <c r="E1675" s="91"/>
      <c r="F1675" s="80"/>
      <c r="G1675" s="91"/>
      <c r="H1675" s="91"/>
    </row>
    <row r="1676" spans="2:8">
      <c r="B1676" s="91"/>
      <c r="C1676" s="36"/>
      <c r="D1676" s="91"/>
      <c r="E1676" s="91"/>
      <c r="F1676" s="80"/>
      <c r="G1676" s="91"/>
      <c r="H1676" s="91"/>
    </row>
    <row r="1677" spans="2:8">
      <c r="B1677" s="91"/>
      <c r="C1677" s="36"/>
      <c r="D1677" s="91"/>
      <c r="E1677" s="91"/>
      <c r="F1677" s="80"/>
      <c r="G1677" s="91"/>
      <c r="H1677" s="91"/>
    </row>
    <row r="1678" spans="2:8">
      <c r="B1678" s="91"/>
      <c r="C1678" s="36"/>
      <c r="D1678" s="91"/>
      <c r="E1678" s="91"/>
      <c r="F1678" s="80"/>
      <c r="G1678" s="91"/>
      <c r="H1678" s="91"/>
    </row>
    <row r="1679" spans="2:8">
      <c r="B1679" s="91"/>
      <c r="C1679" s="36"/>
      <c r="D1679" s="91"/>
      <c r="E1679" s="91"/>
      <c r="F1679" s="80"/>
      <c r="G1679" s="91"/>
      <c r="H1679" s="91"/>
    </row>
    <row r="1680" spans="2:8">
      <c r="B1680" s="91"/>
      <c r="C1680" s="36"/>
      <c r="D1680" s="91"/>
      <c r="E1680" s="91"/>
      <c r="F1680" s="80"/>
      <c r="G1680" s="91"/>
      <c r="H1680" s="91"/>
    </row>
    <row r="1681" spans="2:8">
      <c r="B1681" s="91"/>
      <c r="C1681" s="36"/>
      <c r="D1681" s="91"/>
      <c r="E1681" s="91"/>
      <c r="F1681" s="80"/>
      <c r="G1681" s="91"/>
      <c r="H1681" s="91"/>
    </row>
    <row r="1682" spans="2:8">
      <c r="B1682" s="91"/>
      <c r="C1682" s="36"/>
      <c r="D1682" s="91"/>
      <c r="E1682" s="91"/>
      <c r="F1682" s="80"/>
      <c r="G1682" s="91"/>
      <c r="H1682" s="91"/>
    </row>
    <row r="1683" spans="2:8">
      <c r="B1683" s="91"/>
      <c r="C1683" s="36"/>
      <c r="D1683" s="91"/>
      <c r="E1683" s="91"/>
      <c r="F1683" s="80"/>
      <c r="G1683" s="91"/>
      <c r="H1683" s="91"/>
    </row>
    <row r="1684" spans="2:8">
      <c r="B1684" s="91"/>
      <c r="C1684" s="36"/>
      <c r="D1684" s="91"/>
      <c r="E1684" s="91"/>
      <c r="F1684" s="80"/>
      <c r="G1684" s="91"/>
      <c r="H1684" s="91"/>
    </row>
    <row r="1685" spans="2:8">
      <c r="B1685" s="91"/>
      <c r="C1685" s="36"/>
      <c r="D1685" s="91"/>
      <c r="E1685" s="91"/>
      <c r="F1685" s="80"/>
      <c r="G1685" s="91"/>
      <c r="H1685" s="91"/>
    </row>
    <row r="1686" spans="2:8">
      <c r="B1686" s="91"/>
      <c r="C1686" s="36"/>
      <c r="D1686" s="91"/>
      <c r="E1686" s="91"/>
      <c r="F1686" s="80"/>
      <c r="G1686" s="91"/>
      <c r="H1686" s="91"/>
    </row>
    <row r="1687" spans="2:8">
      <c r="B1687" s="91"/>
      <c r="C1687" s="36"/>
      <c r="D1687" s="91"/>
      <c r="E1687" s="91"/>
      <c r="F1687" s="80"/>
      <c r="G1687" s="91"/>
      <c r="H1687" s="91"/>
    </row>
    <row r="1688" spans="2:8">
      <c r="B1688" s="91"/>
      <c r="C1688" s="36"/>
      <c r="D1688" s="91"/>
      <c r="E1688" s="91"/>
      <c r="F1688" s="80"/>
      <c r="G1688" s="91"/>
      <c r="H1688" s="91"/>
    </row>
    <row r="1689" spans="2:8">
      <c r="B1689" s="91"/>
      <c r="C1689" s="36"/>
      <c r="D1689" s="91"/>
      <c r="E1689" s="91"/>
      <c r="F1689" s="80"/>
      <c r="G1689" s="91"/>
      <c r="H1689" s="91"/>
    </row>
    <row r="1690" spans="2:8">
      <c r="B1690" s="91"/>
      <c r="C1690" s="36"/>
      <c r="D1690" s="91"/>
      <c r="E1690" s="91"/>
      <c r="F1690" s="80"/>
      <c r="G1690" s="91"/>
      <c r="H1690" s="91"/>
    </row>
    <row r="1691" spans="2:8">
      <c r="B1691" s="91"/>
      <c r="C1691" s="36"/>
      <c r="D1691" s="91"/>
      <c r="E1691" s="91"/>
      <c r="F1691" s="80"/>
      <c r="G1691" s="91"/>
      <c r="H1691" s="91"/>
    </row>
    <row r="1692" spans="2:8">
      <c r="B1692" s="91"/>
      <c r="C1692" s="36"/>
      <c r="D1692" s="91"/>
      <c r="E1692" s="91"/>
      <c r="F1692" s="80"/>
      <c r="G1692" s="91"/>
      <c r="H1692" s="91"/>
    </row>
    <row r="1693" spans="2:8">
      <c r="B1693" s="91"/>
      <c r="C1693" s="36"/>
      <c r="D1693" s="91"/>
      <c r="E1693" s="91"/>
      <c r="F1693" s="80"/>
      <c r="G1693" s="91"/>
      <c r="H1693" s="91"/>
    </row>
    <row r="1694" spans="2:8">
      <c r="B1694" s="91"/>
      <c r="C1694" s="36"/>
      <c r="D1694" s="91"/>
      <c r="E1694" s="91"/>
      <c r="F1694" s="80"/>
      <c r="G1694" s="91"/>
      <c r="H1694" s="91"/>
    </row>
    <row r="1695" spans="2:8">
      <c r="B1695" s="91"/>
      <c r="C1695" s="36"/>
      <c r="D1695" s="91"/>
      <c r="E1695" s="91"/>
      <c r="F1695" s="80"/>
      <c r="G1695" s="91"/>
      <c r="H1695" s="91"/>
    </row>
    <row r="1696" spans="2:8">
      <c r="B1696" s="91"/>
      <c r="C1696" s="36"/>
      <c r="D1696" s="91"/>
      <c r="E1696" s="91"/>
      <c r="F1696" s="80"/>
      <c r="G1696" s="91"/>
      <c r="H1696" s="91"/>
    </row>
    <row r="1697" spans="2:8">
      <c r="B1697" s="91"/>
      <c r="C1697" s="36"/>
      <c r="D1697" s="91"/>
      <c r="E1697" s="91"/>
      <c r="F1697" s="80"/>
      <c r="G1697" s="91"/>
      <c r="H1697" s="91"/>
    </row>
    <row r="1698" spans="2:8">
      <c r="B1698" s="91"/>
      <c r="C1698" s="36"/>
      <c r="D1698" s="91"/>
      <c r="E1698" s="91"/>
      <c r="F1698" s="80"/>
      <c r="G1698" s="91"/>
      <c r="H1698" s="91"/>
    </row>
    <row r="1699" spans="2:8">
      <c r="B1699" s="91"/>
      <c r="C1699" s="36"/>
      <c r="D1699" s="91"/>
      <c r="E1699" s="91"/>
      <c r="F1699" s="80"/>
      <c r="G1699" s="91"/>
      <c r="H1699" s="91"/>
    </row>
    <row r="1700" spans="2:8">
      <c r="B1700" s="91"/>
      <c r="C1700" s="36"/>
      <c r="D1700" s="91"/>
      <c r="E1700" s="91"/>
      <c r="F1700" s="80"/>
      <c r="G1700" s="91"/>
      <c r="H1700" s="91"/>
    </row>
    <row r="1701" spans="2:8">
      <c r="B1701" s="91"/>
      <c r="C1701" s="36"/>
      <c r="D1701" s="91"/>
      <c r="E1701" s="91"/>
      <c r="F1701" s="80"/>
      <c r="G1701" s="91"/>
      <c r="H1701" s="91"/>
    </row>
    <row r="1702" spans="2:8">
      <c r="B1702" s="91"/>
      <c r="C1702" s="36"/>
      <c r="D1702" s="91"/>
      <c r="E1702" s="91"/>
      <c r="F1702" s="80"/>
      <c r="G1702" s="91"/>
      <c r="H1702" s="91"/>
    </row>
    <row r="1703" spans="2:8">
      <c r="B1703" s="91"/>
      <c r="C1703" s="36"/>
      <c r="D1703" s="91"/>
      <c r="E1703" s="91"/>
      <c r="F1703" s="80"/>
      <c r="G1703" s="91"/>
      <c r="H1703" s="91"/>
    </row>
    <row r="1704" spans="2:8">
      <c r="B1704" s="91"/>
      <c r="C1704" s="36"/>
      <c r="D1704" s="91"/>
      <c r="E1704" s="91"/>
      <c r="F1704" s="80"/>
      <c r="G1704" s="91"/>
      <c r="H1704" s="91"/>
    </row>
    <row r="1705" spans="2:8">
      <c r="B1705" s="91"/>
      <c r="C1705" s="36"/>
      <c r="D1705" s="91"/>
      <c r="E1705" s="91"/>
      <c r="F1705" s="80"/>
      <c r="G1705" s="91"/>
      <c r="H1705" s="91"/>
    </row>
    <row r="1706" spans="2:8">
      <c r="B1706" s="91"/>
      <c r="C1706" s="36"/>
      <c r="D1706" s="91"/>
      <c r="E1706" s="91"/>
      <c r="F1706" s="80"/>
      <c r="G1706" s="91"/>
      <c r="H1706" s="91"/>
    </row>
    <row r="1707" spans="2:8">
      <c r="B1707" s="91"/>
      <c r="C1707" s="36"/>
      <c r="D1707" s="91"/>
      <c r="E1707" s="91"/>
      <c r="F1707" s="80"/>
      <c r="G1707" s="91"/>
      <c r="H1707" s="91"/>
    </row>
    <row r="1708" spans="2:8">
      <c r="B1708" s="91"/>
      <c r="C1708" s="36"/>
      <c r="D1708" s="91"/>
      <c r="E1708" s="91"/>
      <c r="F1708" s="80"/>
      <c r="G1708" s="91"/>
      <c r="H1708" s="91"/>
    </row>
    <row r="1709" spans="2:8">
      <c r="B1709" s="91"/>
      <c r="C1709" s="36"/>
      <c r="D1709" s="91"/>
      <c r="E1709" s="91"/>
      <c r="F1709" s="80"/>
      <c r="G1709" s="91"/>
      <c r="H1709" s="91"/>
    </row>
    <row r="1710" spans="2:8">
      <c r="B1710" s="91"/>
      <c r="C1710" s="36"/>
      <c r="D1710" s="91"/>
      <c r="E1710" s="91"/>
      <c r="F1710" s="80"/>
      <c r="G1710" s="91"/>
      <c r="H1710" s="91"/>
    </row>
    <row r="1711" spans="2:8">
      <c r="B1711" s="91"/>
      <c r="C1711" s="36"/>
      <c r="D1711" s="91"/>
      <c r="E1711" s="91"/>
      <c r="F1711" s="80"/>
      <c r="G1711" s="91"/>
      <c r="H1711" s="91"/>
    </row>
    <row r="1712" spans="2:8">
      <c r="B1712" s="91"/>
      <c r="C1712" s="36"/>
      <c r="D1712" s="91"/>
      <c r="E1712" s="91"/>
      <c r="F1712" s="80"/>
      <c r="G1712" s="91"/>
      <c r="H1712" s="91"/>
    </row>
    <row r="1713" spans="2:8">
      <c r="B1713" s="91"/>
      <c r="C1713" s="36"/>
      <c r="D1713" s="91"/>
      <c r="E1713" s="91"/>
      <c r="F1713" s="80"/>
      <c r="G1713" s="91"/>
      <c r="H1713" s="91"/>
    </row>
    <row r="1714" spans="2:8">
      <c r="B1714" s="91"/>
      <c r="C1714" s="36"/>
      <c r="D1714" s="91"/>
      <c r="E1714" s="91"/>
      <c r="F1714" s="80"/>
      <c r="G1714" s="91"/>
      <c r="H1714" s="91"/>
    </row>
    <row r="1715" spans="2:8">
      <c r="B1715" s="91"/>
      <c r="C1715" s="36"/>
      <c r="D1715" s="91"/>
      <c r="E1715" s="91"/>
      <c r="F1715" s="80"/>
      <c r="G1715" s="91"/>
      <c r="H1715" s="91"/>
    </row>
    <row r="1716" spans="2:8">
      <c r="B1716" s="91"/>
      <c r="C1716" s="36"/>
      <c r="D1716" s="91"/>
      <c r="E1716" s="91"/>
      <c r="F1716" s="80"/>
      <c r="G1716" s="91"/>
      <c r="H1716" s="91"/>
    </row>
    <row r="1717" spans="2:8">
      <c r="B1717" s="91"/>
      <c r="C1717" s="36"/>
      <c r="D1717" s="91"/>
      <c r="E1717" s="91"/>
      <c r="F1717" s="80"/>
      <c r="G1717" s="91"/>
      <c r="H1717" s="91"/>
    </row>
    <row r="1718" spans="2:8">
      <c r="B1718" s="91"/>
      <c r="C1718" s="36"/>
      <c r="D1718" s="91"/>
      <c r="E1718" s="91"/>
      <c r="F1718" s="80"/>
      <c r="G1718" s="91"/>
      <c r="H1718" s="91"/>
    </row>
    <row r="1719" spans="2:8">
      <c r="B1719" s="91"/>
      <c r="C1719" s="36"/>
      <c r="D1719" s="91"/>
      <c r="E1719" s="91"/>
      <c r="F1719" s="80"/>
      <c r="G1719" s="91"/>
      <c r="H1719" s="91"/>
    </row>
    <row r="1720" spans="2:8">
      <c r="B1720" s="91"/>
      <c r="C1720" s="36"/>
      <c r="D1720" s="91"/>
      <c r="E1720" s="91"/>
      <c r="F1720" s="80"/>
      <c r="G1720" s="91"/>
      <c r="H1720" s="91"/>
    </row>
    <row r="1721" spans="2:8">
      <c r="B1721" s="91"/>
      <c r="C1721" s="36"/>
      <c r="D1721" s="91"/>
      <c r="E1721" s="91"/>
      <c r="F1721" s="80"/>
      <c r="G1721" s="91"/>
      <c r="H1721" s="91"/>
    </row>
    <row r="1722" spans="2:8">
      <c r="B1722" s="91"/>
      <c r="C1722" s="36"/>
      <c r="D1722" s="91"/>
      <c r="E1722" s="91"/>
      <c r="F1722" s="80"/>
      <c r="G1722" s="91"/>
      <c r="H1722" s="91"/>
    </row>
    <row r="1723" spans="2:8">
      <c r="B1723" s="91"/>
      <c r="C1723" s="36"/>
      <c r="D1723" s="91"/>
      <c r="E1723" s="91"/>
      <c r="F1723" s="80"/>
      <c r="G1723" s="91"/>
      <c r="H1723" s="91"/>
    </row>
    <row r="1724" spans="2:8">
      <c r="B1724" s="91"/>
      <c r="C1724" s="36"/>
      <c r="D1724" s="91"/>
      <c r="E1724" s="91"/>
      <c r="F1724" s="80"/>
      <c r="G1724" s="91"/>
      <c r="H1724" s="91"/>
    </row>
    <row r="1725" spans="2:8">
      <c r="B1725" s="91"/>
      <c r="C1725" s="36"/>
      <c r="D1725" s="91"/>
      <c r="E1725" s="91"/>
      <c r="F1725" s="80"/>
      <c r="G1725" s="91"/>
      <c r="H1725" s="91"/>
    </row>
    <row r="1726" spans="2:8">
      <c r="B1726" s="91"/>
      <c r="C1726" s="36"/>
      <c r="D1726" s="91"/>
      <c r="E1726" s="91"/>
      <c r="F1726" s="80"/>
      <c r="G1726" s="91"/>
      <c r="H1726" s="91"/>
    </row>
    <row r="1727" spans="2:8">
      <c r="B1727" s="91"/>
      <c r="C1727" s="36"/>
      <c r="D1727" s="91"/>
      <c r="E1727" s="91"/>
      <c r="F1727" s="80"/>
      <c r="G1727" s="91"/>
      <c r="H1727" s="91"/>
    </row>
    <row r="1728" spans="2:8">
      <c r="B1728" s="91"/>
      <c r="C1728" s="36"/>
      <c r="D1728" s="91"/>
      <c r="E1728" s="91"/>
      <c r="F1728" s="80"/>
      <c r="G1728" s="91"/>
      <c r="H1728" s="91"/>
    </row>
    <row r="1729" spans="2:8">
      <c r="B1729" s="91"/>
      <c r="C1729" s="36"/>
      <c r="D1729" s="91"/>
      <c r="E1729" s="91"/>
      <c r="F1729" s="80"/>
      <c r="G1729" s="91"/>
      <c r="H1729" s="91"/>
    </row>
    <row r="1730" spans="2:8">
      <c r="B1730" s="91"/>
      <c r="C1730" s="36"/>
      <c r="D1730" s="91"/>
      <c r="E1730" s="91"/>
      <c r="F1730" s="80"/>
      <c r="G1730" s="91"/>
      <c r="H1730" s="91"/>
    </row>
    <row r="1731" spans="2:8">
      <c r="B1731" s="91"/>
      <c r="C1731" s="36"/>
      <c r="D1731" s="91"/>
      <c r="E1731" s="91"/>
      <c r="F1731" s="80"/>
      <c r="G1731" s="91"/>
      <c r="H1731" s="91"/>
    </row>
    <row r="1732" spans="2:8">
      <c r="B1732" s="91"/>
      <c r="C1732" s="36"/>
      <c r="D1732" s="91"/>
      <c r="E1732" s="91"/>
      <c r="F1732" s="80"/>
      <c r="G1732" s="91"/>
      <c r="H1732" s="91"/>
    </row>
    <row r="1733" spans="2:8">
      <c r="B1733" s="91"/>
      <c r="C1733" s="36"/>
      <c r="D1733" s="91"/>
      <c r="E1733" s="91"/>
      <c r="F1733" s="80"/>
      <c r="G1733" s="91"/>
      <c r="H1733" s="91"/>
    </row>
    <row r="1734" spans="2:8">
      <c r="B1734" s="91"/>
      <c r="C1734" s="36"/>
      <c r="D1734" s="91"/>
      <c r="E1734" s="91"/>
      <c r="F1734" s="80"/>
      <c r="G1734" s="91"/>
      <c r="H1734" s="91"/>
    </row>
    <row r="1735" spans="2:8">
      <c r="B1735" s="91"/>
      <c r="C1735" s="36"/>
      <c r="D1735" s="91"/>
      <c r="E1735" s="91"/>
      <c r="F1735" s="80"/>
      <c r="G1735" s="91"/>
      <c r="H1735" s="91"/>
    </row>
    <row r="1736" spans="2:8">
      <c r="B1736" s="91"/>
      <c r="C1736" s="36"/>
      <c r="D1736" s="91"/>
      <c r="E1736" s="91"/>
      <c r="F1736" s="80"/>
      <c r="G1736" s="91"/>
      <c r="H1736" s="91"/>
    </row>
    <row r="1737" spans="2:8">
      <c r="B1737" s="91"/>
      <c r="C1737" s="36"/>
      <c r="D1737" s="91"/>
      <c r="E1737" s="91"/>
      <c r="F1737" s="80"/>
      <c r="G1737" s="91"/>
      <c r="H1737" s="91"/>
    </row>
    <row r="1738" spans="2:8">
      <c r="B1738" s="91"/>
      <c r="C1738" s="36"/>
      <c r="D1738" s="91"/>
      <c r="E1738" s="91"/>
      <c r="F1738" s="80"/>
      <c r="G1738" s="91"/>
      <c r="H1738" s="91"/>
    </row>
    <row r="1739" spans="2:8">
      <c r="B1739" s="91"/>
      <c r="C1739" s="36"/>
      <c r="D1739" s="91"/>
      <c r="E1739" s="91"/>
      <c r="F1739" s="80"/>
      <c r="G1739" s="91"/>
      <c r="H1739" s="91"/>
    </row>
    <row r="1740" spans="2:8">
      <c r="B1740" s="91"/>
      <c r="C1740" s="36"/>
      <c r="D1740" s="91"/>
      <c r="E1740" s="91"/>
      <c r="F1740" s="80"/>
      <c r="G1740" s="91"/>
      <c r="H1740" s="91"/>
    </row>
    <row r="1741" spans="2:8">
      <c r="B1741" s="91"/>
      <c r="C1741" s="36"/>
      <c r="D1741" s="91"/>
      <c r="E1741" s="91"/>
      <c r="F1741" s="80"/>
      <c r="G1741" s="91"/>
      <c r="H1741" s="91"/>
    </row>
    <row r="1742" spans="2:8">
      <c r="B1742" s="91"/>
      <c r="C1742" s="36"/>
      <c r="D1742" s="91"/>
      <c r="E1742" s="91"/>
      <c r="F1742" s="80"/>
      <c r="G1742" s="91"/>
      <c r="H1742" s="91"/>
    </row>
    <row r="1743" spans="2:8">
      <c r="B1743" s="91"/>
      <c r="C1743" s="36"/>
      <c r="D1743" s="91"/>
      <c r="E1743" s="91"/>
      <c r="F1743" s="80"/>
      <c r="G1743" s="91"/>
      <c r="H1743" s="91"/>
    </row>
    <row r="1744" spans="2:8">
      <c r="B1744" s="91"/>
      <c r="C1744" s="36"/>
      <c r="D1744" s="91"/>
      <c r="E1744" s="91"/>
      <c r="F1744" s="80"/>
      <c r="G1744" s="91"/>
      <c r="H1744" s="91"/>
    </row>
    <row r="1745" spans="2:8">
      <c r="B1745" s="91"/>
      <c r="C1745" s="36"/>
      <c r="D1745" s="91"/>
      <c r="E1745" s="91"/>
      <c r="F1745" s="80"/>
      <c r="G1745" s="91"/>
      <c r="H1745" s="91"/>
    </row>
    <row r="1746" spans="2:8">
      <c r="B1746" s="91"/>
      <c r="C1746" s="36"/>
      <c r="D1746" s="91"/>
      <c r="E1746" s="91"/>
      <c r="F1746" s="80"/>
      <c r="G1746" s="91"/>
      <c r="H1746" s="91"/>
    </row>
    <row r="1747" spans="2:8">
      <c r="B1747" s="91"/>
      <c r="C1747" s="36"/>
      <c r="D1747" s="91"/>
      <c r="E1747" s="91"/>
      <c r="F1747" s="80"/>
      <c r="G1747" s="91"/>
      <c r="H1747" s="91"/>
    </row>
    <row r="1748" spans="2:8">
      <c r="B1748" s="91"/>
      <c r="C1748" s="36"/>
      <c r="D1748" s="91"/>
      <c r="E1748" s="91"/>
      <c r="F1748" s="80"/>
      <c r="G1748" s="91"/>
      <c r="H1748" s="91"/>
    </row>
    <row r="1749" spans="2:8">
      <c r="B1749" s="91"/>
      <c r="C1749" s="36"/>
      <c r="D1749" s="91"/>
      <c r="E1749" s="91"/>
      <c r="F1749" s="80"/>
      <c r="G1749" s="91"/>
      <c r="H1749" s="91"/>
    </row>
    <row r="1750" spans="2:8">
      <c r="B1750" s="91"/>
      <c r="C1750" s="36"/>
      <c r="D1750" s="91"/>
      <c r="E1750" s="91"/>
      <c r="F1750" s="80"/>
      <c r="G1750" s="91"/>
      <c r="H1750" s="91"/>
    </row>
    <row r="1751" spans="2:8">
      <c r="B1751" s="91"/>
      <c r="C1751" s="36"/>
      <c r="D1751" s="91"/>
      <c r="E1751" s="91"/>
      <c r="F1751" s="80"/>
      <c r="G1751" s="91"/>
      <c r="H1751" s="91"/>
    </row>
    <row r="1752" spans="2:8">
      <c r="B1752" s="91"/>
      <c r="C1752" s="36"/>
      <c r="D1752" s="91"/>
      <c r="E1752" s="91"/>
      <c r="F1752" s="80"/>
      <c r="G1752" s="91"/>
      <c r="H1752" s="91"/>
    </row>
    <row r="1753" spans="2:8">
      <c r="B1753" s="91"/>
      <c r="C1753" s="36"/>
      <c r="D1753" s="91"/>
      <c r="E1753" s="91"/>
      <c r="F1753" s="80"/>
      <c r="G1753" s="91"/>
      <c r="H1753" s="91"/>
    </row>
    <row r="1754" spans="2:8">
      <c r="B1754" s="91"/>
      <c r="C1754" s="36"/>
      <c r="D1754" s="91"/>
      <c r="E1754" s="91"/>
      <c r="F1754" s="80"/>
      <c r="G1754" s="91"/>
      <c r="H1754" s="91"/>
    </row>
    <row r="1755" spans="2:8">
      <c r="B1755" s="91"/>
      <c r="C1755" s="36"/>
      <c r="D1755" s="91"/>
      <c r="E1755" s="91"/>
      <c r="F1755" s="80"/>
      <c r="G1755" s="91"/>
      <c r="H1755" s="91"/>
    </row>
    <row r="1756" spans="2:8">
      <c r="B1756" s="91"/>
      <c r="C1756" s="36"/>
      <c r="D1756" s="91"/>
      <c r="E1756" s="91"/>
      <c r="F1756" s="80"/>
      <c r="G1756" s="91"/>
      <c r="H1756" s="91"/>
    </row>
    <row r="1757" spans="2:8">
      <c r="B1757" s="91"/>
      <c r="C1757" s="36"/>
      <c r="D1757" s="91"/>
      <c r="E1757" s="91"/>
      <c r="F1757" s="80"/>
      <c r="G1757" s="91"/>
      <c r="H1757" s="91"/>
    </row>
    <row r="1758" spans="2:8">
      <c r="B1758" s="91"/>
      <c r="C1758" s="36"/>
      <c r="D1758" s="91"/>
      <c r="E1758" s="91"/>
      <c r="F1758" s="80"/>
      <c r="G1758" s="91"/>
      <c r="H1758" s="91"/>
    </row>
    <row r="1759" spans="2:8">
      <c r="B1759" s="91"/>
      <c r="C1759" s="36"/>
      <c r="D1759" s="91"/>
      <c r="E1759" s="91"/>
      <c r="F1759" s="80"/>
      <c r="G1759" s="91"/>
      <c r="H1759" s="91"/>
    </row>
    <row r="1760" spans="2:8">
      <c r="B1760" s="91"/>
      <c r="C1760" s="36"/>
      <c r="D1760" s="91"/>
      <c r="E1760" s="91"/>
      <c r="F1760" s="80"/>
      <c r="G1760" s="91"/>
      <c r="H1760" s="91"/>
    </row>
    <row r="1761" spans="2:8">
      <c r="B1761" s="91"/>
      <c r="C1761" s="36"/>
      <c r="D1761" s="91"/>
      <c r="E1761" s="91"/>
      <c r="F1761" s="80"/>
      <c r="G1761" s="91"/>
      <c r="H1761" s="91"/>
    </row>
    <row r="1762" spans="2:8">
      <c r="B1762" s="91"/>
      <c r="C1762" s="36"/>
      <c r="D1762" s="91"/>
      <c r="E1762" s="91"/>
      <c r="F1762" s="80"/>
      <c r="G1762" s="91"/>
      <c r="H1762" s="91"/>
    </row>
    <row r="1763" spans="2:8">
      <c r="B1763" s="91"/>
      <c r="C1763" s="36"/>
      <c r="D1763" s="91"/>
      <c r="E1763" s="91"/>
      <c r="F1763" s="80"/>
      <c r="G1763" s="91"/>
      <c r="H1763" s="91"/>
    </row>
    <row r="1764" spans="2:8">
      <c r="B1764" s="91"/>
      <c r="C1764" s="36"/>
      <c r="D1764" s="91"/>
      <c r="E1764" s="91"/>
      <c r="F1764" s="80"/>
      <c r="G1764" s="91"/>
      <c r="H1764" s="91"/>
    </row>
    <row r="1765" spans="2:8">
      <c r="B1765" s="91"/>
      <c r="C1765" s="36"/>
      <c r="D1765" s="91"/>
      <c r="E1765" s="91"/>
      <c r="F1765" s="80"/>
      <c r="G1765" s="91"/>
      <c r="H1765" s="91"/>
    </row>
    <row r="1766" spans="2:8">
      <c r="B1766" s="91"/>
      <c r="C1766" s="36"/>
      <c r="D1766" s="91"/>
      <c r="E1766" s="91"/>
      <c r="F1766" s="80"/>
      <c r="G1766" s="91"/>
      <c r="H1766" s="91"/>
    </row>
    <row r="1767" spans="2:8">
      <c r="B1767" s="91"/>
      <c r="C1767" s="36"/>
      <c r="D1767" s="91"/>
      <c r="E1767" s="91"/>
      <c r="F1767" s="80"/>
      <c r="G1767" s="91"/>
      <c r="H1767" s="91"/>
    </row>
    <row r="1768" spans="2:8">
      <c r="B1768" s="91"/>
      <c r="C1768" s="36"/>
      <c r="D1768" s="91"/>
      <c r="E1768" s="91"/>
      <c r="F1768" s="80"/>
      <c r="G1768" s="91"/>
      <c r="H1768" s="91"/>
    </row>
    <row r="1769" spans="2:8">
      <c r="B1769" s="91"/>
      <c r="C1769" s="36"/>
      <c r="D1769" s="91"/>
      <c r="E1769" s="91"/>
      <c r="F1769" s="80"/>
      <c r="G1769" s="91"/>
      <c r="H1769" s="91"/>
    </row>
    <row r="1770" spans="2:8">
      <c r="B1770" s="91"/>
      <c r="C1770" s="36"/>
      <c r="D1770" s="91"/>
      <c r="E1770" s="91"/>
      <c r="F1770" s="80"/>
      <c r="G1770" s="91"/>
      <c r="H1770" s="91"/>
    </row>
    <row r="1771" spans="2:8">
      <c r="B1771" s="91"/>
      <c r="C1771" s="36"/>
      <c r="D1771" s="91"/>
      <c r="E1771" s="91"/>
      <c r="F1771" s="80"/>
      <c r="G1771" s="91"/>
      <c r="H1771" s="91"/>
    </row>
    <row r="1772" spans="2:8">
      <c r="B1772" s="91"/>
      <c r="C1772" s="36"/>
      <c r="D1772" s="91"/>
      <c r="E1772" s="91"/>
      <c r="F1772" s="80"/>
      <c r="G1772" s="91"/>
      <c r="H1772" s="91"/>
    </row>
    <row r="1773" spans="2:8">
      <c r="B1773" s="91"/>
      <c r="C1773" s="36"/>
      <c r="D1773" s="91"/>
      <c r="E1773" s="91"/>
      <c r="F1773" s="80"/>
      <c r="G1773" s="91"/>
      <c r="H1773" s="91"/>
    </row>
    <row r="1774" spans="2:8">
      <c r="B1774" s="91"/>
      <c r="C1774" s="36"/>
      <c r="D1774" s="91"/>
      <c r="E1774" s="91"/>
      <c r="F1774" s="80"/>
      <c r="G1774" s="91"/>
      <c r="H1774" s="91"/>
    </row>
    <row r="1775" spans="2:8">
      <c r="B1775" s="91"/>
      <c r="C1775" s="36"/>
      <c r="D1775" s="91"/>
      <c r="E1775" s="91"/>
      <c r="F1775" s="80"/>
      <c r="G1775" s="91"/>
      <c r="H1775" s="91"/>
    </row>
    <row r="1776" spans="2:8">
      <c r="B1776" s="91"/>
      <c r="C1776" s="36"/>
      <c r="D1776" s="91"/>
      <c r="E1776" s="91"/>
      <c r="F1776" s="80"/>
      <c r="G1776" s="91"/>
      <c r="H1776" s="91"/>
    </row>
    <row r="1777" spans="2:8">
      <c r="B1777" s="91"/>
      <c r="C1777" s="36"/>
      <c r="D1777" s="91"/>
      <c r="E1777" s="91"/>
      <c r="F1777" s="80"/>
      <c r="G1777" s="91"/>
      <c r="H1777" s="91"/>
    </row>
    <row r="1778" spans="2:8">
      <c r="B1778" s="91"/>
      <c r="C1778" s="36"/>
      <c r="D1778" s="91"/>
      <c r="E1778" s="91"/>
      <c r="F1778" s="80"/>
      <c r="G1778" s="91"/>
      <c r="H1778" s="91"/>
    </row>
    <row r="1779" spans="2:8">
      <c r="B1779" s="91"/>
      <c r="C1779" s="36"/>
      <c r="D1779" s="91"/>
      <c r="E1779" s="91"/>
      <c r="F1779" s="80"/>
      <c r="G1779" s="91"/>
      <c r="H1779" s="91"/>
    </row>
    <row r="1780" spans="2:8">
      <c r="B1780" s="91"/>
      <c r="C1780" s="36"/>
      <c r="D1780" s="91"/>
      <c r="E1780" s="91"/>
      <c r="F1780" s="80"/>
      <c r="G1780" s="91"/>
      <c r="H1780" s="91"/>
    </row>
    <row r="1781" spans="2:8">
      <c r="B1781" s="91"/>
      <c r="C1781" s="36"/>
      <c r="D1781" s="91"/>
      <c r="E1781" s="91"/>
      <c r="F1781" s="80"/>
      <c r="G1781" s="91"/>
      <c r="H1781" s="91"/>
    </row>
    <row r="1782" spans="2:8">
      <c r="B1782" s="91"/>
      <c r="C1782" s="36"/>
      <c r="D1782" s="91"/>
      <c r="E1782" s="91"/>
      <c r="F1782" s="80"/>
      <c r="G1782" s="91"/>
      <c r="H1782" s="91"/>
    </row>
    <row r="1783" spans="2:8">
      <c r="B1783" s="91"/>
      <c r="C1783" s="36"/>
      <c r="D1783" s="91"/>
      <c r="E1783" s="91"/>
      <c r="F1783" s="80"/>
      <c r="G1783" s="91"/>
      <c r="H1783" s="91"/>
    </row>
    <row r="1784" spans="2:8">
      <c r="B1784" s="91"/>
      <c r="C1784" s="36"/>
      <c r="D1784" s="91"/>
      <c r="E1784" s="91"/>
      <c r="F1784" s="80"/>
      <c r="G1784" s="91"/>
      <c r="H1784" s="91"/>
    </row>
    <row r="1785" spans="2:8">
      <c r="B1785" s="91"/>
      <c r="C1785" s="36"/>
      <c r="D1785" s="91"/>
      <c r="E1785" s="91"/>
      <c r="F1785" s="80"/>
      <c r="G1785" s="91"/>
      <c r="H1785" s="91"/>
    </row>
    <row r="1786" spans="2:8">
      <c r="B1786" s="91"/>
      <c r="C1786" s="36"/>
      <c r="D1786" s="91"/>
      <c r="E1786" s="91"/>
      <c r="F1786" s="80"/>
      <c r="G1786" s="91"/>
      <c r="H1786" s="91"/>
    </row>
    <row r="1787" spans="2:8">
      <c r="B1787" s="91"/>
      <c r="C1787" s="36"/>
      <c r="D1787" s="91"/>
      <c r="E1787" s="91"/>
      <c r="F1787" s="80"/>
      <c r="G1787" s="91"/>
      <c r="H1787" s="91"/>
    </row>
    <row r="1788" spans="2:8">
      <c r="B1788" s="91"/>
      <c r="C1788" s="36"/>
      <c r="D1788" s="91"/>
      <c r="E1788" s="91"/>
      <c r="F1788" s="80"/>
      <c r="G1788" s="91"/>
      <c r="H1788" s="91"/>
    </row>
    <row r="1789" spans="2:8">
      <c r="B1789" s="91"/>
      <c r="C1789" s="36"/>
      <c r="D1789" s="91"/>
      <c r="E1789" s="91"/>
      <c r="F1789" s="80"/>
      <c r="G1789" s="91"/>
      <c r="H1789" s="91"/>
    </row>
    <row r="1790" spans="2:8">
      <c r="B1790" s="91"/>
      <c r="C1790" s="36"/>
      <c r="D1790" s="91"/>
      <c r="E1790" s="91"/>
      <c r="F1790" s="80"/>
      <c r="G1790" s="91"/>
      <c r="H1790" s="91"/>
    </row>
    <row r="1791" spans="2:8">
      <c r="B1791" s="91"/>
      <c r="C1791" s="36"/>
      <c r="D1791" s="91"/>
      <c r="E1791" s="91"/>
      <c r="F1791" s="80"/>
      <c r="G1791" s="91"/>
      <c r="H1791" s="91"/>
    </row>
    <row r="1792" spans="2:8">
      <c r="B1792" s="91"/>
      <c r="C1792" s="36"/>
      <c r="D1792" s="91"/>
      <c r="E1792" s="91"/>
      <c r="F1792" s="80"/>
      <c r="G1792" s="91"/>
      <c r="H1792" s="91"/>
    </row>
    <row r="1793" spans="2:8">
      <c r="B1793" s="91"/>
      <c r="C1793" s="36"/>
      <c r="D1793" s="91"/>
      <c r="E1793" s="91"/>
      <c r="F1793" s="80"/>
      <c r="G1793" s="91"/>
      <c r="H1793" s="91"/>
    </row>
    <row r="1794" spans="2:8">
      <c r="B1794" s="91"/>
      <c r="C1794" s="36"/>
      <c r="D1794" s="91"/>
      <c r="E1794" s="91"/>
      <c r="F1794" s="80"/>
      <c r="G1794" s="91"/>
      <c r="H1794" s="91"/>
    </row>
    <row r="1795" spans="2:8">
      <c r="B1795" s="91"/>
      <c r="C1795" s="36"/>
      <c r="D1795" s="91"/>
      <c r="E1795" s="91"/>
      <c r="F1795" s="80"/>
      <c r="G1795" s="91"/>
      <c r="H1795" s="91"/>
    </row>
    <row r="1796" spans="2:8">
      <c r="B1796" s="91"/>
      <c r="C1796" s="36"/>
      <c r="D1796" s="91"/>
      <c r="E1796" s="91"/>
      <c r="F1796" s="80"/>
      <c r="G1796" s="91"/>
      <c r="H1796" s="91"/>
    </row>
    <row r="1797" spans="2:8">
      <c r="B1797" s="91"/>
      <c r="C1797" s="36"/>
      <c r="D1797" s="91"/>
      <c r="E1797" s="91"/>
      <c r="F1797" s="80"/>
      <c r="G1797" s="91"/>
      <c r="H1797" s="91"/>
    </row>
    <row r="1798" spans="2:8">
      <c r="B1798" s="91"/>
      <c r="C1798" s="36"/>
      <c r="D1798" s="91"/>
      <c r="E1798" s="91"/>
      <c r="F1798" s="80"/>
      <c r="G1798" s="91"/>
      <c r="H1798" s="91"/>
    </row>
    <row r="1799" spans="2:8">
      <c r="B1799" s="91"/>
      <c r="C1799" s="36"/>
      <c r="D1799" s="91"/>
      <c r="E1799" s="91"/>
      <c r="F1799" s="80"/>
      <c r="G1799" s="91"/>
      <c r="H1799" s="91"/>
    </row>
    <row r="1800" spans="2:8">
      <c r="B1800" s="91"/>
      <c r="C1800" s="36"/>
      <c r="D1800" s="91"/>
      <c r="E1800" s="91"/>
      <c r="F1800" s="80"/>
      <c r="G1800" s="91"/>
      <c r="H1800" s="91"/>
    </row>
    <row r="1801" spans="2:8">
      <c r="B1801" s="91"/>
      <c r="C1801" s="36"/>
      <c r="D1801" s="91"/>
      <c r="E1801" s="91"/>
      <c r="F1801" s="80"/>
      <c r="G1801" s="91"/>
      <c r="H1801" s="91"/>
    </row>
    <row r="1802" spans="2:8">
      <c r="B1802" s="91"/>
      <c r="C1802" s="36"/>
      <c r="D1802" s="91"/>
      <c r="E1802" s="91"/>
      <c r="F1802" s="80"/>
      <c r="G1802" s="91"/>
      <c r="H1802" s="91"/>
    </row>
    <row r="1803" spans="2:8">
      <c r="B1803" s="91"/>
      <c r="C1803" s="36"/>
      <c r="D1803" s="91"/>
      <c r="E1803" s="91"/>
      <c r="F1803" s="80"/>
      <c r="G1803" s="91"/>
      <c r="H1803" s="91"/>
    </row>
    <row r="1804" spans="2:8">
      <c r="B1804" s="91"/>
      <c r="C1804" s="36"/>
      <c r="D1804" s="91"/>
      <c r="E1804" s="91"/>
      <c r="F1804" s="80"/>
      <c r="G1804" s="91"/>
      <c r="H1804" s="91"/>
    </row>
    <row r="1805" spans="2:8">
      <c r="B1805" s="91"/>
      <c r="C1805" s="36"/>
      <c r="D1805" s="91"/>
      <c r="E1805" s="91"/>
      <c r="F1805" s="80"/>
      <c r="G1805" s="91"/>
      <c r="H1805" s="91"/>
    </row>
    <row r="1806" spans="2:8">
      <c r="B1806" s="91"/>
      <c r="C1806" s="36"/>
      <c r="D1806" s="91"/>
      <c r="E1806" s="91"/>
      <c r="F1806" s="80"/>
      <c r="G1806" s="91"/>
      <c r="H1806" s="91"/>
    </row>
    <row r="1807" spans="2:8">
      <c r="B1807" s="91"/>
      <c r="C1807" s="36"/>
      <c r="D1807" s="91"/>
      <c r="E1807" s="91"/>
      <c r="F1807" s="80"/>
      <c r="G1807" s="91"/>
      <c r="H1807" s="91"/>
    </row>
    <row r="1808" spans="2:8">
      <c r="B1808" s="91"/>
      <c r="C1808" s="36"/>
      <c r="D1808" s="91"/>
      <c r="E1808" s="91"/>
      <c r="F1808" s="80"/>
      <c r="G1808" s="91"/>
      <c r="H1808" s="91"/>
    </row>
    <row r="1809" spans="2:8">
      <c r="B1809" s="91"/>
      <c r="C1809" s="36"/>
      <c r="D1809" s="91"/>
      <c r="E1809" s="91"/>
      <c r="F1809" s="80"/>
      <c r="G1809" s="91"/>
      <c r="H1809" s="91"/>
    </row>
    <row r="1810" spans="2:8">
      <c r="B1810" s="91"/>
      <c r="C1810" s="36"/>
      <c r="D1810" s="91"/>
      <c r="E1810" s="91"/>
      <c r="F1810" s="80"/>
      <c r="G1810" s="91"/>
      <c r="H1810" s="91"/>
    </row>
    <row r="1811" spans="2:8">
      <c r="B1811" s="91"/>
      <c r="C1811" s="36"/>
      <c r="D1811" s="91"/>
      <c r="E1811" s="91"/>
      <c r="F1811" s="80"/>
      <c r="G1811" s="91"/>
      <c r="H1811" s="91"/>
    </row>
    <row r="1812" spans="2:8">
      <c r="B1812" s="91"/>
      <c r="C1812" s="36"/>
      <c r="D1812" s="91"/>
      <c r="E1812" s="91"/>
      <c r="F1812" s="80"/>
      <c r="G1812" s="91"/>
      <c r="H1812" s="91"/>
    </row>
    <row r="1813" spans="2:8">
      <c r="B1813" s="91"/>
      <c r="C1813" s="36"/>
      <c r="D1813" s="91"/>
      <c r="E1813" s="91"/>
      <c r="F1813" s="80"/>
      <c r="G1813" s="91"/>
      <c r="H1813" s="91"/>
    </row>
    <row r="1814" spans="2:8">
      <c r="B1814" s="91"/>
      <c r="C1814" s="36"/>
      <c r="D1814" s="91"/>
      <c r="E1814" s="91"/>
      <c r="F1814" s="80"/>
      <c r="G1814" s="91"/>
      <c r="H1814" s="91"/>
    </row>
    <row r="1815" spans="2:8">
      <c r="B1815" s="91"/>
      <c r="C1815" s="36"/>
      <c r="D1815" s="91"/>
      <c r="E1815" s="91"/>
      <c r="F1815" s="80"/>
      <c r="G1815" s="91"/>
      <c r="H1815" s="91"/>
    </row>
    <row r="1816" spans="2:8">
      <c r="B1816" s="91"/>
      <c r="C1816" s="36"/>
      <c r="D1816" s="91"/>
      <c r="E1816" s="91"/>
      <c r="F1816" s="80"/>
      <c r="G1816" s="91"/>
      <c r="H1816" s="91"/>
    </row>
    <row r="1817" spans="2:8">
      <c r="B1817" s="91"/>
      <c r="C1817" s="36"/>
      <c r="D1817" s="91"/>
      <c r="E1817" s="91"/>
      <c r="F1817" s="80"/>
      <c r="G1817" s="91"/>
      <c r="H1817" s="91"/>
    </row>
    <row r="1818" spans="2:8">
      <c r="B1818" s="91"/>
      <c r="C1818" s="36"/>
      <c r="D1818" s="91"/>
      <c r="E1818" s="91"/>
      <c r="F1818" s="80"/>
      <c r="G1818" s="91"/>
      <c r="H1818" s="91"/>
    </row>
    <row r="1819" spans="2:8">
      <c r="B1819" s="91"/>
      <c r="C1819" s="36"/>
      <c r="D1819" s="91"/>
      <c r="E1819" s="91"/>
      <c r="F1819" s="80"/>
      <c r="G1819" s="91"/>
      <c r="H1819" s="91"/>
    </row>
    <row r="1820" spans="2:8">
      <c r="B1820" s="91"/>
      <c r="C1820" s="36"/>
      <c r="D1820" s="91"/>
      <c r="E1820" s="91"/>
      <c r="F1820" s="80"/>
      <c r="G1820" s="91"/>
      <c r="H1820" s="91"/>
    </row>
    <row r="1821" spans="2:8">
      <c r="B1821" s="91"/>
      <c r="C1821" s="36"/>
      <c r="D1821" s="91"/>
      <c r="E1821" s="91"/>
      <c r="F1821" s="80"/>
      <c r="G1821" s="91"/>
      <c r="H1821" s="91"/>
    </row>
    <row r="1822" spans="2:8">
      <c r="B1822" s="91"/>
      <c r="C1822" s="36"/>
      <c r="D1822" s="91"/>
      <c r="E1822" s="91"/>
      <c r="F1822" s="80"/>
      <c r="G1822" s="91"/>
      <c r="H1822" s="91"/>
    </row>
    <row r="1823" spans="2:8">
      <c r="B1823" s="91"/>
      <c r="C1823" s="36"/>
      <c r="D1823" s="91"/>
      <c r="E1823" s="91"/>
      <c r="F1823" s="80"/>
      <c r="G1823" s="91"/>
      <c r="H1823" s="91"/>
    </row>
    <row r="1824" spans="2:8">
      <c r="B1824" s="91"/>
      <c r="C1824" s="36"/>
      <c r="D1824" s="91"/>
      <c r="E1824" s="91"/>
      <c r="F1824" s="80"/>
      <c r="G1824" s="91"/>
      <c r="H1824" s="91"/>
    </row>
    <row r="1825" spans="2:8">
      <c r="B1825" s="91"/>
      <c r="C1825" s="36"/>
      <c r="D1825" s="91"/>
      <c r="E1825" s="91"/>
      <c r="F1825" s="80"/>
      <c r="G1825" s="91"/>
      <c r="H1825" s="91"/>
    </row>
    <row r="1826" spans="2:8">
      <c r="B1826" s="91"/>
      <c r="C1826" s="36"/>
      <c r="D1826" s="91"/>
      <c r="E1826" s="91"/>
      <c r="F1826" s="80"/>
      <c r="G1826" s="91"/>
      <c r="H1826" s="91"/>
    </row>
    <row r="1827" spans="2:8">
      <c r="B1827" s="91"/>
      <c r="C1827" s="36"/>
      <c r="D1827" s="91"/>
      <c r="E1827" s="91"/>
      <c r="F1827" s="80"/>
      <c r="G1827" s="91"/>
      <c r="H1827" s="91"/>
    </row>
    <row r="1828" spans="2:8">
      <c r="B1828" s="91"/>
      <c r="C1828" s="36"/>
      <c r="D1828" s="91"/>
      <c r="E1828" s="91"/>
      <c r="F1828" s="80"/>
      <c r="G1828" s="91"/>
      <c r="H1828" s="91"/>
    </row>
    <row r="1829" spans="2:8">
      <c r="B1829" s="91"/>
      <c r="C1829" s="36"/>
      <c r="D1829" s="91"/>
      <c r="E1829" s="91"/>
      <c r="F1829" s="80"/>
      <c r="G1829" s="91"/>
      <c r="H1829" s="91"/>
    </row>
    <row r="1830" spans="2:8">
      <c r="B1830" s="91"/>
      <c r="C1830" s="36"/>
      <c r="D1830" s="91"/>
      <c r="E1830" s="91"/>
      <c r="F1830" s="80"/>
      <c r="G1830" s="91"/>
      <c r="H1830" s="91"/>
    </row>
    <row r="1831" spans="2:8">
      <c r="B1831" s="91"/>
      <c r="C1831" s="36"/>
      <c r="D1831" s="91"/>
      <c r="E1831" s="91"/>
      <c r="F1831" s="80"/>
      <c r="G1831" s="91"/>
      <c r="H1831" s="91"/>
    </row>
    <row r="1832" spans="2:8">
      <c r="B1832" s="91"/>
      <c r="C1832" s="36"/>
      <c r="D1832" s="91"/>
      <c r="E1832" s="91"/>
      <c r="F1832" s="80"/>
      <c r="G1832" s="91"/>
      <c r="H1832" s="91"/>
    </row>
    <row r="1833" spans="2:8">
      <c r="B1833" s="91"/>
      <c r="C1833" s="36"/>
      <c r="D1833" s="91"/>
      <c r="E1833" s="91"/>
      <c r="F1833" s="80"/>
      <c r="G1833" s="91"/>
      <c r="H1833" s="91"/>
    </row>
    <row r="1834" spans="2:8">
      <c r="B1834" s="91"/>
      <c r="C1834" s="36"/>
      <c r="D1834" s="91"/>
      <c r="E1834" s="91"/>
      <c r="F1834" s="80"/>
      <c r="G1834" s="91"/>
      <c r="H1834" s="91"/>
    </row>
    <row r="1835" spans="2:8">
      <c r="B1835" s="91"/>
      <c r="C1835" s="36"/>
      <c r="D1835" s="91"/>
      <c r="E1835" s="91"/>
      <c r="F1835" s="80"/>
      <c r="G1835" s="91"/>
      <c r="H1835" s="91"/>
    </row>
    <row r="1836" spans="2:8">
      <c r="B1836" s="91"/>
      <c r="C1836" s="36"/>
      <c r="D1836" s="91"/>
      <c r="E1836" s="91"/>
      <c r="F1836" s="80"/>
      <c r="G1836" s="91"/>
      <c r="H1836" s="91"/>
    </row>
    <row r="1837" spans="2:8">
      <c r="B1837" s="91"/>
      <c r="C1837" s="36"/>
      <c r="D1837" s="91"/>
      <c r="E1837" s="91"/>
      <c r="F1837" s="80"/>
      <c r="G1837" s="91"/>
      <c r="H1837" s="91"/>
    </row>
    <row r="1838" spans="2:8">
      <c r="B1838" s="91"/>
      <c r="C1838" s="36"/>
      <c r="D1838" s="91"/>
      <c r="E1838" s="91"/>
      <c r="F1838" s="80"/>
      <c r="G1838" s="91"/>
      <c r="H1838" s="91"/>
    </row>
    <row r="1839" spans="2:8">
      <c r="B1839" s="91"/>
      <c r="C1839" s="36"/>
      <c r="D1839" s="91"/>
      <c r="E1839" s="91"/>
      <c r="F1839" s="80"/>
      <c r="G1839" s="91"/>
      <c r="H1839" s="91"/>
    </row>
    <row r="1840" spans="2:8">
      <c r="B1840" s="91"/>
      <c r="C1840" s="36"/>
      <c r="D1840" s="91"/>
      <c r="E1840" s="91"/>
      <c r="F1840" s="80"/>
      <c r="G1840" s="91"/>
      <c r="H1840" s="91"/>
    </row>
    <row r="1841" spans="2:8">
      <c r="B1841" s="91"/>
      <c r="C1841" s="36"/>
      <c r="D1841" s="91"/>
      <c r="E1841" s="91"/>
      <c r="F1841" s="80"/>
      <c r="G1841" s="91"/>
      <c r="H1841" s="91"/>
    </row>
    <row r="1842" spans="2:8">
      <c r="B1842" s="91"/>
      <c r="C1842" s="36"/>
      <c r="D1842" s="91"/>
      <c r="E1842" s="91"/>
      <c r="F1842" s="80"/>
      <c r="G1842" s="91"/>
      <c r="H1842" s="91"/>
    </row>
    <row r="1843" spans="2:8">
      <c r="B1843" s="91"/>
      <c r="C1843" s="36"/>
      <c r="D1843" s="91"/>
      <c r="E1843" s="91"/>
      <c r="F1843" s="80"/>
      <c r="G1843" s="91"/>
      <c r="H1843" s="91"/>
    </row>
    <row r="1844" spans="2:8">
      <c r="B1844" s="91"/>
      <c r="C1844" s="36"/>
      <c r="D1844" s="91"/>
      <c r="E1844" s="91"/>
      <c r="F1844" s="80"/>
      <c r="G1844" s="91"/>
      <c r="H1844" s="91"/>
    </row>
    <row r="1845" spans="2:8">
      <c r="B1845" s="91"/>
      <c r="C1845" s="36"/>
      <c r="D1845" s="91"/>
      <c r="E1845" s="91"/>
      <c r="F1845" s="80"/>
      <c r="G1845" s="91"/>
      <c r="H1845" s="91"/>
    </row>
    <row r="1846" spans="2:8">
      <c r="B1846" s="91"/>
      <c r="C1846" s="36"/>
      <c r="D1846" s="91"/>
      <c r="E1846" s="91"/>
      <c r="F1846" s="80"/>
      <c r="G1846" s="91"/>
      <c r="H1846" s="91"/>
    </row>
    <row r="1847" spans="2:8">
      <c r="B1847" s="91"/>
      <c r="C1847" s="36"/>
      <c r="D1847" s="91"/>
      <c r="E1847" s="91"/>
      <c r="F1847" s="80"/>
      <c r="G1847" s="91"/>
      <c r="H1847" s="91"/>
    </row>
    <row r="1848" spans="2:8">
      <c r="B1848" s="91"/>
      <c r="C1848" s="36"/>
      <c r="D1848" s="91"/>
      <c r="E1848" s="91"/>
      <c r="F1848" s="80"/>
      <c r="G1848" s="91"/>
      <c r="H1848" s="91"/>
    </row>
    <row r="1849" spans="2:8">
      <c r="B1849" s="91"/>
      <c r="C1849" s="36"/>
      <c r="D1849" s="91"/>
      <c r="E1849" s="91"/>
      <c r="F1849" s="80"/>
      <c r="G1849" s="91"/>
      <c r="H1849" s="91"/>
    </row>
    <row r="1850" spans="2:8">
      <c r="B1850" s="91"/>
      <c r="C1850" s="36"/>
      <c r="D1850" s="91"/>
      <c r="E1850" s="91"/>
      <c r="F1850" s="80"/>
      <c r="G1850" s="91"/>
      <c r="H1850" s="91"/>
    </row>
    <row r="1851" spans="2:8">
      <c r="B1851" s="91"/>
      <c r="C1851" s="36"/>
      <c r="D1851" s="91"/>
      <c r="E1851" s="91"/>
      <c r="F1851" s="80"/>
      <c r="G1851" s="91"/>
      <c r="H1851" s="91"/>
    </row>
    <row r="1852" spans="2:8">
      <c r="B1852" s="91"/>
      <c r="C1852" s="36"/>
      <c r="D1852" s="91"/>
      <c r="E1852" s="91"/>
      <c r="F1852" s="80"/>
      <c r="G1852" s="91"/>
      <c r="H1852" s="91"/>
    </row>
    <row r="1853" spans="2:8">
      <c r="B1853" s="91"/>
      <c r="C1853" s="36"/>
      <c r="D1853" s="91"/>
      <c r="E1853" s="91"/>
      <c r="F1853" s="80"/>
      <c r="G1853" s="91"/>
      <c r="H1853" s="91"/>
    </row>
    <row r="1854" spans="2:8">
      <c r="B1854" s="91"/>
      <c r="C1854" s="36"/>
      <c r="D1854" s="91"/>
      <c r="E1854" s="91"/>
      <c r="F1854" s="80"/>
      <c r="G1854" s="91"/>
      <c r="H1854" s="91"/>
    </row>
    <row r="1855" spans="2:8">
      <c r="B1855" s="91"/>
      <c r="C1855" s="36"/>
      <c r="D1855" s="91"/>
      <c r="E1855" s="91"/>
      <c r="F1855" s="80"/>
      <c r="G1855" s="91"/>
      <c r="H1855" s="91"/>
    </row>
    <row r="1856" spans="2:8">
      <c r="B1856" s="91"/>
      <c r="C1856" s="36"/>
      <c r="D1856" s="91"/>
      <c r="E1856" s="91"/>
      <c r="F1856" s="80"/>
      <c r="G1856" s="91"/>
      <c r="H1856" s="91"/>
    </row>
    <row r="1857" spans="2:8">
      <c r="B1857" s="91"/>
      <c r="C1857" s="36"/>
      <c r="D1857" s="91"/>
      <c r="E1857" s="91"/>
      <c r="F1857" s="80"/>
      <c r="G1857" s="91"/>
      <c r="H1857" s="91"/>
    </row>
    <row r="1858" spans="2:8">
      <c r="B1858" s="91"/>
      <c r="C1858" s="36"/>
      <c r="D1858" s="91"/>
      <c r="E1858" s="91"/>
      <c r="F1858" s="80"/>
      <c r="G1858" s="91"/>
      <c r="H1858" s="91"/>
    </row>
    <row r="1859" spans="2:8">
      <c r="B1859" s="91"/>
      <c r="C1859" s="36"/>
      <c r="D1859" s="91"/>
      <c r="E1859" s="91"/>
      <c r="F1859" s="80"/>
      <c r="G1859" s="91"/>
      <c r="H1859" s="91"/>
    </row>
    <row r="1860" spans="2:8">
      <c r="B1860" s="91"/>
      <c r="C1860" s="36"/>
      <c r="D1860" s="91"/>
      <c r="E1860" s="91"/>
      <c r="F1860" s="80"/>
      <c r="G1860" s="91"/>
      <c r="H1860" s="91"/>
    </row>
    <row r="1861" spans="2:8">
      <c r="B1861" s="91"/>
      <c r="C1861" s="36"/>
      <c r="D1861" s="91"/>
      <c r="E1861" s="91"/>
      <c r="F1861" s="80"/>
      <c r="G1861" s="91"/>
      <c r="H1861" s="91"/>
    </row>
    <row r="1862" spans="2:8">
      <c r="B1862" s="91"/>
      <c r="C1862" s="36"/>
      <c r="D1862" s="91"/>
      <c r="E1862" s="91"/>
      <c r="F1862" s="80"/>
      <c r="G1862" s="91"/>
      <c r="H1862" s="91"/>
    </row>
    <row r="1863" spans="2:8">
      <c r="B1863" s="91"/>
      <c r="C1863" s="36"/>
      <c r="D1863" s="91"/>
      <c r="E1863" s="91"/>
      <c r="F1863" s="80"/>
      <c r="G1863" s="91"/>
      <c r="H1863" s="91"/>
    </row>
    <row r="1864" spans="2:8">
      <c r="B1864" s="91"/>
      <c r="C1864" s="36"/>
      <c r="D1864" s="91"/>
      <c r="E1864" s="91"/>
      <c r="F1864" s="80"/>
      <c r="G1864" s="91"/>
      <c r="H1864" s="91"/>
    </row>
    <row r="1865" spans="2:8">
      <c r="B1865" s="91"/>
      <c r="C1865" s="36"/>
      <c r="D1865" s="91"/>
      <c r="E1865" s="91"/>
      <c r="F1865" s="80"/>
      <c r="G1865" s="91"/>
      <c r="H1865" s="91"/>
    </row>
    <row r="1866" spans="2:8">
      <c r="B1866" s="91"/>
      <c r="C1866" s="36"/>
      <c r="D1866" s="91"/>
      <c r="E1866" s="91"/>
      <c r="F1866" s="80"/>
      <c r="G1866" s="91"/>
      <c r="H1866" s="91"/>
    </row>
    <row r="1867" spans="2:8">
      <c r="B1867" s="91"/>
      <c r="C1867" s="36"/>
      <c r="D1867" s="91"/>
      <c r="E1867" s="91"/>
      <c r="F1867" s="80"/>
      <c r="G1867" s="91"/>
      <c r="H1867" s="91"/>
    </row>
    <row r="1868" spans="2:8">
      <c r="B1868" s="91"/>
      <c r="C1868" s="36"/>
      <c r="D1868" s="91"/>
      <c r="E1868" s="91"/>
      <c r="F1868" s="80"/>
      <c r="G1868" s="91"/>
      <c r="H1868" s="91"/>
    </row>
    <row r="1869" spans="2:8">
      <c r="B1869" s="91"/>
      <c r="C1869" s="36"/>
      <c r="D1869" s="91"/>
      <c r="E1869" s="91"/>
      <c r="F1869" s="80"/>
      <c r="G1869" s="91"/>
      <c r="H1869" s="91"/>
    </row>
    <row r="1870" spans="2:8">
      <c r="B1870" s="91"/>
      <c r="C1870" s="36"/>
      <c r="D1870" s="91"/>
      <c r="E1870" s="91"/>
      <c r="F1870" s="80"/>
      <c r="G1870" s="91"/>
      <c r="H1870" s="91"/>
    </row>
    <row r="1871" spans="2:8">
      <c r="B1871" s="91"/>
      <c r="C1871" s="36"/>
      <c r="D1871" s="91"/>
      <c r="E1871" s="91"/>
      <c r="F1871" s="80"/>
      <c r="G1871" s="91"/>
      <c r="H1871" s="91"/>
    </row>
    <row r="1872" spans="2:8">
      <c r="B1872" s="91"/>
      <c r="C1872" s="36"/>
      <c r="D1872" s="91"/>
      <c r="E1872" s="91"/>
      <c r="F1872" s="80"/>
      <c r="G1872" s="91"/>
      <c r="H1872" s="91"/>
    </row>
    <row r="1873" spans="2:8">
      <c r="B1873" s="91"/>
      <c r="C1873" s="36"/>
      <c r="D1873" s="91"/>
      <c r="E1873" s="91"/>
      <c r="F1873" s="80"/>
      <c r="G1873" s="91"/>
      <c r="H1873" s="91"/>
    </row>
    <row r="1874" spans="2:8">
      <c r="B1874" s="91"/>
      <c r="C1874" s="36"/>
      <c r="D1874" s="91"/>
      <c r="E1874" s="91"/>
      <c r="F1874" s="80"/>
      <c r="G1874" s="91"/>
      <c r="H1874" s="91"/>
    </row>
    <row r="1875" spans="2:8">
      <c r="B1875" s="91"/>
      <c r="C1875" s="36"/>
      <c r="D1875" s="91"/>
      <c r="E1875" s="91"/>
      <c r="F1875" s="80"/>
      <c r="G1875" s="91"/>
      <c r="H1875" s="91"/>
    </row>
    <row r="1876" spans="2:8">
      <c r="B1876" s="91"/>
      <c r="C1876" s="36"/>
      <c r="D1876" s="91"/>
      <c r="E1876" s="91"/>
      <c r="F1876" s="80"/>
      <c r="G1876" s="91"/>
      <c r="H1876" s="91"/>
    </row>
    <row r="1877" spans="2:8">
      <c r="B1877" s="91"/>
      <c r="C1877" s="36"/>
      <c r="D1877" s="91"/>
      <c r="E1877" s="91"/>
      <c r="F1877" s="80"/>
      <c r="G1877" s="91"/>
      <c r="H1877" s="91"/>
    </row>
    <row r="1878" spans="2:8">
      <c r="B1878" s="91"/>
      <c r="C1878" s="36"/>
      <c r="D1878" s="91"/>
      <c r="E1878" s="91"/>
      <c r="F1878" s="80"/>
      <c r="G1878" s="91"/>
      <c r="H1878" s="91"/>
    </row>
    <row r="1879" spans="2:8">
      <c r="B1879" s="91"/>
      <c r="C1879" s="36"/>
      <c r="D1879" s="91"/>
      <c r="E1879" s="91"/>
      <c r="F1879" s="80"/>
      <c r="G1879" s="91"/>
      <c r="H1879" s="91"/>
    </row>
    <row r="1880" spans="2:8">
      <c r="B1880" s="91"/>
      <c r="C1880" s="36"/>
      <c r="D1880" s="91"/>
      <c r="E1880" s="91"/>
      <c r="F1880" s="80"/>
      <c r="G1880" s="91"/>
      <c r="H1880" s="91"/>
    </row>
    <row r="1881" spans="2:8">
      <c r="B1881" s="91"/>
      <c r="C1881" s="36"/>
      <c r="D1881" s="91"/>
      <c r="E1881" s="91"/>
      <c r="F1881" s="80"/>
      <c r="G1881" s="91"/>
      <c r="H1881" s="91"/>
    </row>
    <row r="1882" spans="2:8">
      <c r="B1882" s="91"/>
      <c r="C1882" s="36"/>
      <c r="D1882" s="91"/>
      <c r="E1882" s="91"/>
      <c r="F1882" s="80"/>
      <c r="G1882" s="91"/>
      <c r="H1882" s="91"/>
    </row>
    <row r="1883" spans="2:8">
      <c r="B1883" s="91"/>
      <c r="C1883" s="36"/>
      <c r="D1883" s="91"/>
      <c r="E1883" s="91"/>
      <c r="F1883" s="80"/>
      <c r="G1883" s="91"/>
      <c r="H1883" s="91"/>
    </row>
    <row r="1884" spans="2:8">
      <c r="B1884" s="91"/>
      <c r="C1884" s="36"/>
      <c r="D1884" s="91"/>
      <c r="E1884" s="91"/>
      <c r="F1884" s="80"/>
      <c r="G1884" s="91"/>
      <c r="H1884" s="91"/>
    </row>
    <row r="1885" spans="2:8">
      <c r="B1885" s="91"/>
      <c r="C1885" s="36"/>
      <c r="D1885" s="91"/>
      <c r="E1885" s="91"/>
      <c r="F1885" s="80"/>
      <c r="G1885" s="91"/>
      <c r="H1885" s="91"/>
    </row>
    <row r="1886" spans="2:8">
      <c r="B1886" s="91"/>
      <c r="C1886" s="36"/>
      <c r="D1886" s="91"/>
      <c r="E1886" s="91"/>
      <c r="F1886" s="80"/>
      <c r="G1886" s="91"/>
      <c r="H1886" s="91"/>
    </row>
    <row r="1887" spans="2:8">
      <c r="B1887" s="91"/>
      <c r="C1887" s="36"/>
      <c r="D1887" s="91"/>
      <c r="E1887" s="91"/>
      <c r="F1887" s="80"/>
      <c r="G1887" s="91"/>
      <c r="H1887" s="91"/>
    </row>
    <row r="1888" spans="2:8">
      <c r="B1888" s="91"/>
      <c r="C1888" s="36"/>
      <c r="D1888" s="91"/>
      <c r="E1888" s="91"/>
      <c r="F1888" s="80"/>
      <c r="G1888" s="91"/>
      <c r="H1888" s="91"/>
    </row>
    <row r="1889" spans="2:8">
      <c r="B1889" s="91"/>
      <c r="C1889" s="36"/>
      <c r="D1889" s="91"/>
      <c r="E1889" s="91"/>
      <c r="F1889" s="80"/>
      <c r="G1889" s="91"/>
      <c r="H1889" s="91"/>
    </row>
    <row r="1890" spans="2:8">
      <c r="B1890" s="91"/>
      <c r="C1890" s="36"/>
      <c r="D1890" s="91"/>
      <c r="E1890" s="91"/>
      <c r="F1890" s="80"/>
      <c r="G1890" s="91"/>
      <c r="H1890" s="91"/>
    </row>
    <row r="1891" spans="2:8">
      <c r="B1891" s="91"/>
      <c r="C1891" s="36"/>
      <c r="D1891" s="91"/>
      <c r="E1891" s="91"/>
      <c r="F1891" s="80"/>
      <c r="G1891" s="91"/>
      <c r="H1891" s="91"/>
    </row>
    <row r="1892" spans="2:8">
      <c r="B1892" s="91"/>
      <c r="C1892" s="36"/>
      <c r="D1892" s="91"/>
      <c r="E1892" s="91"/>
      <c r="F1892" s="80"/>
      <c r="G1892" s="91"/>
      <c r="H1892" s="91"/>
    </row>
    <row r="1893" spans="2:8">
      <c r="B1893" s="91"/>
      <c r="C1893" s="36"/>
      <c r="D1893" s="91"/>
      <c r="E1893" s="91"/>
      <c r="F1893" s="80"/>
      <c r="G1893" s="91"/>
      <c r="H1893" s="91"/>
    </row>
    <row r="1894" spans="2:8">
      <c r="B1894" s="91"/>
      <c r="C1894" s="36"/>
      <c r="D1894" s="91"/>
      <c r="E1894" s="91"/>
      <c r="F1894" s="80"/>
      <c r="G1894" s="91"/>
      <c r="H1894" s="91"/>
    </row>
    <row r="1895" spans="2:8">
      <c r="B1895" s="91"/>
      <c r="C1895" s="36"/>
      <c r="D1895" s="91"/>
      <c r="E1895" s="91"/>
      <c r="F1895" s="80"/>
      <c r="G1895" s="91"/>
      <c r="H1895" s="91"/>
    </row>
    <row r="1896" spans="2:8">
      <c r="B1896" s="91"/>
      <c r="C1896" s="36"/>
      <c r="D1896" s="91"/>
      <c r="E1896" s="91"/>
      <c r="F1896" s="80"/>
      <c r="G1896" s="91"/>
      <c r="H1896" s="91"/>
    </row>
    <row r="1897" spans="2:8">
      <c r="B1897" s="91"/>
      <c r="C1897" s="36"/>
      <c r="D1897" s="91"/>
      <c r="E1897" s="91"/>
      <c r="F1897" s="80"/>
      <c r="G1897" s="91"/>
      <c r="H1897" s="91"/>
    </row>
    <row r="1898" spans="2:8">
      <c r="B1898" s="91"/>
      <c r="C1898" s="36"/>
      <c r="D1898" s="91"/>
      <c r="E1898" s="91"/>
      <c r="F1898" s="80"/>
      <c r="G1898" s="91"/>
      <c r="H1898" s="91"/>
    </row>
    <row r="1899" spans="2:8">
      <c r="B1899" s="91"/>
      <c r="C1899" s="36"/>
      <c r="D1899" s="91"/>
      <c r="E1899" s="91"/>
      <c r="F1899" s="80"/>
      <c r="G1899" s="91"/>
      <c r="H1899" s="91"/>
    </row>
    <row r="1900" spans="2:8">
      <c r="B1900" s="91"/>
      <c r="C1900" s="36"/>
      <c r="D1900" s="91"/>
      <c r="E1900" s="91"/>
      <c r="F1900" s="80"/>
      <c r="G1900" s="91"/>
      <c r="H1900" s="91"/>
    </row>
    <row r="1901" spans="2:8">
      <c r="B1901" s="91"/>
      <c r="C1901" s="36"/>
      <c r="D1901" s="91"/>
      <c r="E1901" s="91"/>
      <c r="F1901" s="80"/>
      <c r="G1901" s="91"/>
      <c r="H1901" s="91"/>
    </row>
    <row r="1902" spans="2:8">
      <c r="B1902" s="91"/>
      <c r="C1902" s="36"/>
      <c r="D1902" s="91"/>
      <c r="E1902" s="91"/>
      <c r="F1902" s="80"/>
      <c r="G1902" s="91"/>
      <c r="H1902" s="91"/>
    </row>
    <row r="1903" spans="2:8">
      <c r="B1903" s="91"/>
      <c r="C1903" s="36"/>
      <c r="D1903" s="91"/>
      <c r="E1903" s="91"/>
      <c r="F1903" s="80"/>
      <c r="G1903" s="91"/>
      <c r="H1903" s="91"/>
    </row>
    <row r="1904" spans="2:8">
      <c r="B1904" s="91"/>
      <c r="C1904" s="36"/>
      <c r="D1904" s="91"/>
      <c r="E1904" s="91"/>
      <c r="F1904" s="80"/>
      <c r="G1904" s="91"/>
      <c r="H1904" s="91"/>
    </row>
    <row r="1905" spans="2:8">
      <c r="B1905" s="91"/>
      <c r="C1905" s="36"/>
      <c r="D1905" s="91"/>
      <c r="E1905" s="91"/>
      <c r="F1905" s="80"/>
      <c r="G1905" s="91"/>
      <c r="H1905" s="91"/>
    </row>
    <row r="1906" spans="2:8">
      <c r="B1906" s="91"/>
      <c r="C1906" s="36"/>
      <c r="D1906" s="91"/>
      <c r="E1906" s="91"/>
      <c r="F1906" s="80"/>
      <c r="G1906" s="91"/>
      <c r="H1906" s="91"/>
    </row>
    <row r="1907" spans="2:8">
      <c r="B1907" s="91"/>
      <c r="C1907" s="36"/>
      <c r="D1907" s="91"/>
      <c r="E1907" s="91"/>
      <c r="F1907" s="80"/>
      <c r="G1907" s="91"/>
      <c r="H1907" s="91"/>
    </row>
    <row r="1908" spans="2:8">
      <c r="B1908" s="91"/>
      <c r="C1908" s="36"/>
      <c r="D1908" s="91"/>
      <c r="E1908" s="91"/>
      <c r="F1908" s="80"/>
      <c r="G1908" s="91"/>
      <c r="H1908" s="91"/>
    </row>
    <row r="1909" spans="2:8">
      <c r="B1909" s="91"/>
      <c r="C1909" s="36"/>
      <c r="D1909" s="91"/>
      <c r="E1909" s="91"/>
      <c r="F1909" s="80"/>
      <c r="G1909" s="91"/>
      <c r="H1909" s="91"/>
    </row>
    <row r="1910" spans="2:8">
      <c r="B1910" s="91"/>
      <c r="C1910" s="36"/>
      <c r="D1910" s="91"/>
      <c r="E1910" s="91"/>
      <c r="F1910" s="80"/>
      <c r="G1910" s="91"/>
      <c r="H1910" s="91"/>
    </row>
    <row r="1911" spans="2:8">
      <c r="B1911" s="91"/>
      <c r="C1911" s="36"/>
      <c r="D1911" s="91"/>
      <c r="E1911" s="91"/>
      <c r="F1911" s="80"/>
      <c r="G1911" s="91"/>
      <c r="H1911" s="91"/>
    </row>
    <row r="1912" spans="2:8">
      <c r="B1912" s="91"/>
      <c r="C1912" s="36"/>
      <c r="D1912" s="91"/>
      <c r="E1912" s="91"/>
      <c r="F1912" s="80"/>
      <c r="G1912" s="91"/>
      <c r="H1912" s="91"/>
    </row>
    <row r="1913" spans="2:8">
      <c r="B1913" s="91"/>
      <c r="C1913" s="36"/>
      <c r="D1913" s="91"/>
      <c r="E1913" s="91"/>
      <c r="F1913" s="80"/>
      <c r="G1913" s="91"/>
      <c r="H1913" s="91"/>
    </row>
    <row r="1914" spans="2:8">
      <c r="B1914" s="91"/>
      <c r="C1914" s="36"/>
      <c r="D1914" s="91"/>
      <c r="E1914" s="91"/>
      <c r="F1914" s="80"/>
      <c r="G1914" s="91"/>
      <c r="H1914" s="91"/>
    </row>
    <row r="1915" spans="2:8">
      <c r="B1915" s="91"/>
      <c r="C1915" s="36"/>
      <c r="D1915" s="91"/>
      <c r="E1915" s="91"/>
      <c r="F1915" s="80"/>
      <c r="G1915" s="91"/>
      <c r="H1915" s="91"/>
    </row>
    <row r="1916" spans="2:8">
      <c r="B1916" s="91"/>
      <c r="C1916" s="36"/>
      <c r="D1916" s="91"/>
      <c r="E1916" s="91"/>
      <c r="F1916" s="80"/>
      <c r="G1916" s="91"/>
      <c r="H1916" s="91"/>
    </row>
    <row r="1917" spans="2:8">
      <c r="B1917" s="91"/>
      <c r="C1917" s="36"/>
      <c r="D1917" s="91"/>
      <c r="E1917" s="91"/>
      <c r="F1917" s="80"/>
      <c r="G1917" s="91"/>
      <c r="H1917" s="91"/>
    </row>
    <row r="1918" spans="2:8">
      <c r="B1918" s="91"/>
      <c r="C1918" s="36"/>
      <c r="D1918" s="91"/>
      <c r="E1918" s="91"/>
      <c r="F1918" s="80"/>
      <c r="G1918" s="91"/>
      <c r="H1918" s="91"/>
    </row>
    <row r="1919" spans="2:8">
      <c r="B1919" s="91"/>
      <c r="C1919" s="36"/>
      <c r="D1919" s="91"/>
      <c r="E1919" s="91"/>
      <c r="F1919" s="80"/>
      <c r="G1919" s="91"/>
      <c r="H1919" s="91"/>
    </row>
    <row r="1920" spans="2:8">
      <c r="B1920" s="91"/>
      <c r="C1920" s="36"/>
      <c r="D1920" s="91"/>
      <c r="E1920" s="91"/>
      <c r="F1920" s="80"/>
      <c r="G1920" s="91"/>
      <c r="H1920" s="91"/>
    </row>
    <row r="1921" spans="2:8">
      <c r="B1921" s="91"/>
      <c r="C1921" s="36"/>
      <c r="D1921" s="91"/>
      <c r="E1921" s="91"/>
      <c r="F1921" s="80"/>
      <c r="G1921" s="91"/>
      <c r="H1921" s="91"/>
    </row>
    <row r="1922" spans="2:8">
      <c r="B1922" s="91"/>
      <c r="C1922" s="36"/>
      <c r="D1922" s="91"/>
      <c r="E1922" s="91"/>
      <c r="F1922" s="80"/>
      <c r="G1922" s="91"/>
      <c r="H1922" s="91"/>
    </row>
    <row r="1923" spans="2:8">
      <c r="B1923" s="91"/>
      <c r="C1923" s="36"/>
      <c r="D1923" s="91"/>
      <c r="E1923" s="91"/>
      <c r="F1923" s="80"/>
      <c r="G1923" s="91"/>
      <c r="H1923" s="91"/>
    </row>
    <row r="1924" spans="2:8">
      <c r="B1924" s="91"/>
      <c r="C1924" s="36"/>
      <c r="D1924" s="91"/>
      <c r="E1924" s="91"/>
      <c r="F1924" s="80"/>
      <c r="G1924" s="91"/>
      <c r="H1924" s="91"/>
    </row>
    <row r="1925" spans="2:8">
      <c r="B1925" s="91"/>
      <c r="C1925" s="36"/>
      <c r="D1925" s="91"/>
      <c r="E1925" s="91"/>
      <c r="F1925" s="80"/>
      <c r="G1925" s="91"/>
      <c r="H1925" s="91"/>
    </row>
    <row r="1926" spans="2:8">
      <c r="B1926" s="91"/>
      <c r="C1926" s="36"/>
      <c r="D1926" s="91"/>
      <c r="E1926" s="91"/>
      <c r="F1926" s="80"/>
      <c r="G1926" s="91"/>
      <c r="H1926" s="91"/>
    </row>
    <row r="1927" spans="2:8">
      <c r="B1927" s="91"/>
      <c r="C1927" s="36"/>
      <c r="D1927" s="91"/>
      <c r="E1927" s="91"/>
      <c r="F1927" s="80"/>
      <c r="G1927" s="91"/>
      <c r="H1927" s="91"/>
    </row>
    <row r="1928" spans="2:8">
      <c r="B1928" s="91"/>
      <c r="C1928" s="36"/>
      <c r="D1928" s="91"/>
      <c r="E1928" s="91"/>
      <c r="F1928" s="80"/>
      <c r="G1928" s="91"/>
      <c r="H1928" s="91"/>
    </row>
    <row r="1929" spans="2:8">
      <c r="B1929" s="91"/>
      <c r="C1929" s="36"/>
      <c r="D1929" s="91"/>
      <c r="E1929" s="91"/>
      <c r="F1929" s="80"/>
      <c r="G1929" s="91"/>
      <c r="H1929" s="91"/>
    </row>
    <row r="1930" spans="2:8">
      <c r="B1930" s="91"/>
      <c r="C1930" s="36"/>
      <c r="D1930" s="91"/>
      <c r="E1930" s="91"/>
      <c r="F1930" s="80"/>
      <c r="G1930" s="91"/>
      <c r="H1930" s="91"/>
    </row>
    <row r="1931" spans="2:8">
      <c r="B1931" s="91"/>
      <c r="C1931" s="36"/>
      <c r="D1931" s="91"/>
      <c r="E1931" s="91"/>
      <c r="F1931" s="80"/>
      <c r="G1931" s="91"/>
      <c r="H1931" s="91"/>
    </row>
    <row r="1932" spans="2:8">
      <c r="B1932" s="91"/>
      <c r="C1932" s="36"/>
      <c r="D1932" s="91"/>
      <c r="E1932" s="91"/>
      <c r="F1932" s="80"/>
      <c r="G1932" s="91"/>
      <c r="H1932" s="91"/>
    </row>
    <row r="1933" spans="2:8">
      <c r="B1933" s="91"/>
      <c r="C1933" s="36"/>
      <c r="D1933" s="91"/>
      <c r="E1933" s="91"/>
      <c r="F1933" s="80"/>
      <c r="G1933" s="91"/>
      <c r="H1933" s="91"/>
    </row>
    <row r="1934" spans="2:8">
      <c r="B1934" s="91"/>
      <c r="C1934" s="36"/>
      <c r="D1934" s="91"/>
      <c r="E1934" s="91"/>
      <c r="F1934" s="80"/>
      <c r="G1934" s="91"/>
      <c r="H1934" s="91"/>
    </row>
    <row r="1935" spans="2:8">
      <c r="B1935" s="91"/>
      <c r="C1935" s="36"/>
      <c r="D1935" s="91"/>
      <c r="E1935" s="91"/>
      <c r="F1935" s="80"/>
      <c r="G1935" s="91"/>
      <c r="H1935" s="91"/>
    </row>
    <row r="1936" spans="2:8">
      <c r="B1936" s="91"/>
      <c r="C1936" s="36"/>
      <c r="D1936" s="91"/>
      <c r="E1936" s="91"/>
      <c r="F1936" s="80"/>
      <c r="G1936" s="91"/>
      <c r="H1936" s="91"/>
    </row>
    <row r="1937" spans="2:8">
      <c r="B1937" s="91"/>
      <c r="C1937" s="36"/>
      <c r="D1937" s="91"/>
      <c r="E1937" s="91"/>
      <c r="F1937" s="80"/>
      <c r="G1937" s="91"/>
      <c r="H1937" s="91"/>
    </row>
    <row r="1938" spans="2:8">
      <c r="B1938" s="91"/>
      <c r="C1938" s="36"/>
      <c r="D1938" s="91"/>
      <c r="E1938" s="91"/>
      <c r="F1938" s="80"/>
      <c r="G1938" s="91"/>
      <c r="H1938" s="91"/>
    </row>
    <row r="1939" spans="2:8">
      <c r="B1939" s="91"/>
      <c r="C1939" s="36"/>
      <c r="D1939" s="91"/>
      <c r="E1939" s="91"/>
      <c r="F1939" s="80"/>
      <c r="G1939" s="91"/>
      <c r="H1939" s="91"/>
    </row>
    <row r="1940" spans="2:8">
      <c r="B1940" s="91"/>
      <c r="C1940" s="36"/>
      <c r="D1940" s="91"/>
      <c r="E1940" s="91"/>
      <c r="F1940" s="80"/>
      <c r="G1940" s="91"/>
      <c r="H1940" s="91"/>
    </row>
    <row r="1941" spans="2:8">
      <c r="B1941" s="91"/>
      <c r="C1941" s="36"/>
      <c r="D1941" s="91"/>
      <c r="E1941" s="91"/>
      <c r="F1941" s="80"/>
      <c r="G1941" s="91"/>
      <c r="H1941" s="91"/>
    </row>
    <row r="1942" spans="2:8">
      <c r="B1942" s="91"/>
      <c r="C1942" s="36"/>
      <c r="D1942" s="91"/>
      <c r="E1942" s="91"/>
      <c r="F1942" s="80"/>
      <c r="G1942" s="91"/>
      <c r="H1942" s="91"/>
    </row>
    <row r="1943" spans="2:8">
      <c r="B1943" s="91"/>
      <c r="C1943" s="36"/>
      <c r="D1943" s="91"/>
      <c r="E1943" s="91"/>
      <c r="F1943" s="80"/>
      <c r="G1943" s="91"/>
      <c r="H1943" s="91"/>
    </row>
    <row r="1944" spans="2:8">
      <c r="B1944" s="91"/>
      <c r="C1944" s="36"/>
      <c r="D1944" s="91"/>
      <c r="E1944" s="91"/>
      <c r="F1944" s="80"/>
      <c r="G1944" s="91"/>
      <c r="H1944" s="91"/>
    </row>
    <row r="1945" spans="2:8">
      <c r="B1945" s="91"/>
      <c r="C1945" s="36"/>
      <c r="D1945" s="91"/>
      <c r="E1945" s="91"/>
      <c r="F1945" s="80"/>
      <c r="G1945" s="91"/>
      <c r="H1945" s="91"/>
    </row>
    <row r="1946" spans="2:8">
      <c r="B1946" s="91"/>
      <c r="C1946" s="36"/>
      <c r="D1946" s="91"/>
      <c r="E1946" s="91"/>
      <c r="F1946" s="80"/>
      <c r="G1946" s="91"/>
      <c r="H1946" s="91"/>
    </row>
    <row r="1947" spans="2:8">
      <c r="B1947" s="91"/>
      <c r="C1947" s="36"/>
      <c r="D1947" s="91"/>
      <c r="E1947" s="91"/>
      <c r="F1947" s="80"/>
      <c r="G1947" s="91"/>
      <c r="H1947" s="91"/>
    </row>
    <row r="1948" spans="2:8">
      <c r="B1948" s="91"/>
      <c r="C1948" s="36"/>
      <c r="D1948" s="91"/>
      <c r="E1948" s="91"/>
      <c r="F1948" s="80"/>
      <c r="G1948" s="91"/>
      <c r="H1948" s="91"/>
    </row>
    <row r="1949" spans="2:8">
      <c r="B1949" s="91"/>
      <c r="C1949" s="36"/>
      <c r="D1949" s="91"/>
      <c r="E1949" s="91"/>
      <c r="F1949" s="80"/>
      <c r="G1949" s="91"/>
      <c r="H1949" s="91"/>
    </row>
    <row r="1950" spans="2:8">
      <c r="B1950" s="91"/>
      <c r="C1950" s="36"/>
      <c r="D1950" s="91"/>
      <c r="E1950" s="91"/>
      <c r="F1950" s="80"/>
      <c r="G1950" s="91"/>
      <c r="H1950" s="91"/>
    </row>
    <row r="1951" spans="2:8">
      <c r="B1951" s="91"/>
      <c r="C1951" s="36"/>
      <c r="D1951" s="91"/>
      <c r="E1951" s="91"/>
      <c r="F1951" s="80"/>
      <c r="G1951" s="91"/>
      <c r="H1951" s="91"/>
    </row>
    <row r="1952" spans="2:8">
      <c r="B1952" s="91"/>
      <c r="C1952" s="36"/>
      <c r="D1952" s="91"/>
      <c r="E1952" s="91"/>
      <c r="F1952" s="80"/>
      <c r="G1952" s="91"/>
      <c r="H1952" s="91"/>
    </row>
    <row r="1953" spans="2:8">
      <c r="B1953" s="91"/>
      <c r="C1953" s="36"/>
      <c r="D1953" s="91"/>
      <c r="E1953" s="91"/>
      <c r="F1953" s="80"/>
      <c r="G1953" s="91"/>
      <c r="H1953" s="91"/>
    </row>
    <row r="1954" spans="2:8">
      <c r="B1954" s="91"/>
      <c r="C1954" s="36"/>
      <c r="D1954" s="91"/>
      <c r="E1954" s="91"/>
      <c r="F1954" s="80"/>
      <c r="G1954" s="91"/>
      <c r="H1954" s="91"/>
    </row>
    <row r="1955" spans="2:8">
      <c r="B1955" s="91"/>
      <c r="C1955" s="36"/>
      <c r="D1955" s="91"/>
      <c r="E1955" s="91"/>
      <c r="F1955" s="80"/>
      <c r="G1955" s="91"/>
      <c r="H1955" s="91"/>
    </row>
    <row r="1956" spans="2:8">
      <c r="B1956" s="91"/>
      <c r="C1956" s="36"/>
      <c r="D1956" s="91"/>
      <c r="E1956" s="91"/>
      <c r="F1956" s="80"/>
      <c r="G1956" s="91"/>
      <c r="H1956" s="91"/>
    </row>
    <row r="1957" spans="2:8">
      <c r="B1957" s="91"/>
      <c r="C1957" s="36"/>
      <c r="D1957" s="91"/>
      <c r="E1957" s="91"/>
      <c r="F1957" s="80"/>
      <c r="G1957" s="91"/>
      <c r="H1957" s="91"/>
    </row>
    <row r="1958" spans="2:8">
      <c r="B1958" s="91"/>
      <c r="C1958" s="36"/>
      <c r="D1958" s="91"/>
      <c r="E1958" s="91"/>
      <c r="F1958" s="80"/>
      <c r="G1958" s="91"/>
      <c r="H1958" s="91"/>
    </row>
    <row r="1959" spans="2:8">
      <c r="B1959" s="91"/>
      <c r="C1959" s="36"/>
      <c r="D1959" s="91"/>
      <c r="E1959" s="91"/>
      <c r="F1959" s="80"/>
      <c r="G1959" s="91"/>
      <c r="H1959" s="91"/>
    </row>
    <row r="1960" spans="2:8">
      <c r="B1960" s="91"/>
      <c r="C1960" s="36"/>
      <c r="D1960" s="91"/>
      <c r="E1960" s="91"/>
      <c r="F1960" s="80"/>
      <c r="G1960" s="91"/>
      <c r="H1960" s="91"/>
    </row>
    <row r="1961" spans="2:8">
      <c r="B1961" s="91"/>
      <c r="C1961" s="36"/>
      <c r="D1961" s="91"/>
      <c r="E1961" s="91"/>
      <c r="F1961" s="80"/>
      <c r="G1961" s="91"/>
      <c r="H1961" s="91"/>
    </row>
    <row r="1962" spans="2:8">
      <c r="B1962" s="91"/>
      <c r="C1962" s="36"/>
      <c r="D1962" s="91"/>
      <c r="E1962" s="91"/>
      <c r="F1962" s="80"/>
      <c r="G1962" s="91"/>
      <c r="H1962" s="91"/>
    </row>
    <row r="1963" spans="2:8">
      <c r="B1963" s="91"/>
      <c r="C1963" s="36"/>
      <c r="D1963" s="91"/>
      <c r="E1963" s="91"/>
      <c r="F1963" s="80"/>
      <c r="G1963" s="91"/>
      <c r="H1963" s="91"/>
    </row>
    <row r="1964" spans="2:8">
      <c r="B1964" s="91"/>
      <c r="C1964" s="36"/>
      <c r="D1964" s="91"/>
      <c r="E1964" s="91"/>
      <c r="F1964" s="80"/>
      <c r="G1964" s="91"/>
      <c r="H1964" s="91"/>
    </row>
    <row r="1965" spans="2:8">
      <c r="B1965" s="91"/>
      <c r="C1965" s="36"/>
      <c r="D1965" s="91"/>
      <c r="E1965" s="91"/>
      <c r="F1965" s="80"/>
      <c r="G1965" s="91"/>
      <c r="H1965" s="91"/>
    </row>
    <row r="1966" spans="2:8">
      <c r="B1966" s="91"/>
      <c r="C1966" s="36"/>
      <c r="D1966" s="91"/>
      <c r="E1966" s="91"/>
      <c r="F1966" s="80"/>
      <c r="G1966" s="91"/>
      <c r="H1966" s="91"/>
    </row>
    <row r="1967" spans="2:8">
      <c r="B1967" s="91"/>
      <c r="C1967" s="36"/>
      <c r="D1967" s="91"/>
      <c r="E1967" s="91"/>
      <c r="F1967" s="80"/>
      <c r="G1967" s="91"/>
      <c r="H1967" s="91"/>
    </row>
    <row r="1968" spans="2:8">
      <c r="B1968" s="91"/>
      <c r="C1968" s="36"/>
      <c r="D1968" s="91"/>
      <c r="E1968" s="91"/>
      <c r="F1968" s="80"/>
      <c r="G1968" s="91"/>
      <c r="H1968" s="91"/>
    </row>
    <row r="1969" spans="2:8">
      <c r="B1969" s="91"/>
      <c r="C1969" s="36"/>
      <c r="D1969" s="91"/>
      <c r="E1969" s="91"/>
      <c r="F1969" s="80"/>
      <c r="G1969" s="91"/>
      <c r="H1969" s="91"/>
    </row>
    <row r="1970" spans="2:8">
      <c r="B1970" s="91"/>
      <c r="C1970" s="36"/>
      <c r="D1970" s="91"/>
      <c r="E1970" s="91"/>
      <c r="F1970" s="80"/>
      <c r="G1970" s="91"/>
      <c r="H1970" s="91"/>
    </row>
    <row r="1971" spans="2:8">
      <c r="B1971" s="91"/>
      <c r="C1971" s="36"/>
      <c r="D1971" s="91"/>
      <c r="E1971" s="91"/>
      <c r="F1971" s="80"/>
      <c r="G1971" s="91"/>
      <c r="H1971" s="91"/>
    </row>
    <row r="1972" spans="2:8">
      <c r="B1972" s="91"/>
      <c r="C1972" s="36"/>
      <c r="D1972" s="91"/>
      <c r="E1972" s="91"/>
      <c r="F1972" s="80"/>
      <c r="G1972" s="91"/>
      <c r="H1972" s="91"/>
    </row>
    <row r="1973" spans="2:8">
      <c r="B1973" s="91"/>
      <c r="C1973" s="36"/>
      <c r="D1973" s="91"/>
      <c r="E1973" s="91"/>
      <c r="F1973" s="80"/>
      <c r="G1973" s="91"/>
      <c r="H1973" s="91"/>
    </row>
    <row r="1974" spans="2:8">
      <c r="B1974" s="91"/>
      <c r="C1974" s="36"/>
      <c r="D1974" s="91"/>
      <c r="E1974" s="91"/>
      <c r="F1974" s="80"/>
      <c r="G1974" s="91"/>
      <c r="H1974" s="91"/>
    </row>
    <row r="1975" spans="2:8">
      <c r="B1975" s="91"/>
      <c r="C1975" s="36"/>
      <c r="D1975" s="91"/>
      <c r="E1975" s="91"/>
      <c r="F1975" s="80"/>
      <c r="G1975" s="91"/>
      <c r="H1975" s="91"/>
    </row>
    <row r="1976" spans="2:8">
      <c r="B1976" s="91"/>
      <c r="C1976" s="36"/>
      <c r="D1976" s="91"/>
      <c r="E1976" s="91"/>
      <c r="F1976" s="80"/>
      <c r="G1976" s="91"/>
      <c r="H1976" s="91"/>
    </row>
    <row r="1977" spans="2:8">
      <c r="B1977" s="91"/>
      <c r="C1977" s="36"/>
      <c r="D1977" s="91"/>
      <c r="E1977" s="91"/>
      <c r="F1977" s="80"/>
      <c r="G1977" s="91"/>
      <c r="H1977" s="91"/>
    </row>
    <row r="1978" spans="2:8">
      <c r="B1978" s="91"/>
      <c r="C1978" s="36"/>
      <c r="D1978" s="91"/>
      <c r="E1978" s="91"/>
      <c r="F1978" s="80"/>
      <c r="G1978" s="91"/>
      <c r="H1978" s="91"/>
    </row>
    <row r="1979" spans="2:8">
      <c r="B1979" s="91"/>
      <c r="C1979" s="36"/>
      <c r="D1979" s="91"/>
      <c r="E1979" s="91"/>
      <c r="F1979" s="80"/>
      <c r="G1979" s="91"/>
      <c r="H1979" s="91"/>
    </row>
    <row r="1980" spans="2:8">
      <c r="B1980" s="91"/>
      <c r="C1980" s="36"/>
      <c r="D1980" s="91"/>
      <c r="E1980" s="91"/>
      <c r="F1980" s="80"/>
      <c r="G1980" s="91"/>
      <c r="H1980" s="91"/>
    </row>
    <row r="1981" spans="2:8">
      <c r="B1981" s="91"/>
      <c r="C1981" s="36"/>
      <c r="D1981" s="91"/>
      <c r="E1981" s="91"/>
      <c r="F1981" s="80"/>
      <c r="G1981" s="91"/>
      <c r="H1981" s="91"/>
    </row>
    <row r="1982" spans="2:8">
      <c r="B1982" s="91"/>
      <c r="C1982" s="36"/>
      <c r="D1982" s="91"/>
      <c r="E1982" s="91"/>
      <c r="F1982" s="80"/>
      <c r="G1982" s="91"/>
      <c r="H1982" s="91"/>
    </row>
    <row r="1983" spans="2:8">
      <c r="B1983" s="91"/>
      <c r="C1983" s="36"/>
      <c r="D1983" s="91"/>
      <c r="E1983" s="91"/>
      <c r="F1983" s="80"/>
      <c r="G1983" s="91"/>
      <c r="H1983" s="91"/>
    </row>
    <row r="1984" spans="2:8">
      <c r="B1984" s="91"/>
      <c r="C1984" s="36"/>
      <c r="D1984" s="91"/>
      <c r="E1984" s="91"/>
      <c r="F1984" s="80"/>
      <c r="G1984" s="91"/>
      <c r="H1984" s="91"/>
    </row>
    <row r="1985" spans="2:8">
      <c r="B1985" s="91"/>
      <c r="C1985" s="36"/>
      <c r="D1985" s="91"/>
      <c r="E1985" s="91"/>
      <c r="F1985" s="80"/>
      <c r="G1985" s="91"/>
      <c r="H1985" s="91"/>
    </row>
    <row r="1986" spans="2:8">
      <c r="B1986" s="91"/>
      <c r="C1986" s="36"/>
      <c r="D1986" s="91"/>
      <c r="E1986" s="91"/>
      <c r="F1986" s="80"/>
      <c r="G1986" s="91"/>
      <c r="H1986" s="91"/>
    </row>
    <row r="1987" spans="2:8">
      <c r="B1987" s="91"/>
      <c r="C1987" s="36"/>
      <c r="D1987" s="91"/>
      <c r="E1987" s="91"/>
      <c r="F1987" s="80"/>
      <c r="G1987" s="91"/>
      <c r="H1987" s="91"/>
    </row>
    <row r="1988" spans="2:8">
      <c r="B1988" s="91"/>
      <c r="C1988" s="36"/>
      <c r="D1988" s="91"/>
      <c r="E1988" s="91"/>
      <c r="F1988" s="80"/>
      <c r="G1988" s="91"/>
      <c r="H1988" s="91"/>
    </row>
    <row r="1989" spans="2:8">
      <c r="B1989" s="91"/>
      <c r="C1989" s="36"/>
      <c r="D1989" s="91"/>
      <c r="E1989" s="91"/>
      <c r="F1989" s="80"/>
      <c r="G1989" s="91"/>
      <c r="H1989" s="91"/>
    </row>
    <row r="1990" spans="2:8">
      <c r="B1990" s="91"/>
      <c r="C1990" s="36"/>
      <c r="D1990" s="91"/>
      <c r="E1990" s="91"/>
      <c r="F1990" s="80"/>
      <c r="G1990" s="91"/>
      <c r="H1990" s="91"/>
    </row>
    <row r="1991" spans="2:8">
      <c r="B1991" s="91"/>
      <c r="C1991" s="36"/>
      <c r="D1991" s="91"/>
      <c r="E1991" s="91"/>
      <c r="F1991" s="80"/>
      <c r="G1991" s="91"/>
      <c r="H1991" s="91"/>
    </row>
    <row r="1992" spans="2:8">
      <c r="B1992" s="91"/>
      <c r="C1992" s="36"/>
      <c r="D1992" s="91"/>
      <c r="E1992" s="91"/>
      <c r="F1992" s="80"/>
      <c r="G1992" s="91"/>
      <c r="H1992" s="91"/>
    </row>
    <row r="1993" spans="2:8">
      <c r="B1993" s="91"/>
      <c r="C1993" s="36"/>
      <c r="D1993" s="91"/>
      <c r="E1993" s="91"/>
      <c r="F1993" s="80"/>
      <c r="G1993" s="91"/>
      <c r="H1993" s="91"/>
    </row>
    <row r="1994" spans="2:8">
      <c r="B1994" s="91"/>
      <c r="C1994" s="36"/>
      <c r="D1994" s="91"/>
      <c r="E1994" s="91"/>
      <c r="F1994" s="80"/>
      <c r="G1994" s="91"/>
      <c r="H1994" s="91"/>
    </row>
    <row r="1995" spans="2:8">
      <c r="B1995" s="91"/>
      <c r="C1995" s="36"/>
      <c r="D1995" s="91"/>
      <c r="E1995" s="91"/>
      <c r="F1995" s="80"/>
      <c r="G1995" s="91"/>
      <c r="H1995" s="91"/>
    </row>
    <row r="1996" spans="2:8">
      <c r="B1996" s="91"/>
      <c r="C1996" s="36"/>
      <c r="D1996" s="91"/>
      <c r="E1996" s="91"/>
      <c r="F1996" s="80"/>
      <c r="G1996" s="91"/>
      <c r="H1996" s="91"/>
    </row>
    <row r="1997" spans="2:8">
      <c r="B1997" s="91"/>
      <c r="C1997" s="36"/>
      <c r="D1997" s="91"/>
      <c r="E1997" s="91"/>
      <c r="F1997" s="80"/>
      <c r="G1997" s="91"/>
      <c r="H1997" s="91"/>
    </row>
    <row r="1998" spans="2:8">
      <c r="B1998" s="91"/>
      <c r="C1998" s="36"/>
      <c r="D1998" s="91"/>
      <c r="E1998" s="91"/>
      <c r="F1998" s="80"/>
      <c r="G1998" s="91"/>
      <c r="H1998" s="91"/>
    </row>
    <row r="1999" spans="2:8">
      <c r="B1999" s="91"/>
      <c r="C1999" s="36"/>
      <c r="D1999" s="91"/>
      <c r="E1999" s="91"/>
      <c r="F1999" s="80"/>
      <c r="G1999" s="91"/>
      <c r="H1999" s="91"/>
    </row>
    <row r="2000" spans="2:8">
      <c r="B2000" s="91"/>
      <c r="C2000" s="36"/>
      <c r="D2000" s="91"/>
      <c r="E2000" s="91"/>
      <c r="F2000" s="80"/>
      <c r="G2000" s="91"/>
      <c r="H2000" s="91"/>
    </row>
    <row r="2001" spans="2:8">
      <c r="B2001" s="91"/>
      <c r="C2001" s="36"/>
      <c r="D2001" s="91"/>
      <c r="E2001" s="91"/>
      <c r="F2001" s="80"/>
      <c r="G2001" s="91"/>
      <c r="H2001" s="91"/>
    </row>
    <row r="2002" spans="2:8">
      <c r="B2002" s="91"/>
      <c r="C2002" s="36"/>
      <c r="D2002" s="91"/>
      <c r="E2002" s="91"/>
      <c r="F2002" s="80"/>
      <c r="G2002" s="91"/>
      <c r="H2002" s="91"/>
    </row>
    <row r="2003" spans="2:8">
      <c r="B2003" s="91"/>
      <c r="C2003" s="36"/>
      <c r="D2003" s="91"/>
      <c r="E2003" s="91"/>
      <c r="F2003" s="80"/>
      <c r="G2003" s="91"/>
      <c r="H2003" s="91"/>
    </row>
    <row r="2004" spans="2:8">
      <c r="B2004" s="91"/>
      <c r="C2004" s="36"/>
      <c r="D2004" s="91"/>
      <c r="E2004" s="91"/>
      <c r="F2004" s="80"/>
      <c r="G2004" s="91"/>
      <c r="H2004" s="91"/>
    </row>
    <row r="2005" spans="2:8">
      <c r="B2005" s="91"/>
      <c r="C2005" s="36"/>
      <c r="D2005" s="91"/>
      <c r="E2005" s="91"/>
      <c r="F2005" s="80"/>
      <c r="G2005" s="91"/>
      <c r="H2005" s="91"/>
    </row>
    <row r="2006" spans="2:8">
      <c r="B2006" s="91"/>
      <c r="C2006" s="36"/>
      <c r="D2006" s="91"/>
      <c r="E2006" s="91"/>
      <c r="F2006" s="80"/>
      <c r="G2006" s="91"/>
      <c r="H2006" s="91"/>
    </row>
    <row r="2007" spans="2:8">
      <c r="B2007" s="91"/>
      <c r="C2007" s="36"/>
      <c r="D2007" s="91"/>
      <c r="E2007" s="91"/>
      <c r="F2007" s="80"/>
      <c r="G2007" s="91"/>
      <c r="H2007" s="91"/>
    </row>
    <row r="2008" spans="2:8">
      <c r="B2008" s="91"/>
      <c r="C2008" s="36"/>
      <c r="D2008" s="91"/>
      <c r="E2008" s="91"/>
      <c r="F2008" s="80"/>
      <c r="G2008" s="91"/>
      <c r="H2008" s="91"/>
    </row>
    <row r="2009" spans="2:8">
      <c r="B2009" s="91"/>
      <c r="C2009" s="36"/>
      <c r="D2009" s="91"/>
      <c r="E2009" s="91"/>
      <c r="F2009" s="80"/>
      <c r="G2009" s="91"/>
      <c r="H2009" s="91"/>
    </row>
    <row r="2010" spans="2:8">
      <c r="B2010" s="91"/>
      <c r="C2010" s="36"/>
      <c r="D2010" s="91"/>
      <c r="E2010" s="91"/>
      <c r="F2010" s="80"/>
      <c r="G2010" s="91"/>
      <c r="H2010" s="91"/>
    </row>
    <row r="2011" spans="2:8">
      <c r="B2011" s="91"/>
      <c r="C2011" s="36"/>
      <c r="D2011" s="91"/>
      <c r="E2011" s="91"/>
      <c r="F2011" s="80"/>
      <c r="G2011" s="91"/>
      <c r="H2011" s="91"/>
    </row>
    <row r="2012" spans="2:8">
      <c r="B2012" s="91"/>
      <c r="C2012" s="36"/>
      <c r="D2012" s="91"/>
      <c r="E2012" s="91"/>
      <c r="F2012" s="80"/>
      <c r="G2012" s="91"/>
      <c r="H2012" s="91"/>
    </row>
    <row r="2013" spans="2:8">
      <c r="B2013" s="91"/>
      <c r="C2013" s="36"/>
      <c r="D2013" s="91"/>
      <c r="E2013" s="91"/>
      <c r="F2013" s="80"/>
      <c r="G2013" s="91"/>
      <c r="H2013" s="91"/>
    </row>
    <row r="2014" spans="2:8">
      <c r="B2014" s="91"/>
      <c r="C2014" s="36"/>
      <c r="D2014" s="91"/>
      <c r="E2014" s="91"/>
      <c r="F2014" s="80"/>
      <c r="G2014" s="91"/>
      <c r="H2014" s="91"/>
    </row>
    <row r="2015" spans="2:8">
      <c r="B2015" s="91"/>
      <c r="C2015" s="36"/>
      <c r="D2015" s="91"/>
      <c r="E2015" s="91"/>
      <c r="F2015" s="80"/>
      <c r="G2015" s="91"/>
      <c r="H2015" s="91"/>
    </row>
    <row r="2016" spans="2:8">
      <c r="B2016" s="91"/>
      <c r="C2016" s="36"/>
      <c r="D2016" s="91"/>
      <c r="E2016" s="91"/>
      <c r="F2016" s="80"/>
      <c r="G2016" s="91"/>
      <c r="H2016" s="91"/>
    </row>
    <row r="2017" spans="2:8">
      <c r="B2017" s="91"/>
      <c r="C2017" s="36"/>
      <c r="D2017" s="91"/>
      <c r="E2017" s="91"/>
      <c r="F2017" s="80"/>
      <c r="G2017" s="91"/>
      <c r="H2017" s="91"/>
    </row>
    <row r="2018" spans="2:8">
      <c r="B2018" s="91"/>
      <c r="C2018" s="36"/>
      <c r="D2018" s="91"/>
      <c r="E2018" s="91"/>
      <c r="F2018" s="80"/>
      <c r="G2018" s="91"/>
      <c r="H2018" s="91"/>
    </row>
    <row r="2019" spans="2:8">
      <c r="B2019" s="91"/>
      <c r="C2019" s="36"/>
      <c r="D2019" s="91"/>
      <c r="E2019" s="91"/>
      <c r="F2019" s="80"/>
      <c r="G2019" s="91"/>
      <c r="H2019" s="91"/>
    </row>
    <row r="2020" spans="2:8">
      <c r="B2020" s="91"/>
      <c r="C2020" s="36"/>
      <c r="D2020" s="91"/>
      <c r="E2020" s="91"/>
      <c r="F2020" s="80"/>
      <c r="G2020" s="91"/>
      <c r="H2020" s="91"/>
    </row>
    <row r="2021" spans="2:8">
      <c r="B2021" s="91"/>
      <c r="C2021" s="36"/>
      <c r="D2021" s="91"/>
      <c r="E2021" s="91"/>
      <c r="F2021" s="80"/>
      <c r="G2021" s="91"/>
      <c r="H2021" s="91"/>
    </row>
    <row r="2022" spans="2:8">
      <c r="B2022" s="91"/>
      <c r="C2022" s="36"/>
      <c r="D2022" s="91"/>
      <c r="E2022" s="91"/>
      <c r="F2022" s="80"/>
      <c r="G2022" s="91"/>
      <c r="H2022" s="91"/>
    </row>
    <row r="2023" spans="2:8">
      <c r="B2023" s="91"/>
      <c r="C2023" s="36"/>
      <c r="D2023" s="91"/>
      <c r="E2023" s="91"/>
      <c r="F2023" s="80"/>
      <c r="G2023" s="91"/>
      <c r="H2023" s="91"/>
    </row>
    <row r="2024" spans="2:8">
      <c r="B2024" s="91"/>
      <c r="C2024" s="36"/>
      <c r="D2024" s="91"/>
      <c r="E2024" s="91"/>
      <c r="F2024" s="80"/>
      <c r="G2024" s="91"/>
      <c r="H2024" s="91"/>
    </row>
    <row r="2025" spans="2:8">
      <c r="B2025" s="91"/>
      <c r="C2025" s="36"/>
      <c r="D2025" s="91"/>
      <c r="E2025" s="91"/>
      <c r="F2025" s="80"/>
      <c r="G2025" s="91"/>
      <c r="H2025" s="91"/>
    </row>
    <row r="2026" spans="2:8">
      <c r="B2026" s="91"/>
      <c r="C2026" s="36"/>
      <c r="D2026" s="91"/>
      <c r="E2026" s="91"/>
      <c r="F2026" s="80"/>
      <c r="G2026" s="91"/>
      <c r="H2026" s="91"/>
    </row>
    <row r="2027" spans="2:8">
      <c r="B2027" s="91"/>
      <c r="C2027" s="36"/>
      <c r="D2027" s="91"/>
      <c r="E2027" s="91"/>
      <c r="F2027" s="80"/>
      <c r="G2027" s="91"/>
      <c r="H2027" s="91"/>
    </row>
    <row r="2028" spans="2:8">
      <c r="B2028" s="91"/>
      <c r="C2028" s="36"/>
      <c r="D2028" s="91"/>
      <c r="E2028" s="91"/>
      <c r="F2028" s="80"/>
      <c r="G2028" s="91"/>
      <c r="H2028" s="91"/>
    </row>
    <row r="2029" spans="2:8">
      <c r="B2029" s="91"/>
      <c r="C2029" s="36"/>
      <c r="D2029" s="91"/>
      <c r="E2029" s="91"/>
      <c r="F2029" s="80"/>
      <c r="G2029" s="91"/>
      <c r="H2029" s="91"/>
    </row>
    <row r="2030" spans="2:8">
      <c r="B2030" s="91"/>
      <c r="C2030" s="36"/>
      <c r="D2030" s="91"/>
      <c r="E2030" s="91"/>
      <c r="F2030" s="80"/>
      <c r="G2030" s="91"/>
      <c r="H2030" s="91"/>
    </row>
    <row r="2031" spans="2:8">
      <c r="B2031" s="91"/>
      <c r="C2031" s="36"/>
      <c r="D2031" s="91"/>
      <c r="E2031" s="91"/>
      <c r="F2031" s="80"/>
      <c r="G2031" s="91"/>
      <c r="H2031" s="91"/>
    </row>
    <row r="2032" spans="2:8">
      <c r="B2032" s="91"/>
      <c r="C2032" s="36"/>
      <c r="D2032" s="91"/>
      <c r="E2032" s="91"/>
      <c r="F2032" s="80"/>
      <c r="G2032" s="91"/>
      <c r="H2032" s="91"/>
    </row>
    <row r="2033" spans="2:8">
      <c r="B2033" s="91"/>
      <c r="C2033" s="36"/>
      <c r="D2033" s="91"/>
      <c r="E2033" s="91"/>
      <c r="F2033" s="80"/>
      <c r="G2033" s="91"/>
      <c r="H2033" s="91"/>
    </row>
    <row r="2034" spans="2:8">
      <c r="B2034" s="91"/>
      <c r="C2034" s="36"/>
      <c r="D2034" s="91"/>
      <c r="E2034" s="91"/>
      <c r="F2034" s="80"/>
      <c r="G2034" s="91"/>
      <c r="H2034" s="91"/>
    </row>
    <row r="2035" spans="2:8">
      <c r="B2035" s="91"/>
      <c r="C2035" s="36"/>
      <c r="D2035" s="91"/>
      <c r="E2035" s="91"/>
      <c r="F2035" s="80"/>
      <c r="G2035" s="91"/>
      <c r="H2035" s="91"/>
    </row>
    <row r="2036" spans="2:8">
      <c r="B2036" s="91"/>
      <c r="C2036" s="36"/>
      <c r="D2036" s="91"/>
      <c r="E2036" s="91"/>
      <c r="F2036" s="80"/>
      <c r="G2036" s="91"/>
      <c r="H2036" s="91"/>
    </row>
    <row r="2037" spans="2:8">
      <c r="B2037" s="91"/>
      <c r="C2037" s="36"/>
      <c r="D2037" s="91"/>
      <c r="E2037" s="91"/>
      <c r="F2037" s="80"/>
      <c r="G2037" s="91"/>
      <c r="H2037" s="91"/>
    </row>
    <row r="2038" spans="2:8">
      <c r="B2038" s="91"/>
      <c r="C2038" s="36"/>
      <c r="D2038" s="91"/>
      <c r="E2038" s="91"/>
      <c r="F2038" s="80"/>
      <c r="G2038" s="91"/>
      <c r="H2038" s="91"/>
    </row>
    <row r="2039" spans="2:8">
      <c r="B2039" s="91"/>
      <c r="C2039" s="36"/>
      <c r="D2039" s="91"/>
      <c r="E2039" s="91"/>
      <c r="F2039" s="80"/>
      <c r="G2039" s="91"/>
      <c r="H2039" s="91"/>
    </row>
    <row r="2040" spans="2:8">
      <c r="B2040" s="91"/>
      <c r="C2040" s="36"/>
      <c r="D2040" s="91"/>
      <c r="E2040" s="91"/>
      <c r="F2040" s="80"/>
      <c r="G2040" s="91"/>
      <c r="H2040" s="91"/>
    </row>
    <row r="2041" spans="2:8">
      <c r="B2041" s="91"/>
      <c r="C2041" s="36"/>
      <c r="D2041" s="91"/>
      <c r="E2041" s="91"/>
      <c r="F2041" s="80"/>
      <c r="G2041" s="91"/>
      <c r="H2041" s="91"/>
    </row>
    <row r="2042" spans="2:8">
      <c r="B2042" s="91"/>
      <c r="C2042" s="36"/>
      <c r="D2042" s="91"/>
      <c r="E2042" s="91"/>
      <c r="F2042" s="80"/>
      <c r="G2042" s="91"/>
      <c r="H2042" s="91"/>
    </row>
    <row r="2043" spans="2:8">
      <c r="B2043" s="91"/>
      <c r="C2043" s="36"/>
      <c r="D2043" s="91"/>
      <c r="E2043" s="91"/>
      <c r="F2043" s="80"/>
      <c r="G2043" s="91"/>
      <c r="H2043" s="91"/>
    </row>
    <row r="2044" spans="2:8">
      <c r="B2044" s="91"/>
      <c r="C2044" s="36"/>
      <c r="D2044" s="91"/>
      <c r="E2044" s="91"/>
      <c r="F2044" s="80"/>
      <c r="G2044" s="91"/>
      <c r="H2044" s="91"/>
    </row>
    <row r="2045" spans="2:8">
      <c r="B2045" s="91"/>
      <c r="C2045" s="36"/>
      <c r="D2045" s="91"/>
      <c r="E2045" s="91"/>
      <c r="F2045" s="80"/>
      <c r="G2045" s="91"/>
      <c r="H2045" s="91"/>
    </row>
    <row r="2046" spans="2:8">
      <c r="B2046" s="91"/>
      <c r="C2046" s="36"/>
      <c r="D2046" s="91"/>
      <c r="E2046" s="91"/>
      <c r="F2046" s="80"/>
      <c r="G2046" s="91"/>
      <c r="H2046" s="91"/>
    </row>
    <row r="2047" spans="2:8">
      <c r="B2047" s="91"/>
      <c r="C2047" s="36"/>
      <c r="D2047" s="91"/>
      <c r="E2047" s="91"/>
      <c r="F2047" s="80"/>
      <c r="G2047" s="91"/>
      <c r="H2047" s="91"/>
    </row>
    <row r="2048" spans="2:8">
      <c r="B2048" s="91"/>
      <c r="C2048" s="36"/>
      <c r="D2048" s="91"/>
      <c r="E2048" s="91"/>
      <c r="F2048" s="80"/>
      <c r="G2048" s="91"/>
      <c r="H2048" s="91"/>
    </row>
    <row r="2049" spans="2:8">
      <c r="B2049" s="91"/>
      <c r="C2049" s="36"/>
      <c r="D2049" s="91"/>
      <c r="E2049" s="91"/>
      <c r="F2049" s="80"/>
      <c r="G2049" s="91"/>
      <c r="H2049" s="91"/>
    </row>
    <row r="2050" spans="2:8">
      <c r="B2050" s="91"/>
      <c r="C2050" s="36"/>
      <c r="D2050" s="91"/>
      <c r="E2050" s="91"/>
      <c r="F2050" s="80"/>
      <c r="G2050" s="91"/>
      <c r="H2050" s="91"/>
    </row>
    <row r="2051" spans="2:8">
      <c r="B2051" s="91"/>
      <c r="C2051" s="36"/>
      <c r="D2051" s="91"/>
      <c r="E2051" s="91"/>
      <c r="F2051" s="80"/>
      <c r="G2051" s="91"/>
      <c r="H2051" s="91"/>
    </row>
    <row r="2052" spans="2:8">
      <c r="B2052" s="91"/>
      <c r="C2052" s="36"/>
      <c r="D2052" s="91"/>
      <c r="E2052" s="91"/>
      <c r="F2052" s="80"/>
      <c r="G2052" s="91"/>
      <c r="H2052" s="91"/>
    </row>
    <row r="2053" spans="2:8">
      <c r="B2053" s="91"/>
      <c r="C2053" s="36"/>
      <c r="D2053" s="91"/>
      <c r="E2053" s="91"/>
      <c r="F2053" s="80"/>
      <c r="G2053" s="91"/>
      <c r="H2053" s="91"/>
    </row>
    <row r="2054" spans="2:8">
      <c r="B2054" s="91"/>
      <c r="C2054" s="36"/>
      <c r="D2054" s="91"/>
      <c r="E2054" s="91"/>
      <c r="F2054" s="80"/>
      <c r="G2054" s="91"/>
      <c r="H2054" s="91"/>
    </row>
    <row r="2055" spans="2:8">
      <c r="B2055" s="91"/>
      <c r="C2055" s="36"/>
      <c r="D2055" s="91"/>
      <c r="E2055" s="91"/>
      <c r="F2055" s="80"/>
      <c r="G2055" s="91"/>
      <c r="H2055" s="91"/>
    </row>
    <row r="2056" spans="2:8">
      <c r="B2056" s="91"/>
      <c r="C2056" s="36"/>
      <c r="D2056" s="91"/>
      <c r="E2056" s="91"/>
      <c r="F2056" s="80"/>
      <c r="G2056" s="91"/>
      <c r="H2056" s="91"/>
    </row>
    <row r="2057" spans="2:8">
      <c r="B2057" s="91"/>
      <c r="C2057" s="36"/>
      <c r="D2057" s="91"/>
      <c r="E2057" s="91"/>
      <c r="F2057" s="80"/>
      <c r="G2057" s="91"/>
      <c r="H2057" s="91"/>
    </row>
    <row r="2058" spans="2:8">
      <c r="B2058" s="91"/>
      <c r="C2058" s="36"/>
      <c r="D2058" s="91"/>
      <c r="E2058" s="91"/>
      <c r="F2058" s="80"/>
      <c r="G2058" s="91"/>
      <c r="H2058" s="91"/>
    </row>
    <row r="2059" spans="2:8">
      <c r="B2059" s="91"/>
      <c r="C2059" s="36"/>
      <c r="D2059" s="91"/>
      <c r="E2059" s="91"/>
      <c r="F2059" s="80"/>
      <c r="G2059" s="91"/>
      <c r="H2059" s="91"/>
    </row>
    <row r="2060" spans="2:8">
      <c r="B2060" s="91"/>
      <c r="C2060" s="36"/>
      <c r="D2060" s="91"/>
      <c r="E2060" s="91"/>
      <c r="F2060" s="80"/>
      <c r="G2060" s="91"/>
      <c r="H2060" s="91"/>
    </row>
    <row r="2061" spans="2:8">
      <c r="B2061" s="91"/>
      <c r="C2061" s="36"/>
      <c r="D2061" s="91"/>
      <c r="E2061" s="91"/>
      <c r="F2061" s="80"/>
      <c r="G2061" s="91"/>
      <c r="H2061" s="91"/>
    </row>
    <row r="2062" spans="2:8">
      <c r="B2062" s="91"/>
      <c r="C2062" s="36"/>
      <c r="D2062" s="91"/>
      <c r="E2062" s="91"/>
      <c r="F2062" s="80"/>
      <c r="G2062" s="91"/>
      <c r="H2062" s="91"/>
    </row>
    <row r="2063" spans="2:8">
      <c r="B2063" s="91"/>
      <c r="C2063" s="36"/>
      <c r="D2063" s="91"/>
      <c r="E2063" s="91"/>
      <c r="F2063" s="80"/>
      <c r="G2063" s="91"/>
      <c r="H2063" s="91"/>
    </row>
    <row r="2064" spans="2:8">
      <c r="B2064" s="91"/>
      <c r="C2064" s="36"/>
      <c r="D2064" s="91"/>
      <c r="E2064" s="91"/>
      <c r="F2064" s="80"/>
      <c r="G2064" s="91"/>
      <c r="H2064" s="91"/>
    </row>
    <row r="2065" spans="2:8">
      <c r="B2065" s="91"/>
      <c r="C2065" s="36"/>
      <c r="D2065" s="91"/>
      <c r="E2065" s="91"/>
      <c r="F2065" s="80"/>
      <c r="G2065" s="91"/>
      <c r="H2065" s="91"/>
    </row>
    <row r="2066" spans="2:8">
      <c r="B2066" s="91"/>
      <c r="C2066" s="36"/>
      <c r="D2066" s="91"/>
      <c r="E2066" s="91"/>
      <c r="F2066" s="80"/>
      <c r="G2066" s="91"/>
      <c r="H2066" s="91"/>
    </row>
    <row r="2067" spans="2:8">
      <c r="B2067" s="91"/>
      <c r="C2067" s="36"/>
      <c r="D2067" s="91"/>
      <c r="E2067" s="91"/>
      <c r="F2067" s="80"/>
      <c r="G2067" s="91"/>
      <c r="H2067" s="91"/>
    </row>
    <row r="2068" spans="2:8">
      <c r="B2068" s="91"/>
      <c r="C2068" s="36"/>
      <c r="D2068" s="91"/>
      <c r="E2068" s="91"/>
      <c r="F2068" s="80"/>
      <c r="G2068" s="91"/>
      <c r="H2068" s="91"/>
    </row>
    <row r="2069" spans="2:8">
      <c r="B2069" s="91"/>
      <c r="C2069" s="36"/>
      <c r="D2069" s="91"/>
      <c r="E2069" s="91"/>
      <c r="F2069" s="80"/>
      <c r="G2069" s="91"/>
      <c r="H2069" s="91"/>
    </row>
    <row r="2070" spans="2:8">
      <c r="B2070" s="91"/>
      <c r="C2070" s="36"/>
      <c r="D2070" s="91"/>
      <c r="E2070" s="91"/>
      <c r="F2070" s="80"/>
      <c r="G2070" s="91"/>
      <c r="H2070" s="91"/>
    </row>
    <row r="2071" spans="2:8">
      <c r="B2071" s="91"/>
      <c r="C2071" s="36"/>
      <c r="D2071" s="91"/>
      <c r="E2071" s="91"/>
      <c r="F2071" s="80"/>
      <c r="G2071" s="91"/>
      <c r="H2071" s="91"/>
    </row>
    <row r="2072" spans="2:8">
      <c r="B2072" s="91"/>
      <c r="C2072" s="36"/>
      <c r="D2072" s="91"/>
      <c r="E2072" s="91"/>
      <c r="F2072" s="80"/>
      <c r="G2072" s="91"/>
      <c r="H2072" s="91"/>
    </row>
    <row r="2073" spans="2:8">
      <c r="B2073" s="91"/>
      <c r="C2073" s="36"/>
      <c r="D2073" s="91"/>
      <c r="E2073" s="91"/>
      <c r="F2073" s="80"/>
      <c r="G2073" s="91"/>
      <c r="H2073" s="91"/>
    </row>
    <row r="2074" spans="2:8">
      <c r="B2074" s="91"/>
      <c r="C2074" s="36"/>
      <c r="D2074" s="91"/>
      <c r="E2074" s="91"/>
      <c r="F2074" s="80"/>
      <c r="G2074" s="91"/>
      <c r="H2074" s="91"/>
    </row>
    <row r="2075" spans="2:8">
      <c r="B2075" s="91"/>
      <c r="C2075" s="36"/>
      <c r="D2075" s="91"/>
      <c r="E2075" s="91"/>
      <c r="F2075" s="80"/>
      <c r="G2075" s="91"/>
      <c r="H2075" s="91"/>
    </row>
    <row r="2076" spans="2:8">
      <c r="B2076" s="91"/>
      <c r="C2076" s="36"/>
      <c r="D2076" s="91"/>
      <c r="E2076" s="91"/>
      <c r="F2076" s="80"/>
      <c r="G2076" s="91"/>
      <c r="H2076" s="91"/>
    </row>
    <row r="2077" spans="2:8">
      <c r="B2077" s="91"/>
      <c r="C2077" s="36"/>
      <c r="D2077" s="91"/>
      <c r="E2077" s="91"/>
      <c r="F2077" s="80"/>
      <c r="G2077" s="91"/>
      <c r="H2077" s="91"/>
    </row>
    <row r="2078" spans="2:8">
      <c r="B2078" s="91"/>
      <c r="C2078" s="36"/>
      <c r="D2078" s="91"/>
      <c r="E2078" s="91"/>
      <c r="F2078" s="80"/>
      <c r="G2078" s="91"/>
      <c r="H2078" s="91"/>
    </row>
    <row r="2079" spans="2:8">
      <c r="B2079" s="91"/>
      <c r="C2079" s="36"/>
      <c r="D2079" s="91"/>
      <c r="E2079" s="91"/>
      <c r="F2079" s="80"/>
      <c r="G2079" s="91"/>
      <c r="H2079" s="91"/>
    </row>
    <row r="2080" spans="2:8">
      <c r="B2080" s="91"/>
      <c r="C2080" s="36"/>
      <c r="D2080" s="91"/>
      <c r="E2080" s="91"/>
      <c r="F2080" s="80"/>
      <c r="G2080" s="91"/>
      <c r="H2080" s="91"/>
    </row>
    <row r="2081" spans="2:8">
      <c r="B2081" s="91"/>
      <c r="C2081" s="36"/>
      <c r="D2081" s="91"/>
      <c r="E2081" s="91"/>
      <c r="F2081" s="80"/>
      <c r="G2081" s="91"/>
      <c r="H2081" s="91"/>
    </row>
    <row r="2082" spans="2:8">
      <c r="B2082" s="91"/>
      <c r="C2082" s="36"/>
      <c r="D2082" s="91"/>
      <c r="E2082" s="91"/>
      <c r="F2082" s="80"/>
      <c r="G2082" s="91"/>
      <c r="H2082" s="91"/>
    </row>
    <row r="2083" spans="2:8">
      <c r="B2083" s="91"/>
      <c r="C2083" s="36"/>
      <c r="D2083" s="91"/>
      <c r="E2083" s="91"/>
      <c r="F2083" s="80"/>
      <c r="G2083" s="91"/>
      <c r="H2083" s="91"/>
    </row>
    <row r="2084" spans="2:8">
      <c r="B2084" s="91"/>
      <c r="C2084" s="36"/>
      <c r="D2084" s="91"/>
      <c r="E2084" s="91"/>
      <c r="F2084" s="80"/>
      <c r="G2084" s="91"/>
      <c r="H2084" s="91"/>
    </row>
    <row r="2085" spans="2:8">
      <c r="B2085" s="91"/>
      <c r="C2085" s="36"/>
      <c r="D2085" s="91"/>
      <c r="E2085" s="91"/>
      <c r="F2085" s="80"/>
      <c r="G2085" s="91"/>
      <c r="H2085" s="91"/>
    </row>
    <row r="2086" spans="2:8">
      <c r="B2086" s="91"/>
      <c r="C2086" s="36"/>
      <c r="D2086" s="91"/>
      <c r="E2086" s="91"/>
      <c r="F2086" s="80"/>
      <c r="G2086" s="91"/>
      <c r="H2086" s="91"/>
    </row>
    <row r="2087" spans="2:8">
      <c r="B2087" s="91"/>
      <c r="C2087" s="36"/>
      <c r="D2087" s="91"/>
      <c r="E2087" s="91"/>
      <c r="F2087" s="80"/>
      <c r="G2087" s="91"/>
      <c r="H2087" s="91"/>
    </row>
    <row r="2088" spans="2:8">
      <c r="B2088" s="91"/>
      <c r="C2088" s="36"/>
      <c r="D2088" s="91"/>
      <c r="E2088" s="91"/>
      <c r="F2088" s="80"/>
      <c r="G2088" s="91"/>
      <c r="H2088" s="91"/>
    </row>
    <row r="2089" spans="2:8">
      <c r="B2089" s="91"/>
      <c r="C2089" s="36"/>
      <c r="D2089" s="91"/>
      <c r="E2089" s="91"/>
      <c r="F2089" s="80"/>
      <c r="G2089" s="91"/>
      <c r="H2089" s="91"/>
    </row>
    <row r="2090" spans="2:8">
      <c r="B2090" s="91"/>
      <c r="C2090" s="36"/>
      <c r="D2090" s="91"/>
      <c r="E2090" s="91"/>
      <c r="F2090" s="80"/>
      <c r="G2090" s="91"/>
      <c r="H2090" s="91"/>
    </row>
    <row r="2091" spans="2:8">
      <c r="B2091" s="91"/>
      <c r="C2091" s="36"/>
      <c r="D2091" s="91"/>
      <c r="E2091" s="91"/>
      <c r="F2091" s="80"/>
      <c r="G2091" s="91"/>
      <c r="H2091" s="91"/>
    </row>
    <row r="2092" spans="2:8">
      <c r="B2092" s="91"/>
      <c r="C2092" s="36"/>
      <c r="D2092" s="91"/>
      <c r="E2092" s="91"/>
      <c r="F2092" s="80"/>
      <c r="G2092" s="91"/>
      <c r="H2092" s="91"/>
    </row>
    <row r="2093" spans="2:8">
      <c r="B2093" s="91"/>
      <c r="C2093" s="36"/>
      <c r="D2093" s="91"/>
      <c r="E2093" s="91"/>
      <c r="F2093" s="80"/>
      <c r="G2093" s="91"/>
      <c r="H2093" s="91"/>
    </row>
    <row r="2094" spans="2:8">
      <c r="B2094" s="91"/>
      <c r="C2094" s="36"/>
      <c r="D2094" s="91"/>
      <c r="E2094" s="91"/>
      <c r="F2094" s="80"/>
      <c r="G2094" s="91"/>
      <c r="H2094" s="91"/>
    </row>
    <row r="2095" spans="2:8">
      <c r="B2095" s="91"/>
      <c r="C2095" s="36"/>
      <c r="D2095" s="91"/>
      <c r="E2095" s="91"/>
      <c r="F2095" s="80"/>
      <c r="G2095" s="91"/>
      <c r="H2095" s="91"/>
    </row>
    <row r="2096" spans="2:8">
      <c r="B2096" s="91"/>
      <c r="C2096" s="36"/>
      <c r="D2096" s="91"/>
      <c r="E2096" s="91"/>
      <c r="F2096" s="80"/>
      <c r="G2096" s="91"/>
      <c r="H2096" s="91"/>
    </row>
    <row r="2097" spans="2:8">
      <c r="B2097" s="91"/>
      <c r="C2097" s="36"/>
      <c r="D2097" s="91"/>
      <c r="E2097" s="91"/>
      <c r="F2097" s="80"/>
      <c r="G2097" s="91"/>
      <c r="H2097" s="91"/>
    </row>
    <row r="2098" spans="2:8">
      <c r="B2098" s="91"/>
      <c r="C2098" s="36"/>
      <c r="D2098" s="91"/>
      <c r="E2098" s="91"/>
      <c r="F2098" s="80"/>
      <c r="G2098" s="91"/>
      <c r="H2098" s="91"/>
    </row>
    <row r="2099" spans="2:8">
      <c r="B2099" s="91"/>
      <c r="C2099" s="36"/>
      <c r="D2099" s="91"/>
      <c r="E2099" s="91"/>
      <c r="F2099" s="80"/>
      <c r="G2099" s="91"/>
      <c r="H2099" s="91"/>
    </row>
    <row r="2100" spans="2:8">
      <c r="B2100" s="91"/>
      <c r="C2100" s="36"/>
      <c r="D2100" s="91"/>
      <c r="E2100" s="91"/>
      <c r="F2100" s="80"/>
      <c r="G2100" s="91"/>
      <c r="H2100" s="91"/>
    </row>
    <row r="2101" spans="2:8">
      <c r="B2101" s="91"/>
      <c r="C2101" s="36"/>
      <c r="D2101" s="91"/>
      <c r="E2101" s="91"/>
      <c r="F2101" s="80"/>
      <c r="G2101" s="91"/>
      <c r="H2101" s="91"/>
    </row>
    <row r="2102" spans="2:8">
      <c r="B2102" s="91"/>
      <c r="C2102" s="36"/>
      <c r="D2102" s="91"/>
      <c r="E2102" s="91"/>
      <c r="F2102" s="80"/>
      <c r="G2102" s="91"/>
      <c r="H2102" s="91"/>
    </row>
    <row r="2103" spans="2:8">
      <c r="B2103" s="91"/>
      <c r="C2103" s="36"/>
      <c r="D2103" s="91"/>
      <c r="E2103" s="91"/>
      <c r="F2103" s="80"/>
      <c r="G2103" s="91"/>
      <c r="H2103" s="91"/>
    </row>
    <row r="2104" spans="2:8">
      <c r="B2104" s="91"/>
      <c r="C2104" s="36"/>
      <c r="D2104" s="91"/>
      <c r="E2104" s="91"/>
      <c r="F2104" s="80"/>
      <c r="G2104" s="91"/>
      <c r="H2104" s="91"/>
    </row>
    <row r="2105" spans="2:8">
      <c r="B2105" s="91"/>
      <c r="C2105" s="36"/>
      <c r="D2105" s="91"/>
      <c r="E2105" s="91"/>
      <c r="F2105" s="80"/>
      <c r="G2105" s="91"/>
      <c r="H2105" s="91"/>
    </row>
    <row r="2106" spans="2:8">
      <c r="B2106" s="91"/>
      <c r="C2106" s="36"/>
      <c r="D2106" s="91"/>
      <c r="E2106" s="91"/>
      <c r="F2106" s="80"/>
      <c r="G2106" s="91"/>
      <c r="H2106" s="91"/>
    </row>
    <row r="2107" spans="2:8">
      <c r="B2107" s="91"/>
      <c r="C2107" s="36"/>
      <c r="D2107" s="91"/>
      <c r="E2107" s="91"/>
      <c r="F2107" s="80"/>
      <c r="G2107" s="91"/>
      <c r="H2107" s="91"/>
    </row>
    <row r="2108" spans="2:8">
      <c r="B2108" s="91"/>
      <c r="C2108" s="36"/>
      <c r="D2108" s="91"/>
      <c r="E2108" s="91"/>
      <c r="F2108" s="80"/>
      <c r="G2108" s="91"/>
      <c r="H2108" s="91"/>
    </row>
    <row r="2109" spans="2:8">
      <c r="B2109" s="91"/>
      <c r="C2109" s="36"/>
      <c r="D2109" s="91"/>
      <c r="E2109" s="91"/>
      <c r="F2109" s="80"/>
      <c r="G2109" s="91"/>
      <c r="H2109" s="91"/>
    </row>
    <row r="2110" spans="2:8">
      <c r="B2110" s="91"/>
      <c r="C2110" s="36"/>
      <c r="D2110" s="91"/>
      <c r="E2110" s="91"/>
      <c r="F2110" s="80"/>
      <c r="G2110" s="91"/>
      <c r="H2110" s="91"/>
    </row>
    <row r="2111" spans="2:8">
      <c r="B2111" s="91"/>
      <c r="C2111" s="36"/>
      <c r="D2111" s="91"/>
      <c r="E2111" s="91"/>
      <c r="F2111" s="80"/>
      <c r="G2111" s="91"/>
      <c r="H2111" s="91"/>
    </row>
    <row r="2112" spans="2:8">
      <c r="B2112" s="91"/>
      <c r="C2112" s="36"/>
      <c r="D2112" s="91"/>
      <c r="E2112" s="91"/>
      <c r="F2112" s="80"/>
      <c r="G2112" s="91"/>
      <c r="H2112" s="91"/>
    </row>
    <row r="2113" spans="2:8">
      <c r="B2113" s="91"/>
      <c r="C2113" s="36"/>
      <c r="D2113" s="91"/>
      <c r="E2113" s="91"/>
      <c r="F2113" s="80"/>
      <c r="G2113" s="91"/>
      <c r="H2113" s="91"/>
    </row>
    <row r="2114" spans="2:8">
      <c r="B2114" s="91"/>
      <c r="C2114" s="36"/>
      <c r="D2114" s="91"/>
      <c r="E2114" s="91"/>
      <c r="F2114" s="80"/>
      <c r="G2114" s="91"/>
      <c r="H2114" s="91"/>
    </row>
    <row r="2115" spans="2:8">
      <c r="B2115" s="91"/>
      <c r="C2115" s="36"/>
      <c r="D2115" s="91"/>
      <c r="E2115" s="91"/>
      <c r="F2115" s="80"/>
      <c r="G2115" s="91"/>
      <c r="H2115" s="91"/>
    </row>
    <row r="2116" spans="2:8">
      <c r="B2116" s="91"/>
      <c r="C2116" s="36"/>
      <c r="D2116" s="91"/>
      <c r="E2116" s="91"/>
      <c r="F2116" s="80"/>
      <c r="G2116" s="91"/>
      <c r="H2116" s="91"/>
    </row>
    <row r="2117" spans="2:8">
      <c r="B2117" s="91"/>
      <c r="C2117" s="36"/>
      <c r="D2117" s="91"/>
      <c r="E2117" s="91"/>
      <c r="F2117" s="80"/>
      <c r="G2117" s="91"/>
      <c r="H2117" s="91"/>
    </row>
    <row r="2118" spans="2:8">
      <c r="B2118" s="91"/>
      <c r="C2118" s="36"/>
      <c r="D2118" s="91"/>
      <c r="E2118" s="91"/>
      <c r="F2118" s="80"/>
      <c r="G2118" s="91"/>
      <c r="H2118" s="91"/>
    </row>
    <row r="2119" spans="2:8">
      <c r="B2119" s="91"/>
      <c r="C2119" s="36"/>
      <c r="D2119" s="91"/>
      <c r="E2119" s="91"/>
      <c r="F2119" s="80"/>
      <c r="G2119" s="91"/>
      <c r="H2119" s="91"/>
    </row>
    <row r="2120" spans="2:8">
      <c r="B2120" s="91"/>
      <c r="C2120" s="36"/>
      <c r="D2120" s="91"/>
      <c r="E2120" s="91"/>
      <c r="F2120" s="80"/>
      <c r="G2120" s="91"/>
      <c r="H2120" s="91"/>
    </row>
    <row r="2121" spans="2:8">
      <c r="B2121" s="91"/>
      <c r="C2121" s="36"/>
      <c r="D2121" s="91"/>
      <c r="E2121" s="91"/>
      <c r="F2121" s="80"/>
      <c r="G2121" s="91"/>
      <c r="H2121" s="91"/>
    </row>
    <row r="2122" spans="2:8">
      <c r="B2122" s="91"/>
      <c r="C2122" s="36"/>
      <c r="D2122" s="91"/>
      <c r="E2122" s="91"/>
      <c r="F2122" s="80"/>
      <c r="G2122" s="91"/>
      <c r="H2122" s="91"/>
    </row>
    <row r="2123" spans="2:8">
      <c r="B2123" s="91"/>
      <c r="C2123" s="36"/>
      <c r="D2123" s="91"/>
      <c r="E2123" s="91"/>
      <c r="F2123" s="80"/>
      <c r="G2123" s="91"/>
      <c r="H2123" s="91"/>
    </row>
    <row r="2124" spans="2:8">
      <c r="B2124" s="91"/>
      <c r="C2124" s="36"/>
      <c r="D2124" s="91"/>
      <c r="E2124" s="91"/>
      <c r="F2124" s="80"/>
      <c r="G2124" s="91"/>
      <c r="H2124" s="91"/>
    </row>
    <row r="2125" spans="2:8">
      <c r="B2125" s="91"/>
      <c r="C2125" s="36"/>
      <c r="D2125" s="91"/>
      <c r="E2125" s="91"/>
      <c r="F2125" s="80"/>
      <c r="G2125" s="91"/>
      <c r="H2125" s="91"/>
    </row>
    <row r="2126" spans="2:8">
      <c r="B2126" s="91"/>
      <c r="C2126" s="36"/>
      <c r="D2126" s="91"/>
      <c r="E2126" s="91"/>
      <c r="F2126" s="80"/>
      <c r="G2126" s="91"/>
      <c r="H2126" s="91"/>
    </row>
    <row r="2127" spans="2:8">
      <c r="B2127" s="91"/>
      <c r="C2127" s="36"/>
      <c r="D2127" s="91"/>
      <c r="E2127" s="91"/>
      <c r="F2127" s="80"/>
      <c r="G2127" s="91"/>
      <c r="H2127" s="91"/>
    </row>
    <row r="2128" spans="2:8">
      <c r="B2128" s="91"/>
      <c r="C2128" s="36"/>
      <c r="D2128" s="91"/>
      <c r="E2128" s="91"/>
      <c r="F2128" s="80"/>
      <c r="G2128" s="91"/>
      <c r="H2128" s="91"/>
    </row>
    <row r="2129" spans="2:8">
      <c r="B2129" s="91"/>
      <c r="C2129" s="36"/>
      <c r="D2129" s="91"/>
      <c r="E2129" s="91"/>
      <c r="F2129" s="80"/>
      <c r="G2129" s="91"/>
      <c r="H2129" s="91"/>
    </row>
    <row r="2130" spans="2:8">
      <c r="B2130" s="91"/>
      <c r="C2130" s="36"/>
      <c r="D2130" s="91"/>
      <c r="E2130" s="91"/>
      <c r="F2130" s="80"/>
      <c r="G2130" s="91"/>
      <c r="H2130" s="91"/>
    </row>
    <row r="2131" spans="2:8">
      <c r="B2131" s="91"/>
      <c r="C2131" s="36"/>
      <c r="D2131" s="91"/>
      <c r="E2131" s="91"/>
      <c r="F2131" s="80"/>
      <c r="G2131" s="91"/>
      <c r="H2131" s="91"/>
    </row>
    <row r="2132" spans="2:8">
      <c r="B2132" s="91"/>
      <c r="C2132" s="36"/>
      <c r="D2132" s="91"/>
      <c r="E2132" s="91"/>
      <c r="F2132" s="80"/>
      <c r="G2132" s="91"/>
      <c r="H2132" s="91"/>
    </row>
    <row r="2133" spans="2:8">
      <c r="B2133" s="91"/>
      <c r="C2133" s="36"/>
      <c r="D2133" s="91"/>
      <c r="E2133" s="91"/>
      <c r="F2133" s="80"/>
      <c r="G2133" s="91"/>
      <c r="H2133" s="91"/>
    </row>
    <row r="2134" spans="2:8">
      <c r="B2134" s="91"/>
      <c r="C2134" s="36"/>
      <c r="D2134" s="91"/>
      <c r="E2134" s="91"/>
      <c r="F2134" s="80"/>
      <c r="G2134" s="91"/>
      <c r="H2134" s="91"/>
    </row>
    <row r="2135" spans="2:8">
      <c r="B2135" s="91"/>
      <c r="C2135" s="36"/>
      <c r="D2135" s="91"/>
      <c r="E2135" s="91"/>
      <c r="F2135" s="80"/>
      <c r="G2135" s="91"/>
      <c r="H2135" s="91"/>
    </row>
    <row r="2136" spans="2:8">
      <c r="B2136" s="91"/>
      <c r="C2136" s="36"/>
      <c r="D2136" s="91"/>
      <c r="E2136" s="91"/>
      <c r="F2136" s="80"/>
      <c r="G2136" s="91"/>
      <c r="H2136" s="91"/>
    </row>
    <row r="2137" spans="2:8">
      <c r="B2137" s="91"/>
      <c r="C2137" s="36"/>
      <c r="D2137" s="91"/>
      <c r="E2137" s="91"/>
      <c r="F2137" s="80"/>
      <c r="G2137" s="91"/>
      <c r="H2137" s="91"/>
    </row>
    <row r="2138" spans="2:8">
      <c r="B2138" s="91"/>
      <c r="C2138" s="36"/>
      <c r="D2138" s="91"/>
      <c r="E2138" s="91"/>
      <c r="F2138" s="80"/>
      <c r="G2138" s="91"/>
      <c r="H2138" s="91"/>
    </row>
    <row r="2139" spans="2:8">
      <c r="B2139" s="91"/>
      <c r="C2139" s="36"/>
      <c r="D2139" s="91"/>
      <c r="E2139" s="91"/>
      <c r="F2139" s="80"/>
      <c r="G2139" s="91"/>
      <c r="H2139" s="91"/>
    </row>
    <row r="2140" spans="2:8">
      <c r="B2140" s="91"/>
      <c r="C2140" s="36"/>
      <c r="D2140" s="91"/>
      <c r="E2140" s="91"/>
      <c r="F2140" s="80"/>
      <c r="G2140" s="91"/>
      <c r="H2140" s="91"/>
    </row>
    <row r="2141" spans="2:8">
      <c r="B2141" s="91"/>
      <c r="C2141" s="36"/>
      <c r="D2141" s="91"/>
      <c r="E2141" s="91"/>
      <c r="F2141" s="80"/>
      <c r="G2141" s="91"/>
      <c r="H2141" s="91"/>
    </row>
    <row r="2142" spans="2:8">
      <c r="B2142" s="91"/>
      <c r="C2142" s="36"/>
      <c r="D2142" s="91"/>
      <c r="E2142" s="91"/>
      <c r="F2142" s="80"/>
      <c r="G2142" s="91"/>
      <c r="H2142" s="91"/>
    </row>
    <row r="2143" spans="2:8">
      <c r="B2143" s="91"/>
      <c r="C2143" s="36"/>
      <c r="D2143" s="91"/>
      <c r="E2143" s="91"/>
      <c r="F2143" s="80"/>
      <c r="G2143" s="91"/>
      <c r="H2143" s="91"/>
    </row>
    <row r="2144" spans="2:8">
      <c r="B2144" s="91"/>
      <c r="C2144" s="36"/>
      <c r="D2144" s="91"/>
      <c r="E2144" s="91"/>
      <c r="F2144" s="80"/>
      <c r="G2144" s="91"/>
      <c r="H2144" s="91"/>
    </row>
    <row r="2145" spans="2:8">
      <c r="B2145" s="91"/>
      <c r="C2145" s="36"/>
      <c r="D2145" s="91"/>
      <c r="E2145" s="91"/>
      <c r="F2145" s="80"/>
      <c r="G2145" s="91"/>
      <c r="H2145" s="91"/>
    </row>
    <row r="2146" spans="2:8">
      <c r="B2146" s="91"/>
      <c r="C2146" s="36"/>
      <c r="D2146" s="91"/>
      <c r="E2146" s="91"/>
      <c r="F2146" s="80"/>
      <c r="G2146" s="91"/>
      <c r="H2146" s="91"/>
    </row>
    <row r="2147" spans="2:8">
      <c r="B2147" s="91"/>
      <c r="C2147" s="36"/>
      <c r="D2147" s="91"/>
      <c r="E2147" s="91"/>
      <c r="F2147" s="80"/>
      <c r="G2147" s="91"/>
      <c r="H2147" s="91"/>
    </row>
    <row r="2148" spans="2:8">
      <c r="B2148" s="91"/>
      <c r="C2148" s="36"/>
      <c r="D2148" s="91"/>
      <c r="E2148" s="91"/>
      <c r="F2148" s="80"/>
      <c r="G2148" s="91"/>
      <c r="H2148" s="91"/>
    </row>
    <row r="2149" spans="2:8">
      <c r="B2149" s="91"/>
      <c r="C2149" s="36"/>
      <c r="D2149" s="91"/>
      <c r="E2149" s="91"/>
      <c r="F2149" s="80"/>
      <c r="G2149" s="91"/>
      <c r="H2149" s="91"/>
    </row>
    <row r="2150" spans="2:8">
      <c r="B2150" s="91"/>
      <c r="C2150" s="36"/>
      <c r="D2150" s="91"/>
      <c r="E2150" s="91"/>
      <c r="F2150" s="80"/>
      <c r="G2150" s="91"/>
      <c r="H2150" s="91"/>
    </row>
    <row r="2151" spans="2:8">
      <c r="B2151" s="91"/>
      <c r="C2151" s="36"/>
      <c r="D2151" s="91"/>
      <c r="E2151" s="91"/>
      <c r="F2151" s="80"/>
      <c r="G2151" s="91"/>
      <c r="H2151" s="91"/>
    </row>
    <row r="2152" spans="2:8">
      <c r="B2152" s="91"/>
      <c r="C2152" s="36"/>
      <c r="D2152" s="91"/>
      <c r="E2152" s="91"/>
      <c r="F2152" s="80"/>
      <c r="G2152" s="91"/>
      <c r="H2152" s="91"/>
    </row>
    <row r="2153" spans="2:8">
      <c r="B2153" s="91"/>
      <c r="C2153" s="36"/>
      <c r="D2153" s="91"/>
      <c r="E2153" s="91"/>
      <c r="F2153" s="80"/>
      <c r="G2153" s="91"/>
      <c r="H2153" s="91"/>
    </row>
    <row r="2154" spans="2:8">
      <c r="B2154" s="91"/>
      <c r="C2154" s="36"/>
      <c r="D2154" s="91"/>
      <c r="E2154" s="91"/>
      <c r="F2154" s="80"/>
      <c r="G2154" s="91"/>
      <c r="H2154" s="91"/>
    </row>
    <row r="2155" spans="2:8">
      <c r="B2155" s="91"/>
      <c r="C2155" s="36"/>
      <c r="D2155" s="91"/>
      <c r="E2155" s="91"/>
      <c r="F2155" s="80"/>
      <c r="G2155" s="91"/>
      <c r="H2155" s="91"/>
    </row>
    <row r="2156" spans="2:8">
      <c r="B2156" s="91"/>
      <c r="C2156" s="36"/>
      <c r="D2156" s="91"/>
      <c r="E2156" s="91"/>
      <c r="F2156" s="80"/>
      <c r="G2156" s="91"/>
      <c r="H2156" s="91"/>
    </row>
    <row r="2157" spans="2:8">
      <c r="B2157" s="91"/>
      <c r="C2157" s="36"/>
      <c r="D2157" s="91"/>
      <c r="E2157" s="91"/>
      <c r="F2157" s="80"/>
      <c r="G2157" s="91"/>
      <c r="H2157" s="91"/>
    </row>
    <row r="2158" spans="2:8">
      <c r="B2158" s="91"/>
      <c r="C2158" s="36"/>
      <c r="D2158" s="91"/>
      <c r="E2158" s="91"/>
      <c r="F2158" s="80"/>
      <c r="G2158" s="91"/>
      <c r="H2158" s="91"/>
    </row>
    <row r="2159" spans="2:8">
      <c r="B2159" s="91"/>
      <c r="C2159" s="36"/>
      <c r="D2159" s="91"/>
      <c r="E2159" s="91"/>
      <c r="F2159" s="80"/>
      <c r="G2159" s="91"/>
      <c r="H2159" s="91"/>
    </row>
    <row r="2160" spans="2:8">
      <c r="B2160" s="91"/>
      <c r="C2160" s="36"/>
      <c r="D2160" s="91"/>
      <c r="E2160" s="91"/>
      <c r="F2160" s="80"/>
      <c r="G2160" s="91"/>
      <c r="H2160" s="91"/>
    </row>
    <row r="2161" spans="2:8">
      <c r="B2161" s="91"/>
      <c r="C2161" s="36"/>
      <c r="D2161" s="91"/>
      <c r="E2161" s="91"/>
      <c r="F2161" s="80"/>
      <c r="G2161" s="91"/>
      <c r="H2161" s="91"/>
    </row>
    <row r="2162" spans="2:8">
      <c r="B2162" s="91"/>
      <c r="C2162" s="36"/>
      <c r="D2162" s="91"/>
      <c r="E2162" s="91"/>
      <c r="F2162" s="80"/>
      <c r="G2162" s="91"/>
      <c r="H2162" s="91"/>
    </row>
    <row r="2163" spans="2:8">
      <c r="B2163" s="91"/>
      <c r="C2163" s="36"/>
      <c r="D2163" s="91"/>
      <c r="E2163" s="91"/>
      <c r="F2163" s="80"/>
      <c r="G2163" s="91"/>
      <c r="H2163" s="91"/>
    </row>
    <row r="2164" spans="2:8">
      <c r="B2164" s="91"/>
      <c r="C2164" s="36"/>
      <c r="D2164" s="91"/>
      <c r="E2164" s="91"/>
      <c r="F2164" s="80"/>
      <c r="G2164" s="91"/>
      <c r="H2164" s="91"/>
    </row>
    <row r="2165" spans="2:8">
      <c r="B2165" s="91"/>
      <c r="C2165" s="36"/>
      <c r="D2165" s="91"/>
      <c r="E2165" s="91"/>
      <c r="F2165" s="80"/>
      <c r="G2165" s="91"/>
      <c r="H2165" s="91"/>
    </row>
    <row r="2166" spans="2:8">
      <c r="B2166" s="91"/>
      <c r="C2166" s="36"/>
      <c r="D2166" s="91"/>
      <c r="E2166" s="91"/>
      <c r="F2166" s="80"/>
      <c r="G2166" s="91"/>
      <c r="H2166" s="91"/>
    </row>
    <row r="2167" spans="2:8">
      <c r="B2167" s="91"/>
      <c r="C2167" s="36"/>
      <c r="D2167" s="91"/>
      <c r="E2167" s="91"/>
      <c r="F2167" s="80"/>
      <c r="G2167" s="91"/>
      <c r="H2167" s="91"/>
    </row>
    <row r="2168" spans="2:8">
      <c r="B2168" s="91"/>
      <c r="C2168" s="36"/>
      <c r="D2168" s="91"/>
      <c r="E2168" s="91"/>
      <c r="F2168" s="80"/>
      <c r="G2168" s="91"/>
      <c r="H2168" s="91"/>
    </row>
    <row r="2169" spans="2:8">
      <c r="B2169" s="91"/>
      <c r="C2169" s="36"/>
      <c r="D2169" s="91"/>
      <c r="E2169" s="91"/>
      <c r="F2169" s="80"/>
      <c r="G2169" s="91"/>
      <c r="H2169" s="91"/>
    </row>
    <row r="2170" spans="2:8">
      <c r="B2170" s="91"/>
      <c r="C2170" s="36"/>
      <c r="D2170" s="91"/>
      <c r="E2170" s="91"/>
      <c r="F2170" s="80"/>
      <c r="G2170" s="91"/>
      <c r="H2170" s="91"/>
    </row>
    <row r="2171" spans="2:8">
      <c r="B2171" s="91"/>
      <c r="C2171" s="36"/>
      <c r="D2171" s="91"/>
      <c r="E2171" s="91"/>
      <c r="F2171" s="80"/>
      <c r="G2171" s="91"/>
      <c r="H2171" s="91"/>
    </row>
    <row r="2172" spans="2:8">
      <c r="B2172" s="91"/>
      <c r="C2172" s="36"/>
      <c r="D2172" s="91"/>
      <c r="E2172" s="91"/>
      <c r="F2172" s="80"/>
      <c r="G2172" s="91"/>
      <c r="H2172" s="91"/>
    </row>
    <row r="2173" spans="2:8">
      <c r="B2173" s="91"/>
      <c r="C2173" s="36"/>
      <c r="D2173" s="91"/>
      <c r="E2173" s="91"/>
      <c r="F2173" s="80"/>
      <c r="G2173" s="91"/>
      <c r="H2173" s="91"/>
    </row>
    <row r="2174" spans="2:8">
      <c r="B2174" s="91"/>
      <c r="C2174" s="36"/>
      <c r="D2174" s="91"/>
      <c r="E2174" s="91"/>
      <c r="F2174" s="80"/>
      <c r="G2174" s="91"/>
      <c r="H2174" s="91"/>
    </row>
    <row r="2175" spans="2:8">
      <c r="B2175" s="91"/>
      <c r="C2175" s="36"/>
      <c r="D2175" s="91"/>
      <c r="E2175" s="91"/>
      <c r="F2175" s="80"/>
      <c r="G2175" s="91"/>
      <c r="H2175" s="91"/>
    </row>
    <row r="2176" spans="2:8">
      <c r="B2176" s="91"/>
      <c r="C2176" s="36"/>
      <c r="D2176" s="91"/>
      <c r="E2176" s="91"/>
      <c r="F2176" s="80"/>
      <c r="G2176" s="91"/>
      <c r="H2176" s="91"/>
    </row>
    <row r="2177" spans="2:8">
      <c r="B2177" s="91"/>
      <c r="C2177" s="36"/>
      <c r="D2177" s="91"/>
      <c r="E2177" s="91"/>
      <c r="F2177" s="80"/>
      <c r="G2177" s="91"/>
      <c r="H2177" s="91"/>
    </row>
    <row r="2178" spans="2:8">
      <c r="B2178" s="91"/>
      <c r="C2178" s="36"/>
      <c r="D2178" s="91"/>
      <c r="E2178" s="91"/>
      <c r="F2178" s="80"/>
      <c r="G2178" s="91"/>
      <c r="H2178" s="91"/>
    </row>
    <row r="2179" spans="2:8">
      <c r="B2179" s="91"/>
      <c r="C2179" s="36"/>
      <c r="D2179" s="91"/>
      <c r="E2179" s="91"/>
      <c r="F2179" s="80"/>
      <c r="G2179" s="91"/>
      <c r="H2179" s="91"/>
    </row>
    <row r="2180" spans="2:8">
      <c r="B2180" s="91"/>
      <c r="C2180" s="36"/>
      <c r="D2180" s="91"/>
      <c r="E2180" s="91"/>
      <c r="F2180" s="80"/>
      <c r="G2180" s="91"/>
      <c r="H2180" s="91"/>
    </row>
    <row r="2181" spans="2:8">
      <c r="B2181" s="91"/>
      <c r="C2181" s="36"/>
      <c r="D2181" s="91"/>
      <c r="E2181" s="91"/>
      <c r="F2181" s="80"/>
      <c r="G2181" s="91"/>
      <c r="H2181" s="91"/>
    </row>
    <row r="2182" spans="2:8">
      <c r="B2182" s="91"/>
      <c r="C2182" s="36"/>
      <c r="D2182" s="91"/>
      <c r="E2182" s="91"/>
      <c r="F2182" s="80"/>
      <c r="G2182" s="91"/>
      <c r="H2182" s="91"/>
    </row>
    <row r="2183" spans="2:8">
      <c r="B2183" s="91"/>
      <c r="C2183" s="36"/>
      <c r="D2183" s="91"/>
      <c r="E2183" s="91"/>
      <c r="F2183" s="80"/>
      <c r="G2183" s="91"/>
      <c r="H2183" s="91"/>
    </row>
    <row r="2184" spans="2:8">
      <c r="B2184" s="91"/>
      <c r="C2184" s="36"/>
      <c r="D2184" s="91"/>
      <c r="E2184" s="91"/>
      <c r="F2184" s="80"/>
      <c r="G2184" s="91"/>
      <c r="H2184" s="91"/>
    </row>
    <row r="2185" spans="2:8">
      <c r="B2185" s="91"/>
      <c r="C2185" s="36"/>
      <c r="D2185" s="91"/>
      <c r="E2185" s="91"/>
      <c r="F2185" s="80"/>
      <c r="G2185" s="91"/>
      <c r="H2185" s="91"/>
    </row>
    <row r="2186" spans="2:8">
      <c r="B2186" s="91"/>
      <c r="C2186" s="36"/>
      <c r="D2186" s="91"/>
      <c r="E2186" s="91"/>
      <c r="F2186" s="80"/>
      <c r="G2186" s="91"/>
      <c r="H2186" s="91"/>
    </row>
    <row r="2187" spans="2:8">
      <c r="B2187" s="91"/>
      <c r="C2187" s="36"/>
      <c r="D2187" s="91"/>
      <c r="E2187" s="91"/>
      <c r="F2187" s="80"/>
      <c r="G2187" s="91"/>
      <c r="H2187" s="91"/>
    </row>
    <row r="2188" spans="2:8">
      <c r="B2188" s="91"/>
      <c r="C2188" s="36"/>
      <c r="D2188" s="91"/>
      <c r="E2188" s="91"/>
      <c r="F2188" s="80"/>
      <c r="G2188" s="91"/>
      <c r="H2188" s="91"/>
    </row>
    <row r="2189" spans="2:8">
      <c r="B2189" s="91"/>
      <c r="C2189" s="36"/>
      <c r="D2189" s="91"/>
      <c r="E2189" s="91"/>
      <c r="F2189" s="80"/>
      <c r="G2189" s="91"/>
      <c r="H2189" s="91"/>
    </row>
    <row r="2190" spans="2:8">
      <c r="B2190" s="91"/>
      <c r="C2190" s="36"/>
      <c r="D2190" s="91"/>
      <c r="E2190" s="91"/>
      <c r="F2190" s="80"/>
      <c r="G2190" s="91"/>
      <c r="H2190" s="91"/>
    </row>
    <row r="2191" spans="2:8">
      <c r="B2191" s="91"/>
      <c r="C2191" s="36"/>
      <c r="D2191" s="91"/>
      <c r="E2191" s="91"/>
      <c r="F2191" s="80"/>
      <c r="G2191" s="91"/>
      <c r="H2191" s="91"/>
    </row>
    <row r="2192" spans="2:8">
      <c r="B2192" s="91"/>
      <c r="C2192" s="36"/>
      <c r="D2192" s="91"/>
      <c r="E2192" s="91"/>
      <c r="F2192" s="80"/>
      <c r="G2192" s="91"/>
      <c r="H2192" s="91"/>
    </row>
    <row r="2193" spans="2:8">
      <c r="B2193" s="91"/>
      <c r="C2193" s="36"/>
      <c r="D2193" s="91"/>
      <c r="E2193" s="91"/>
      <c r="F2193" s="80"/>
      <c r="G2193" s="91"/>
      <c r="H2193" s="91"/>
    </row>
    <row r="2194" spans="2:8">
      <c r="B2194" s="91"/>
      <c r="C2194" s="36"/>
      <c r="D2194" s="91"/>
      <c r="E2194" s="91"/>
      <c r="F2194" s="80"/>
      <c r="G2194" s="91"/>
      <c r="H2194" s="91"/>
    </row>
    <row r="2195" spans="2:8">
      <c r="B2195" s="91"/>
      <c r="C2195" s="36"/>
      <c r="D2195" s="91"/>
      <c r="E2195" s="91"/>
      <c r="F2195" s="80"/>
      <c r="G2195" s="91"/>
      <c r="H2195" s="91"/>
    </row>
    <row r="2196" spans="2:8">
      <c r="B2196" s="91"/>
      <c r="C2196" s="36"/>
      <c r="D2196" s="91"/>
      <c r="E2196" s="91"/>
      <c r="F2196" s="80"/>
      <c r="G2196" s="91"/>
      <c r="H2196" s="91"/>
    </row>
    <row r="2197" spans="2:8">
      <c r="B2197" s="91"/>
      <c r="C2197" s="36"/>
      <c r="D2197" s="91"/>
      <c r="E2197" s="91"/>
      <c r="F2197" s="80"/>
      <c r="G2197" s="91"/>
      <c r="H2197" s="91"/>
    </row>
    <row r="2198" spans="2:8">
      <c r="B2198" s="91"/>
      <c r="C2198" s="36"/>
      <c r="D2198" s="91"/>
      <c r="E2198" s="91"/>
      <c r="F2198" s="80"/>
      <c r="G2198" s="91"/>
      <c r="H2198" s="91"/>
    </row>
    <row r="2199" spans="2:8">
      <c r="B2199" s="91"/>
      <c r="C2199" s="36"/>
      <c r="D2199" s="91"/>
      <c r="E2199" s="91"/>
      <c r="F2199" s="80"/>
      <c r="G2199" s="91"/>
      <c r="H2199" s="91"/>
    </row>
    <row r="2200" spans="2:8">
      <c r="B2200" s="91"/>
      <c r="C2200" s="36"/>
      <c r="D2200" s="91"/>
      <c r="E2200" s="91"/>
      <c r="F2200" s="80"/>
      <c r="G2200" s="91"/>
      <c r="H2200" s="91"/>
    </row>
    <row r="2201" spans="2:8">
      <c r="B2201" s="91"/>
      <c r="C2201" s="36"/>
      <c r="D2201" s="91"/>
      <c r="E2201" s="91"/>
      <c r="F2201" s="80"/>
      <c r="G2201" s="91"/>
      <c r="H2201" s="91"/>
    </row>
    <row r="2202" spans="2:8">
      <c r="B2202" s="91"/>
      <c r="C2202" s="36"/>
      <c r="D2202" s="91"/>
      <c r="E2202" s="91"/>
      <c r="F2202" s="80"/>
      <c r="G2202" s="91"/>
      <c r="H2202" s="91"/>
    </row>
    <row r="2203" spans="2:8">
      <c r="B2203" s="91"/>
      <c r="C2203" s="36"/>
      <c r="D2203" s="91"/>
      <c r="E2203" s="91"/>
      <c r="F2203" s="80"/>
      <c r="G2203" s="91"/>
      <c r="H2203" s="91"/>
    </row>
    <row r="2204" spans="2:8">
      <c r="B2204" s="91"/>
      <c r="C2204" s="36"/>
      <c r="D2204" s="91"/>
      <c r="E2204" s="91"/>
      <c r="F2204" s="80"/>
      <c r="G2204" s="91"/>
      <c r="H2204" s="91"/>
    </row>
    <row r="2205" spans="2:8">
      <c r="B2205" s="91"/>
      <c r="C2205" s="36"/>
      <c r="D2205" s="91"/>
      <c r="E2205" s="91"/>
      <c r="F2205" s="80"/>
      <c r="G2205" s="91"/>
      <c r="H2205" s="91"/>
    </row>
    <row r="2206" spans="2:8">
      <c r="B2206" s="91"/>
      <c r="C2206" s="36"/>
      <c r="D2206" s="91"/>
      <c r="E2206" s="91"/>
      <c r="F2206" s="80"/>
      <c r="G2206" s="91"/>
      <c r="H2206" s="91"/>
    </row>
    <row r="2207" spans="2:8">
      <c r="B2207" s="91"/>
      <c r="C2207" s="36"/>
      <c r="D2207" s="91"/>
      <c r="E2207" s="91"/>
      <c r="F2207" s="80"/>
      <c r="G2207" s="91"/>
      <c r="H2207" s="91"/>
    </row>
    <row r="2208" spans="2:8">
      <c r="B2208" s="91"/>
      <c r="C2208" s="36"/>
      <c r="D2208" s="91"/>
      <c r="E2208" s="91"/>
      <c r="F2208" s="80"/>
      <c r="G2208" s="91"/>
      <c r="H2208" s="91"/>
    </row>
    <row r="2209" spans="2:8">
      <c r="B2209" s="91"/>
      <c r="C2209" s="36"/>
      <c r="D2209" s="91"/>
      <c r="E2209" s="91"/>
      <c r="F2209" s="80"/>
      <c r="G2209" s="91"/>
      <c r="H2209" s="91"/>
    </row>
    <row r="2210" spans="2:8">
      <c r="B2210" s="91"/>
      <c r="C2210" s="36"/>
      <c r="D2210" s="91"/>
      <c r="E2210" s="91"/>
      <c r="F2210" s="80"/>
      <c r="G2210" s="91"/>
      <c r="H2210" s="91"/>
    </row>
    <row r="2211" spans="2:8">
      <c r="B2211" s="91"/>
      <c r="C2211" s="36"/>
      <c r="D2211" s="91"/>
      <c r="E2211" s="91"/>
      <c r="F2211" s="80"/>
      <c r="G2211" s="91"/>
      <c r="H2211" s="91"/>
    </row>
    <row r="2212" spans="2:8">
      <c r="B2212" s="91"/>
      <c r="C2212" s="36"/>
      <c r="D2212" s="91"/>
      <c r="E2212" s="91"/>
      <c r="F2212" s="80"/>
      <c r="G2212" s="91"/>
      <c r="H2212" s="91"/>
    </row>
    <row r="2213" spans="2:8">
      <c r="B2213" s="91"/>
      <c r="C2213" s="36"/>
      <c r="D2213" s="91"/>
      <c r="E2213" s="91"/>
      <c r="F2213" s="80"/>
      <c r="G2213" s="91"/>
      <c r="H2213" s="91"/>
    </row>
    <row r="2214" spans="2:8">
      <c r="B2214" s="91"/>
      <c r="C2214" s="36"/>
      <c r="D2214" s="91"/>
      <c r="E2214" s="91"/>
      <c r="F2214" s="80"/>
      <c r="G2214" s="91"/>
      <c r="H2214" s="91"/>
    </row>
    <row r="2215" spans="2:8">
      <c r="B2215" s="91"/>
      <c r="C2215" s="36"/>
      <c r="D2215" s="91"/>
      <c r="E2215" s="91"/>
      <c r="F2215" s="80"/>
      <c r="G2215" s="91"/>
      <c r="H2215" s="91"/>
    </row>
    <row r="2216" spans="2:8">
      <c r="B2216" s="91"/>
      <c r="C2216" s="36"/>
      <c r="D2216" s="91"/>
      <c r="E2216" s="91"/>
      <c r="F2216" s="80"/>
      <c r="G2216" s="91"/>
      <c r="H2216" s="91"/>
    </row>
    <row r="2217" spans="2:8">
      <c r="B2217" s="91"/>
      <c r="C2217" s="36"/>
      <c r="D2217" s="91"/>
      <c r="E2217" s="91"/>
      <c r="F2217" s="80"/>
      <c r="G2217" s="91"/>
      <c r="H2217" s="91"/>
    </row>
    <row r="2218" spans="2:8">
      <c r="B2218" s="91"/>
      <c r="C2218" s="36"/>
      <c r="D2218" s="91"/>
      <c r="E2218" s="91"/>
      <c r="F2218" s="80"/>
      <c r="G2218" s="91"/>
      <c r="H2218" s="91"/>
    </row>
    <row r="2219" spans="2:8">
      <c r="B2219" s="91"/>
      <c r="C2219" s="36"/>
      <c r="D2219" s="91"/>
      <c r="E2219" s="91"/>
      <c r="F2219" s="80"/>
      <c r="G2219" s="91"/>
      <c r="H2219" s="91"/>
    </row>
    <row r="2220" spans="2:8">
      <c r="B2220" s="91"/>
      <c r="C2220" s="36"/>
      <c r="D2220" s="91"/>
      <c r="E2220" s="91"/>
      <c r="F2220" s="80"/>
      <c r="G2220" s="91"/>
      <c r="H2220" s="91"/>
    </row>
    <row r="2221" spans="2:8">
      <c r="B2221" s="91"/>
      <c r="C2221" s="36"/>
      <c r="D2221" s="91"/>
      <c r="E2221" s="91"/>
      <c r="F2221" s="80"/>
      <c r="G2221" s="91"/>
      <c r="H2221" s="91"/>
    </row>
    <row r="2222" spans="2:8">
      <c r="B2222" s="91"/>
      <c r="C2222" s="36"/>
      <c r="D2222" s="91"/>
      <c r="E2222" s="91"/>
      <c r="F2222" s="80"/>
      <c r="G2222" s="91"/>
      <c r="H2222" s="91"/>
    </row>
    <row r="2223" spans="2:8">
      <c r="B2223" s="91"/>
      <c r="C2223" s="36"/>
      <c r="D2223" s="91"/>
      <c r="E2223" s="91"/>
      <c r="F2223" s="80"/>
      <c r="G2223" s="91"/>
      <c r="H2223" s="91"/>
    </row>
    <row r="2224" spans="2:8">
      <c r="B2224" s="91"/>
      <c r="C2224" s="36"/>
      <c r="D2224" s="91"/>
      <c r="E2224" s="91"/>
      <c r="F2224" s="80"/>
      <c r="G2224" s="91"/>
      <c r="H2224" s="91"/>
    </row>
    <row r="2225" spans="2:8">
      <c r="B2225" s="91"/>
      <c r="C2225" s="36"/>
      <c r="D2225" s="91"/>
      <c r="E2225" s="91"/>
      <c r="F2225" s="80"/>
      <c r="G2225" s="91"/>
      <c r="H2225" s="91"/>
    </row>
    <row r="2226" spans="2:8">
      <c r="B2226" s="91"/>
      <c r="C2226" s="36"/>
      <c r="D2226" s="91"/>
      <c r="E2226" s="91"/>
      <c r="F2226" s="80"/>
      <c r="G2226" s="91"/>
      <c r="H2226" s="91"/>
    </row>
    <row r="2227" spans="2:8">
      <c r="B2227" s="91"/>
      <c r="C2227" s="36"/>
      <c r="D2227" s="91"/>
      <c r="E2227" s="91"/>
      <c r="F2227" s="80"/>
      <c r="G2227" s="91"/>
      <c r="H2227" s="91"/>
    </row>
    <row r="2228" spans="2:8">
      <c r="B2228" s="91"/>
      <c r="C2228" s="36"/>
      <c r="D2228" s="91"/>
      <c r="E2228" s="91"/>
      <c r="F2228" s="80"/>
      <c r="G2228" s="91"/>
      <c r="H2228" s="91"/>
    </row>
    <row r="2229" spans="2:8">
      <c r="B2229" s="91"/>
      <c r="C2229" s="36"/>
      <c r="D2229" s="91"/>
      <c r="E2229" s="91"/>
      <c r="F2229" s="80"/>
      <c r="G2229" s="91"/>
      <c r="H2229" s="91"/>
    </row>
    <row r="2230" spans="2:8">
      <c r="B2230" s="91"/>
      <c r="C2230" s="36"/>
      <c r="D2230" s="91"/>
      <c r="E2230" s="91"/>
      <c r="F2230" s="80"/>
      <c r="G2230" s="91"/>
      <c r="H2230" s="91"/>
    </row>
    <row r="2231" spans="2:8">
      <c r="B2231" s="91"/>
      <c r="C2231" s="36"/>
      <c r="D2231" s="91"/>
      <c r="E2231" s="91"/>
      <c r="F2231" s="80"/>
      <c r="G2231" s="91"/>
      <c r="H2231" s="91"/>
    </row>
    <row r="2232" spans="2:8">
      <c r="B2232" s="91"/>
      <c r="C2232" s="36"/>
      <c r="D2232" s="91"/>
      <c r="E2232" s="91"/>
      <c r="F2232" s="80"/>
      <c r="G2232" s="91"/>
      <c r="H2232" s="91"/>
    </row>
    <row r="2233" spans="2:8">
      <c r="B2233" s="91"/>
      <c r="C2233" s="36"/>
      <c r="D2233" s="91"/>
      <c r="E2233" s="91"/>
      <c r="F2233" s="80"/>
      <c r="G2233" s="91"/>
      <c r="H2233" s="91"/>
    </row>
    <row r="2234" spans="2:8">
      <c r="B2234" s="91"/>
      <c r="C2234" s="36"/>
      <c r="D2234" s="91"/>
      <c r="E2234" s="91"/>
      <c r="F2234" s="80"/>
      <c r="G2234" s="91"/>
      <c r="H2234" s="91"/>
    </row>
    <row r="2235" spans="2:8">
      <c r="B2235" s="91"/>
      <c r="C2235" s="36"/>
      <c r="D2235" s="91"/>
      <c r="E2235" s="91"/>
      <c r="F2235" s="80"/>
      <c r="G2235" s="91"/>
      <c r="H2235" s="91"/>
    </row>
    <row r="2236" spans="2:8">
      <c r="B2236" s="91"/>
      <c r="C2236" s="36"/>
      <c r="D2236" s="91"/>
      <c r="E2236" s="91"/>
      <c r="F2236" s="80"/>
      <c r="G2236" s="91"/>
      <c r="H2236" s="91"/>
    </row>
    <row r="2237" spans="2:8">
      <c r="B2237" s="91"/>
      <c r="C2237" s="36"/>
      <c r="D2237" s="91"/>
      <c r="E2237" s="91"/>
      <c r="F2237" s="80"/>
      <c r="G2237" s="91"/>
      <c r="H2237" s="91"/>
    </row>
    <row r="2238" spans="2:8">
      <c r="B2238" s="91"/>
      <c r="C2238" s="36"/>
      <c r="D2238" s="91"/>
      <c r="E2238" s="91"/>
      <c r="F2238" s="80"/>
      <c r="G2238" s="91"/>
      <c r="H2238" s="91"/>
    </row>
    <row r="2239" spans="2:8">
      <c r="B2239" s="91"/>
      <c r="C2239" s="36"/>
      <c r="D2239" s="91"/>
      <c r="E2239" s="91"/>
      <c r="F2239" s="80"/>
      <c r="G2239" s="91"/>
      <c r="H2239" s="91"/>
    </row>
    <row r="2240" spans="2:8">
      <c r="B2240" s="91"/>
      <c r="C2240" s="36"/>
      <c r="D2240" s="91"/>
      <c r="E2240" s="91"/>
      <c r="F2240" s="80"/>
      <c r="G2240" s="91"/>
      <c r="H2240" s="91"/>
    </row>
    <row r="2241" spans="2:8">
      <c r="B2241" s="91"/>
      <c r="C2241" s="36"/>
      <c r="D2241" s="91"/>
      <c r="E2241" s="91"/>
      <c r="F2241" s="80"/>
      <c r="G2241" s="91"/>
      <c r="H2241" s="91"/>
    </row>
    <row r="2242" spans="2:8">
      <c r="B2242" s="91"/>
      <c r="C2242" s="36"/>
      <c r="D2242" s="91"/>
      <c r="E2242" s="91"/>
      <c r="F2242" s="80"/>
      <c r="G2242" s="91"/>
      <c r="H2242" s="91"/>
    </row>
    <row r="2243" spans="2:8">
      <c r="B2243" s="91"/>
      <c r="C2243" s="36"/>
      <c r="D2243" s="91"/>
      <c r="E2243" s="91"/>
      <c r="F2243" s="80"/>
      <c r="G2243" s="91"/>
      <c r="H2243" s="91"/>
    </row>
    <row r="2244" spans="2:8">
      <c r="B2244" s="91"/>
      <c r="C2244" s="36"/>
      <c r="D2244" s="91"/>
      <c r="E2244" s="91"/>
      <c r="F2244" s="80"/>
      <c r="G2244" s="91"/>
      <c r="H2244" s="91"/>
    </row>
    <row r="2245" spans="2:8">
      <c r="B2245" s="91"/>
      <c r="C2245" s="36"/>
      <c r="D2245" s="91"/>
      <c r="E2245" s="91"/>
      <c r="F2245" s="80"/>
      <c r="G2245" s="91"/>
      <c r="H2245" s="91"/>
    </row>
    <row r="2246" spans="2:8">
      <c r="B2246" s="91"/>
      <c r="C2246" s="36"/>
      <c r="D2246" s="91"/>
      <c r="E2246" s="91"/>
      <c r="F2246" s="80"/>
      <c r="G2246" s="91"/>
      <c r="H2246" s="91"/>
    </row>
    <row r="2247" spans="2:8">
      <c r="B2247" s="91"/>
      <c r="C2247" s="36"/>
      <c r="D2247" s="91"/>
      <c r="E2247" s="91"/>
      <c r="F2247" s="80"/>
      <c r="G2247" s="91"/>
      <c r="H2247" s="91"/>
    </row>
    <row r="2248" spans="2:8">
      <c r="B2248" s="91"/>
      <c r="C2248" s="36"/>
      <c r="D2248" s="91"/>
      <c r="E2248" s="91"/>
      <c r="F2248" s="80"/>
      <c r="G2248" s="91"/>
      <c r="H2248" s="91"/>
    </row>
    <row r="2249" spans="2:8">
      <c r="B2249" s="91"/>
      <c r="C2249" s="36"/>
      <c r="D2249" s="91"/>
      <c r="E2249" s="91"/>
      <c r="F2249" s="80"/>
      <c r="G2249" s="91"/>
      <c r="H2249" s="91"/>
    </row>
    <row r="2250" spans="2:8">
      <c r="B2250" s="91"/>
      <c r="C2250" s="36"/>
      <c r="D2250" s="91"/>
      <c r="E2250" s="91"/>
      <c r="F2250" s="80"/>
      <c r="G2250" s="91"/>
      <c r="H2250" s="91"/>
    </row>
    <row r="2251" spans="2:8">
      <c r="B2251" s="91"/>
      <c r="C2251" s="36"/>
      <c r="D2251" s="91"/>
      <c r="E2251" s="91"/>
      <c r="F2251" s="80"/>
      <c r="G2251" s="91"/>
      <c r="H2251" s="91"/>
    </row>
    <row r="2252" spans="2:8">
      <c r="B2252" s="91"/>
      <c r="C2252" s="36"/>
      <c r="D2252" s="91"/>
      <c r="E2252" s="91"/>
      <c r="F2252" s="80"/>
      <c r="G2252" s="91"/>
      <c r="H2252" s="91"/>
    </row>
    <row r="2253" spans="2:8">
      <c r="B2253" s="91"/>
      <c r="C2253" s="36"/>
      <c r="D2253" s="91"/>
      <c r="E2253" s="91"/>
      <c r="F2253" s="80"/>
      <c r="G2253" s="91"/>
      <c r="H2253" s="91"/>
    </row>
    <row r="2254" spans="2:8">
      <c r="B2254" s="91"/>
      <c r="C2254" s="36"/>
      <c r="D2254" s="91"/>
      <c r="E2254" s="91"/>
      <c r="F2254" s="80"/>
      <c r="G2254" s="91"/>
      <c r="H2254" s="91"/>
    </row>
    <row r="2255" spans="2:8">
      <c r="B2255" s="91"/>
      <c r="C2255" s="36"/>
      <c r="D2255" s="91"/>
      <c r="E2255" s="91"/>
      <c r="F2255" s="80"/>
      <c r="G2255" s="91"/>
      <c r="H2255" s="91"/>
    </row>
    <row r="2256" spans="2:8">
      <c r="B2256" s="91"/>
      <c r="C2256" s="36"/>
      <c r="D2256" s="91"/>
      <c r="E2256" s="91"/>
      <c r="F2256" s="80"/>
      <c r="G2256" s="91"/>
      <c r="H2256" s="91"/>
    </row>
    <row r="2257" spans="2:8">
      <c r="B2257" s="91"/>
      <c r="C2257" s="36"/>
      <c r="D2257" s="91"/>
      <c r="E2257" s="91"/>
      <c r="F2257" s="80"/>
      <c r="G2257" s="91"/>
      <c r="H2257" s="91"/>
    </row>
    <row r="2258" spans="2:8">
      <c r="B2258" s="91"/>
      <c r="C2258" s="36"/>
      <c r="D2258" s="91"/>
      <c r="E2258" s="91"/>
      <c r="F2258" s="80"/>
      <c r="G2258" s="91"/>
      <c r="H2258" s="91"/>
    </row>
    <row r="2259" spans="2:8">
      <c r="B2259" s="91"/>
      <c r="C2259" s="36"/>
      <c r="D2259" s="91"/>
      <c r="E2259" s="91"/>
      <c r="F2259" s="80"/>
      <c r="G2259" s="91"/>
      <c r="H2259" s="91"/>
    </row>
    <row r="2260" spans="2:8">
      <c r="B2260" s="91"/>
      <c r="C2260" s="36"/>
      <c r="D2260" s="91"/>
      <c r="E2260" s="91"/>
      <c r="F2260" s="80"/>
      <c r="G2260" s="91"/>
      <c r="H2260" s="91"/>
    </row>
    <row r="2261" spans="2:8">
      <c r="B2261" s="91"/>
      <c r="C2261" s="36"/>
      <c r="D2261" s="91"/>
      <c r="E2261" s="91"/>
      <c r="F2261" s="80"/>
      <c r="G2261" s="91"/>
      <c r="H2261" s="91"/>
    </row>
    <row r="2262" spans="2:8">
      <c r="B2262" s="91"/>
      <c r="C2262" s="36"/>
      <c r="D2262" s="91"/>
      <c r="E2262" s="91"/>
      <c r="F2262" s="80"/>
      <c r="G2262" s="91"/>
      <c r="H2262" s="91"/>
    </row>
    <row r="2263" spans="2:8">
      <c r="B2263" s="91"/>
      <c r="C2263" s="36"/>
      <c r="D2263" s="91"/>
      <c r="E2263" s="91"/>
      <c r="F2263" s="80"/>
      <c r="G2263" s="91"/>
      <c r="H2263" s="91"/>
    </row>
    <row r="2264" spans="2:8">
      <c r="B2264" s="91"/>
      <c r="C2264" s="36"/>
      <c r="D2264" s="91"/>
      <c r="E2264" s="91"/>
      <c r="F2264" s="80"/>
      <c r="G2264" s="91"/>
      <c r="H2264" s="91"/>
    </row>
    <row r="2265" spans="2:8">
      <c r="B2265" s="91"/>
      <c r="C2265" s="36"/>
      <c r="D2265" s="91"/>
      <c r="E2265" s="91"/>
      <c r="F2265" s="80"/>
      <c r="G2265" s="91"/>
      <c r="H2265" s="91"/>
    </row>
    <row r="2266" spans="2:8">
      <c r="B2266" s="91"/>
      <c r="C2266" s="36"/>
      <c r="D2266" s="91"/>
      <c r="E2266" s="91"/>
      <c r="F2266" s="80"/>
      <c r="G2266" s="91"/>
      <c r="H2266" s="91"/>
    </row>
    <row r="2267" spans="2:8">
      <c r="B2267" s="91"/>
      <c r="C2267" s="36"/>
      <c r="D2267" s="91"/>
      <c r="E2267" s="91"/>
      <c r="F2267" s="80"/>
      <c r="G2267" s="91"/>
      <c r="H2267" s="91"/>
    </row>
    <row r="2268" spans="2:8">
      <c r="B2268" s="91"/>
      <c r="C2268" s="36"/>
      <c r="D2268" s="91"/>
      <c r="E2268" s="91"/>
      <c r="F2268" s="80"/>
      <c r="G2268" s="91"/>
      <c r="H2268" s="91"/>
    </row>
    <row r="2269" spans="2:8">
      <c r="B2269" s="91"/>
      <c r="C2269" s="36"/>
      <c r="D2269" s="91"/>
      <c r="E2269" s="91"/>
      <c r="F2269" s="80"/>
      <c r="G2269" s="91"/>
      <c r="H2269" s="91"/>
    </row>
    <row r="2270" spans="2:8">
      <c r="B2270" s="91"/>
      <c r="C2270" s="36"/>
      <c r="D2270" s="91"/>
      <c r="E2270" s="91"/>
      <c r="F2270" s="80"/>
      <c r="G2270" s="91"/>
      <c r="H2270" s="91"/>
    </row>
    <row r="2271" spans="2:8">
      <c r="B2271" s="91"/>
      <c r="C2271" s="36"/>
      <c r="D2271" s="91"/>
      <c r="E2271" s="91"/>
      <c r="F2271" s="80"/>
      <c r="G2271" s="91"/>
      <c r="H2271" s="91"/>
    </row>
    <row r="2272" spans="2:8">
      <c r="B2272" s="91"/>
      <c r="C2272" s="36"/>
      <c r="D2272" s="91"/>
      <c r="E2272" s="91"/>
      <c r="F2272" s="80"/>
      <c r="G2272" s="91"/>
      <c r="H2272" s="91"/>
    </row>
    <row r="2273" spans="2:8">
      <c r="B2273" s="91"/>
      <c r="C2273" s="36"/>
      <c r="D2273" s="91"/>
      <c r="E2273" s="91"/>
      <c r="F2273" s="80"/>
      <c r="G2273" s="91"/>
      <c r="H2273" s="91"/>
    </row>
    <row r="2274" spans="2:8">
      <c r="B2274" s="91"/>
      <c r="C2274" s="36"/>
      <c r="D2274" s="91"/>
      <c r="E2274" s="91"/>
      <c r="F2274" s="80"/>
      <c r="G2274" s="91"/>
      <c r="H2274" s="91"/>
    </row>
    <row r="2275" spans="2:8">
      <c r="B2275" s="91"/>
      <c r="C2275" s="36"/>
      <c r="D2275" s="91"/>
      <c r="E2275" s="91"/>
      <c r="F2275" s="80"/>
      <c r="G2275" s="91"/>
      <c r="H2275" s="91"/>
    </row>
    <row r="2276" spans="2:8">
      <c r="B2276" s="91"/>
      <c r="C2276" s="36"/>
      <c r="D2276" s="91"/>
      <c r="E2276" s="91"/>
      <c r="F2276" s="80"/>
      <c r="G2276" s="91"/>
      <c r="H2276" s="91"/>
    </row>
    <row r="2277" spans="2:8">
      <c r="B2277" s="91"/>
      <c r="C2277" s="36"/>
      <c r="D2277" s="91"/>
      <c r="E2277" s="91"/>
      <c r="F2277" s="80"/>
      <c r="G2277" s="91"/>
      <c r="H2277" s="91"/>
    </row>
    <row r="2278" spans="2:8">
      <c r="B2278" s="91"/>
      <c r="C2278" s="36"/>
      <c r="D2278" s="91"/>
      <c r="E2278" s="91"/>
      <c r="F2278" s="80"/>
      <c r="G2278" s="91"/>
      <c r="H2278" s="91"/>
    </row>
    <row r="2279" spans="2:8">
      <c r="B2279" s="91"/>
      <c r="C2279" s="36"/>
      <c r="D2279" s="91"/>
      <c r="E2279" s="91"/>
      <c r="F2279" s="80"/>
      <c r="G2279" s="91"/>
      <c r="H2279" s="91"/>
    </row>
    <row r="2280" spans="2:8">
      <c r="B2280" s="91"/>
      <c r="C2280" s="36"/>
      <c r="D2280" s="91"/>
      <c r="E2280" s="91"/>
      <c r="F2280" s="80"/>
      <c r="G2280" s="91"/>
      <c r="H2280" s="91"/>
    </row>
    <row r="2281" spans="2:8">
      <c r="B2281" s="91"/>
      <c r="C2281" s="36"/>
      <c r="D2281" s="91"/>
      <c r="E2281" s="91"/>
      <c r="F2281" s="80"/>
      <c r="G2281" s="91"/>
      <c r="H2281" s="91"/>
    </row>
    <row r="2282" spans="2:8">
      <c r="B2282" s="91"/>
      <c r="C2282" s="36"/>
      <c r="D2282" s="91"/>
      <c r="E2282" s="91"/>
      <c r="F2282" s="80"/>
      <c r="G2282" s="91"/>
      <c r="H2282" s="91"/>
    </row>
    <row r="2283" spans="2:8">
      <c r="B2283" s="91"/>
      <c r="C2283" s="36"/>
      <c r="D2283" s="91"/>
      <c r="E2283" s="91"/>
      <c r="F2283" s="80"/>
      <c r="G2283" s="91"/>
      <c r="H2283" s="91"/>
    </row>
    <row r="2284" spans="2:8">
      <c r="B2284" s="91"/>
      <c r="C2284" s="36"/>
      <c r="D2284" s="91"/>
      <c r="E2284" s="91"/>
      <c r="F2284" s="80"/>
      <c r="G2284" s="91"/>
      <c r="H2284" s="91"/>
    </row>
    <row r="2285" spans="2:8">
      <c r="B2285" s="91"/>
      <c r="C2285" s="36"/>
      <c r="D2285" s="91"/>
      <c r="E2285" s="91"/>
      <c r="F2285" s="80"/>
      <c r="G2285" s="91"/>
      <c r="H2285" s="91"/>
    </row>
    <row r="2286" spans="2:8">
      <c r="B2286" s="91"/>
      <c r="C2286" s="36"/>
      <c r="D2286" s="91"/>
      <c r="E2286" s="91"/>
      <c r="F2286" s="80"/>
      <c r="G2286" s="91"/>
      <c r="H2286" s="91"/>
    </row>
    <row r="2287" spans="2:8">
      <c r="B2287" s="91"/>
      <c r="C2287" s="36"/>
      <c r="D2287" s="91"/>
      <c r="E2287" s="91"/>
      <c r="F2287" s="80"/>
      <c r="G2287" s="91"/>
      <c r="H2287" s="91"/>
    </row>
    <row r="2288" spans="2:8">
      <c r="B2288" s="91"/>
      <c r="C2288" s="36"/>
      <c r="D2288" s="91"/>
      <c r="E2288" s="91"/>
      <c r="F2288" s="80"/>
      <c r="G2288" s="91"/>
      <c r="H2288" s="91"/>
    </row>
    <row r="2289" spans="2:8">
      <c r="B2289" s="91"/>
      <c r="C2289" s="36"/>
      <c r="D2289" s="91"/>
      <c r="E2289" s="91"/>
      <c r="F2289" s="80"/>
      <c r="G2289" s="91"/>
      <c r="H2289" s="91"/>
    </row>
    <row r="2290" spans="2:8">
      <c r="B2290" s="91"/>
      <c r="C2290" s="36"/>
      <c r="D2290" s="91"/>
      <c r="E2290" s="91"/>
      <c r="F2290" s="80"/>
      <c r="G2290" s="91"/>
      <c r="H2290" s="91"/>
    </row>
    <row r="2291" spans="2:8">
      <c r="B2291" s="91"/>
      <c r="C2291" s="36"/>
      <c r="D2291" s="91"/>
      <c r="E2291" s="91"/>
      <c r="F2291" s="80"/>
      <c r="G2291" s="91"/>
      <c r="H2291" s="91"/>
    </row>
    <row r="2292" spans="2:8">
      <c r="B2292" s="91"/>
      <c r="C2292" s="36"/>
      <c r="D2292" s="91"/>
      <c r="E2292" s="91"/>
      <c r="F2292" s="80"/>
      <c r="G2292" s="91"/>
      <c r="H2292" s="91"/>
    </row>
    <row r="2293" spans="2:8">
      <c r="B2293" s="91"/>
      <c r="C2293" s="36"/>
      <c r="D2293" s="91"/>
      <c r="E2293" s="91"/>
      <c r="F2293" s="80"/>
      <c r="G2293" s="91"/>
      <c r="H2293" s="91"/>
    </row>
    <row r="2294" spans="2:8">
      <c r="B2294" s="91"/>
      <c r="C2294" s="36"/>
      <c r="D2294" s="91"/>
      <c r="E2294" s="91"/>
      <c r="F2294" s="80"/>
      <c r="G2294" s="91"/>
      <c r="H2294" s="91"/>
    </row>
    <row r="2295" spans="2:8">
      <c r="B2295" s="91"/>
      <c r="C2295" s="36"/>
      <c r="D2295" s="91"/>
      <c r="E2295" s="91"/>
      <c r="F2295" s="80"/>
      <c r="G2295" s="91"/>
      <c r="H2295" s="91"/>
    </row>
    <row r="2296" spans="2:8">
      <c r="B2296" s="91"/>
      <c r="C2296" s="36"/>
      <c r="D2296" s="91"/>
      <c r="E2296" s="91"/>
      <c r="F2296" s="80"/>
      <c r="G2296" s="91"/>
      <c r="H2296" s="91"/>
    </row>
    <row r="2297" spans="2:8">
      <c r="B2297" s="91"/>
      <c r="C2297" s="36"/>
      <c r="D2297" s="91"/>
      <c r="E2297" s="91"/>
      <c r="F2297" s="80"/>
      <c r="G2297" s="91"/>
      <c r="H2297" s="91"/>
    </row>
    <row r="2298" spans="2:8">
      <c r="B2298" s="91"/>
      <c r="C2298" s="36"/>
      <c r="D2298" s="91"/>
      <c r="E2298" s="91"/>
      <c r="F2298" s="80"/>
      <c r="G2298" s="91"/>
      <c r="H2298" s="91"/>
    </row>
    <row r="2299" spans="2:8">
      <c r="B2299" s="91"/>
      <c r="C2299" s="36"/>
      <c r="D2299" s="91"/>
      <c r="E2299" s="91"/>
      <c r="F2299" s="80"/>
      <c r="G2299" s="91"/>
      <c r="H2299" s="91"/>
    </row>
    <row r="2300" spans="2:8">
      <c r="B2300" s="91"/>
      <c r="C2300" s="36"/>
      <c r="D2300" s="91"/>
      <c r="E2300" s="91"/>
      <c r="F2300" s="80"/>
      <c r="G2300" s="91"/>
      <c r="H2300" s="91"/>
    </row>
    <row r="2301" spans="2:8">
      <c r="B2301" s="91"/>
      <c r="C2301" s="36"/>
      <c r="D2301" s="91"/>
      <c r="E2301" s="91"/>
      <c r="F2301" s="80"/>
      <c r="G2301" s="91"/>
      <c r="H2301" s="91"/>
    </row>
    <row r="2302" spans="2:8">
      <c r="B2302" s="91"/>
      <c r="C2302" s="36"/>
      <c r="D2302" s="91"/>
      <c r="E2302" s="91"/>
      <c r="F2302" s="80"/>
      <c r="G2302" s="91"/>
      <c r="H2302" s="91"/>
    </row>
    <row r="2303" spans="2:8">
      <c r="B2303" s="91"/>
      <c r="C2303" s="36"/>
      <c r="D2303" s="91"/>
      <c r="E2303" s="91"/>
      <c r="F2303" s="80"/>
      <c r="G2303" s="91"/>
      <c r="H2303" s="91"/>
    </row>
    <row r="2304" spans="2:8">
      <c r="B2304" s="91"/>
      <c r="C2304" s="36"/>
      <c r="D2304" s="91"/>
      <c r="E2304" s="91"/>
      <c r="F2304" s="80"/>
      <c r="G2304" s="91"/>
      <c r="H2304" s="91"/>
    </row>
    <row r="2305" spans="2:8">
      <c r="B2305" s="91"/>
      <c r="C2305" s="36"/>
      <c r="D2305" s="91"/>
      <c r="E2305" s="91"/>
      <c r="F2305" s="80"/>
      <c r="G2305" s="91"/>
      <c r="H2305" s="91"/>
    </row>
    <row r="2306" spans="2:8">
      <c r="B2306" s="91"/>
      <c r="C2306" s="36"/>
      <c r="D2306" s="91"/>
      <c r="E2306" s="91"/>
      <c r="F2306" s="80"/>
      <c r="G2306" s="91"/>
      <c r="H2306" s="91"/>
    </row>
    <row r="2307" spans="2:8">
      <c r="B2307" s="91"/>
      <c r="C2307" s="36"/>
      <c r="D2307" s="91"/>
      <c r="E2307" s="91"/>
      <c r="F2307" s="80"/>
      <c r="G2307" s="91"/>
      <c r="H2307" s="91"/>
    </row>
    <row r="2308" spans="2:8">
      <c r="B2308" s="91"/>
      <c r="C2308" s="36"/>
      <c r="D2308" s="91"/>
      <c r="E2308" s="91"/>
      <c r="F2308" s="80"/>
      <c r="G2308" s="91"/>
      <c r="H2308" s="91"/>
    </row>
    <row r="2309" spans="2:8">
      <c r="B2309" s="91"/>
      <c r="C2309" s="36"/>
      <c r="D2309" s="91"/>
      <c r="E2309" s="91"/>
      <c r="F2309" s="80"/>
      <c r="G2309" s="91"/>
      <c r="H2309" s="91"/>
    </row>
    <row r="2310" spans="2:8">
      <c r="B2310" s="91"/>
      <c r="C2310" s="36"/>
      <c r="D2310" s="91"/>
      <c r="E2310" s="91"/>
      <c r="F2310" s="80"/>
      <c r="G2310" s="91"/>
      <c r="H2310" s="91"/>
    </row>
    <row r="2311" spans="2:8">
      <c r="B2311" s="91"/>
      <c r="C2311" s="36"/>
      <c r="D2311" s="91"/>
      <c r="E2311" s="91"/>
      <c r="F2311" s="80"/>
      <c r="G2311" s="91"/>
      <c r="H2311" s="91"/>
    </row>
    <row r="2312" spans="2:8">
      <c r="B2312" s="91"/>
      <c r="C2312" s="36"/>
      <c r="D2312" s="91"/>
      <c r="E2312" s="91"/>
      <c r="F2312" s="80"/>
      <c r="G2312" s="91"/>
      <c r="H2312" s="91"/>
    </row>
    <row r="2313" spans="2:8">
      <c r="B2313" s="91"/>
      <c r="C2313" s="36"/>
      <c r="D2313" s="91"/>
      <c r="E2313" s="91"/>
      <c r="F2313" s="80"/>
      <c r="G2313" s="91"/>
      <c r="H2313" s="91"/>
    </row>
    <row r="2314" spans="2:8">
      <c r="B2314" s="91"/>
      <c r="C2314" s="36"/>
      <c r="D2314" s="91"/>
      <c r="E2314" s="91"/>
      <c r="F2314" s="80"/>
      <c r="G2314" s="91"/>
      <c r="H2314" s="91"/>
    </row>
    <row r="2315" spans="2:8">
      <c r="B2315" s="91"/>
      <c r="C2315" s="36"/>
      <c r="D2315" s="91"/>
      <c r="E2315" s="91"/>
      <c r="F2315" s="80"/>
      <c r="G2315" s="91"/>
      <c r="H2315" s="91"/>
    </row>
    <row r="2316" spans="2:8">
      <c r="B2316" s="91"/>
      <c r="C2316" s="36"/>
      <c r="D2316" s="91"/>
      <c r="E2316" s="91"/>
      <c r="F2316" s="80"/>
      <c r="G2316" s="91"/>
      <c r="H2316" s="91"/>
    </row>
    <row r="2317" spans="2:8">
      <c r="B2317" s="91"/>
      <c r="C2317" s="36"/>
      <c r="D2317" s="91"/>
      <c r="E2317" s="91"/>
      <c r="F2317" s="80"/>
      <c r="G2317" s="91"/>
      <c r="H2317" s="91"/>
    </row>
    <row r="2318" spans="2:8">
      <c r="B2318" s="91"/>
      <c r="C2318" s="36"/>
      <c r="D2318" s="91"/>
      <c r="E2318" s="91"/>
      <c r="F2318" s="80"/>
      <c r="G2318" s="91"/>
      <c r="H2318" s="91"/>
    </row>
    <row r="2319" spans="2:8">
      <c r="B2319" s="91"/>
      <c r="C2319" s="36"/>
      <c r="D2319" s="91"/>
      <c r="E2319" s="91"/>
      <c r="F2319" s="80"/>
      <c r="G2319" s="91"/>
      <c r="H2319" s="91"/>
    </row>
    <row r="2320" spans="2:8">
      <c r="B2320" s="91"/>
      <c r="C2320" s="36"/>
      <c r="D2320" s="91"/>
      <c r="E2320" s="91"/>
      <c r="F2320" s="80"/>
      <c r="G2320" s="91"/>
      <c r="H2320" s="91"/>
    </row>
    <row r="2321" spans="2:8">
      <c r="B2321" s="91"/>
      <c r="C2321" s="36"/>
      <c r="D2321" s="91"/>
      <c r="E2321" s="91"/>
      <c r="F2321" s="80"/>
      <c r="G2321" s="91"/>
      <c r="H2321" s="91"/>
    </row>
    <row r="2322" spans="2:8">
      <c r="B2322" s="91"/>
      <c r="C2322" s="36"/>
      <c r="D2322" s="91"/>
      <c r="E2322" s="91"/>
      <c r="F2322" s="80"/>
      <c r="G2322" s="91"/>
      <c r="H2322" s="91"/>
    </row>
    <row r="2323" spans="2:8">
      <c r="B2323" s="91"/>
      <c r="C2323" s="36"/>
      <c r="D2323" s="91"/>
      <c r="E2323" s="91"/>
      <c r="F2323" s="80"/>
      <c r="G2323" s="91"/>
      <c r="H2323" s="91"/>
    </row>
    <row r="2324" spans="2:8">
      <c r="B2324" s="91"/>
      <c r="C2324" s="36"/>
      <c r="D2324" s="91"/>
      <c r="E2324" s="91"/>
      <c r="F2324" s="80"/>
      <c r="G2324" s="91"/>
      <c r="H2324" s="91"/>
    </row>
    <row r="2325" spans="2:8">
      <c r="B2325" s="91"/>
      <c r="C2325" s="36"/>
      <c r="D2325" s="91"/>
      <c r="E2325" s="91"/>
      <c r="F2325" s="80"/>
      <c r="G2325" s="91"/>
      <c r="H2325" s="91"/>
    </row>
    <row r="2326" spans="2:8">
      <c r="B2326" s="91"/>
      <c r="C2326" s="36"/>
      <c r="D2326" s="91"/>
      <c r="E2326" s="91"/>
      <c r="F2326" s="80"/>
      <c r="G2326" s="91"/>
      <c r="H2326" s="91"/>
    </row>
    <row r="2327" spans="2:8">
      <c r="B2327" s="91"/>
      <c r="C2327" s="36"/>
      <c r="D2327" s="91"/>
      <c r="E2327" s="91"/>
      <c r="F2327" s="80"/>
      <c r="G2327" s="91"/>
      <c r="H2327" s="91"/>
    </row>
    <row r="2328" spans="2:8">
      <c r="B2328" s="91"/>
      <c r="C2328" s="36"/>
      <c r="D2328" s="91"/>
      <c r="E2328" s="91"/>
      <c r="F2328" s="80"/>
      <c r="G2328" s="91"/>
      <c r="H2328" s="91"/>
    </row>
    <row r="2329" spans="2:8">
      <c r="B2329" s="91"/>
      <c r="C2329" s="36"/>
      <c r="D2329" s="91"/>
      <c r="E2329" s="91"/>
      <c r="F2329" s="80"/>
      <c r="G2329" s="91"/>
      <c r="H2329" s="91"/>
    </row>
    <row r="2330" spans="2:8">
      <c r="B2330" s="91"/>
      <c r="C2330" s="36"/>
      <c r="D2330" s="91"/>
      <c r="E2330" s="91"/>
      <c r="F2330" s="80"/>
      <c r="G2330" s="91"/>
      <c r="H2330" s="91"/>
    </row>
    <row r="2331" spans="2:8">
      <c r="B2331" s="91"/>
      <c r="C2331" s="36"/>
      <c r="D2331" s="91"/>
      <c r="E2331" s="91"/>
      <c r="F2331" s="80"/>
      <c r="G2331" s="91"/>
      <c r="H2331" s="91"/>
    </row>
    <row r="2332" spans="2:8">
      <c r="B2332" s="91"/>
      <c r="C2332" s="36"/>
      <c r="D2332" s="91"/>
      <c r="E2332" s="91"/>
      <c r="F2332" s="80"/>
      <c r="G2332" s="91"/>
      <c r="H2332" s="91"/>
    </row>
    <row r="2333" spans="2:8">
      <c r="B2333" s="91"/>
      <c r="C2333" s="36"/>
      <c r="D2333" s="91"/>
      <c r="E2333" s="91"/>
      <c r="F2333" s="80"/>
      <c r="G2333" s="91"/>
      <c r="H2333" s="91"/>
    </row>
    <row r="2334" spans="2:8">
      <c r="B2334" s="91"/>
      <c r="C2334" s="36"/>
      <c r="D2334" s="91"/>
      <c r="E2334" s="91"/>
      <c r="F2334" s="80"/>
      <c r="G2334" s="91"/>
      <c r="H2334" s="91"/>
    </row>
    <row r="2335" spans="2:8">
      <c r="B2335" s="91"/>
      <c r="C2335" s="36"/>
      <c r="D2335" s="91"/>
      <c r="E2335" s="91"/>
      <c r="F2335" s="80"/>
      <c r="G2335" s="91"/>
      <c r="H2335" s="91"/>
    </row>
    <row r="2336" spans="2:8">
      <c r="B2336" s="91"/>
      <c r="C2336" s="36"/>
      <c r="D2336" s="91"/>
      <c r="E2336" s="91"/>
      <c r="F2336" s="80"/>
      <c r="G2336" s="91"/>
      <c r="H2336" s="91"/>
    </row>
    <row r="2337" spans="2:8">
      <c r="B2337" s="91"/>
      <c r="C2337" s="36"/>
      <c r="D2337" s="91"/>
      <c r="E2337" s="91"/>
      <c r="F2337" s="80"/>
      <c r="G2337" s="91"/>
      <c r="H2337" s="91"/>
    </row>
    <row r="2338" spans="2:8">
      <c r="B2338" s="91"/>
      <c r="C2338" s="36"/>
      <c r="D2338" s="91"/>
      <c r="E2338" s="91"/>
      <c r="F2338" s="80"/>
      <c r="G2338" s="91"/>
      <c r="H2338" s="91"/>
    </row>
    <row r="2339" spans="2:8">
      <c r="B2339" s="91"/>
      <c r="C2339" s="36"/>
      <c r="D2339" s="91"/>
      <c r="E2339" s="91"/>
      <c r="F2339" s="80"/>
      <c r="G2339" s="91"/>
      <c r="H2339" s="91"/>
    </row>
    <row r="2340" spans="2:8">
      <c r="B2340" s="91"/>
      <c r="C2340" s="36"/>
      <c r="D2340" s="91"/>
      <c r="E2340" s="91"/>
      <c r="F2340" s="80"/>
      <c r="G2340" s="91"/>
      <c r="H2340" s="91"/>
    </row>
    <row r="2341" spans="2:8">
      <c r="B2341" s="91"/>
      <c r="C2341" s="36"/>
      <c r="D2341" s="91"/>
      <c r="E2341" s="91"/>
      <c r="F2341" s="80"/>
      <c r="G2341" s="91"/>
      <c r="H2341" s="91"/>
    </row>
    <row r="2342" spans="2:8">
      <c r="B2342" s="91"/>
      <c r="C2342" s="36"/>
      <c r="D2342" s="91"/>
      <c r="E2342" s="91"/>
      <c r="F2342" s="80"/>
      <c r="G2342" s="91"/>
      <c r="H2342" s="91"/>
    </row>
    <row r="2343" spans="2:8">
      <c r="B2343" s="91"/>
      <c r="C2343" s="36"/>
      <c r="D2343" s="91"/>
      <c r="E2343" s="91"/>
      <c r="F2343" s="80"/>
      <c r="G2343" s="91"/>
      <c r="H2343" s="91"/>
    </row>
    <row r="2344" spans="2:8">
      <c r="B2344" s="91"/>
      <c r="C2344" s="36"/>
      <c r="D2344" s="91"/>
      <c r="E2344" s="91"/>
      <c r="F2344" s="80"/>
      <c r="G2344" s="91"/>
      <c r="H2344" s="91"/>
    </row>
    <row r="2345" spans="2:8">
      <c r="B2345" s="91"/>
      <c r="C2345" s="36"/>
      <c r="D2345" s="91"/>
      <c r="E2345" s="91"/>
      <c r="F2345" s="80"/>
      <c r="G2345" s="91"/>
      <c r="H2345" s="91"/>
    </row>
    <row r="2346" spans="2:8">
      <c r="B2346" s="91"/>
      <c r="C2346" s="36"/>
      <c r="D2346" s="91"/>
      <c r="E2346" s="91"/>
      <c r="F2346" s="80"/>
      <c r="G2346" s="91"/>
      <c r="H2346" s="91"/>
    </row>
    <row r="2347" spans="2:8">
      <c r="B2347" s="91"/>
      <c r="C2347" s="36"/>
      <c r="D2347" s="91"/>
      <c r="E2347" s="91"/>
      <c r="F2347" s="80"/>
      <c r="G2347" s="91"/>
      <c r="H2347" s="91"/>
    </row>
    <row r="2348" spans="2:8">
      <c r="B2348" s="91"/>
      <c r="C2348" s="36"/>
      <c r="D2348" s="91"/>
      <c r="E2348" s="91"/>
      <c r="F2348" s="80"/>
      <c r="G2348" s="91"/>
      <c r="H2348" s="91"/>
    </row>
    <row r="2349" spans="2:8">
      <c r="B2349" s="91"/>
      <c r="C2349" s="36"/>
      <c r="D2349" s="91"/>
      <c r="E2349" s="91"/>
      <c r="F2349" s="80"/>
      <c r="G2349" s="91"/>
      <c r="H2349" s="91"/>
    </row>
    <row r="2350" spans="2:8">
      <c r="B2350" s="91"/>
      <c r="C2350" s="36"/>
      <c r="D2350" s="91"/>
      <c r="E2350" s="91"/>
      <c r="F2350" s="80"/>
      <c r="G2350" s="91"/>
      <c r="H2350" s="91"/>
    </row>
    <row r="2351" spans="2:8">
      <c r="B2351" s="91"/>
      <c r="C2351" s="36"/>
      <c r="D2351" s="91"/>
      <c r="E2351" s="91"/>
      <c r="F2351" s="80"/>
      <c r="G2351" s="91"/>
      <c r="H2351" s="91"/>
    </row>
    <row r="2352" spans="2:8">
      <c r="B2352" s="91"/>
      <c r="C2352" s="36"/>
      <c r="D2352" s="91"/>
      <c r="E2352" s="91"/>
      <c r="F2352" s="80"/>
      <c r="G2352" s="91"/>
      <c r="H2352" s="91"/>
    </row>
    <row r="2353" spans="2:8">
      <c r="B2353" s="91"/>
      <c r="C2353" s="36"/>
      <c r="D2353" s="91"/>
      <c r="E2353" s="91"/>
      <c r="F2353" s="80"/>
      <c r="G2353" s="91"/>
      <c r="H2353" s="91"/>
    </row>
    <row r="2354" spans="2:8">
      <c r="B2354" s="91"/>
      <c r="C2354" s="36"/>
      <c r="D2354" s="91"/>
      <c r="E2354" s="91"/>
      <c r="F2354" s="80"/>
      <c r="G2354" s="91"/>
      <c r="H2354" s="91"/>
    </row>
    <row r="2355" spans="2:8">
      <c r="B2355" s="91"/>
      <c r="C2355" s="36"/>
      <c r="D2355" s="91"/>
      <c r="E2355" s="91"/>
      <c r="F2355" s="80"/>
      <c r="G2355" s="91"/>
      <c r="H2355" s="91"/>
    </row>
    <row r="2356" spans="2:8">
      <c r="B2356" s="91"/>
      <c r="C2356" s="36"/>
      <c r="D2356" s="91"/>
      <c r="E2356" s="91"/>
      <c r="F2356" s="80"/>
      <c r="G2356" s="91"/>
      <c r="H2356" s="91"/>
    </row>
    <row r="2357" spans="2:8">
      <c r="B2357" s="91"/>
      <c r="C2357" s="36"/>
      <c r="D2357" s="91"/>
      <c r="E2357" s="91"/>
      <c r="F2357" s="80"/>
      <c r="G2357" s="91"/>
      <c r="H2357" s="91"/>
    </row>
    <row r="2358" spans="2:8">
      <c r="B2358" s="91"/>
      <c r="C2358" s="36"/>
      <c r="D2358" s="91"/>
      <c r="E2358" s="91"/>
      <c r="F2358" s="80"/>
      <c r="G2358" s="91"/>
      <c r="H2358" s="91"/>
    </row>
    <row r="2359" spans="2:8">
      <c r="B2359" s="91"/>
      <c r="C2359" s="36"/>
      <c r="D2359" s="91"/>
      <c r="E2359" s="91"/>
      <c r="F2359" s="80"/>
      <c r="G2359" s="91"/>
      <c r="H2359" s="91"/>
    </row>
    <row r="2360" spans="2:8">
      <c r="B2360" s="91"/>
      <c r="C2360" s="36"/>
      <c r="D2360" s="91"/>
      <c r="E2360" s="91"/>
      <c r="F2360" s="80"/>
      <c r="G2360" s="91"/>
      <c r="H2360" s="91"/>
    </row>
    <row r="2361" spans="2:8">
      <c r="B2361" s="91"/>
      <c r="C2361" s="36"/>
      <c r="D2361" s="91"/>
      <c r="E2361" s="91"/>
      <c r="F2361" s="80"/>
      <c r="G2361" s="91"/>
      <c r="H2361" s="91"/>
    </row>
    <row r="2362" spans="2:8">
      <c r="B2362" s="91"/>
      <c r="C2362" s="36"/>
      <c r="D2362" s="91"/>
      <c r="E2362" s="91"/>
      <c r="F2362" s="80"/>
      <c r="G2362" s="91"/>
      <c r="H2362" s="91"/>
    </row>
    <row r="2363" spans="2:8">
      <c r="B2363" s="91"/>
      <c r="C2363" s="36"/>
      <c r="D2363" s="91"/>
      <c r="E2363" s="91"/>
      <c r="F2363" s="80"/>
      <c r="G2363" s="91"/>
      <c r="H2363" s="91"/>
    </row>
    <row r="2364" spans="2:8">
      <c r="B2364" s="91"/>
      <c r="C2364" s="36"/>
      <c r="D2364" s="91"/>
      <c r="E2364" s="91"/>
      <c r="F2364" s="80"/>
      <c r="G2364" s="91"/>
      <c r="H2364" s="91"/>
    </row>
    <row r="2365" spans="2:8">
      <c r="B2365" s="91"/>
      <c r="C2365" s="36"/>
      <c r="D2365" s="91"/>
      <c r="E2365" s="91"/>
      <c r="F2365" s="80"/>
      <c r="G2365" s="91"/>
      <c r="H2365" s="91"/>
    </row>
    <row r="2366" spans="2:8">
      <c r="B2366" s="91"/>
      <c r="C2366" s="36"/>
      <c r="D2366" s="91"/>
      <c r="E2366" s="91"/>
      <c r="F2366" s="80"/>
      <c r="G2366" s="91"/>
      <c r="H2366" s="91"/>
    </row>
    <row r="2367" spans="2:8">
      <c r="B2367" s="91"/>
      <c r="C2367" s="36"/>
      <c r="D2367" s="91"/>
      <c r="E2367" s="91"/>
      <c r="F2367" s="80"/>
      <c r="G2367" s="91"/>
      <c r="H2367" s="91"/>
    </row>
    <row r="2368" spans="2:8">
      <c r="B2368" s="91"/>
      <c r="C2368" s="36"/>
      <c r="D2368" s="91"/>
      <c r="E2368" s="91"/>
      <c r="F2368" s="80"/>
      <c r="G2368" s="91"/>
      <c r="H2368" s="91"/>
    </row>
    <row r="2369" spans="2:8">
      <c r="B2369" s="91"/>
      <c r="C2369" s="36"/>
      <c r="D2369" s="91"/>
      <c r="E2369" s="91"/>
      <c r="F2369" s="80"/>
      <c r="G2369" s="91"/>
      <c r="H2369" s="91"/>
    </row>
    <row r="2370" spans="2:8">
      <c r="B2370" s="91"/>
      <c r="C2370" s="36"/>
      <c r="D2370" s="91"/>
      <c r="E2370" s="91"/>
      <c r="F2370" s="80"/>
      <c r="G2370" s="91"/>
      <c r="H2370" s="91"/>
    </row>
    <row r="2371" spans="2:8">
      <c r="B2371" s="91"/>
      <c r="C2371" s="36"/>
      <c r="D2371" s="91"/>
      <c r="E2371" s="91"/>
      <c r="F2371" s="80"/>
      <c r="G2371" s="91"/>
      <c r="H2371" s="91"/>
    </row>
    <row r="2372" spans="2:8">
      <c r="B2372" s="91"/>
      <c r="C2372" s="36"/>
      <c r="D2372" s="91"/>
      <c r="E2372" s="91"/>
      <c r="F2372" s="80"/>
      <c r="G2372" s="91"/>
      <c r="H2372" s="91"/>
    </row>
    <row r="2373" spans="2:8">
      <c r="B2373" s="91"/>
      <c r="C2373" s="36"/>
      <c r="D2373" s="91"/>
      <c r="E2373" s="91"/>
      <c r="F2373" s="80"/>
      <c r="G2373" s="91"/>
      <c r="H2373" s="91"/>
    </row>
    <row r="2374" spans="2:8">
      <c r="B2374" s="91"/>
      <c r="C2374" s="36"/>
      <c r="D2374" s="91"/>
      <c r="E2374" s="91"/>
      <c r="F2374" s="80"/>
      <c r="G2374" s="91"/>
      <c r="H2374" s="91"/>
    </row>
    <row r="2375" spans="2:8">
      <c r="B2375" s="91"/>
      <c r="C2375" s="36"/>
      <c r="D2375" s="91"/>
      <c r="E2375" s="91"/>
      <c r="F2375" s="80"/>
      <c r="G2375" s="91"/>
      <c r="H2375" s="91"/>
    </row>
    <row r="2376" spans="2:8">
      <c r="B2376" s="91"/>
      <c r="C2376" s="36"/>
      <c r="D2376" s="91"/>
      <c r="E2376" s="91"/>
      <c r="F2376" s="80"/>
      <c r="G2376" s="91"/>
      <c r="H2376" s="91"/>
    </row>
    <row r="2377" spans="2:8">
      <c r="B2377" s="91"/>
      <c r="C2377" s="36"/>
      <c r="D2377" s="91"/>
      <c r="E2377" s="91"/>
      <c r="F2377" s="80"/>
      <c r="G2377" s="91"/>
      <c r="H2377" s="91"/>
    </row>
    <row r="2378" spans="2:8">
      <c r="B2378" s="91"/>
      <c r="C2378" s="36"/>
      <c r="D2378" s="91"/>
      <c r="E2378" s="91"/>
      <c r="F2378" s="80"/>
      <c r="G2378" s="91"/>
      <c r="H2378" s="91"/>
    </row>
    <row r="2379" spans="2:8">
      <c r="B2379" s="91"/>
      <c r="C2379" s="36"/>
      <c r="D2379" s="91"/>
      <c r="E2379" s="91"/>
      <c r="F2379" s="80"/>
      <c r="G2379" s="91"/>
      <c r="H2379" s="91"/>
    </row>
    <row r="2380" spans="2:8">
      <c r="B2380" s="91"/>
      <c r="C2380" s="36"/>
      <c r="D2380" s="91"/>
      <c r="E2380" s="91"/>
      <c r="F2380" s="80"/>
      <c r="G2380" s="91"/>
      <c r="H2380" s="91"/>
    </row>
    <row r="2381" spans="2:8">
      <c r="B2381" s="91"/>
      <c r="C2381" s="36"/>
      <c r="D2381" s="91"/>
      <c r="E2381" s="91"/>
      <c r="F2381" s="80"/>
      <c r="G2381" s="91"/>
      <c r="H2381" s="91"/>
    </row>
    <row r="2382" spans="2:8">
      <c r="B2382" s="91"/>
      <c r="C2382" s="36"/>
      <c r="D2382" s="91"/>
      <c r="E2382" s="91"/>
      <c r="F2382" s="80"/>
      <c r="G2382" s="91"/>
      <c r="H2382" s="91"/>
    </row>
    <row r="2383" spans="2:8">
      <c r="B2383" s="91"/>
      <c r="C2383" s="36"/>
      <c r="D2383" s="91"/>
      <c r="E2383" s="91"/>
      <c r="F2383" s="80"/>
      <c r="G2383" s="91"/>
      <c r="H2383" s="91"/>
    </row>
    <row r="2384" spans="2:8">
      <c r="B2384" s="91"/>
      <c r="C2384" s="36"/>
      <c r="D2384" s="91"/>
      <c r="E2384" s="91"/>
      <c r="F2384" s="80"/>
      <c r="G2384" s="91"/>
      <c r="H2384" s="91"/>
    </row>
    <row r="2385" spans="2:8">
      <c r="B2385" s="91"/>
      <c r="C2385" s="36"/>
      <c r="D2385" s="91"/>
      <c r="E2385" s="91"/>
      <c r="F2385" s="80"/>
      <c r="G2385" s="91"/>
      <c r="H2385" s="91"/>
    </row>
    <row r="2386" spans="2:8">
      <c r="B2386" s="91"/>
      <c r="C2386" s="36"/>
      <c r="D2386" s="91"/>
      <c r="E2386" s="91"/>
      <c r="F2386" s="80"/>
      <c r="G2386" s="91"/>
      <c r="H2386" s="91"/>
    </row>
    <row r="2387" spans="2:8">
      <c r="B2387" s="91"/>
      <c r="C2387" s="36"/>
      <c r="D2387" s="91"/>
      <c r="E2387" s="91"/>
      <c r="F2387" s="80"/>
      <c r="G2387" s="91"/>
      <c r="H2387" s="91"/>
    </row>
    <row r="2388" spans="2:8">
      <c r="B2388" s="91"/>
      <c r="C2388" s="36"/>
      <c r="D2388" s="91"/>
      <c r="E2388" s="91"/>
      <c r="F2388" s="80"/>
      <c r="G2388" s="91"/>
      <c r="H2388" s="91"/>
    </row>
    <row r="2389" spans="2:8">
      <c r="B2389" s="91"/>
      <c r="C2389" s="36"/>
      <c r="D2389" s="91"/>
      <c r="E2389" s="91"/>
      <c r="F2389" s="80"/>
      <c r="G2389" s="91"/>
      <c r="H2389" s="91"/>
    </row>
    <row r="2390" spans="2:8">
      <c r="B2390" s="91"/>
      <c r="C2390" s="36"/>
      <c r="D2390" s="91"/>
      <c r="E2390" s="91"/>
      <c r="F2390" s="80"/>
      <c r="G2390" s="91"/>
      <c r="H2390" s="91"/>
    </row>
    <row r="2391" spans="2:8">
      <c r="B2391" s="91"/>
      <c r="C2391" s="36"/>
      <c r="D2391" s="91"/>
      <c r="E2391" s="91"/>
      <c r="F2391" s="80"/>
      <c r="G2391" s="91"/>
      <c r="H2391" s="91"/>
    </row>
    <row r="2392" spans="2:8">
      <c r="B2392" s="91"/>
      <c r="C2392" s="36"/>
      <c r="D2392" s="91"/>
      <c r="E2392" s="91"/>
      <c r="F2392" s="80"/>
      <c r="G2392" s="91"/>
      <c r="H2392" s="91"/>
    </row>
    <row r="2393" spans="2:8">
      <c r="B2393" s="91"/>
      <c r="C2393" s="36"/>
      <c r="D2393" s="91"/>
      <c r="E2393" s="91"/>
      <c r="F2393" s="80"/>
      <c r="G2393" s="91"/>
      <c r="H2393" s="91"/>
    </row>
    <row r="2394" spans="2:8">
      <c r="B2394" s="91"/>
      <c r="C2394" s="36"/>
      <c r="D2394" s="91"/>
      <c r="E2394" s="91"/>
      <c r="F2394" s="80"/>
      <c r="G2394" s="91"/>
      <c r="H2394" s="91"/>
    </row>
    <row r="2395" spans="2:8">
      <c r="B2395" s="91"/>
      <c r="C2395" s="36"/>
      <c r="D2395" s="91"/>
      <c r="E2395" s="91"/>
      <c r="F2395" s="80"/>
      <c r="G2395" s="91"/>
      <c r="H2395" s="91"/>
    </row>
    <row r="2396" spans="2:8">
      <c r="B2396" s="91"/>
      <c r="C2396" s="36"/>
      <c r="D2396" s="91"/>
      <c r="E2396" s="91"/>
      <c r="F2396" s="80"/>
      <c r="G2396" s="91"/>
      <c r="H2396" s="91"/>
    </row>
    <row r="2397" spans="2:8">
      <c r="B2397" s="91"/>
      <c r="C2397" s="36"/>
      <c r="D2397" s="91"/>
      <c r="E2397" s="91"/>
      <c r="F2397" s="80"/>
      <c r="G2397" s="91"/>
      <c r="H2397" s="91"/>
    </row>
    <row r="2398" spans="2:8">
      <c r="B2398" s="91"/>
      <c r="C2398" s="36"/>
      <c r="D2398" s="91"/>
      <c r="E2398" s="91"/>
      <c r="F2398" s="80"/>
      <c r="G2398" s="91"/>
      <c r="H2398" s="91"/>
    </row>
    <row r="2399" spans="2:8">
      <c r="B2399" s="91"/>
      <c r="C2399" s="36"/>
      <c r="D2399" s="91"/>
      <c r="E2399" s="91"/>
      <c r="F2399" s="80"/>
      <c r="G2399" s="91"/>
      <c r="H2399" s="91"/>
    </row>
    <row r="2400" spans="2:8">
      <c r="B2400" s="91"/>
      <c r="C2400" s="36"/>
      <c r="D2400" s="91"/>
      <c r="E2400" s="91"/>
      <c r="F2400" s="80"/>
      <c r="G2400" s="91"/>
      <c r="H2400" s="91"/>
    </row>
    <row r="2401" spans="2:8">
      <c r="B2401" s="91"/>
      <c r="C2401" s="36"/>
      <c r="D2401" s="91"/>
      <c r="E2401" s="91"/>
      <c r="F2401" s="80"/>
      <c r="G2401" s="91"/>
      <c r="H2401" s="91"/>
    </row>
    <row r="2402" spans="2:8">
      <c r="B2402" s="91"/>
      <c r="C2402" s="36"/>
      <c r="D2402" s="91"/>
      <c r="E2402" s="91"/>
      <c r="F2402" s="80"/>
      <c r="G2402" s="91"/>
      <c r="H2402" s="91"/>
    </row>
    <row r="2403" spans="2:8">
      <c r="B2403" s="91"/>
      <c r="C2403" s="36"/>
      <c r="D2403" s="91"/>
      <c r="E2403" s="91"/>
      <c r="F2403" s="80"/>
      <c r="G2403" s="91"/>
      <c r="H2403" s="91"/>
    </row>
    <row r="2404" spans="2:8">
      <c r="B2404" s="91"/>
      <c r="C2404" s="36"/>
      <c r="D2404" s="91"/>
      <c r="E2404" s="91"/>
      <c r="F2404" s="80"/>
      <c r="G2404" s="91"/>
      <c r="H2404" s="91"/>
    </row>
    <row r="2405" spans="2:8">
      <c r="B2405" s="91"/>
      <c r="C2405" s="36"/>
      <c r="D2405" s="91"/>
      <c r="E2405" s="91"/>
      <c r="F2405" s="80"/>
      <c r="G2405" s="91"/>
      <c r="H2405" s="91"/>
    </row>
    <row r="2406" spans="2:8">
      <c r="B2406" s="91"/>
      <c r="C2406" s="36"/>
      <c r="D2406" s="91"/>
      <c r="E2406" s="91"/>
      <c r="F2406" s="80"/>
      <c r="G2406" s="91"/>
      <c r="H2406" s="91"/>
    </row>
    <row r="2407" spans="2:8">
      <c r="B2407" s="91"/>
      <c r="C2407" s="36"/>
      <c r="D2407" s="91"/>
      <c r="E2407" s="91"/>
      <c r="F2407" s="80"/>
      <c r="G2407" s="91"/>
      <c r="H2407" s="91"/>
    </row>
    <row r="2408" spans="2:8">
      <c r="B2408" s="91"/>
      <c r="C2408" s="36"/>
      <c r="D2408" s="91"/>
      <c r="E2408" s="91"/>
      <c r="F2408" s="80"/>
      <c r="G2408" s="91"/>
      <c r="H2408" s="91"/>
    </row>
    <row r="2409" spans="2:8">
      <c r="B2409" s="91"/>
      <c r="C2409" s="36"/>
      <c r="D2409" s="91"/>
      <c r="E2409" s="91"/>
      <c r="F2409" s="80"/>
      <c r="G2409" s="91"/>
      <c r="H2409" s="91"/>
    </row>
    <row r="2410" spans="2:8">
      <c r="B2410" s="91"/>
      <c r="C2410" s="36"/>
      <c r="D2410" s="91"/>
      <c r="E2410" s="91"/>
      <c r="F2410" s="80"/>
      <c r="G2410" s="91"/>
      <c r="H2410" s="91"/>
    </row>
    <row r="2411" spans="2:8">
      <c r="B2411" s="91"/>
      <c r="C2411" s="36"/>
      <c r="D2411" s="91"/>
      <c r="E2411" s="91"/>
      <c r="F2411" s="80"/>
      <c r="G2411" s="91"/>
      <c r="H2411" s="91"/>
    </row>
    <row r="2412" spans="2:8">
      <c r="B2412" s="91"/>
      <c r="C2412" s="36"/>
      <c r="D2412" s="91"/>
      <c r="E2412" s="91"/>
      <c r="F2412" s="80"/>
      <c r="G2412" s="91"/>
      <c r="H2412" s="91"/>
    </row>
    <row r="2413" spans="2:8">
      <c r="B2413" s="91"/>
      <c r="C2413" s="36"/>
      <c r="D2413" s="91"/>
      <c r="E2413" s="91"/>
      <c r="F2413" s="80"/>
      <c r="G2413" s="91"/>
      <c r="H2413" s="91"/>
    </row>
    <row r="2414" spans="2:8">
      <c r="B2414" s="91"/>
      <c r="C2414" s="36"/>
      <c r="D2414" s="91"/>
      <c r="E2414" s="91"/>
      <c r="F2414" s="80"/>
      <c r="G2414" s="91"/>
      <c r="H2414" s="91"/>
    </row>
    <row r="2415" spans="2:8">
      <c r="B2415" s="91"/>
      <c r="C2415" s="36"/>
      <c r="D2415" s="91"/>
      <c r="E2415" s="91"/>
      <c r="F2415" s="80"/>
      <c r="G2415" s="91"/>
      <c r="H2415" s="91"/>
    </row>
    <row r="2416" spans="2:8">
      <c r="B2416" s="91"/>
      <c r="C2416" s="36"/>
      <c r="D2416" s="91"/>
      <c r="E2416" s="91"/>
      <c r="F2416" s="80"/>
      <c r="G2416" s="91"/>
      <c r="H2416" s="91"/>
    </row>
    <row r="2417" spans="2:8">
      <c r="B2417" s="91"/>
      <c r="C2417" s="36"/>
      <c r="D2417" s="91"/>
      <c r="E2417" s="91"/>
      <c r="F2417" s="80"/>
      <c r="G2417" s="91"/>
      <c r="H2417" s="91"/>
    </row>
    <row r="2418" spans="2:8">
      <c r="B2418" s="91"/>
      <c r="C2418" s="36"/>
      <c r="D2418" s="91"/>
      <c r="E2418" s="91"/>
      <c r="F2418" s="80"/>
      <c r="G2418" s="91"/>
      <c r="H2418" s="91"/>
    </row>
    <row r="2419" spans="2:8">
      <c r="B2419" s="91"/>
      <c r="C2419" s="36"/>
      <c r="D2419" s="91"/>
      <c r="E2419" s="91"/>
      <c r="F2419" s="80"/>
      <c r="G2419" s="91"/>
      <c r="H2419" s="91"/>
    </row>
    <row r="2420" spans="2:8">
      <c r="B2420" s="91"/>
      <c r="C2420" s="36"/>
      <c r="D2420" s="91"/>
      <c r="E2420" s="91"/>
      <c r="F2420" s="80"/>
      <c r="G2420" s="91"/>
      <c r="H2420" s="91"/>
    </row>
    <row r="2421" spans="2:8">
      <c r="B2421" s="91"/>
      <c r="C2421" s="36"/>
      <c r="D2421" s="91"/>
      <c r="E2421" s="91"/>
      <c r="F2421" s="80"/>
      <c r="G2421" s="91"/>
      <c r="H2421" s="91"/>
    </row>
    <row r="2422" spans="2:8">
      <c r="B2422" s="91"/>
      <c r="C2422" s="36"/>
      <c r="D2422" s="91"/>
      <c r="E2422" s="91"/>
      <c r="F2422" s="80"/>
      <c r="G2422" s="91"/>
      <c r="H2422" s="91"/>
    </row>
    <row r="2423" spans="2:8">
      <c r="B2423" s="91"/>
      <c r="C2423" s="36"/>
      <c r="D2423" s="91"/>
      <c r="E2423" s="91"/>
      <c r="F2423" s="80"/>
      <c r="G2423" s="91"/>
      <c r="H2423" s="91"/>
    </row>
    <row r="2424" spans="2:8">
      <c r="B2424" s="91"/>
      <c r="C2424" s="36"/>
      <c r="D2424" s="91"/>
      <c r="E2424" s="91"/>
      <c r="F2424" s="80"/>
      <c r="G2424" s="91"/>
      <c r="H2424" s="91"/>
    </row>
    <row r="2425" spans="2:8">
      <c r="B2425" s="91"/>
      <c r="C2425" s="36"/>
      <c r="D2425" s="91"/>
      <c r="E2425" s="91"/>
      <c r="F2425" s="80"/>
      <c r="G2425" s="91"/>
      <c r="H2425" s="91"/>
    </row>
    <row r="2426" spans="2:8">
      <c r="B2426" s="91"/>
      <c r="C2426" s="36"/>
      <c r="D2426" s="91"/>
      <c r="E2426" s="91"/>
      <c r="F2426" s="80"/>
      <c r="G2426" s="91"/>
      <c r="H2426" s="91"/>
    </row>
    <row r="2427" spans="2:8">
      <c r="B2427" s="91"/>
      <c r="C2427" s="36"/>
      <c r="D2427" s="91"/>
      <c r="E2427" s="91"/>
      <c r="F2427" s="80"/>
      <c r="G2427" s="91"/>
      <c r="H2427" s="91"/>
    </row>
    <row r="2428" spans="2:8">
      <c r="B2428" s="91"/>
      <c r="C2428" s="36"/>
      <c r="D2428" s="91"/>
      <c r="E2428" s="91"/>
      <c r="F2428" s="80"/>
      <c r="G2428" s="91"/>
      <c r="H2428" s="91"/>
    </row>
    <row r="2429" spans="2:8">
      <c r="B2429" s="91"/>
      <c r="C2429" s="36"/>
      <c r="D2429" s="91"/>
      <c r="E2429" s="91"/>
      <c r="F2429" s="80"/>
      <c r="G2429" s="91"/>
      <c r="H2429" s="91"/>
    </row>
    <row r="2430" spans="2:8">
      <c r="B2430" s="91"/>
      <c r="C2430" s="36"/>
      <c r="D2430" s="91"/>
      <c r="E2430" s="91"/>
      <c r="F2430" s="80"/>
      <c r="G2430" s="91"/>
      <c r="H2430" s="91"/>
    </row>
    <row r="2431" spans="2:8">
      <c r="B2431" s="91"/>
      <c r="C2431" s="36"/>
      <c r="D2431" s="91"/>
      <c r="E2431" s="91"/>
      <c r="F2431" s="80"/>
      <c r="G2431" s="91"/>
      <c r="H2431" s="91"/>
    </row>
    <row r="2432" spans="2:8">
      <c r="B2432" s="91"/>
      <c r="C2432" s="36"/>
      <c r="D2432" s="91"/>
      <c r="E2432" s="91"/>
      <c r="F2432" s="80"/>
      <c r="G2432" s="91"/>
      <c r="H2432" s="91"/>
    </row>
    <row r="2433" spans="2:8">
      <c r="B2433" s="91"/>
      <c r="C2433" s="36"/>
      <c r="D2433" s="91"/>
      <c r="E2433" s="91"/>
      <c r="F2433" s="80"/>
      <c r="G2433" s="91"/>
      <c r="H2433" s="91"/>
    </row>
    <row r="2434" spans="2:8">
      <c r="B2434" s="91"/>
      <c r="C2434" s="36"/>
      <c r="D2434" s="91"/>
      <c r="E2434" s="91"/>
      <c r="F2434" s="80"/>
      <c r="G2434" s="91"/>
      <c r="H2434" s="91"/>
    </row>
    <row r="2435" spans="2:8">
      <c r="B2435" s="91"/>
      <c r="C2435" s="36"/>
      <c r="D2435" s="91"/>
      <c r="E2435" s="91"/>
      <c r="F2435" s="80"/>
      <c r="G2435" s="91"/>
      <c r="H2435" s="91"/>
    </row>
    <row r="2436" spans="2:8">
      <c r="B2436" s="91"/>
      <c r="C2436" s="36"/>
      <c r="D2436" s="91"/>
      <c r="E2436" s="91"/>
      <c r="F2436" s="80"/>
      <c r="G2436" s="91"/>
      <c r="H2436" s="91"/>
    </row>
    <row r="2437" spans="2:8">
      <c r="B2437" s="91"/>
      <c r="C2437" s="36"/>
      <c r="D2437" s="91"/>
      <c r="E2437" s="91"/>
      <c r="F2437" s="80"/>
      <c r="G2437" s="91"/>
      <c r="H2437" s="91"/>
    </row>
    <row r="2438" spans="2:8">
      <c r="B2438" s="91"/>
      <c r="C2438" s="36"/>
      <c r="D2438" s="91"/>
      <c r="E2438" s="91"/>
      <c r="F2438" s="80"/>
      <c r="G2438" s="91"/>
      <c r="H2438" s="91"/>
    </row>
    <row r="2439" spans="2:8">
      <c r="B2439" s="91"/>
      <c r="C2439" s="36"/>
      <c r="D2439" s="91"/>
      <c r="E2439" s="91"/>
      <c r="F2439" s="80"/>
      <c r="G2439" s="91"/>
      <c r="H2439" s="91"/>
    </row>
    <row r="2440" spans="2:8">
      <c r="B2440" s="91"/>
      <c r="C2440" s="36"/>
      <c r="D2440" s="91"/>
      <c r="E2440" s="91"/>
      <c r="F2440" s="80"/>
      <c r="G2440" s="91"/>
      <c r="H2440" s="91"/>
    </row>
    <row r="2441" spans="2:8">
      <c r="B2441" s="91"/>
      <c r="C2441" s="36"/>
      <c r="D2441" s="91"/>
      <c r="E2441" s="91"/>
      <c r="F2441" s="80"/>
      <c r="G2441" s="91"/>
      <c r="H2441" s="91"/>
    </row>
    <row r="2442" spans="2:8">
      <c r="B2442" s="91"/>
      <c r="C2442" s="36"/>
      <c r="D2442" s="91"/>
      <c r="E2442" s="91"/>
      <c r="F2442" s="80"/>
      <c r="G2442" s="91"/>
      <c r="H2442" s="91"/>
    </row>
    <row r="2443" spans="2:8">
      <c r="B2443" s="91"/>
      <c r="C2443" s="36"/>
      <c r="D2443" s="91"/>
      <c r="E2443" s="91"/>
      <c r="F2443" s="80"/>
      <c r="G2443" s="91"/>
      <c r="H2443" s="91"/>
    </row>
    <row r="2444" spans="2:8">
      <c r="B2444" s="91"/>
      <c r="C2444" s="36"/>
      <c r="D2444" s="91"/>
      <c r="E2444" s="91"/>
      <c r="F2444" s="80"/>
      <c r="G2444" s="91"/>
      <c r="H2444" s="91"/>
    </row>
    <row r="2445" spans="2:8">
      <c r="B2445" s="91"/>
      <c r="C2445" s="36"/>
      <c r="D2445" s="91"/>
      <c r="E2445" s="91"/>
      <c r="F2445" s="80"/>
      <c r="G2445" s="91"/>
      <c r="H2445" s="91"/>
    </row>
    <row r="2446" spans="2:8">
      <c r="B2446" s="91"/>
      <c r="C2446" s="36"/>
      <c r="D2446" s="91"/>
      <c r="E2446" s="91"/>
      <c r="F2446" s="80"/>
      <c r="G2446" s="91"/>
      <c r="H2446" s="91"/>
    </row>
    <row r="2447" spans="2:8">
      <c r="B2447" s="91"/>
      <c r="C2447" s="36"/>
      <c r="D2447" s="91"/>
      <c r="E2447" s="91"/>
      <c r="F2447" s="80"/>
      <c r="G2447" s="91"/>
      <c r="H2447" s="91"/>
    </row>
    <row r="2448" spans="2:8">
      <c r="B2448" s="91"/>
      <c r="C2448" s="36"/>
      <c r="D2448" s="91"/>
      <c r="E2448" s="91"/>
      <c r="F2448" s="80"/>
      <c r="G2448" s="91"/>
      <c r="H2448" s="91"/>
    </row>
    <row r="2449" spans="2:8">
      <c r="B2449" s="91"/>
      <c r="C2449" s="36"/>
      <c r="D2449" s="91"/>
      <c r="E2449" s="91"/>
      <c r="F2449" s="80"/>
      <c r="G2449" s="91"/>
      <c r="H2449" s="91"/>
    </row>
    <row r="2450" spans="2:8">
      <c r="B2450" s="91"/>
      <c r="C2450" s="36"/>
      <c r="D2450" s="91"/>
      <c r="E2450" s="91"/>
      <c r="F2450" s="80"/>
      <c r="G2450" s="91"/>
      <c r="H2450" s="91"/>
    </row>
    <row r="2451" spans="2:8">
      <c r="B2451" s="91"/>
      <c r="C2451" s="36"/>
      <c r="D2451" s="91"/>
      <c r="E2451" s="91"/>
      <c r="F2451" s="80"/>
      <c r="G2451" s="91"/>
      <c r="H2451" s="91"/>
    </row>
    <row r="2452" spans="2:8">
      <c r="B2452" s="91"/>
      <c r="C2452" s="36"/>
      <c r="D2452" s="91"/>
      <c r="E2452" s="91"/>
      <c r="F2452" s="80"/>
      <c r="G2452" s="91"/>
      <c r="H2452" s="91"/>
    </row>
    <row r="2453" spans="2:8">
      <c r="B2453" s="91"/>
      <c r="C2453" s="36"/>
      <c r="D2453" s="91"/>
      <c r="E2453" s="91"/>
      <c r="F2453" s="80"/>
      <c r="G2453" s="91"/>
      <c r="H2453" s="91"/>
    </row>
    <row r="2454" spans="2:8">
      <c r="B2454" s="91"/>
      <c r="C2454" s="36"/>
      <c r="D2454" s="91"/>
      <c r="E2454" s="91"/>
      <c r="F2454" s="80"/>
      <c r="G2454" s="91"/>
      <c r="H2454" s="91"/>
    </row>
    <row r="2455" spans="2:8">
      <c r="B2455" s="91"/>
      <c r="C2455" s="36"/>
      <c r="D2455" s="91"/>
      <c r="E2455" s="91"/>
      <c r="F2455" s="80"/>
      <c r="G2455" s="91"/>
      <c r="H2455" s="91"/>
    </row>
    <row r="2456" spans="2:8">
      <c r="B2456" s="91"/>
      <c r="C2456" s="36"/>
      <c r="D2456" s="91"/>
      <c r="E2456" s="91"/>
      <c r="F2456" s="80"/>
      <c r="G2456" s="91"/>
      <c r="H2456" s="91"/>
    </row>
    <row r="2457" spans="2:8">
      <c r="B2457" s="91"/>
      <c r="C2457" s="36"/>
      <c r="D2457" s="91"/>
      <c r="E2457" s="91"/>
      <c r="F2457" s="80"/>
      <c r="G2457" s="91"/>
      <c r="H2457" s="91"/>
    </row>
    <row r="2458" spans="2:8">
      <c r="B2458" s="91"/>
      <c r="C2458" s="36"/>
      <c r="D2458" s="91"/>
      <c r="E2458" s="91"/>
      <c r="F2458" s="80"/>
      <c r="G2458" s="91"/>
      <c r="H2458" s="91"/>
    </row>
    <row r="2459" spans="2:8">
      <c r="B2459" s="91"/>
      <c r="C2459" s="36"/>
      <c r="D2459" s="91"/>
      <c r="E2459" s="91"/>
      <c r="F2459" s="80"/>
      <c r="G2459" s="91"/>
      <c r="H2459" s="91"/>
    </row>
    <row r="2460" spans="2:8">
      <c r="B2460" s="91"/>
      <c r="C2460" s="36"/>
      <c r="D2460" s="91"/>
      <c r="E2460" s="91"/>
      <c r="F2460" s="80"/>
      <c r="G2460" s="91"/>
      <c r="H2460" s="91"/>
    </row>
    <row r="2461" spans="2:8">
      <c r="B2461" s="91"/>
      <c r="C2461" s="36"/>
      <c r="D2461" s="91"/>
      <c r="E2461" s="91"/>
      <c r="F2461" s="80"/>
      <c r="G2461" s="91"/>
      <c r="H2461" s="91"/>
    </row>
    <row r="2462" spans="2:8">
      <c r="B2462" s="91"/>
      <c r="C2462" s="36"/>
      <c r="D2462" s="91"/>
      <c r="E2462" s="91"/>
      <c r="F2462" s="80"/>
      <c r="G2462" s="91"/>
      <c r="H2462" s="91"/>
    </row>
    <row r="2463" spans="2:8">
      <c r="B2463" s="91"/>
      <c r="C2463" s="36"/>
      <c r="D2463" s="91"/>
      <c r="E2463" s="91"/>
      <c r="F2463" s="80"/>
      <c r="G2463" s="91"/>
      <c r="H2463" s="91"/>
    </row>
    <row r="2464" spans="2:8">
      <c r="B2464" s="91"/>
      <c r="C2464" s="36"/>
      <c r="D2464" s="91"/>
      <c r="E2464" s="91"/>
      <c r="F2464" s="80"/>
      <c r="G2464" s="91"/>
      <c r="H2464" s="91"/>
    </row>
    <row r="2465" spans="2:8">
      <c r="B2465" s="91"/>
      <c r="C2465" s="36"/>
      <c r="D2465" s="91"/>
      <c r="E2465" s="91"/>
      <c r="F2465" s="80"/>
      <c r="G2465" s="91"/>
      <c r="H2465" s="91"/>
    </row>
    <row r="2466" spans="2:8">
      <c r="B2466" s="91"/>
      <c r="C2466" s="36"/>
      <c r="D2466" s="91"/>
      <c r="E2466" s="91"/>
      <c r="F2466" s="80"/>
      <c r="G2466" s="91"/>
      <c r="H2466" s="91"/>
    </row>
    <row r="2467" spans="2:8">
      <c r="B2467" s="91"/>
      <c r="C2467" s="36"/>
      <c r="D2467" s="91"/>
      <c r="E2467" s="91"/>
      <c r="F2467" s="80"/>
      <c r="G2467" s="91"/>
      <c r="H2467" s="91"/>
    </row>
    <row r="2468" spans="2:8">
      <c r="B2468" s="91"/>
      <c r="C2468" s="36"/>
      <c r="D2468" s="91"/>
      <c r="E2468" s="91"/>
      <c r="F2468" s="80"/>
      <c r="G2468" s="91"/>
      <c r="H2468" s="91"/>
    </row>
    <row r="2469" spans="2:8">
      <c r="B2469" s="91"/>
      <c r="C2469" s="36"/>
      <c r="D2469" s="91"/>
      <c r="E2469" s="91"/>
      <c r="F2469" s="80"/>
      <c r="G2469" s="91"/>
      <c r="H2469" s="91"/>
    </row>
    <row r="2470" spans="2:8">
      <c r="B2470" s="91"/>
      <c r="C2470" s="36"/>
      <c r="D2470" s="91"/>
      <c r="E2470" s="91"/>
      <c r="F2470" s="80"/>
      <c r="G2470" s="91"/>
      <c r="H2470" s="91"/>
    </row>
    <row r="2471" spans="2:8">
      <c r="B2471" s="91"/>
      <c r="C2471" s="36"/>
      <c r="D2471" s="91"/>
      <c r="E2471" s="91"/>
      <c r="F2471" s="80"/>
      <c r="G2471" s="91"/>
      <c r="H2471" s="91"/>
    </row>
    <row r="2472" spans="2:8">
      <c r="B2472" s="91"/>
      <c r="C2472" s="36"/>
      <c r="D2472" s="91"/>
      <c r="E2472" s="91"/>
      <c r="F2472" s="80"/>
      <c r="G2472" s="91"/>
      <c r="H2472" s="91"/>
    </row>
    <row r="2473" spans="2:8">
      <c r="B2473" s="91"/>
      <c r="C2473" s="36"/>
      <c r="D2473" s="91"/>
      <c r="E2473" s="91"/>
      <c r="F2473" s="80"/>
      <c r="G2473" s="91"/>
      <c r="H2473" s="91"/>
    </row>
    <row r="2474" spans="2:8">
      <c r="B2474" s="91"/>
      <c r="C2474" s="36"/>
      <c r="D2474" s="91"/>
      <c r="E2474" s="91"/>
      <c r="F2474" s="80"/>
      <c r="G2474" s="91"/>
      <c r="H2474" s="91"/>
    </row>
    <row r="2475" spans="2:8">
      <c r="B2475" s="91"/>
      <c r="C2475" s="36"/>
      <c r="D2475" s="91"/>
      <c r="E2475" s="91"/>
      <c r="F2475" s="80"/>
      <c r="G2475" s="91"/>
      <c r="H2475" s="91"/>
    </row>
    <row r="2476" spans="2:8">
      <c r="B2476" s="91"/>
      <c r="C2476" s="36"/>
      <c r="D2476" s="91"/>
      <c r="E2476" s="91"/>
      <c r="F2476" s="80"/>
      <c r="G2476" s="91"/>
      <c r="H2476" s="91"/>
    </row>
    <row r="2477" spans="2:8">
      <c r="B2477" s="91"/>
      <c r="C2477" s="36"/>
      <c r="D2477" s="91"/>
      <c r="E2477" s="91"/>
      <c r="F2477" s="80"/>
      <c r="G2477" s="91"/>
      <c r="H2477" s="91"/>
    </row>
    <row r="2478" spans="2:8">
      <c r="B2478" s="91"/>
      <c r="C2478" s="36"/>
      <c r="D2478" s="91"/>
      <c r="E2478" s="91"/>
      <c r="F2478" s="80"/>
      <c r="G2478" s="91"/>
      <c r="H2478" s="91"/>
    </row>
    <row r="2479" spans="2:8">
      <c r="B2479" s="91"/>
      <c r="C2479" s="36"/>
      <c r="D2479" s="91"/>
      <c r="E2479" s="91"/>
      <c r="F2479" s="80"/>
      <c r="G2479" s="91"/>
      <c r="H2479" s="91"/>
    </row>
    <row r="2480" spans="2:8">
      <c r="B2480" s="91"/>
      <c r="C2480" s="36"/>
      <c r="D2480" s="91"/>
      <c r="E2480" s="91"/>
      <c r="F2480" s="80"/>
      <c r="G2480" s="91"/>
      <c r="H2480" s="91"/>
    </row>
    <row r="2481" spans="2:8">
      <c r="B2481" s="91"/>
      <c r="C2481" s="36"/>
      <c r="D2481" s="91"/>
      <c r="E2481" s="91"/>
      <c r="F2481" s="80"/>
      <c r="G2481" s="91"/>
      <c r="H2481" s="91"/>
    </row>
    <row r="2482" spans="2:8">
      <c r="B2482" s="91"/>
      <c r="C2482" s="36"/>
      <c r="D2482" s="91"/>
      <c r="E2482" s="91"/>
      <c r="F2482" s="80"/>
      <c r="G2482" s="91"/>
      <c r="H2482" s="91"/>
    </row>
    <row r="2483" spans="2:8">
      <c r="B2483" s="91"/>
      <c r="C2483" s="36"/>
      <c r="D2483" s="91"/>
      <c r="E2483" s="91"/>
      <c r="F2483" s="80"/>
      <c r="G2483" s="91"/>
      <c r="H2483" s="91"/>
    </row>
    <row r="2484" spans="2:8">
      <c r="B2484" s="91"/>
      <c r="C2484" s="36"/>
      <c r="D2484" s="91"/>
      <c r="E2484" s="91"/>
      <c r="F2484" s="80"/>
      <c r="G2484" s="91"/>
      <c r="H2484" s="91"/>
    </row>
    <row r="2485" spans="2:8">
      <c r="B2485" s="91"/>
      <c r="C2485" s="36"/>
      <c r="D2485" s="91"/>
      <c r="E2485" s="91"/>
      <c r="F2485" s="80"/>
      <c r="G2485" s="91"/>
      <c r="H2485" s="91"/>
    </row>
    <row r="2486" spans="2:8">
      <c r="B2486" s="91"/>
      <c r="C2486" s="36"/>
      <c r="D2486" s="91"/>
      <c r="E2486" s="91"/>
      <c r="F2486" s="80"/>
      <c r="G2486" s="91"/>
      <c r="H2486" s="91"/>
    </row>
    <row r="2487" spans="2:8">
      <c r="B2487" s="91"/>
      <c r="C2487" s="36"/>
      <c r="D2487" s="91"/>
      <c r="E2487" s="91"/>
      <c r="F2487" s="80"/>
      <c r="G2487" s="91"/>
      <c r="H2487" s="91"/>
    </row>
    <row r="2488" spans="2:8">
      <c r="B2488" s="91"/>
      <c r="C2488" s="36"/>
      <c r="D2488" s="91"/>
      <c r="E2488" s="91"/>
      <c r="F2488" s="80"/>
      <c r="G2488" s="91"/>
      <c r="H2488" s="91"/>
    </row>
    <row r="2489" spans="2:8">
      <c r="B2489" s="91"/>
      <c r="C2489" s="36"/>
      <c r="D2489" s="91"/>
      <c r="E2489" s="91"/>
      <c r="F2489" s="80"/>
      <c r="G2489" s="91"/>
      <c r="H2489" s="91"/>
    </row>
    <row r="2490" spans="2:8">
      <c r="B2490" s="91"/>
      <c r="C2490" s="36"/>
      <c r="D2490" s="91"/>
      <c r="E2490" s="91"/>
      <c r="F2490" s="80"/>
      <c r="G2490" s="91"/>
      <c r="H2490" s="91"/>
    </row>
    <row r="2491" spans="2:8">
      <c r="B2491" s="91"/>
      <c r="C2491" s="36"/>
      <c r="D2491" s="91"/>
      <c r="E2491" s="91"/>
      <c r="F2491" s="80"/>
      <c r="G2491" s="91"/>
      <c r="H2491" s="91"/>
    </row>
    <row r="2492" spans="2:8">
      <c r="B2492" s="91"/>
      <c r="C2492" s="36"/>
      <c r="D2492" s="91"/>
      <c r="E2492" s="91"/>
      <c r="F2492" s="80"/>
      <c r="G2492" s="91"/>
      <c r="H2492" s="91"/>
    </row>
    <row r="2493" spans="2:8">
      <c r="B2493" s="91"/>
      <c r="C2493" s="36"/>
      <c r="D2493" s="91"/>
      <c r="E2493" s="91"/>
      <c r="F2493" s="80"/>
      <c r="G2493" s="91"/>
      <c r="H2493" s="91"/>
    </row>
    <row r="2494" spans="2:8">
      <c r="B2494" s="91"/>
      <c r="C2494" s="36"/>
      <c r="D2494" s="91"/>
      <c r="E2494" s="91"/>
      <c r="F2494" s="80"/>
      <c r="G2494" s="91"/>
      <c r="H2494" s="91"/>
    </row>
    <row r="2495" spans="2:8">
      <c r="B2495" s="91"/>
      <c r="C2495" s="36"/>
      <c r="D2495" s="91"/>
      <c r="E2495" s="91"/>
      <c r="F2495" s="80"/>
      <c r="G2495" s="91"/>
      <c r="H2495" s="91"/>
    </row>
    <row r="2496" spans="2:8">
      <c r="B2496" s="91"/>
      <c r="C2496" s="36"/>
      <c r="D2496" s="91"/>
      <c r="E2496" s="91"/>
      <c r="F2496" s="80"/>
      <c r="G2496" s="91"/>
      <c r="H2496" s="91"/>
    </row>
    <row r="2497" spans="2:8">
      <c r="B2497" s="91"/>
      <c r="C2497" s="36"/>
      <c r="D2497" s="91"/>
      <c r="E2497" s="91"/>
      <c r="F2497" s="80"/>
      <c r="G2497" s="91"/>
      <c r="H2497" s="91"/>
    </row>
    <row r="2498" spans="2:8">
      <c r="B2498" s="91"/>
      <c r="C2498" s="36"/>
      <c r="D2498" s="91"/>
      <c r="E2498" s="91"/>
      <c r="F2498" s="80"/>
      <c r="G2498" s="91"/>
      <c r="H2498" s="91"/>
    </row>
    <row r="2499" spans="2:8">
      <c r="B2499" s="91"/>
      <c r="C2499" s="36"/>
      <c r="D2499" s="91"/>
      <c r="E2499" s="91"/>
      <c r="F2499" s="80"/>
      <c r="G2499" s="91"/>
      <c r="H2499" s="91"/>
    </row>
    <row r="2500" spans="2:8">
      <c r="B2500" s="91"/>
      <c r="C2500" s="36"/>
      <c r="D2500" s="91"/>
      <c r="E2500" s="91"/>
      <c r="F2500" s="80"/>
      <c r="G2500" s="91"/>
      <c r="H2500" s="91"/>
    </row>
    <row r="2501" spans="2:8">
      <c r="B2501" s="91"/>
      <c r="C2501" s="36"/>
      <c r="D2501" s="91"/>
      <c r="E2501" s="91"/>
      <c r="F2501" s="80"/>
      <c r="G2501" s="91"/>
      <c r="H2501" s="91"/>
    </row>
    <row r="2502" spans="2:8">
      <c r="B2502" s="91"/>
      <c r="C2502" s="36"/>
      <c r="D2502" s="91"/>
      <c r="E2502" s="91"/>
      <c r="F2502" s="80"/>
      <c r="G2502" s="91"/>
      <c r="H2502" s="91"/>
    </row>
    <row r="2503" spans="2:8">
      <c r="B2503" s="91"/>
      <c r="C2503" s="36"/>
      <c r="D2503" s="91"/>
      <c r="E2503" s="91"/>
      <c r="F2503" s="80"/>
      <c r="G2503" s="91"/>
      <c r="H2503" s="91"/>
    </row>
    <row r="2504" spans="2:8">
      <c r="B2504" s="91"/>
      <c r="C2504" s="36"/>
      <c r="D2504" s="91"/>
      <c r="E2504" s="91"/>
      <c r="F2504" s="80"/>
      <c r="G2504" s="91"/>
      <c r="H2504" s="91"/>
    </row>
    <row r="2505" spans="2:8">
      <c r="B2505" s="91"/>
      <c r="C2505" s="36"/>
      <c r="D2505" s="91"/>
      <c r="E2505" s="91"/>
      <c r="F2505" s="80"/>
      <c r="G2505" s="91"/>
      <c r="H2505" s="91"/>
    </row>
    <row r="2506" spans="2:8">
      <c r="B2506" s="91"/>
      <c r="C2506" s="36"/>
      <c r="D2506" s="91"/>
      <c r="E2506" s="91"/>
      <c r="F2506" s="80"/>
      <c r="G2506" s="91"/>
      <c r="H2506" s="91"/>
    </row>
    <row r="2507" spans="2:8">
      <c r="B2507" s="91"/>
      <c r="C2507" s="36"/>
      <c r="D2507" s="91"/>
      <c r="E2507" s="91"/>
      <c r="F2507" s="80"/>
      <c r="G2507" s="91"/>
      <c r="H2507" s="91"/>
    </row>
    <row r="2508" spans="2:8">
      <c r="B2508" s="91"/>
      <c r="C2508" s="36"/>
      <c r="D2508" s="91"/>
      <c r="E2508" s="91"/>
      <c r="F2508" s="80"/>
      <c r="G2508" s="91"/>
      <c r="H2508" s="91"/>
    </row>
    <row r="2509" spans="2:8">
      <c r="B2509" s="91"/>
      <c r="C2509" s="36"/>
      <c r="D2509" s="91"/>
      <c r="E2509" s="91"/>
      <c r="F2509" s="80"/>
      <c r="G2509" s="91"/>
      <c r="H2509" s="91"/>
    </row>
    <row r="2510" spans="2:8">
      <c r="B2510" s="91"/>
      <c r="C2510" s="36"/>
      <c r="D2510" s="91"/>
      <c r="E2510" s="91"/>
      <c r="F2510" s="80"/>
      <c r="G2510" s="91"/>
      <c r="H2510" s="91"/>
    </row>
    <row r="2511" spans="2:8">
      <c r="B2511" s="91"/>
      <c r="C2511" s="36"/>
      <c r="D2511" s="91"/>
      <c r="E2511" s="91"/>
      <c r="F2511" s="80"/>
      <c r="G2511" s="91"/>
      <c r="H2511" s="91"/>
    </row>
    <row r="2512" spans="2:8">
      <c r="B2512" s="91"/>
      <c r="C2512" s="36"/>
      <c r="D2512" s="91"/>
      <c r="E2512" s="91"/>
      <c r="F2512" s="80"/>
      <c r="G2512" s="91"/>
      <c r="H2512" s="91"/>
    </row>
    <row r="2513" spans="2:8">
      <c r="B2513" s="91"/>
      <c r="C2513" s="36"/>
      <c r="D2513" s="91"/>
      <c r="E2513" s="91"/>
      <c r="F2513" s="80"/>
      <c r="G2513" s="91"/>
      <c r="H2513" s="91"/>
    </row>
    <row r="2514" spans="2:8">
      <c r="B2514" s="91"/>
      <c r="C2514" s="36"/>
      <c r="D2514" s="91"/>
      <c r="E2514" s="91"/>
      <c r="F2514" s="80"/>
      <c r="G2514" s="91"/>
      <c r="H2514" s="91"/>
    </row>
    <row r="2515" spans="2:8">
      <c r="B2515" s="91"/>
      <c r="C2515" s="36"/>
      <c r="D2515" s="91"/>
      <c r="E2515" s="91"/>
      <c r="F2515" s="80"/>
      <c r="G2515" s="91"/>
      <c r="H2515" s="91"/>
    </row>
    <row r="2516" spans="2:8">
      <c r="B2516" s="91"/>
      <c r="C2516" s="36"/>
      <c r="D2516" s="91"/>
      <c r="E2516" s="91"/>
      <c r="F2516" s="80"/>
      <c r="G2516" s="91"/>
      <c r="H2516" s="91"/>
    </row>
    <row r="2517" spans="2:8">
      <c r="B2517" s="91"/>
      <c r="C2517" s="36"/>
      <c r="D2517" s="91"/>
      <c r="E2517" s="91"/>
      <c r="F2517" s="80"/>
      <c r="G2517" s="91"/>
      <c r="H2517" s="91"/>
    </row>
    <row r="2518" spans="2:8">
      <c r="B2518" s="91"/>
      <c r="C2518" s="36"/>
      <c r="D2518" s="91"/>
      <c r="E2518" s="91"/>
      <c r="F2518" s="80"/>
      <c r="G2518" s="91"/>
      <c r="H2518" s="91"/>
    </row>
    <row r="2519" spans="2:8">
      <c r="B2519" s="91"/>
      <c r="C2519" s="36"/>
      <c r="D2519" s="91"/>
      <c r="E2519" s="91"/>
      <c r="F2519" s="80"/>
      <c r="G2519" s="91"/>
      <c r="H2519" s="91"/>
    </row>
    <row r="2520" spans="2:8">
      <c r="B2520" s="91"/>
      <c r="C2520" s="36"/>
      <c r="D2520" s="91"/>
      <c r="E2520" s="91"/>
      <c r="F2520" s="80"/>
      <c r="G2520" s="91"/>
      <c r="H2520" s="91"/>
    </row>
    <row r="2521" spans="2:8">
      <c r="B2521" s="91"/>
      <c r="C2521" s="36"/>
      <c r="D2521" s="91"/>
      <c r="E2521" s="91"/>
      <c r="F2521" s="80"/>
      <c r="G2521" s="91"/>
      <c r="H2521" s="91"/>
    </row>
    <row r="2522" spans="2:8">
      <c r="B2522" s="91"/>
      <c r="C2522" s="36"/>
      <c r="D2522" s="91"/>
      <c r="E2522" s="91"/>
      <c r="F2522" s="80"/>
      <c r="G2522" s="91"/>
      <c r="H2522" s="91"/>
    </row>
    <row r="2523" spans="2:8">
      <c r="B2523" s="91"/>
      <c r="C2523" s="36"/>
      <c r="D2523" s="91"/>
      <c r="E2523" s="91"/>
      <c r="F2523" s="80"/>
      <c r="G2523" s="91"/>
      <c r="H2523" s="91"/>
    </row>
    <row r="2524" spans="2:8">
      <c r="B2524" s="91"/>
      <c r="C2524" s="36"/>
      <c r="D2524" s="91"/>
      <c r="E2524" s="91"/>
      <c r="F2524" s="80"/>
      <c r="G2524" s="91"/>
      <c r="H2524" s="91"/>
    </row>
    <row r="2525" spans="2:8">
      <c r="B2525" s="91"/>
      <c r="C2525" s="36"/>
      <c r="D2525" s="91"/>
      <c r="E2525" s="91"/>
      <c r="F2525" s="80"/>
      <c r="G2525" s="91"/>
      <c r="H2525" s="91"/>
    </row>
    <row r="2526" spans="2:8">
      <c r="B2526" s="91"/>
      <c r="C2526" s="36"/>
      <c r="D2526" s="91"/>
      <c r="E2526" s="91"/>
      <c r="F2526" s="80"/>
      <c r="G2526" s="91"/>
      <c r="H2526" s="91"/>
    </row>
    <row r="2527" spans="2:8">
      <c r="B2527" s="91"/>
      <c r="C2527" s="36"/>
      <c r="D2527" s="91"/>
      <c r="E2527" s="91"/>
      <c r="F2527" s="80"/>
      <c r="G2527" s="91"/>
      <c r="H2527" s="91"/>
    </row>
    <row r="2528" spans="2:8">
      <c r="B2528" s="91"/>
      <c r="C2528" s="36"/>
      <c r="D2528" s="91"/>
      <c r="E2528" s="91"/>
      <c r="F2528" s="80"/>
      <c r="G2528" s="91"/>
      <c r="H2528" s="91"/>
    </row>
    <row r="2529" spans="2:8">
      <c r="B2529" s="91"/>
      <c r="C2529" s="36"/>
      <c r="D2529" s="91"/>
      <c r="E2529" s="91"/>
      <c r="F2529" s="80"/>
      <c r="G2529" s="91"/>
      <c r="H2529" s="91"/>
    </row>
    <row r="2530" spans="2:8">
      <c r="B2530" s="91"/>
      <c r="C2530" s="36"/>
      <c r="D2530" s="91"/>
      <c r="E2530" s="91"/>
      <c r="F2530" s="80"/>
      <c r="G2530" s="91"/>
      <c r="H2530" s="91"/>
    </row>
    <row r="2531" spans="2:8">
      <c r="B2531" s="91"/>
      <c r="C2531" s="36"/>
      <c r="D2531" s="91"/>
      <c r="E2531" s="91"/>
      <c r="F2531" s="80"/>
      <c r="G2531" s="91"/>
      <c r="H2531" s="91"/>
    </row>
    <row r="2532" spans="2:8">
      <c r="B2532" s="91"/>
      <c r="C2532" s="36"/>
      <c r="D2532" s="91"/>
      <c r="E2532" s="91"/>
      <c r="F2532" s="80"/>
      <c r="G2532" s="91"/>
      <c r="H2532" s="91"/>
    </row>
    <row r="2533" spans="2:8">
      <c r="B2533" s="91"/>
      <c r="C2533" s="36"/>
      <c r="D2533" s="91"/>
      <c r="E2533" s="91"/>
      <c r="F2533" s="80"/>
      <c r="G2533" s="91"/>
      <c r="H2533" s="91"/>
    </row>
    <row r="2534" spans="2:8">
      <c r="B2534" s="91"/>
      <c r="C2534" s="36"/>
      <c r="D2534" s="91"/>
      <c r="E2534" s="91"/>
      <c r="F2534" s="80"/>
      <c r="G2534" s="91"/>
      <c r="H2534" s="91"/>
    </row>
    <row r="2535" spans="2:8">
      <c r="B2535" s="91"/>
      <c r="C2535" s="36"/>
      <c r="D2535" s="91"/>
      <c r="E2535" s="91"/>
      <c r="F2535" s="80"/>
      <c r="G2535" s="91"/>
      <c r="H2535" s="91"/>
    </row>
    <row r="2536" spans="2:8">
      <c r="B2536" s="91"/>
      <c r="C2536" s="36"/>
      <c r="D2536" s="91"/>
      <c r="E2536" s="91"/>
      <c r="F2536" s="80"/>
      <c r="G2536" s="91"/>
      <c r="H2536" s="91"/>
    </row>
    <row r="2537" spans="2:8">
      <c r="B2537" s="91"/>
      <c r="C2537" s="36"/>
      <c r="D2537" s="91"/>
      <c r="E2537" s="91"/>
      <c r="F2537" s="80"/>
      <c r="G2537" s="91"/>
      <c r="H2537" s="91"/>
    </row>
    <row r="2538" spans="2:8">
      <c r="B2538" s="91"/>
      <c r="C2538" s="36"/>
      <c r="D2538" s="91"/>
      <c r="E2538" s="91"/>
      <c r="F2538" s="80"/>
      <c r="G2538" s="91"/>
      <c r="H2538" s="91"/>
    </row>
    <row r="2539" spans="2:8">
      <c r="B2539" s="91"/>
      <c r="C2539" s="36"/>
      <c r="D2539" s="91"/>
      <c r="E2539" s="91"/>
      <c r="F2539" s="80"/>
      <c r="G2539" s="91"/>
      <c r="H2539" s="91"/>
    </row>
    <row r="2540" spans="2:8">
      <c r="B2540" s="91"/>
      <c r="C2540" s="36"/>
      <c r="D2540" s="91"/>
      <c r="E2540" s="91"/>
      <c r="F2540" s="80"/>
      <c r="G2540" s="91"/>
      <c r="H2540" s="91"/>
    </row>
    <row r="2541" spans="2:8">
      <c r="B2541" s="91"/>
      <c r="C2541" s="36"/>
      <c r="D2541" s="91"/>
      <c r="E2541" s="91"/>
      <c r="F2541" s="80"/>
      <c r="G2541" s="91"/>
      <c r="H2541" s="91"/>
    </row>
    <row r="2542" spans="2:8">
      <c r="B2542" s="91"/>
      <c r="C2542" s="36"/>
      <c r="D2542" s="91"/>
      <c r="E2542" s="91"/>
      <c r="F2542" s="80"/>
      <c r="G2542" s="91"/>
      <c r="H2542" s="91"/>
    </row>
    <row r="2543" spans="2:8">
      <c r="B2543" s="91"/>
      <c r="C2543" s="36"/>
      <c r="D2543" s="91"/>
      <c r="E2543" s="91"/>
      <c r="F2543" s="80"/>
      <c r="G2543" s="91"/>
      <c r="H2543" s="91"/>
    </row>
    <row r="2544" spans="2:8">
      <c r="B2544" s="91"/>
      <c r="C2544" s="36"/>
      <c r="D2544" s="91"/>
      <c r="E2544" s="91"/>
      <c r="F2544" s="80"/>
      <c r="G2544" s="91"/>
      <c r="H2544" s="91"/>
    </row>
    <row r="2545" spans="2:8">
      <c r="B2545" s="91"/>
      <c r="C2545" s="36"/>
      <c r="D2545" s="91"/>
      <c r="E2545" s="91"/>
      <c r="F2545" s="80"/>
      <c r="G2545" s="91"/>
      <c r="H2545" s="91"/>
    </row>
    <row r="2546" spans="2:8">
      <c r="B2546" s="91"/>
      <c r="C2546" s="36"/>
      <c r="D2546" s="91"/>
      <c r="E2546" s="91"/>
      <c r="F2546" s="80"/>
      <c r="G2546" s="91"/>
      <c r="H2546" s="91"/>
    </row>
    <row r="2547" spans="2:8">
      <c r="B2547" s="91"/>
      <c r="C2547" s="36"/>
      <c r="D2547" s="91"/>
      <c r="E2547" s="91"/>
      <c r="F2547" s="80"/>
      <c r="G2547" s="91"/>
      <c r="H2547" s="91"/>
    </row>
    <row r="2548" spans="2:8">
      <c r="B2548" s="91"/>
      <c r="C2548" s="36"/>
      <c r="D2548" s="91"/>
      <c r="E2548" s="91"/>
      <c r="F2548" s="80"/>
      <c r="G2548" s="91"/>
      <c r="H2548" s="91"/>
    </row>
    <row r="2549" spans="2:8">
      <c r="B2549" s="91"/>
      <c r="C2549" s="36"/>
      <c r="D2549" s="91"/>
      <c r="E2549" s="91"/>
      <c r="F2549" s="80"/>
      <c r="G2549" s="91"/>
      <c r="H2549" s="91"/>
    </row>
    <row r="2550" spans="2:8">
      <c r="B2550" s="91"/>
      <c r="C2550" s="36"/>
      <c r="D2550" s="91"/>
      <c r="E2550" s="91"/>
      <c r="F2550" s="80"/>
      <c r="G2550" s="91"/>
      <c r="H2550" s="91"/>
    </row>
    <row r="2551" spans="2:8">
      <c r="B2551" s="91"/>
      <c r="C2551" s="36"/>
      <c r="D2551" s="91"/>
      <c r="E2551" s="91"/>
      <c r="F2551" s="80"/>
      <c r="G2551" s="91"/>
      <c r="H2551" s="91"/>
    </row>
    <row r="2552" spans="2:8">
      <c r="B2552" s="91"/>
      <c r="C2552" s="36"/>
      <c r="D2552" s="91"/>
      <c r="E2552" s="91"/>
      <c r="F2552" s="80"/>
      <c r="G2552" s="91"/>
      <c r="H2552" s="91"/>
    </row>
    <row r="2553" spans="2:8">
      <c r="B2553" s="91"/>
      <c r="C2553" s="36"/>
      <c r="D2553" s="91"/>
      <c r="E2553" s="91"/>
      <c r="F2553" s="80"/>
      <c r="G2553" s="91"/>
      <c r="H2553" s="91"/>
    </row>
    <row r="2554" spans="2:8">
      <c r="B2554" s="91"/>
      <c r="C2554" s="36"/>
      <c r="D2554" s="91"/>
      <c r="E2554" s="91"/>
      <c r="F2554" s="80"/>
      <c r="G2554" s="91"/>
      <c r="H2554" s="91"/>
    </row>
    <row r="2555" spans="2:8">
      <c r="B2555" s="91"/>
      <c r="C2555" s="36"/>
      <c r="D2555" s="91"/>
      <c r="E2555" s="91"/>
      <c r="F2555" s="80"/>
      <c r="G2555" s="91"/>
      <c r="H2555" s="91"/>
    </row>
    <row r="2556" spans="2:8">
      <c r="B2556" s="91"/>
      <c r="C2556" s="36"/>
      <c r="D2556" s="91"/>
      <c r="E2556" s="91"/>
      <c r="F2556" s="80"/>
      <c r="G2556" s="91"/>
      <c r="H2556" s="91"/>
    </row>
    <row r="2557" spans="2:8">
      <c r="B2557" s="91"/>
      <c r="C2557" s="36"/>
      <c r="D2557" s="91"/>
      <c r="E2557" s="91"/>
      <c r="F2557" s="80"/>
      <c r="G2557" s="91"/>
      <c r="H2557" s="91"/>
    </row>
    <row r="2558" spans="2:8">
      <c r="B2558" s="91"/>
      <c r="C2558" s="36"/>
      <c r="D2558" s="91"/>
      <c r="E2558" s="91"/>
      <c r="F2558" s="80"/>
      <c r="G2558" s="91"/>
      <c r="H2558" s="91"/>
    </row>
    <row r="2559" spans="2:8">
      <c r="B2559" s="91"/>
      <c r="C2559" s="36"/>
      <c r="D2559" s="91"/>
      <c r="E2559" s="91"/>
      <c r="F2559" s="80"/>
      <c r="G2559" s="91"/>
      <c r="H2559" s="91"/>
    </row>
    <row r="2560" spans="2:8">
      <c r="B2560" s="91"/>
      <c r="C2560" s="36"/>
      <c r="D2560" s="91"/>
      <c r="E2560" s="91"/>
      <c r="F2560" s="80"/>
      <c r="G2560" s="91"/>
      <c r="H2560" s="91"/>
    </row>
    <row r="2561" spans="2:8">
      <c r="B2561" s="91"/>
      <c r="C2561" s="36"/>
      <c r="D2561" s="91"/>
      <c r="E2561" s="91"/>
      <c r="F2561" s="80"/>
      <c r="G2561" s="91"/>
      <c r="H2561" s="91"/>
    </row>
    <row r="2562" spans="2:8">
      <c r="B2562" s="91"/>
      <c r="C2562" s="36"/>
      <c r="D2562" s="91"/>
      <c r="E2562" s="91"/>
      <c r="F2562" s="80"/>
      <c r="G2562" s="91"/>
      <c r="H2562" s="91"/>
    </row>
    <row r="2563" spans="2:8">
      <c r="B2563" s="91"/>
      <c r="C2563" s="36"/>
      <c r="D2563" s="91"/>
      <c r="E2563" s="91"/>
      <c r="F2563" s="80"/>
      <c r="G2563" s="91"/>
      <c r="H2563" s="91"/>
    </row>
    <row r="2564" spans="2:8">
      <c r="B2564" s="91"/>
      <c r="C2564" s="36"/>
      <c r="D2564" s="91"/>
      <c r="E2564" s="91"/>
      <c r="F2564" s="80"/>
      <c r="G2564" s="91"/>
      <c r="H2564" s="91"/>
    </row>
    <row r="2565" spans="2:8">
      <c r="B2565" s="91"/>
      <c r="C2565" s="36"/>
      <c r="D2565" s="91"/>
      <c r="E2565" s="91"/>
      <c r="F2565" s="80"/>
      <c r="G2565" s="91"/>
      <c r="H2565" s="91"/>
    </row>
    <row r="2566" spans="2:8">
      <c r="B2566" s="91"/>
      <c r="C2566" s="36"/>
      <c r="D2566" s="91"/>
      <c r="E2566" s="91"/>
      <c r="F2566" s="80"/>
      <c r="G2566" s="91"/>
      <c r="H2566" s="91"/>
    </row>
    <row r="2567" spans="2:8">
      <c r="B2567" s="91"/>
      <c r="C2567" s="36"/>
      <c r="D2567" s="91"/>
      <c r="E2567" s="91"/>
      <c r="F2567" s="80"/>
      <c r="G2567" s="91"/>
      <c r="H2567" s="91"/>
    </row>
    <row r="2568" spans="2:8">
      <c r="B2568" s="91"/>
      <c r="C2568" s="36"/>
      <c r="D2568" s="91"/>
      <c r="E2568" s="91"/>
      <c r="F2568" s="80"/>
      <c r="G2568" s="91"/>
      <c r="H2568" s="91"/>
    </row>
    <row r="2569" spans="2:8">
      <c r="B2569" s="91"/>
      <c r="C2569" s="36"/>
      <c r="D2569" s="91"/>
      <c r="E2569" s="91"/>
      <c r="F2569" s="80"/>
      <c r="G2569" s="91"/>
      <c r="H2569" s="91"/>
    </row>
    <row r="2570" spans="2:8">
      <c r="B2570" s="91"/>
      <c r="C2570" s="36"/>
      <c r="D2570" s="91"/>
      <c r="E2570" s="91"/>
      <c r="F2570" s="80"/>
      <c r="G2570" s="91"/>
      <c r="H2570" s="91"/>
    </row>
    <row r="2571" spans="2:8">
      <c r="B2571" s="91"/>
      <c r="C2571" s="36"/>
      <c r="D2571" s="91"/>
      <c r="E2571" s="91"/>
      <c r="F2571" s="80"/>
      <c r="G2571" s="91"/>
      <c r="H2571" s="91"/>
    </row>
    <row r="2572" spans="2:8">
      <c r="B2572" s="91"/>
      <c r="C2572" s="36"/>
      <c r="D2572" s="91"/>
      <c r="E2572" s="91"/>
      <c r="F2572" s="80"/>
      <c r="G2572" s="91"/>
      <c r="H2572" s="91"/>
    </row>
    <row r="2573" spans="2:8">
      <c r="B2573" s="91"/>
      <c r="C2573" s="36"/>
      <c r="D2573" s="91"/>
      <c r="E2573" s="91"/>
      <c r="F2573" s="80"/>
      <c r="G2573" s="91"/>
      <c r="H2573" s="91"/>
    </row>
    <row r="2574" spans="2:8">
      <c r="B2574" s="91"/>
      <c r="C2574" s="36"/>
      <c r="D2574" s="91"/>
      <c r="E2574" s="91"/>
      <c r="F2574" s="80"/>
      <c r="G2574" s="91"/>
      <c r="H2574" s="91"/>
    </row>
    <row r="2575" spans="2:8">
      <c r="B2575" s="91"/>
      <c r="C2575" s="36"/>
      <c r="D2575" s="91"/>
      <c r="E2575" s="91"/>
      <c r="F2575" s="80"/>
      <c r="G2575" s="91"/>
      <c r="H2575" s="91"/>
    </row>
    <row r="2576" spans="2:8">
      <c r="B2576" s="91"/>
      <c r="C2576" s="36"/>
      <c r="D2576" s="91"/>
      <c r="E2576" s="91"/>
      <c r="F2576" s="80"/>
      <c r="G2576" s="91"/>
      <c r="H2576" s="91"/>
    </row>
    <row r="2577" spans="2:8">
      <c r="B2577" s="91"/>
      <c r="C2577" s="36"/>
      <c r="D2577" s="91"/>
      <c r="E2577" s="91"/>
      <c r="F2577" s="80"/>
      <c r="G2577" s="91"/>
      <c r="H2577" s="91"/>
    </row>
    <row r="2578" spans="2:8">
      <c r="B2578" s="91"/>
      <c r="C2578" s="36"/>
      <c r="D2578" s="91"/>
      <c r="E2578" s="91"/>
      <c r="F2578" s="80"/>
      <c r="G2578" s="91"/>
      <c r="H2578" s="91"/>
    </row>
    <row r="2579" spans="2:8">
      <c r="B2579" s="91"/>
      <c r="C2579" s="36"/>
      <c r="D2579" s="91"/>
      <c r="E2579" s="91"/>
      <c r="F2579" s="80"/>
      <c r="G2579" s="91"/>
      <c r="H2579" s="91"/>
    </row>
    <row r="2580" spans="2:8">
      <c r="B2580" s="91"/>
      <c r="C2580" s="36"/>
      <c r="D2580" s="91"/>
      <c r="E2580" s="91"/>
      <c r="F2580" s="80"/>
      <c r="G2580" s="91"/>
      <c r="H2580" s="91"/>
    </row>
    <row r="2581" spans="2:8">
      <c r="B2581" s="91"/>
      <c r="C2581" s="36"/>
      <c r="D2581" s="91"/>
      <c r="E2581" s="91"/>
      <c r="F2581" s="80"/>
      <c r="G2581" s="91"/>
      <c r="H2581" s="91"/>
    </row>
    <row r="2582" spans="2:8">
      <c r="B2582" s="91"/>
      <c r="C2582" s="36"/>
      <c r="D2582" s="91"/>
      <c r="E2582" s="91"/>
      <c r="F2582" s="80"/>
      <c r="G2582" s="91"/>
      <c r="H2582" s="91"/>
    </row>
    <row r="2583" spans="2:8">
      <c r="B2583" s="91"/>
      <c r="C2583" s="36"/>
      <c r="D2583" s="91"/>
      <c r="E2583" s="91"/>
      <c r="F2583" s="80"/>
      <c r="G2583" s="91"/>
      <c r="H2583" s="91"/>
    </row>
    <row r="2584" spans="2:8">
      <c r="B2584" s="91"/>
      <c r="C2584" s="36"/>
      <c r="D2584" s="91"/>
      <c r="E2584" s="91"/>
      <c r="F2584" s="80"/>
      <c r="G2584" s="91"/>
      <c r="H2584" s="91"/>
    </row>
    <row r="2585" spans="2:8">
      <c r="B2585" s="91"/>
      <c r="C2585" s="36"/>
      <c r="D2585" s="91"/>
      <c r="E2585" s="91"/>
      <c r="F2585" s="80"/>
      <c r="G2585" s="91"/>
      <c r="H2585" s="91"/>
    </row>
    <row r="2586" spans="2:8">
      <c r="B2586" s="91"/>
      <c r="C2586" s="36"/>
      <c r="D2586" s="91"/>
      <c r="E2586" s="91"/>
      <c r="F2586" s="80"/>
      <c r="G2586" s="91"/>
      <c r="H2586" s="91"/>
    </row>
    <row r="2587" spans="2:8">
      <c r="B2587" s="91"/>
      <c r="C2587" s="36"/>
      <c r="D2587" s="91"/>
      <c r="E2587" s="91"/>
      <c r="F2587" s="80"/>
      <c r="G2587" s="91"/>
      <c r="H2587" s="91"/>
    </row>
    <row r="2588" spans="2:8">
      <c r="B2588" s="91"/>
      <c r="C2588" s="36"/>
      <c r="D2588" s="91"/>
      <c r="E2588" s="91"/>
      <c r="F2588" s="80"/>
      <c r="G2588" s="91"/>
      <c r="H2588" s="91"/>
    </row>
    <row r="2589" spans="2:8">
      <c r="B2589" s="91"/>
      <c r="C2589" s="36"/>
      <c r="D2589" s="91"/>
      <c r="E2589" s="91"/>
      <c r="F2589" s="80"/>
      <c r="G2589" s="91"/>
      <c r="H2589" s="91"/>
    </row>
    <row r="2590" spans="2:8">
      <c r="B2590" s="91"/>
      <c r="C2590" s="36"/>
      <c r="D2590" s="91"/>
      <c r="E2590" s="91"/>
      <c r="F2590" s="80"/>
      <c r="G2590" s="91"/>
      <c r="H2590" s="91"/>
    </row>
    <row r="2591" spans="2:8">
      <c r="B2591" s="91"/>
      <c r="C2591" s="36"/>
      <c r="D2591" s="91"/>
      <c r="E2591" s="91"/>
      <c r="F2591" s="80"/>
      <c r="G2591" s="91"/>
      <c r="H2591" s="91"/>
    </row>
    <row r="2592" spans="2:8">
      <c r="B2592" s="91"/>
      <c r="C2592" s="36"/>
      <c r="D2592" s="91"/>
      <c r="E2592" s="91"/>
      <c r="F2592" s="80"/>
      <c r="G2592" s="91"/>
      <c r="H2592" s="91"/>
    </row>
    <row r="2593" spans="2:8">
      <c r="B2593" s="91"/>
      <c r="C2593" s="36"/>
      <c r="D2593" s="91"/>
      <c r="E2593" s="91"/>
      <c r="F2593" s="80"/>
      <c r="G2593" s="91"/>
      <c r="H2593" s="91"/>
    </row>
    <row r="2594" spans="2:8">
      <c r="B2594" s="91"/>
      <c r="C2594" s="36"/>
      <c r="D2594" s="91"/>
      <c r="E2594" s="91"/>
      <c r="F2594" s="80"/>
      <c r="G2594" s="91"/>
      <c r="H2594" s="91"/>
    </row>
    <row r="2595" spans="2:8">
      <c r="B2595" s="91"/>
      <c r="C2595" s="36"/>
      <c r="D2595" s="91"/>
      <c r="E2595" s="91"/>
      <c r="F2595" s="80"/>
      <c r="G2595" s="91"/>
      <c r="H2595" s="91"/>
    </row>
    <row r="2596" spans="2:8">
      <c r="B2596" s="91"/>
      <c r="C2596" s="36"/>
      <c r="D2596" s="91"/>
      <c r="E2596" s="91"/>
      <c r="F2596" s="80"/>
      <c r="G2596" s="91"/>
      <c r="H2596" s="91"/>
    </row>
    <row r="2597" spans="2:8">
      <c r="B2597" s="91"/>
      <c r="C2597" s="36"/>
      <c r="D2597" s="91"/>
      <c r="E2597" s="91"/>
      <c r="F2597" s="80"/>
      <c r="G2597" s="91"/>
      <c r="H2597" s="91"/>
    </row>
    <row r="2598" spans="2:8">
      <c r="B2598" s="91"/>
      <c r="C2598" s="36"/>
      <c r="D2598" s="91"/>
      <c r="E2598" s="91"/>
      <c r="F2598" s="80"/>
      <c r="G2598" s="91"/>
      <c r="H2598" s="91"/>
    </row>
    <row r="2599" spans="2:8">
      <c r="B2599" s="91"/>
      <c r="C2599" s="36"/>
      <c r="D2599" s="91"/>
      <c r="E2599" s="91"/>
      <c r="F2599" s="80"/>
      <c r="G2599" s="91"/>
      <c r="H2599" s="91"/>
    </row>
    <row r="2600" spans="2:8">
      <c r="B2600" s="91"/>
      <c r="C2600" s="36"/>
      <c r="D2600" s="91"/>
      <c r="E2600" s="91"/>
      <c r="F2600" s="80"/>
      <c r="G2600" s="91"/>
      <c r="H2600" s="91"/>
    </row>
    <row r="2601" spans="2:8">
      <c r="B2601" s="91"/>
      <c r="C2601" s="36"/>
      <c r="D2601" s="91"/>
      <c r="E2601" s="91"/>
      <c r="F2601" s="80"/>
      <c r="G2601" s="91"/>
      <c r="H2601" s="91"/>
    </row>
    <row r="2602" spans="2:8">
      <c r="B2602" s="91"/>
      <c r="C2602" s="36"/>
      <c r="D2602" s="91"/>
      <c r="E2602" s="91"/>
      <c r="F2602" s="80"/>
      <c r="G2602" s="91"/>
      <c r="H2602" s="91"/>
    </row>
    <row r="2603" spans="2:8">
      <c r="B2603" s="91"/>
      <c r="C2603" s="36"/>
      <c r="D2603" s="91"/>
      <c r="E2603" s="91"/>
      <c r="F2603" s="80"/>
      <c r="G2603" s="91"/>
      <c r="H2603" s="91"/>
    </row>
    <row r="2604" spans="2:8">
      <c r="B2604" s="91"/>
      <c r="C2604" s="36"/>
      <c r="D2604" s="91"/>
      <c r="E2604" s="91"/>
      <c r="F2604" s="80"/>
      <c r="G2604" s="91"/>
      <c r="H2604" s="91"/>
    </row>
    <row r="2605" spans="2:8">
      <c r="B2605" s="91"/>
      <c r="C2605" s="36"/>
      <c r="D2605" s="91"/>
      <c r="E2605" s="91"/>
      <c r="F2605" s="80"/>
      <c r="G2605" s="91"/>
      <c r="H2605" s="91"/>
    </row>
    <row r="2606" spans="2:8">
      <c r="B2606" s="91"/>
      <c r="C2606" s="36"/>
      <c r="D2606" s="91"/>
      <c r="E2606" s="91"/>
      <c r="F2606" s="80"/>
      <c r="G2606" s="91"/>
      <c r="H2606" s="91"/>
    </row>
    <row r="2607" spans="2:8">
      <c r="B2607" s="91"/>
      <c r="C2607" s="36"/>
      <c r="D2607" s="91"/>
      <c r="E2607" s="91"/>
      <c r="F2607" s="80"/>
      <c r="G2607" s="91"/>
      <c r="H2607" s="91"/>
    </row>
    <row r="2608" spans="2:8">
      <c r="B2608" s="91"/>
      <c r="C2608" s="36"/>
      <c r="D2608" s="91"/>
      <c r="E2608" s="91"/>
      <c r="F2608" s="80"/>
      <c r="G2608" s="91"/>
      <c r="H2608" s="91"/>
    </row>
    <row r="2609" spans="2:8">
      <c r="B2609" s="91"/>
      <c r="C2609" s="36"/>
      <c r="D2609" s="91"/>
      <c r="E2609" s="91"/>
      <c r="F2609" s="80"/>
      <c r="G2609" s="91"/>
      <c r="H2609" s="91"/>
    </row>
    <row r="2610" spans="2:8">
      <c r="B2610" s="91"/>
      <c r="C2610" s="36"/>
      <c r="D2610" s="91"/>
      <c r="E2610" s="91"/>
      <c r="F2610" s="80"/>
      <c r="G2610" s="91"/>
      <c r="H2610" s="91"/>
    </row>
    <row r="2611" spans="2:8">
      <c r="B2611" s="91"/>
      <c r="C2611" s="36"/>
      <c r="D2611" s="91"/>
      <c r="E2611" s="91"/>
      <c r="F2611" s="80"/>
      <c r="G2611" s="91"/>
      <c r="H2611" s="91"/>
    </row>
    <row r="2612" spans="2:8">
      <c r="B2612" s="91"/>
      <c r="C2612" s="36"/>
      <c r="D2612" s="91"/>
      <c r="E2612" s="91"/>
      <c r="F2612" s="80"/>
      <c r="G2612" s="91"/>
      <c r="H2612" s="91"/>
    </row>
    <row r="2613" spans="2:8">
      <c r="B2613" s="91"/>
      <c r="C2613" s="36"/>
      <c r="D2613" s="91"/>
      <c r="E2613" s="91"/>
      <c r="F2613" s="80"/>
      <c r="G2613" s="91"/>
      <c r="H2613" s="91"/>
    </row>
    <row r="2614" spans="2:8">
      <c r="B2614" s="91"/>
      <c r="C2614" s="36"/>
      <c r="D2614" s="91"/>
      <c r="E2614" s="91"/>
      <c r="F2614" s="80"/>
      <c r="G2614" s="91"/>
      <c r="H2614" s="91"/>
    </row>
    <row r="2615" spans="2:8">
      <c r="B2615" s="91"/>
      <c r="C2615" s="36"/>
      <c r="D2615" s="91"/>
      <c r="E2615" s="91"/>
      <c r="F2615" s="80"/>
      <c r="G2615" s="91"/>
      <c r="H2615" s="91"/>
    </row>
    <row r="2616" spans="2:8">
      <c r="B2616" s="91"/>
      <c r="C2616" s="36"/>
      <c r="D2616" s="91"/>
      <c r="E2616" s="91"/>
      <c r="F2616" s="80"/>
      <c r="G2616" s="91"/>
      <c r="H2616" s="91"/>
    </row>
    <row r="2617" spans="2:8">
      <c r="B2617" s="91"/>
      <c r="C2617" s="36"/>
      <c r="D2617" s="91"/>
      <c r="E2617" s="91"/>
      <c r="F2617" s="80"/>
      <c r="G2617" s="91"/>
      <c r="H2617" s="91"/>
    </row>
    <row r="2618" spans="2:8">
      <c r="B2618" s="91"/>
      <c r="C2618" s="36"/>
      <c r="D2618" s="91"/>
      <c r="E2618" s="91"/>
      <c r="F2618" s="80"/>
      <c r="G2618" s="91"/>
      <c r="H2618" s="91"/>
    </row>
    <row r="2619" spans="2:8">
      <c r="B2619" s="91"/>
      <c r="C2619" s="36"/>
      <c r="D2619" s="91"/>
      <c r="E2619" s="91"/>
      <c r="F2619" s="80"/>
      <c r="G2619" s="91"/>
      <c r="H2619" s="91"/>
    </row>
    <row r="2620" spans="2:8">
      <c r="B2620" s="91"/>
      <c r="C2620" s="36"/>
      <c r="D2620" s="91"/>
      <c r="E2620" s="91"/>
      <c r="F2620" s="80"/>
      <c r="G2620" s="91"/>
      <c r="H2620" s="91"/>
    </row>
    <row r="2621" spans="2:8">
      <c r="B2621" s="91"/>
      <c r="C2621" s="36"/>
      <c r="D2621" s="91"/>
      <c r="E2621" s="91"/>
      <c r="F2621" s="80"/>
      <c r="G2621" s="91"/>
      <c r="H2621" s="91"/>
    </row>
    <row r="2622" spans="2:8">
      <c r="B2622" s="91"/>
      <c r="C2622" s="36"/>
      <c r="D2622" s="91"/>
      <c r="E2622" s="91"/>
      <c r="F2622" s="80"/>
      <c r="G2622" s="91"/>
      <c r="H2622" s="91"/>
    </row>
    <row r="2623" spans="2:8">
      <c r="B2623" s="91"/>
      <c r="C2623" s="36"/>
      <c r="D2623" s="91"/>
      <c r="E2623" s="91"/>
      <c r="F2623" s="80"/>
      <c r="G2623" s="91"/>
      <c r="H2623" s="91"/>
    </row>
    <row r="2624" spans="2:8">
      <c r="B2624" s="91"/>
      <c r="C2624" s="36"/>
      <c r="D2624" s="91"/>
      <c r="E2624" s="91"/>
      <c r="F2624" s="80"/>
      <c r="G2624" s="91"/>
      <c r="H2624" s="91"/>
    </row>
    <row r="2625" spans="2:8">
      <c r="B2625" s="91"/>
      <c r="C2625" s="36"/>
      <c r="D2625" s="91"/>
      <c r="E2625" s="91"/>
      <c r="F2625" s="80"/>
      <c r="G2625" s="91"/>
      <c r="H2625" s="91"/>
    </row>
    <row r="2626" spans="2:8">
      <c r="B2626" s="91"/>
      <c r="C2626" s="36"/>
      <c r="D2626" s="91"/>
      <c r="E2626" s="91"/>
      <c r="F2626" s="80"/>
      <c r="G2626" s="91"/>
      <c r="H2626" s="91"/>
    </row>
    <row r="2627" spans="2:8">
      <c r="B2627" s="91"/>
      <c r="C2627" s="36"/>
      <c r="D2627" s="91"/>
      <c r="E2627" s="91"/>
      <c r="F2627" s="80"/>
      <c r="G2627" s="91"/>
      <c r="H2627" s="91"/>
    </row>
    <row r="2628" spans="2:8">
      <c r="B2628" s="91"/>
      <c r="C2628" s="36"/>
      <c r="D2628" s="91"/>
      <c r="E2628" s="91"/>
      <c r="F2628" s="80"/>
      <c r="G2628" s="91"/>
      <c r="H2628" s="91"/>
    </row>
    <row r="2629" spans="2:8">
      <c r="B2629" s="91"/>
      <c r="C2629" s="36"/>
      <c r="D2629" s="91"/>
      <c r="E2629" s="91"/>
      <c r="F2629" s="80"/>
      <c r="G2629" s="91"/>
      <c r="H2629" s="91"/>
    </row>
    <row r="2630" spans="2:8">
      <c r="B2630" s="91"/>
      <c r="C2630" s="36"/>
      <c r="D2630" s="91"/>
      <c r="E2630" s="91"/>
      <c r="F2630" s="80"/>
      <c r="G2630" s="91"/>
      <c r="H2630" s="91"/>
    </row>
    <row r="2631" spans="2:8">
      <c r="B2631" s="91"/>
      <c r="C2631" s="36"/>
      <c r="D2631" s="91"/>
      <c r="E2631" s="91"/>
      <c r="F2631" s="80"/>
      <c r="G2631" s="91"/>
      <c r="H2631" s="91"/>
    </row>
    <row r="2632" spans="2:8">
      <c r="B2632" s="91"/>
      <c r="C2632" s="36"/>
      <c r="D2632" s="91"/>
      <c r="E2632" s="91"/>
      <c r="F2632" s="80"/>
      <c r="G2632" s="91"/>
      <c r="H2632" s="91"/>
    </row>
    <row r="2633" spans="2:8">
      <c r="B2633" s="91"/>
      <c r="C2633" s="36"/>
      <c r="D2633" s="91"/>
      <c r="E2633" s="91"/>
      <c r="F2633" s="80"/>
      <c r="G2633" s="91"/>
      <c r="H2633" s="91"/>
    </row>
    <row r="2634" spans="2:8">
      <c r="B2634" s="91"/>
      <c r="C2634" s="36"/>
      <c r="D2634" s="91"/>
      <c r="E2634" s="91"/>
      <c r="F2634" s="80"/>
      <c r="G2634" s="91"/>
      <c r="H2634" s="91"/>
    </row>
    <row r="2635" spans="2:8">
      <c r="B2635" s="91"/>
      <c r="C2635" s="36"/>
      <c r="D2635" s="91"/>
      <c r="E2635" s="91"/>
      <c r="F2635" s="80"/>
      <c r="G2635" s="91"/>
      <c r="H2635" s="91"/>
    </row>
    <row r="2636" spans="2:8">
      <c r="B2636" s="91"/>
      <c r="C2636" s="36"/>
      <c r="D2636" s="91"/>
      <c r="E2636" s="91"/>
      <c r="F2636" s="80"/>
      <c r="G2636" s="91"/>
      <c r="H2636" s="91"/>
    </row>
    <row r="2637" spans="2:8">
      <c r="B2637" s="91"/>
      <c r="C2637" s="36"/>
      <c r="D2637" s="91"/>
      <c r="E2637" s="91"/>
      <c r="F2637" s="80"/>
      <c r="G2637" s="91"/>
      <c r="H2637" s="91"/>
    </row>
    <row r="2638" spans="2:8">
      <c r="B2638" s="91"/>
      <c r="C2638" s="36"/>
      <c r="D2638" s="91"/>
      <c r="E2638" s="91"/>
      <c r="F2638" s="80"/>
      <c r="G2638" s="91"/>
      <c r="H2638" s="91"/>
    </row>
    <row r="2639" spans="2:8">
      <c r="B2639" s="91"/>
      <c r="C2639" s="36"/>
      <c r="D2639" s="91"/>
      <c r="E2639" s="91"/>
      <c r="F2639" s="80"/>
      <c r="G2639" s="91"/>
      <c r="H2639" s="91"/>
    </row>
    <row r="2640" spans="2:8">
      <c r="B2640" s="91"/>
      <c r="C2640" s="36"/>
      <c r="D2640" s="91"/>
      <c r="E2640" s="91"/>
      <c r="F2640" s="80"/>
      <c r="G2640" s="91"/>
      <c r="H2640" s="91"/>
    </row>
    <row r="2641" spans="2:8">
      <c r="B2641" s="91"/>
      <c r="C2641" s="36"/>
      <c r="D2641" s="91"/>
      <c r="E2641" s="91"/>
      <c r="F2641" s="80"/>
      <c r="G2641" s="91"/>
      <c r="H2641" s="91"/>
    </row>
    <row r="2642" spans="2:8">
      <c r="B2642" s="91"/>
      <c r="C2642" s="36"/>
      <c r="D2642" s="91"/>
      <c r="E2642" s="91"/>
      <c r="F2642" s="80"/>
      <c r="G2642" s="91"/>
      <c r="H2642" s="91"/>
    </row>
    <row r="2643" spans="2:8">
      <c r="B2643" s="91"/>
      <c r="C2643" s="36"/>
      <c r="D2643" s="91"/>
      <c r="E2643" s="91"/>
      <c r="F2643" s="80"/>
      <c r="G2643" s="91"/>
      <c r="H2643" s="91"/>
    </row>
    <row r="2644" spans="2:8">
      <c r="B2644" s="91"/>
      <c r="C2644" s="36"/>
      <c r="D2644" s="91"/>
      <c r="E2644" s="91"/>
      <c r="F2644" s="80"/>
      <c r="G2644" s="91"/>
      <c r="H2644" s="91"/>
    </row>
    <row r="2645" spans="2:8">
      <c r="B2645" s="91"/>
      <c r="C2645" s="36"/>
      <c r="D2645" s="91"/>
      <c r="E2645" s="91"/>
      <c r="F2645" s="80"/>
      <c r="G2645" s="91"/>
      <c r="H2645" s="91"/>
    </row>
    <row r="2646" spans="2:8">
      <c r="B2646" s="91"/>
      <c r="C2646" s="36"/>
      <c r="D2646" s="91"/>
      <c r="E2646" s="91"/>
      <c r="F2646" s="80"/>
      <c r="G2646" s="91"/>
      <c r="H2646" s="91"/>
    </row>
    <row r="2647" spans="2:8">
      <c r="B2647" s="91"/>
      <c r="C2647" s="36"/>
      <c r="D2647" s="91"/>
      <c r="E2647" s="91"/>
      <c r="F2647" s="80"/>
      <c r="G2647" s="91"/>
      <c r="H2647" s="91"/>
    </row>
    <row r="2648" spans="2:8">
      <c r="B2648" s="91"/>
      <c r="C2648" s="36"/>
      <c r="D2648" s="91"/>
      <c r="E2648" s="91"/>
      <c r="F2648" s="80"/>
      <c r="G2648" s="91"/>
      <c r="H2648" s="91"/>
    </row>
    <row r="2649" spans="2:8">
      <c r="B2649" s="91"/>
      <c r="C2649" s="36"/>
      <c r="D2649" s="91"/>
      <c r="E2649" s="91"/>
      <c r="F2649" s="80"/>
      <c r="G2649" s="91"/>
      <c r="H2649" s="91"/>
    </row>
    <row r="2650" spans="2:8">
      <c r="B2650" s="91"/>
      <c r="C2650" s="36"/>
      <c r="D2650" s="91"/>
      <c r="E2650" s="91"/>
      <c r="F2650" s="80"/>
      <c r="G2650" s="91"/>
      <c r="H2650" s="91"/>
    </row>
    <row r="2651" spans="2:8">
      <c r="B2651" s="91"/>
      <c r="C2651" s="36"/>
      <c r="D2651" s="91"/>
      <c r="E2651" s="91"/>
      <c r="F2651" s="80"/>
      <c r="G2651" s="91"/>
      <c r="H2651" s="91"/>
    </row>
    <row r="2652" spans="2:8">
      <c r="B2652" s="91"/>
      <c r="C2652" s="36"/>
      <c r="D2652" s="91"/>
      <c r="E2652" s="91"/>
      <c r="F2652" s="80"/>
      <c r="G2652" s="91"/>
      <c r="H2652" s="91"/>
    </row>
    <row r="2653" spans="2:8">
      <c r="B2653" s="91"/>
      <c r="C2653" s="36"/>
      <c r="D2653" s="91"/>
      <c r="E2653" s="91"/>
      <c r="F2653" s="80"/>
      <c r="G2653" s="91"/>
      <c r="H2653" s="91"/>
    </row>
    <row r="2654" spans="2:8">
      <c r="B2654" s="91"/>
      <c r="C2654" s="36"/>
      <c r="D2654" s="91"/>
      <c r="E2654" s="91"/>
      <c r="F2654" s="80"/>
      <c r="G2654" s="91"/>
      <c r="H2654" s="91"/>
    </row>
    <row r="2655" spans="2:8">
      <c r="B2655" s="91"/>
      <c r="C2655" s="36"/>
      <c r="D2655" s="91"/>
      <c r="E2655" s="91"/>
      <c r="F2655" s="80"/>
      <c r="G2655" s="91"/>
      <c r="H2655" s="91"/>
    </row>
    <row r="2656" spans="2:8">
      <c r="B2656" s="91"/>
      <c r="C2656" s="36"/>
      <c r="D2656" s="91"/>
      <c r="E2656" s="91"/>
      <c r="F2656" s="80"/>
      <c r="G2656" s="91"/>
      <c r="H2656" s="91"/>
    </row>
    <row r="2657" spans="2:8">
      <c r="B2657" s="91"/>
      <c r="C2657" s="36"/>
      <c r="D2657" s="91"/>
      <c r="E2657" s="91"/>
      <c r="F2657" s="80"/>
      <c r="G2657" s="91"/>
      <c r="H2657" s="91"/>
    </row>
    <row r="2658" spans="2:8">
      <c r="B2658" s="91"/>
      <c r="C2658" s="36"/>
      <c r="D2658" s="91"/>
      <c r="E2658" s="91"/>
      <c r="F2658" s="80"/>
      <c r="G2658" s="91"/>
      <c r="H2658" s="91"/>
    </row>
    <row r="2659" spans="2:8">
      <c r="B2659" s="91"/>
      <c r="C2659" s="36"/>
      <c r="D2659" s="91"/>
      <c r="E2659" s="91"/>
      <c r="F2659" s="80"/>
      <c r="G2659" s="91"/>
      <c r="H2659" s="91"/>
    </row>
    <row r="2660" spans="2:8">
      <c r="B2660" s="91"/>
      <c r="C2660" s="36"/>
      <c r="D2660" s="91"/>
      <c r="E2660" s="91"/>
      <c r="F2660" s="80"/>
      <c r="G2660" s="91"/>
      <c r="H2660" s="91"/>
    </row>
    <row r="2661" spans="2:8">
      <c r="B2661" s="91"/>
      <c r="C2661" s="36"/>
      <c r="D2661" s="91"/>
      <c r="E2661" s="91"/>
      <c r="F2661" s="80"/>
      <c r="G2661" s="91"/>
      <c r="H2661" s="91"/>
    </row>
    <row r="2662" spans="2:8">
      <c r="B2662" s="91"/>
      <c r="C2662" s="36"/>
      <c r="D2662" s="91"/>
      <c r="E2662" s="91"/>
      <c r="F2662" s="80"/>
      <c r="G2662" s="91"/>
      <c r="H2662" s="91"/>
    </row>
    <row r="2663" spans="2:8">
      <c r="B2663" s="91"/>
      <c r="C2663" s="36"/>
      <c r="D2663" s="91"/>
      <c r="E2663" s="91"/>
      <c r="F2663" s="80"/>
      <c r="G2663" s="91"/>
      <c r="H2663" s="91"/>
    </row>
    <row r="2664" spans="2:8">
      <c r="B2664" s="91"/>
      <c r="C2664" s="36"/>
      <c r="D2664" s="91"/>
      <c r="E2664" s="91"/>
      <c r="F2664" s="80"/>
      <c r="G2664" s="91"/>
      <c r="H2664" s="91"/>
    </row>
    <row r="2665" spans="2:8">
      <c r="B2665" s="91"/>
      <c r="C2665" s="36"/>
      <c r="D2665" s="91"/>
      <c r="E2665" s="91"/>
      <c r="F2665" s="80"/>
      <c r="G2665" s="91"/>
      <c r="H2665" s="91"/>
    </row>
    <row r="2666" spans="2:8">
      <c r="B2666" s="91"/>
      <c r="C2666" s="36"/>
      <c r="D2666" s="91"/>
      <c r="E2666" s="91"/>
      <c r="F2666" s="80"/>
      <c r="G2666" s="91"/>
      <c r="H2666" s="91"/>
    </row>
    <row r="2667" spans="2:8">
      <c r="B2667" s="91"/>
      <c r="C2667" s="36"/>
      <c r="D2667" s="91"/>
      <c r="E2667" s="91"/>
      <c r="F2667" s="80"/>
      <c r="G2667" s="91"/>
      <c r="H2667" s="91"/>
    </row>
    <row r="2668" spans="2:8">
      <c r="B2668" s="91"/>
      <c r="C2668" s="36"/>
      <c r="D2668" s="91"/>
      <c r="E2668" s="91"/>
      <c r="F2668" s="80"/>
      <c r="G2668" s="91"/>
      <c r="H2668" s="91"/>
    </row>
    <row r="2669" spans="2:8">
      <c r="B2669" s="91"/>
      <c r="C2669" s="36"/>
      <c r="D2669" s="91"/>
      <c r="E2669" s="91"/>
      <c r="F2669" s="80"/>
      <c r="G2669" s="91"/>
      <c r="H2669" s="91"/>
    </row>
    <row r="2670" spans="2:8">
      <c r="B2670" s="91"/>
      <c r="C2670" s="36"/>
      <c r="D2670" s="91"/>
      <c r="E2670" s="91"/>
      <c r="F2670" s="80"/>
      <c r="G2670" s="91"/>
      <c r="H2670" s="91"/>
    </row>
    <row r="2671" spans="2:8">
      <c r="B2671" s="91"/>
      <c r="C2671" s="36"/>
      <c r="D2671" s="91"/>
      <c r="E2671" s="91"/>
      <c r="F2671" s="80"/>
      <c r="G2671" s="91"/>
      <c r="H2671" s="91"/>
    </row>
    <row r="2672" spans="2:8">
      <c r="B2672" s="91"/>
      <c r="C2672" s="36"/>
      <c r="D2672" s="91"/>
      <c r="E2672" s="91"/>
      <c r="F2672" s="80"/>
      <c r="G2672" s="91"/>
      <c r="H2672" s="91"/>
    </row>
    <row r="2673" spans="2:8">
      <c r="B2673" s="91"/>
      <c r="C2673" s="36"/>
      <c r="D2673" s="91"/>
      <c r="E2673" s="91"/>
      <c r="F2673" s="80"/>
      <c r="G2673" s="91"/>
      <c r="H2673" s="91"/>
    </row>
    <row r="2674" spans="2:8">
      <c r="B2674" s="91"/>
      <c r="C2674" s="36"/>
      <c r="D2674" s="91"/>
      <c r="E2674" s="91"/>
      <c r="F2674" s="80"/>
      <c r="G2674" s="91"/>
      <c r="H2674" s="91"/>
    </row>
    <row r="2675" spans="2:8">
      <c r="B2675" s="91"/>
      <c r="C2675" s="36"/>
      <c r="D2675" s="91"/>
      <c r="E2675" s="91"/>
      <c r="F2675" s="80"/>
      <c r="G2675" s="91"/>
      <c r="H2675" s="91"/>
    </row>
    <row r="2676" spans="2:8">
      <c r="B2676" s="91"/>
      <c r="C2676" s="36"/>
      <c r="D2676" s="91"/>
      <c r="E2676" s="91"/>
      <c r="F2676" s="80"/>
      <c r="G2676" s="91"/>
      <c r="H2676" s="91"/>
    </row>
    <row r="2677" spans="2:8">
      <c r="B2677" s="91"/>
      <c r="C2677" s="36"/>
      <c r="D2677" s="91"/>
      <c r="E2677" s="91"/>
      <c r="F2677" s="80"/>
      <c r="G2677" s="91"/>
      <c r="H2677" s="91"/>
    </row>
    <row r="2678" spans="2:8">
      <c r="B2678" s="91"/>
      <c r="C2678" s="36"/>
      <c r="D2678" s="91"/>
      <c r="E2678" s="91"/>
      <c r="F2678" s="80"/>
      <c r="G2678" s="91"/>
      <c r="H2678" s="91"/>
    </row>
    <row r="2679" spans="2:8">
      <c r="B2679" s="91"/>
      <c r="C2679" s="36"/>
      <c r="D2679" s="91"/>
      <c r="E2679" s="91"/>
      <c r="F2679" s="80"/>
      <c r="G2679" s="91"/>
      <c r="H2679" s="91"/>
    </row>
    <row r="2680" spans="2:8">
      <c r="B2680" s="91"/>
      <c r="C2680" s="36"/>
      <c r="D2680" s="91"/>
      <c r="E2680" s="91"/>
      <c r="F2680" s="80"/>
      <c r="G2680" s="91"/>
      <c r="H2680" s="91"/>
    </row>
    <row r="2681" spans="2:8">
      <c r="B2681" s="91"/>
      <c r="C2681" s="36"/>
      <c r="D2681" s="91"/>
      <c r="E2681" s="91"/>
      <c r="F2681" s="80"/>
      <c r="G2681" s="91"/>
      <c r="H2681" s="91"/>
    </row>
    <row r="2682" spans="2:8">
      <c r="B2682" s="91"/>
      <c r="C2682" s="36"/>
      <c r="D2682" s="91"/>
      <c r="E2682" s="91"/>
      <c r="F2682" s="80"/>
      <c r="G2682" s="91"/>
      <c r="H2682" s="91"/>
    </row>
    <row r="2683" spans="2:8">
      <c r="B2683" s="91"/>
      <c r="C2683" s="36"/>
      <c r="D2683" s="91"/>
      <c r="E2683" s="91"/>
      <c r="F2683" s="80"/>
      <c r="G2683" s="91"/>
      <c r="H2683" s="91"/>
    </row>
    <row r="2684" spans="2:8">
      <c r="B2684" s="91"/>
      <c r="C2684" s="36"/>
      <c r="D2684" s="91"/>
      <c r="E2684" s="91"/>
      <c r="F2684" s="80"/>
      <c r="G2684" s="91"/>
      <c r="H2684" s="91"/>
    </row>
    <row r="2685" spans="2:8">
      <c r="B2685" s="91"/>
      <c r="C2685" s="36"/>
      <c r="D2685" s="91"/>
      <c r="E2685" s="91"/>
      <c r="F2685" s="80"/>
      <c r="G2685" s="91"/>
      <c r="H2685" s="91"/>
    </row>
    <row r="2686" spans="2:8">
      <c r="B2686" s="91"/>
      <c r="C2686" s="36"/>
      <c r="D2686" s="91"/>
      <c r="E2686" s="91"/>
      <c r="F2686" s="80"/>
      <c r="G2686" s="91"/>
      <c r="H2686" s="91"/>
    </row>
    <row r="2687" spans="2:8">
      <c r="B2687" s="91"/>
      <c r="C2687" s="36"/>
      <c r="D2687" s="91"/>
      <c r="E2687" s="91"/>
      <c r="F2687" s="80"/>
      <c r="G2687" s="91"/>
      <c r="H2687" s="91"/>
    </row>
    <row r="2688" spans="2:8">
      <c r="B2688" s="91"/>
      <c r="C2688" s="36"/>
      <c r="D2688" s="91"/>
      <c r="E2688" s="91"/>
      <c r="F2688" s="80"/>
      <c r="G2688" s="91"/>
      <c r="H2688" s="91"/>
    </row>
    <row r="2689" spans="2:8">
      <c r="B2689" s="91"/>
      <c r="C2689" s="36"/>
      <c r="D2689" s="91"/>
      <c r="E2689" s="91"/>
      <c r="F2689" s="80"/>
      <c r="G2689" s="91"/>
      <c r="H2689" s="91"/>
    </row>
    <row r="2690" spans="2:8">
      <c r="B2690" s="91"/>
      <c r="C2690" s="36"/>
      <c r="D2690" s="91"/>
      <c r="E2690" s="91"/>
      <c r="F2690" s="80"/>
      <c r="G2690" s="91"/>
      <c r="H2690" s="91"/>
    </row>
    <row r="2691" spans="2:8">
      <c r="B2691" s="91"/>
      <c r="C2691" s="36"/>
      <c r="D2691" s="91"/>
      <c r="E2691" s="91"/>
      <c r="F2691" s="80"/>
      <c r="G2691" s="91"/>
      <c r="H2691" s="91"/>
    </row>
    <row r="2692" spans="2:8">
      <c r="B2692" s="91"/>
      <c r="C2692" s="36"/>
      <c r="D2692" s="91"/>
      <c r="E2692" s="91"/>
      <c r="F2692" s="80"/>
      <c r="G2692" s="91"/>
      <c r="H2692" s="91"/>
    </row>
    <row r="2693" spans="2:8">
      <c r="B2693" s="91"/>
      <c r="C2693" s="36"/>
      <c r="D2693" s="91"/>
      <c r="E2693" s="91"/>
      <c r="F2693" s="80"/>
      <c r="G2693" s="91"/>
      <c r="H2693" s="91"/>
    </row>
    <row r="2694" spans="2:8">
      <c r="B2694" s="91"/>
      <c r="C2694" s="36"/>
      <c r="D2694" s="91"/>
      <c r="E2694" s="91"/>
      <c r="F2694" s="80"/>
      <c r="G2694" s="91"/>
      <c r="H2694" s="91"/>
    </row>
    <row r="2695" spans="2:8">
      <c r="B2695" s="91"/>
      <c r="C2695" s="36"/>
      <c r="D2695" s="91"/>
      <c r="E2695" s="91"/>
      <c r="F2695" s="80"/>
      <c r="G2695" s="91"/>
      <c r="H2695" s="91"/>
    </row>
    <row r="2696" spans="2:8">
      <c r="B2696" s="91"/>
      <c r="C2696" s="36"/>
      <c r="D2696" s="91"/>
      <c r="E2696" s="91"/>
      <c r="F2696" s="80"/>
      <c r="G2696" s="91"/>
      <c r="H2696" s="91"/>
    </row>
    <row r="2697" spans="2:8">
      <c r="B2697" s="91"/>
      <c r="C2697" s="36"/>
      <c r="D2697" s="91"/>
      <c r="E2697" s="91"/>
      <c r="F2697" s="80"/>
      <c r="G2697" s="91"/>
      <c r="H2697" s="91"/>
    </row>
    <row r="2698" spans="2:8">
      <c r="B2698" s="91"/>
      <c r="C2698" s="36"/>
      <c r="D2698" s="91"/>
      <c r="E2698" s="91"/>
      <c r="F2698" s="80"/>
      <c r="G2698" s="91"/>
      <c r="H2698" s="91"/>
    </row>
    <row r="2699" spans="2:8">
      <c r="B2699" s="91"/>
      <c r="C2699" s="36"/>
      <c r="D2699" s="91"/>
      <c r="E2699" s="91"/>
      <c r="F2699" s="80"/>
      <c r="G2699" s="91"/>
      <c r="H2699" s="91"/>
    </row>
    <row r="2700" spans="2:8">
      <c r="B2700" s="91"/>
      <c r="C2700" s="36"/>
      <c r="D2700" s="91"/>
      <c r="E2700" s="91"/>
      <c r="F2700" s="80"/>
      <c r="G2700" s="91"/>
      <c r="H2700" s="91"/>
    </row>
    <row r="2701" spans="2:8">
      <c r="B2701" s="91"/>
      <c r="C2701" s="36"/>
      <c r="D2701" s="91"/>
      <c r="E2701" s="91"/>
      <c r="F2701" s="80"/>
      <c r="G2701" s="91"/>
      <c r="H2701" s="91"/>
    </row>
    <row r="2702" spans="2:8">
      <c r="B2702" s="91"/>
      <c r="C2702" s="36"/>
      <c r="D2702" s="91"/>
      <c r="E2702" s="91"/>
      <c r="F2702" s="80"/>
      <c r="G2702" s="91"/>
      <c r="H2702" s="91"/>
    </row>
    <row r="2703" spans="2:8">
      <c r="B2703" s="91"/>
      <c r="C2703" s="36"/>
      <c r="D2703" s="91"/>
      <c r="E2703" s="91"/>
      <c r="F2703" s="80"/>
      <c r="G2703" s="91"/>
      <c r="H2703" s="91"/>
    </row>
    <row r="2704" spans="2:8">
      <c r="B2704" s="91"/>
      <c r="C2704" s="36"/>
      <c r="D2704" s="91"/>
      <c r="E2704" s="91"/>
      <c r="F2704" s="80"/>
      <c r="G2704" s="91"/>
      <c r="H2704" s="91"/>
    </row>
    <row r="2705" spans="2:8">
      <c r="B2705" s="91"/>
      <c r="C2705" s="36"/>
      <c r="D2705" s="91"/>
      <c r="E2705" s="91"/>
      <c r="F2705" s="80"/>
      <c r="G2705" s="91"/>
      <c r="H2705" s="91"/>
    </row>
    <row r="2706" spans="2:8">
      <c r="B2706" s="91"/>
      <c r="C2706" s="36"/>
      <c r="D2706" s="91"/>
      <c r="E2706" s="91"/>
      <c r="F2706" s="80"/>
      <c r="G2706" s="91"/>
      <c r="H2706" s="91"/>
    </row>
    <row r="2707" spans="2:8">
      <c r="B2707" s="91"/>
      <c r="C2707" s="36"/>
      <c r="D2707" s="91"/>
      <c r="E2707" s="91"/>
      <c r="F2707" s="80"/>
      <c r="G2707" s="91"/>
      <c r="H2707" s="91"/>
    </row>
    <row r="2708" spans="2:8">
      <c r="B2708" s="91"/>
      <c r="C2708" s="36"/>
      <c r="D2708" s="91"/>
      <c r="E2708" s="91"/>
      <c r="F2708" s="80"/>
      <c r="G2708" s="91"/>
      <c r="H2708" s="91"/>
    </row>
    <row r="2709" spans="2:8">
      <c r="B2709" s="91"/>
      <c r="C2709" s="36"/>
      <c r="D2709" s="91"/>
      <c r="E2709" s="91"/>
      <c r="F2709" s="80"/>
      <c r="G2709" s="91"/>
      <c r="H2709" s="91"/>
    </row>
    <row r="2710" spans="2:8">
      <c r="B2710" s="91"/>
      <c r="C2710" s="36"/>
      <c r="D2710" s="91"/>
      <c r="E2710" s="91"/>
      <c r="F2710" s="80"/>
      <c r="G2710" s="91"/>
      <c r="H2710" s="91"/>
    </row>
    <row r="2711" spans="2:8">
      <c r="B2711" s="91"/>
      <c r="C2711" s="36"/>
      <c r="D2711" s="91"/>
      <c r="E2711" s="91"/>
      <c r="F2711" s="80"/>
      <c r="G2711" s="91"/>
      <c r="H2711" s="91"/>
    </row>
    <row r="2712" spans="2:8">
      <c r="B2712" s="91"/>
      <c r="C2712" s="36"/>
      <c r="D2712" s="91"/>
      <c r="E2712" s="91"/>
      <c r="F2712" s="80"/>
      <c r="G2712" s="91"/>
      <c r="H2712" s="91"/>
    </row>
    <row r="2713" spans="2:8">
      <c r="B2713" s="91"/>
      <c r="C2713" s="36"/>
      <c r="D2713" s="91"/>
      <c r="E2713" s="91"/>
      <c r="F2713" s="80"/>
      <c r="G2713" s="91"/>
      <c r="H2713" s="91"/>
    </row>
    <row r="2714" spans="2:8">
      <c r="B2714" s="91"/>
      <c r="C2714" s="36"/>
      <c r="D2714" s="91"/>
      <c r="E2714" s="91"/>
      <c r="F2714" s="80"/>
      <c r="G2714" s="91"/>
      <c r="H2714" s="91"/>
    </row>
    <row r="2715" spans="2:8">
      <c r="B2715" s="91"/>
      <c r="C2715" s="36"/>
      <c r="D2715" s="91"/>
      <c r="E2715" s="91"/>
      <c r="F2715" s="80"/>
      <c r="G2715" s="91"/>
      <c r="H2715" s="91"/>
    </row>
    <row r="2716" spans="2:8">
      <c r="B2716" s="91"/>
      <c r="C2716" s="36"/>
      <c r="D2716" s="91"/>
      <c r="E2716" s="91"/>
      <c r="F2716" s="80"/>
      <c r="G2716" s="91"/>
      <c r="H2716" s="91"/>
    </row>
    <row r="2717" spans="2:8">
      <c r="B2717" s="91"/>
      <c r="C2717" s="36"/>
      <c r="D2717" s="91"/>
      <c r="E2717" s="91"/>
      <c r="F2717" s="80"/>
      <c r="G2717" s="91"/>
      <c r="H2717" s="91"/>
    </row>
    <row r="2718" spans="2:8">
      <c r="B2718" s="91"/>
      <c r="C2718" s="36"/>
      <c r="D2718" s="91"/>
      <c r="E2718" s="91"/>
      <c r="F2718" s="80"/>
      <c r="G2718" s="91"/>
      <c r="H2718" s="91"/>
    </row>
    <row r="2719" spans="2:8">
      <c r="B2719" s="91"/>
      <c r="C2719" s="36"/>
      <c r="D2719" s="91"/>
      <c r="E2719" s="91"/>
      <c r="F2719" s="80"/>
      <c r="G2719" s="91"/>
      <c r="H2719" s="91"/>
    </row>
    <row r="2720" spans="2:8">
      <c r="B2720" s="91"/>
      <c r="C2720" s="36"/>
      <c r="D2720" s="91"/>
      <c r="E2720" s="91"/>
      <c r="F2720" s="80"/>
      <c r="G2720" s="91"/>
      <c r="H2720" s="91"/>
    </row>
    <row r="2721" spans="2:8">
      <c r="B2721" s="91"/>
      <c r="C2721" s="36"/>
      <c r="D2721" s="91"/>
      <c r="E2721" s="91"/>
      <c r="F2721" s="80"/>
      <c r="G2721" s="91"/>
      <c r="H2721" s="91"/>
    </row>
    <row r="2722" spans="2:8">
      <c r="B2722" s="91"/>
      <c r="C2722" s="36"/>
      <c r="D2722" s="91"/>
      <c r="E2722" s="91"/>
      <c r="F2722" s="80"/>
      <c r="G2722" s="91"/>
      <c r="H2722" s="91"/>
    </row>
    <row r="2723" spans="2:8">
      <c r="B2723" s="91"/>
      <c r="C2723" s="36"/>
      <c r="D2723" s="91"/>
      <c r="E2723" s="91"/>
      <c r="F2723" s="80"/>
      <c r="G2723" s="91"/>
      <c r="H2723" s="91"/>
    </row>
    <row r="2724" spans="2:8">
      <c r="B2724" s="91"/>
      <c r="C2724" s="36"/>
      <c r="D2724" s="91"/>
      <c r="E2724" s="91"/>
      <c r="F2724" s="80"/>
      <c r="G2724" s="91"/>
      <c r="H2724" s="91"/>
    </row>
    <row r="2725" spans="2:8">
      <c r="B2725" s="91"/>
      <c r="C2725" s="36"/>
      <c r="D2725" s="91"/>
      <c r="E2725" s="91"/>
      <c r="F2725" s="80"/>
      <c r="G2725" s="91"/>
      <c r="H2725" s="91"/>
    </row>
    <row r="2726" spans="2:8">
      <c r="B2726" s="91"/>
      <c r="C2726" s="36"/>
      <c r="D2726" s="91"/>
      <c r="E2726" s="91"/>
      <c r="F2726" s="80"/>
      <c r="G2726" s="91"/>
      <c r="H2726" s="91"/>
    </row>
    <row r="2727" spans="2:8">
      <c r="B2727" s="91"/>
      <c r="C2727" s="36"/>
      <c r="D2727" s="91"/>
      <c r="E2727" s="91"/>
      <c r="F2727" s="80"/>
      <c r="G2727" s="91"/>
      <c r="H2727" s="91"/>
    </row>
    <row r="2728" spans="2:8">
      <c r="B2728" s="91"/>
      <c r="C2728" s="36"/>
      <c r="D2728" s="91"/>
      <c r="E2728" s="91"/>
      <c r="F2728" s="80"/>
      <c r="G2728" s="91"/>
      <c r="H2728" s="91"/>
    </row>
    <row r="2729" spans="2:8">
      <c r="B2729" s="91"/>
      <c r="C2729" s="36"/>
      <c r="D2729" s="91"/>
      <c r="E2729" s="91"/>
      <c r="F2729" s="80"/>
      <c r="G2729" s="91"/>
      <c r="H2729" s="91"/>
    </row>
    <row r="2730" spans="2:8">
      <c r="B2730" s="91"/>
      <c r="C2730" s="36"/>
      <c r="D2730" s="91"/>
      <c r="E2730" s="91"/>
      <c r="F2730" s="80"/>
      <c r="G2730" s="91"/>
      <c r="H2730" s="91"/>
    </row>
    <row r="2731" spans="2:8">
      <c r="B2731" s="91"/>
      <c r="C2731" s="36"/>
      <c r="D2731" s="91"/>
      <c r="E2731" s="91"/>
      <c r="F2731" s="80"/>
      <c r="G2731" s="91"/>
      <c r="H2731" s="91"/>
    </row>
    <row r="2732" spans="2:8">
      <c r="B2732" s="91"/>
      <c r="C2732" s="36"/>
      <c r="D2732" s="91"/>
      <c r="E2732" s="91"/>
      <c r="F2732" s="80"/>
      <c r="G2732" s="91"/>
      <c r="H2732" s="91"/>
    </row>
    <row r="2733" spans="2:8">
      <c r="B2733" s="91"/>
      <c r="C2733" s="36"/>
      <c r="D2733" s="91"/>
      <c r="E2733" s="91"/>
      <c r="F2733" s="80"/>
      <c r="G2733" s="91"/>
      <c r="H2733" s="91"/>
    </row>
    <row r="2734" spans="2:8">
      <c r="B2734" s="91"/>
      <c r="C2734" s="36"/>
      <c r="D2734" s="91"/>
      <c r="E2734" s="91"/>
      <c r="F2734" s="80"/>
      <c r="G2734" s="91"/>
      <c r="H2734" s="91"/>
    </row>
    <row r="2735" spans="2:8">
      <c r="B2735" s="91"/>
      <c r="C2735" s="36"/>
      <c r="D2735" s="91"/>
      <c r="E2735" s="91"/>
      <c r="F2735" s="80"/>
      <c r="G2735" s="91"/>
      <c r="H2735" s="91"/>
    </row>
    <row r="2736" spans="2:8">
      <c r="B2736" s="91"/>
      <c r="C2736" s="36"/>
      <c r="D2736" s="91"/>
      <c r="E2736" s="91"/>
      <c r="F2736" s="80"/>
      <c r="G2736" s="91"/>
      <c r="H2736" s="91"/>
    </row>
    <row r="2737" spans="2:8">
      <c r="B2737" s="91"/>
      <c r="C2737" s="36"/>
      <c r="D2737" s="91"/>
      <c r="E2737" s="91"/>
      <c r="F2737" s="80"/>
      <c r="G2737" s="91"/>
      <c r="H2737" s="91"/>
    </row>
    <row r="2738" spans="2:8">
      <c r="B2738" s="91"/>
      <c r="C2738" s="36"/>
      <c r="D2738" s="91"/>
      <c r="E2738" s="91"/>
      <c r="F2738" s="80"/>
      <c r="G2738" s="91"/>
      <c r="H2738" s="91"/>
    </row>
    <row r="2739" spans="2:8">
      <c r="B2739" s="91"/>
      <c r="C2739" s="36"/>
      <c r="D2739" s="91"/>
      <c r="E2739" s="91"/>
      <c r="F2739" s="80"/>
      <c r="G2739" s="91"/>
      <c r="H2739" s="91"/>
    </row>
    <row r="2740" spans="2:8">
      <c r="B2740" s="91"/>
      <c r="C2740" s="36"/>
      <c r="D2740" s="91"/>
      <c r="E2740" s="91"/>
      <c r="F2740" s="80"/>
      <c r="G2740" s="91"/>
      <c r="H2740" s="91"/>
    </row>
    <row r="2741" spans="2:8">
      <c r="B2741" s="91"/>
      <c r="C2741" s="36"/>
      <c r="D2741" s="91"/>
      <c r="E2741" s="91"/>
      <c r="F2741" s="80"/>
      <c r="G2741" s="91"/>
      <c r="H2741" s="91"/>
    </row>
    <row r="2742" spans="2:8">
      <c r="B2742" s="91"/>
      <c r="C2742" s="36"/>
      <c r="D2742" s="91"/>
      <c r="E2742" s="91"/>
      <c r="F2742" s="80"/>
      <c r="G2742" s="91"/>
      <c r="H2742" s="91"/>
    </row>
    <row r="2743" spans="2:8">
      <c r="B2743" s="91"/>
      <c r="C2743" s="36"/>
      <c r="D2743" s="91"/>
      <c r="E2743" s="91"/>
      <c r="F2743" s="80"/>
      <c r="G2743" s="91"/>
      <c r="H2743" s="91"/>
    </row>
    <row r="2744" spans="2:8">
      <c r="B2744" s="91"/>
      <c r="C2744" s="36"/>
      <c r="D2744" s="91"/>
      <c r="E2744" s="91"/>
      <c r="F2744" s="80"/>
      <c r="G2744" s="91"/>
      <c r="H2744" s="91"/>
    </row>
    <row r="2745" spans="2:8">
      <c r="B2745" s="91"/>
      <c r="C2745" s="36"/>
      <c r="D2745" s="91"/>
      <c r="E2745" s="91"/>
      <c r="F2745" s="80"/>
      <c r="G2745" s="91"/>
      <c r="H2745" s="91"/>
    </row>
    <row r="2746" spans="2:8">
      <c r="B2746" s="91"/>
      <c r="C2746" s="36"/>
      <c r="D2746" s="91"/>
      <c r="E2746" s="91"/>
      <c r="F2746" s="80"/>
      <c r="G2746" s="91"/>
      <c r="H2746" s="91"/>
    </row>
    <row r="2747" spans="2:8">
      <c r="B2747" s="91"/>
      <c r="C2747" s="36"/>
      <c r="D2747" s="91"/>
      <c r="E2747" s="91"/>
      <c r="F2747" s="80"/>
      <c r="G2747" s="91"/>
      <c r="H2747" s="91"/>
    </row>
    <row r="2748" spans="2:8">
      <c r="B2748" s="91"/>
      <c r="C2748" s="36"/>
      <c r="D2748" s="91"/>
      <c r="E2748" s="91"/>
      <c r="F2748" s="80"/>
      <c r="G2748" s="91"/>
      <c r="H2748" s="91"/>
    </row>
    <row r="2749" spans="2:8">
      <c r="B2749" s="91"/>
      <c r="C2749" s="36"/>
      <c r="D2749" s="91"/>
      <c r="E2749" s="91"/>
      <c r="F2749" s="80"/>
      <c r="G2749" s="91"/>
      <c r="H2749" s="91"/>
    </row>
    <row r="2750" spans="2:8">
      <c r="B2750" s="91"/>
      <c r="C2750" s="36"/>
      <c r="D2750" s="91"/>
      <c r="E2750" s="91"/>
      <c r="F2750" s="80"/>
      <c r="G2750" s="91"/>
      <c r="H2750" s="91"/>
    </row>
    <row r="2751" spans="2:8">
      <c r="B2751" s="91"/>
      <c r="C2751" s="36"/>
      <c r="D2751" s="91"/>
      <c r="E2751" s="91"/>
      <c r="F2751" s="80"/>
      <c r="G2751" s="91"/>
      <c r="H2751" s="91"/>
    </row>
    <row r="2752" spans="2:8">
      <c r="B2752" s="91"/>
      <c r="C2752" s="36"/>
      <c r="D2752" s="91"/>
      <c r="E2752" s="91"/>
      <c r="F2752" s="80"/>
      <c r="G2752" s="91"/>
      <c r="H2752" s="91"/>
    </row>
    <row r="2753" spans="2:8">
      <c r="B2753" s="91"/>
      <c r="C2753" s="36"/>
      <c r="D2753" s="91"/>
      <c r="E2753" s="91"/>
      <c r="F2753" s="80"/>
      <c r="G2753" s="91"/>
      <c r="H2753" s="91"/>
    </row>
    <row r="2754" spans="2:8">
      <c r="B2754" s="91"/>
      <c r="C2754" s="36"/>
      <c r="D2754" s="91"/>
      <c r="E2754" s="91"/>
      <c r="F2754" s="80"/>
      <c r="G2754" s="91"/>
      <c r="H2754" s="91"/>
    </row>
    <row r="2755" spans="2:8">
      <c r="B2755" s="91"/>
      <c r="C2755" s="36"/>
      <c r="D2755" s="91"/>
      <c r="E2755" s="91"/>
      <c r="F2755" s="80"/>
      <c r="G2755" s="91"/>
      <c r="H2755" s="91"/>
    </row>
    <row r="2756" spans="2:8">
      <c r="B2756" s="91"/>
      <c r="C2756" s="36"/>
      <c r="D2756" s="91"/>
      <c r="E2756" s="91"/>
      <c r="F2756" s="80"/>
      <c r="G2756" s="91"/>
      <c r="H2756" s="91"/>
    </row>
    <row r="2757" spans="2:8">
      <c r="B2757" s="91"/>
      <c r="C2757" s="36"/>
      <c r="D2757" s="91"/>
      <c r="E2757" s="91"/>
      <c r="F2757" s="80"/>
      <c r="G2757" s="91"/>
      <c r="H2757" s="91"/>
    </row>
    <row r="2758" spans="2:8">
      <c r="B2758" s="91"/>
      <c r="C2758" s="36"/>
      <c r="D2758" s="91"/>
      <c r="E2758" s="91"/>
      <c r="F2758" s="80"/>
      <c r="G2758" s="91"/>
      <c r="H2758" s="91"/>
    </row>
    <row r="2759" spans="2:8">
      <c r="B2759" s="91"/>
      <c r="C2759" s="36"/>
      <c r="D2759" s="91"/>
      <c r="E2759" s="91"/>
      <c r="F2759" s="80"/>
      <c r="G2759" s="91"/>
      <c r="H2759" s="91"/>
    </row>
    <row r="2760" spans="2:8">
      <c r="B2760" s="91"/>
      <c r="C2760" s="36"/>
      <c r="D2760" s="91"/>
      <c r="E2760" s="91"/>
      <c r="F2760" s="80"/>
      <c r="G2760" s="91"/>
      <c r="H2760" s="91"/>
    </row>
    <row r="2761" spans="2:8">
      <c r="B2761" s="91"/>
      <c r="C2761" s="36"/>
      <c r="D2761" s="91"/>
      <c r="E2761" s="91"/>
      <c r="F2761" s="80"/>
      <c r="G2761" s="91"/>
      <c r="H2761" s="91"/>
    </row>
    <row r="2762" spans="2:8">
      <c r="B2762" s="91"/>
      <c r="C2762" s="36"/>
      <c r="D2762" s="91"/>
      <c r="E2762" s="91"/>
      <c r="F2762" s="80"/>
      <c r="G2762" s="91"/>
      <c r="H2762" s="91"/>
    </row>
    <row r="2763" spans="2:8">
      <c r="B2763" s="91"/>
      <c r="C2763" s="36"/>
      <c r="D2763" s="91"/>
      <c r="E2763" s="91"/>
      <c r="F2763" s="80"/>
      <c r="G2763" s="91"/>
      <c r="H2763" s="91"/>
    </row>
    <row r="2764" spans="2:8">
      <c r="B2764" s="91"/>
      <c r="C2764" s="36"/>
      <c r="D2764" s="91"/>
      <c r="E2764" s="91"/>
      <c r="F2764" s="80"/>
      <c r="G2764" s="91"/>
      <c r="H2764" s="91"/>
    </row>
    <row r="2765" spans="2:8">
      <c r="B2765" s="91"/>
      <c r="C2765" s="36"/>
      <c r="D2765" s="91"/>
      <c r="E2765" s="91"/>
      <c r="F2765" s="80"/>
      <c r="G2765" s="91"/>
      <c r="H2765" s="91"/>
    </row>
    <row r="2766" spans="2:8">
      <c r="B2766" s="91"/>
      <c r="C2766" s="36"/>
      <c r="D2766" s="91"/>
      <c r="E2766" s="91"/>
      <c r="F2766" s="80"/>
      <c r="G2766" s="91"/>
      <c r="H2766" s="91"/>
    </row>
    <row r="2767" spans="2:8">
      <c r="B2767" s="91"/>
      <c r="C2767" s="36"/>
      <c r="D2767" s="91"/>
      <c r="E2767" s="91"/>
      <c r="F2767" s="80"/>
      <c r="G2767" s="91"/>
      <c r="H2767" s="91"/>
    </row>
    <row r="2768" spans="2:8">
      <c r="B2768" s="91"/>
      <c r="C2768" s="36"/>
      <c r="D2768" s="91"/>
      <c r="E2768" s="91"/>
      <c r="F2768" s="80"/>
      <c r="G2768" s="91"/>
      <c r="H2768" s="91"/>
    </row>
    <row r="2769" spans="2:8">
      <c r="B2769" s="91"/>
      <c r="C2769" s="36"/>
      <c r="D2769" s="91"/>
      <c r="E2769" s="91"/>
      <c r="F2769" s="80"/>
      <c r="G2769" s="91"/>
      <c r="H2769" s="91"/>
    </row>
    <row r="2770" spans="2:8">
      <c r="B2770" s="91"/>
      <c r="C2770" s="36"/>
      <c r="D2770" s="91"/>
      <c r="E2770" s="91"/>
      <c r="F2770" s="80"/>
      <c r="G2770" s="91"/>
      <c r="H2770" s="91"/>
    </row>
    <row r="2771" spans="2:8">
      <c r="B2771" s="91"/>
      <c r="C2771" s="36"/>
      <c r="D2771" s="91"/>
      <c r="E2771" s="91"/>
      <c r="F2771" s="80"/>
      <c r="G2771" s="91"/>
      <c r="H2771" s="91"/>
    </row>
    <row r="2772" spans="2:8">
      <c r="B2772" s="91"/>
      <c r="C2772" s="36"/>
      <c r="D2772" s="91"/>
      <c r="E2772" s="91"/>
      <c r="F2772" s="80"/>
      <c r="G2772" s="91"/>
      <c r="H2772" s="91"/>
    </row>
    <row r="2773" spans="2:8">
      <c r="B2773" s="91"/>
      <c r="C2773" s="36"/>
      <c r="D2773" s="91"/>
      <c r="E2773" s="91"/>
      <c r="F2773" s="80"/>
      <c r="G2773" s="91"/>
      <c r="H2773" s="91"/>
    </row>
    <row r="2774" spans="2:8">
      <c r="B2774" s="91"/>
      <c r="C2774" s="36"/>
      <c r="D2774" s="91"/>
      <c r="E2774" s="91"/>
      <c r="F2774" s="80"/>
      <c r="G2774" s="91"/>
      <c r="H2774" s="91"/>
    </row>
    <row r="2775" spans="2:8">
      <c r="B2775" s="91"/>
      <c r="C2775" s="36"/>
      <c r="D2775" s="91"/>
      <c r="E2775" s="91"/>
      <c r="F2775" s="80"/>
      <c r="G2775" s="91"/>
      <c r="H2775" s="91"/>
    </row>
    <row r="2776" spans="2:8">
      <c r="B2776" s="91"/>
      <c r="C2776" s="36"/>
      <c r="D2776" s="91"/>
      <c r="E2776" s="91"/>
      <c r="F2776" s="80"/>
      <c r="G2776" s="91"/>
      <c r="H2776" s="91"/>
    </row>
    <row r="2777" spans="2:8">
      <c r="B2777" s="91"/>
      <c r="C2777" s="36"/>
      <c r="D2777" s="91"/>
      <c r="E2777" s="91"/>
      <c r="F2777" s="80"/>
      <c r="G2777" s="91"/>
      <c r="H2777" s="91"/>
    </row>
    <row r="2778" spans="2:8">
      <c r="B2778" s="91"/>
      <c r="C2778" s="36"/>
      <c r="D2778" s="91"/>
      <c r="E2778" s="91"/>
      <c r="F2778" s="80"/>
      <c r="G2778" s="91"/>
      <c r="H2778" s="91"/>
    </row>
    <row r="2779" spans="2:8">
      <c r="B2779" s="91"/>
      <c r="C2779" s="36"/>
      <c r="D2779" s="91"/>
      <c r="E2779" s="91"/>
      <c r="F2779" s="80"/>
      <c r="G2779" s="91"/>
      <c r="H2779" s="91"/>
    </row>
    <row r="2780" spans="2:8">
      <c r="B2780" s="91"/>
      <c r="C2780" s="36"/>
      <c r="D2780" s="91"/>
      <c r="E2780" s="91"/>
      <c r="F2780" s="80"/>
      <c r="G2780" s="91"/>
      <c r="H2780" s="91"/>
    </row>
    <row r="2781" spans="2:8">
      <c r="B2781" s="91"/>
      <c r="C2781" s="36"/>
      <c r="D2781" s="91"/>
      <c r="E2781" s="91"/>
      <c r="F2781" s="80"/>
      <c r="G2781" s="91"/>
      <c r="H2781" s="91"/>
    </row>
    <row r="2782" spans="2:8">
      <c r="B2782" s="91"/>
      <c r="C2782" s="36"/>
      <c r="D2782" s="91"/>
      <c r="E2782" s="91"/>
      <c r="F2782" s="80"/>
      <c r="G2782" s="91"/>
      <c r="H2782" s="91"/>
    </row>
    <row r="2783" spans="2:8">
      <c r="B2783" s="91"/>
      <c r="C2783" s="36"/>
      <c r="D2783" s="91"/>
      <c r="E2783" s="91"/>
      <c r="F2783" s="80"/>
      <c r="G2783" s="91"/>
      <c r="H2783" s="91"/>
    </row>
    <row r="2784" spans="2:8">
      <c r="B2784" s="91"/>
      <c r="C2784" s="36"/>
      <c r="D2784" s="91"/>
      <c r="E2784" s="91"/>
      <c r="F2784" s="80"/>
      <c r="G2784" s="91"/>
      <c r="H2784" s="91"/>
    </row>
    <row r="2785" spans="2:8">
      <c r="B2785" s="91"/>
      <c r="C2785" s="36"/>
      <c r="D2785" s="91"/>
      <c r="E2785" s="91"/>
      <c r="F2785" s="80"/>
      <c r="G2785" s="91"/>
      <c r="H2785" s="91"/>
    </row>
    <row r="2786" spans="2:8">
      <c r="B2786" s="91"/>
      <c r="C2786" s="36"/>
      <c r="D2786" s="91"/>
      <c r="E2786" s="91"/>
      <c r="F2786" s="80"/>
      <c r="G2786" s="91"/>
      <c r="H2786" s="91"/>
    </row>
    <row r="2787" spans="2:8">
      <c r="B2787" s="91"/>
      <c r="C2787" s="36"/>
      <c r="D2787" s="91"/>
      <c r="E2787" s="91"/>
      <c r="F2787" s="80"/>
      <c r="G2787" s="91"/>
      <c r="H2787" s="91"/>
    </row>
    <row r="2788" spans="2:8">
      <c r="B2788" s="91"/>
      <c r="C2788" s="36"/>
      <c r="D2788" s="91"/>
      <c r="E2788" s="91"/>
      <c r="F2788" s="80"/>
      <c r="G2788" s="91"/>
      <c r="H2788" s="91"/>
    </row>
    <row r="2789" spans="2:8">
      <c r="B2789" s="91"/>
      <c r="C2789" s="36"/>
      <c r="D2789" s="91"/>
      <c r="E2789" s="91"/>
      <c r="F2789" s="80"/>
      <c r="G2789" s="91"/>
      <c r="H2789" s="91"/>
    </row>
    <row r="2790" spans="2:8">
      <c r="B2790" s="91"/>
      <c r="C2790" s="36"/>
      <c r="D2790" s="91"/>
      <c r="E2790" s="91"/>
      <c r="F2790" s="80"/>
      <c r="G2790" s="91"/>
      <c r="H2790" s="91"/>
    </row>
    <row r="2791" spans="2:8">
      <c r="B2791" s="91"/>
      <c r="C2791" s="36"/>
      <c r="D2791" s="91"/>
      <c r="E2791" s="91"/>
      <c r="F2791" s="80"/>
      <c r="G2791" s="91"/>
      <c r="H2791" s="91"/>
    </row>
    <row r="2792" spans="2:8">
      <c r="B2792" s="91"/>
      <c r="C2792" s="36"/>
      <c r="D2792" s="91"/>
      <c r="E2792" s="91"/>
      <c r="F2792" s="80"/>
      <c r="G2792" s="91"/>
      <c r="H2792" s="91"/>
    </row>
    <row r="2793" spans="2:8">
      <c r="B2793" s="91"/>
      <c r="C2793" s="36"/>
      <c r="D2793" s="91"/>
      <c r="E2793" s="91"/>
      <c r="F2793" s="80"/>
      <c r="G2793" s="91"/>
      <c r="H2793" s="91"/>
    </row>
    <row r="2794" spans="2:8">
      <c r="B2794" s="91"/>
      <c r="C2794" s="36"/>
      <c r="D2794" s="91"/>
      <c r="E2794" s="91"/>
      <c r="F2794" s="80"/>
      <c r="G2794" s="91"/>
      <c r="H2794" s="91"/>
    </row>
    <row r="2795" spans="2:8">
      <c r="B2795" s="91"/>
      <c r="C2795" s="36"/>
      <c r="D2795" s="91"/>
      <c r="E2795" s="91"/>
      <c r="F2795" s="80"/>
      <c r="G2795" s="91"/>
      <c r="H2795" s="91"/>
    </row>
    <row r="2796" spans="2:8">
      <c r="B2796" s="91"/>
      <c r="C2796" s="36"/>
      <c r="D2796" s="91"/>
      <c r="E2796" s="91"/>
      <c r="F2796" s="80"/>
      <c r="G2796" s="91"/>
      <c r="H2796" s="91"/>
    </row>
    <row r="2797" spans="2:8">
      <c r="B2797" s="91"/>
      <c r="C2797" s="36"/>
      <c r="D2797" s="91"/>
      <c r="E2797" s="91"/>
      <c r="F2797" s="80"/>
      <c r="G2797" s="91"/>
      <c r="H2797" s="91"/>
    </row>
    <row r="2798" spans="2:8">
      <c r="B2798" s="91"/>
      <c r="C2798" s="36"/>
      <c r="D2798" s="91"/>
      <c r="E2798" s="91"/>
      <c r="F2798" s="80"/>
      <c r="G2798" s="91"/>
      <c r="H2798" s="91"/>
    </row>
    <row r="2799" spans="2:8">
      <c r="B2799" s="91"/>
      <c r="C2799" s="36"/>
      <c r="D2799" s="91"/>
      <c r="E2799" s="91"/>
      <c r="F2799" s="80"/>
      <c r="G2799" s="91"/>
      <c r="H2799" s="91"/>
    </row>
    <row r="2800" spans="2:8">
      <c r="B2800" s="91"/>
      <c r="C2800" s="36"/>
      <c r="D2800" s="91"/>
      <c r="E2800" s="91"/>
      <c r="F2800" s="80"/>
      <c r="G2800" s="91"/>
      <c r="H2800" s="91"/>
    </row>
    <row r="2801" spans="2:8">
      <c r="B2801" s="91"/>
      <c r="C2801" s="36"/>
      <c r="D2801" s="91"/>
      <c r="E2801" s="91"/>
      <c r="F2801" s="80"/>
      <c r="G2801" s="91"/>
      <c r="H2801" s="91"/>
    </row>
    <row r="2802" spans="2:8">
      <c r="B2802" s="91"/>
      <c r="C2802" s="36"/>
      <c r="D2802" s="91"/>
      <c r="E2802" s="91"/>
      <c r="F2802" s="80"/>
      <c r="G2802" s="91"/>
      <c r="H2802" s="91"/>
    </row>
    <row r="2803" spans="2:8">
      <c r="B2803" s="91"/>
      <c r="C2803" s="36"/>
      <c r="D2803" s="91"/>
      <c r="E2803" s="91"/>
      <c r="F2803" s="80"/>
      <c r="G2803" s="91"/>
      <c r="H2803" s="91"/>
    </row>
    <row r="2804" spans="2:8">
      <c r="B2804" s="91"/>
      <c r="C2804" s="36"/>
      <c r="D2804" s="91"/>
      <c r="E2804" s="91"/>
      <c r="F2804" s="80"/>
      <c r="G2804" s="91"/>
      <c r="H2804" s="91"/>
    </row>
    <row r="2805" spans="2:8">
      <c r="B2805" s="91"/>
      <c r="C2805" s="36"/>
      <c r="D2805" s="91"/>
      <c r="E2805" s="91"/>
      <c r="F2805" s="80"/>
      <c r="G2805" s="91"/>
      <c r="H2805" s="91"/>
    </row>
    <row r="2806" spans="2:8">
      <c r="B2806" s="91"/>
      <c r="C2806" s="36"/>
      <c r="D2806" s="91"/>
      <c r="E2806" s="91"/>
      <c r="F2806" s="80"/>
      <c r="G2806" s="91"/>
      <c r="H2806" s="91"/>
    </row>
    <row r="2807" spans="2:8">
      <c r="B2807" s="91"/>
      <c r="C2807" s="36"/>
      <c r="D2807" s="91"/>
      <c r="E2807" s="91"/>
      <c r="F2807" s="80"/>
      <c r="G2807" s="91"/>
      <c r="H2807" s="91"/>
    </row>
    <row r="2808" spans="2:8">
      <c r="B2808" s="91"/>
      <c r="C2808" s="36"/>
      <c r="D2808" s="91"/>
      <c r="E2808" s="91"/>
      <c r="F2808" s="80"/>
      <c r="G2808" s="91"/>
      <c r="H2808" s="91"/>
    </row>
    <row r="2809" spans="2:8">
      <c r="B2809" s="91"/>
      <c r="C2809" s="36"/>
      <c r="D2809" s="91"/>
      <c r="E2809" s="91"/>
      <c r="F2809" s="80"/>
      <c r="G2809" s="91"/>
      <c r="H2809" s="91"/>
    </row>
    <row r="2810" spans="2:8">
      <c r="B2810" s="91"/>
      <c r="C2810" s="36"/>
      <c r="D2810" s="91"/>
      <c r="E2810" s="91"/>
      <c r="F2810" s="80"/>
      <c r="G2810" s="91"/>
      <c r="H2810" s="91"/>
    </row>
    <row r="2811" spans="2:8">
      <c r="B2811" s="91"/>
      <c r="C2811" s="36"/>
      <c r="D2811" s="91"/>
      <c r="E2811" s="91"/>
      <c r="F2811" s="80"/>
      <c r="G2811" s="91"/>
      <c r="H2811" s="91"/>
    </row>
    <row r="2812" spans="2:8">
      <c r="B2812" s="91"/>
      <c r="C2812" s="36"/>
      <c r="D2812" s="91"/>
      <c r="E2812" s="91"/>
      <c r="F2812" s="80"/>
      <c r="G2812" s="91"/>
      <c r="H2812" s="91"/>
    </row>
    <row r="2813" spans="2:8">
      <c r="B2813" s="91"/>
      <c r="C2813" s="36"/>
      <c r="D2813" s="91"/>
      <c r="E2813" s="91"/>
      <c r="F2813" s="80"/>
      <c r="G2813" s="91"/>
      <c r="H2813" s="91"/>
    </row>
    <row r="2814" spans="2:8">
      <c r="B2814" s="91"/>
      <c r="C2814" s="36"/>
      <c r="D2814" s="91"/>
      <c r="E2814" s="91"/>
      <c r="F2814" s="80"/>
      <c r="G2814" s="91"/>
      <c r="H2814" s="91"/>
    </row>
    <row r="2815" spans="2:8">
      <c r="B2815" s="91"/>
      <c r="C2815" s="36"/>
      <c r="D2815" s="91"/>
      <c r="E2815" s="91"/>
      <c r="F2815" s="80"/>
      <c r="G2815" s="91"/>
      <c r="H2815" s="91"/>
    </row>
    <row r="2816" spans="2:8">
      <c r="B2816" s="91"/>
      <c r="C2816" s="36"/>
      <c r="D2816" s="91"/>
      <c r="E2816" s="91"/>
      <c r="F2816" s="80"/>
      <c r="G2816" s="91"/>
      <c r="H2816" s="91"/>
    </row>
    <row r="2817" spans="2:8">
      <c r="B2817" s="91"/>
      <c r="C2817" s="36"/>
      <c r="D2817" s="91"/>
      <c r="E2817" s="91"/>
      <c r="F2817" s="80"/>
      <c r="G2817" s="91"/>
      <c r="H2817" s="91"/>
    </row>
    <row r="2818" spans="2:8">
      <c r="B2818" s="91"/>
      <c r="C2818" s="36"/>
      <c r="D2818" s="91"/>
      <c r="E2818" s="91"/>
      <c r="F2818" s="80"/>
      <c r="G2818" s="91"/>
      <c r="H2818" s="91"/>
    </row>
    <row r="2819" spans="2:8">
      <c r="B2819" s="91"/>
      <c r="C2819" s="36"/>
      <c r="D2819" s="91"/>
      <c r="E2819" s="91"/>
      <c r="F2819" s="80"/>
      <c r="G2819" s="91"/>
      <c r="H2819" s="91"/>
    </row>
    <row r="2820" spans="2:8">
      <c r="B2820" s="91"/>
      <c r="C2820" s="36"/>
      <c r="D2820" s="91"/>
      <c r="E2820" s="91"/>
      <c r="F2820" s="80"/>
      <c r="G2820" s="91"/>
      <c r="H2820" s="91"/>
    </row>
    <row r="2821" spans="2:8">
      <c r="B2821" s="91"/>
      <c r="C2821" s="36"/>
      <c r="D2821" s="91"/>
      <c r="E2821" s="91"/>
      <c r="F2821" s="80"/>
      <c r="G2821" s="91"/>
      <c r="H2821" s="91"/>
    </row>
    <row r="2822" spans="2:8">
      <c r="B2822" s="91"/>
      <c r="C2822" s="36"/>
      <c r="D2822" s="91"/>
      <c r="E2822" s="91"/>
      <c r="F2822" s="80"/>
      <c r="G2822" s="91"/>
      <c r="H2822" s="91"/>
    </row>
    <row r="2823" spans="2:8">
      <c r="B2823" s="91"/>
      <c r="C2823" s="36"/>
      <c r="D2823" s="91"/>
      <c r="E2823" s="91"/>
      <c r="F2823" s="80"/>
      <c r="G2823" s="91"/>
      <c r="H2823" s="91"/>
    </row>
    <row r="2824" spans="2:8">
      <c r="B2824" s="91"/>
      <c r="C2824" s="36"/>
      <c r="D2824" s="91"/>
      <c r="E2824" s="91"/>
      <c r="F2824" s="80"/>
      <c r="G2824" s="91"/>
      <c r="H2824" s="91"/>
    </row>
    <row r="2825" spans="2:8">
      <c r="B2825" s="91"/>
      <c r="C2825" s="36"/>
      <c r="D2825" s="91"/>
      <c r="E2825" s="91"/>
      <c r="F2825" s="80"/>
      <c r="G2825" s="91"/>
      <c r="H2825" s="91"/>
    </row>
    <row r="2826" spans="2:8">
      <c r="B2826" s="91"/>
      <c r="C2826" s="36"/>
      <c r="D2826" s="91"/>
      <c r="E2826" s="91"/>
      <c r="F2826" s="80"/>
      <c r="G2826" s="91"/>
      <c r="H2826" s="91"/>
    </row>
    <row r="2827" spans="2:8">
      <c r="B2827" s="91"/>
      <c r="C2827" s="36"/>
      <c r="D2827" s="91"/>
      <c r="E2827" s="91"/>
      <c r="F2827" s="80"/>
      <c r="G2827" s="91"/>
      <c r="H2827" s="91"/>
    </row>
    <row r="2828" spans="2:8">
      <c r="B2828" s="91"/>
      <c r="C2828" s="36"/>
      <c r="D2828" s="91"/>
      <c r="E2828" s="91"/>
      <c r="F2828" s="80"/>
      <c r="G2828" s="91"/>
      <c r="H2828" s="91"/>
    </row>
    <row r="2829" spans="2:8">
      <c r="B2829" s="91"/>
      <c r="C2829" s="36"/>
      <c r="D2829" s="91"/>
      <c r="E2829" s="91"/>
      <c r="F2829" s="80"/>
      <c r="G2829" s="91"/>
      <c r="H2829" s="91"/>
    </row>
    <row r="2830" spans="2:8">
      <c r="B2830" s="91"/>
      <c r="C2830" s="36"/>
      <c r="D2830" s="91"/>
      <c r="E2830" s="91"/>
      <c r="F2830" s="80"/>
      <c r="G2830" s="91"/>
      <c r="H2830" s="91"/>
    </row>
    <row r="2831" spans="2:8">
      <c r="B2831" s="91"/>
      <c r="C2831" s="36"/>
      <c r="D2831" s="91"/>
      <c r="E2831" s="91"/>
      <c r="F2831" s="80"/>
      <c r="G2831" s="91"/>
      <c r="H2831" s="91"/>
    </row>
    <row r="2832" spans="2:8">
      <c r="B2832" s="91"/>
      <c r="C2832" s="36"/>
      <c r="D2832" s="91"/>
      <c r="E2832" s="91"/>
      <c r="F2832" s="80"/>
      <c r="G2832" s="91"/>
      <c r="H2832" s="91"/>
    </row>
    <row r="2833" spans="2:8">
      <c r="B2833" s="91"/>
      <c r="C2833" s="36"/>
      <c r="D2833" s="91"/>
      <c r="E2833" s="91"/>
      <c r="F2833" s="80"/>
      <c r="G2833" s="91"/>
      <c r="H2833" s="91"/>
    </row>
    <row r="2834" spans="2:8">
      <c r="B2834" s="91"/>
      <c r="C2834" s="36"/>
      <c r="D2834" s="91"/>
      <c r="E2834" s="91"/>
      <c r="F2834" s="80"/>
      <c r="G2834" s="91"/>
      <c r="H2834" s="91"/>
    </row>
    <row r="2835" spans="2:8">
      <c r="B2835" s="91"/>
      <c r="C2835" s="36"/>
      <c r="D2835" s="91"/>
      <c r="E2835" s="91"/>
      <c r="F2835" s="80"/>
      <c r="G2835" s="91"/>
      <c r="H2835" s="91"/>
    </row>
    <row r="2836" spans="2:8">
      <c r="B2836" s="91"/>
      <c r="C2836" s="36"/>
      <c r="D2836" s="91"/>
      <c r="E2836" s="91"/>
      <c r="F2836" s="80"/>
      <c r="G2836" s="91"/>
      <c r="H2836" s="91"/>
    </row>
    <row r="2837" spans="2:8">
      <c r="B2837" s="91"/>
      <c r="C2837" s="36"/>
      <c r="D2837" s="91"/>
      <c r="E2837" s="91"/>
      <c r="F2837" s="80"/>
      <c r="G2837" s="91"/>
      <c r="H2837" s="91"/>
    </row>
    <row r="2838" spans="2:8">
      <c r="B2838" s="91"/>
      <c r="C2838" s="36"/>
      <c r="D2838" s="91"/>
      <c r="E2838" s="91"/>
      <c r="F2838" s="80"/>
      <c r="G2838" s="91"/>
      <c r="H2838" s="91"/>
    </row>
    <row r="2839" spans="2:8">
      <c r="B2839" s="91"/>
      <c r="C2839" s="36"/>
      <c r="D2839" s="91"/>
      <c r="E2839" s="91"/>
      <c r="F2839" s="80"/>
      <c r="G2839" s="91"/>
      <c r="H2839" s="91"/>
    </row>
    <row r="2840" spans="2:8">
      <c r="B2840" s="91"/>
      <c r="C2840" s="36"/>
      <c r="D2840" s="91"/>
      <c r="E2840" s="91"/>
      <c r="F2840" s="80"/>
      <c r="G2840" s="91"/>
      <c r="H2840" s="91"/>
    </row>
    <row r="2841" spans="2:8">
      <c r="B2841" s="91"/>
      <c r="C2841" s="36"/>
      <c r="D2841" s="91"/>
      <c r="E2841" s="91"/>
      <c r="F2841" s="80"/>
      <c r="G2841" s="91"/>
      <c r="H2841" s="91"/>
    </row>
    <row r="2842" spans="2:8">
      <c r="B2842" s="91"/>
      <c r="C2842" s="36"/>
      <c r="D2842" s="91"/>
      <c r="E2842" s="91"/>
      <c r="F2842" s="80"/>
      <c r="G2842" s="91"/>
      <c r="H2842" s="91"/>
    </row>
    <row r="2843" spans="2:8">
      <c r="B2843" s="91"/>
      <c r="C2843" s="36"/>
      <c r="D2843" s="91"/>
      <c r="E2843" s="91"/>
      <c r="F2843" s="80"/>
      <c r="G2843" s="91"/>
      <c r="H2843" s="91"/>
    </row>
    <row r="2844" spans="2:8">
      <c r="B2844" s="91"/>
      <c r="C2844" s="36"/>
      <c r="D2844" s="91"/>
      <c r="E2844" s="91"/>
      <c r="F2844" s="80"/>
      <c r="G2844" s="91"/>
      <c r="H2844" s="91"/>
    </row>
    <row r="2845" spans="2:8">
      <c r="B2845" s="91"/>
      <c r="C2845" s="36"/>
      <c r="D2845" s="91"/>
      <c r="E2845" s="91"/>
      <c r="F2845" s="80"/>
      <c r="G2845" s="91"/>
      <c r="H2845" s="91"/>
    </row>
    <row r="2846" spans="2:8">
      <c r="B2846" s="91"/>
      <c r="C2846" s="36"/>
      <c r="D2846" s="91"/>
      <c r="E2846" s="91"/>
      <c r="F2846" s="80"/>
      <c r="G2846" s="91"/>
      <c r="H2846" s="91"/>
    </row>
    <row r="2847" spans="2:8">
      <c r="B2847" s="91"/>
      <c r="C2847" s="36"/>
      <c r="D2847" s="91"/>
      <c r="E2847" s="91"/>
      <c r="F2847" s="80"/>
      <c r="G2847" s="91"/>
      <c r="H2847" s="91"/>
    </row>
    <row r="2848" spans="2:8">
      <c r="B2848" s="91"/>
      <c r="C2848" s="36"/>
      <c r="D2848" s="91"/>
      <c r="E2848" s="91"/>
      <c r="F2848" s="80"/>
      <c r="G2848" s="91"/>
      <c r="H2848" s="91"/>
    </row>
    <row r="2849" spans="2:8">
      <c r="B2849" s="91"/>
      <c r="C2849" s="36"/>
      <c r="D2849" s="91"/>
      <c r="E2849" s="91"/>
      <c r="F2849" s="80"/>
      <c r="G2849" s="91"/>
      <c r="H2849" s="91"/>
    </row>
    <row r="2850" spans="2:8">
      <c r="B2850" s="91"/>
      <c r="C2850" s="36"/>
      <c r="D2850" s="91"/>
      <c r="E2850" s="91"/>
      <c r="F2850" s="80"/>
      <c r="G2850" s="91"/>
      <c r="H2850" s="91"/>
    </row>
    <row r="2851" spans="2:8">
      <c r="B2851" s="91"/>
      <c r="C2851" s="36"/>
      <c r="D2851" s="91"/>
      <c r="E2851" s="91"/>
      <c r="F2851" s="80"/>
      <c r="G2851" s="91"/>
      <c r="H2851" s="91"/>
    </row>
    <row r="2852" spans="2:8">
      <c r="B2852" s="91"/>
      <c r="C2852" s="36"/>
      <c r="D2852" s="91"/>
      <c r="E2852" s="91"/>
      <c r="F2852" s="80"/>
      <c r="G2852" s="91"/>
      <c r="H2852" s="91"/>
    </row>
    <row r="2853" spans="2:8">
      <c r="B2853" s="91"/>
      <c r="C2853" s="36"/>
      <c r="D2853" s="91"/>
      <c r="E2853" s="91"/>
      <c r="F2853" s="80"/>
      <c r="G2853" s="91"/>
      <c r="H2853" s="91"/>
    </row>
    <row r="2854" spans="2:8">
      <c r="B2854" s="91"/>
      <c r="C2854" s="36"/>
      <c r="D2854" s="91"/>
      <c r="E2854" s="91"/>
      <c r="F2854" s="80"/>
      <c r="G2854" s="91"/>
      <c r="H2854" s="91"/>
    </row>
    <row r="2855" spans="2:8">
      <c r="B2855" s="91"/>
      <c r="C2855" s="36"/>
      <c r="D2855" s="91"/>
      <c r="E2855" s="91"/>
      <c r="F2855" s="80"/>
      <c r="G2855" s="91"/>
      <c r="H2855" s="91"/>
    </row>
    <row r="2856" spans="2:8">
      <c r="B2856" s="91"/>
      <c r="C2856" s="36"/>
      <c r="D2856" s="91"/>
      <c r="E2856" s="91"/>
      <c r="F2856" s="80"/>
      <c r="G2856" s="91"/>
      <c r="H2856" s="91"/>
    </row>
    <row r="2857" spans="2:8">
      <c r="B2857" s="91"/>
      <c r="C2857" s="36"/>
      <c r="D2857" s="91"/>
      <c r="E2857" s="91"/>
      <c r="F2857" s="80"/>
      <c r="G2857" s="91"/>
      <c r="H2857" s="91"/>
    </row>
    <row r="2858" spans="2:8">
      <c r="B2858" s="91"/>
      <c r="C2858" s="36"/>
      <c r="D2858" s="91"/>
      <c r="E2858" s="91"/>
      <c r="F2858" s="80"/>
      <c r="G2858" s="91"/>
      <c r="H2858" s="91"/>
    </row>
    <row r="2859" spans="2:8">
      <c r="B2859" s="91"/>
      <c r="C2859" s="36"/>
      <c r="D2859" s="91"/>
      <c r="E2859" s="91"/>
      <c r="F2859" s="80"/>
      <c r="G2859" s="91"/>
      <c r="H2859" s="91"/>
    </row>
    <row r="2860" spans="2:8">
      <c r="B2860" s="91"/>
      <c r="C2860" s="36"/>
      <c r="D2860" s="91"/>
      <c r="E2860" s="91"/>
      <c r="F2860" s="80"/>
      <c r="G2860" s="91"/>
      <c r="H2860" s="91"/>
    </row>
    <row r="2861" spans="2:8">
      <c r="B2861" s="91"/>
      <c r="C2861" s="36"/>
      <c r="D2861" s="91"/>
      <c r="E2861" s="91"/>
      <c r="F2861" s="80"/>
      <c r="G2861" s="91"/>
      <c r="H2861" s="91"/>
    </row>
    <row r="2862" spans="2:8">
      <c r="B2862" s="91"/>
      <c r="C2862" s="36"/>
      <c r="D2862" s="91"/>
      <c r="E2862" s="91"/>
      <c r="F2862" s="80"/>
      <c r="G2862" s="91"/>
      <c r="H2862" s="91"/>
    </row>
    <row r="2863" spans="2:8">
      <c r="B2863" s="91"/>
      <c r="C2863" s="36"/>
      <c r="D2863" s="91"/>
      <c r="E2863" s="91"/>
      <c r="F2863" s="80"/>
      <c r="G2863" s="91"/>
      <c r="H2863" s="91"/>
    </row>
    <row r="2864" spans="2:8">
      <c r="B2864" s="91"/>
      <c r="C2864" s="36"/>
      <c r="D2864" s="91"/>
      <c r="E2864" s="91"/>
      <c r="F2864" s="80"/>
      <c r="G2864" s="91"/>
      <c r="H2864" s="91"/>
    </row>
    <row r="2865" spans="2:8">
      <c r="B2865" s="91"/>
      <c r="C2865" s="36"/>
      <c r="D2865" s="91"/>
      <c r="E2865" s="91"/>
      <c r="F2865" s="80"/>
      <c r="G2865" s="91"/>
      <c r="H2865" s="91"/>
    </row>
    <row r="2866" spans="2:8">
      <c r="B2866" s="91"/>
      <c r="C2866" s="36"/>
      <c r="D2866" s="91"/>
      <c r="E2866" s="91"/>
      <c r="F2866" s="80"/>
      <c r="G2866" s="91"/>
      <c r="H2866" s="91"/>
    </row>
    <row r="2867" spans="2:8">
      <c r="B2867" s="91"/>
      <c r="C2867" s="36"/>
      <c r="D2867" s="91"/>
      <c r="E2867" s="91"/>
      <c r="F2867" s="80"/>
      <c r="G2867" s="91"/>
      <c r="H2867" s="91"/>
    </row>
    <row r="2868" spans="2:8">
      <c r="B2868" s="91"/>
      <c r="C2868" s="36"/>
      <c r="D2868" s="91"/>
      <c r="E2868" s="91"/>
      <c r="F2868" s="80"/>
      <c r="G2868" s="91"/>
      <c r="H2868" s="91"/>
    </row>
    <row r="2869" spans="2:8">
      <c r="B2869" s="91"/>
      <c r="C2869" s="36"/>
      <c r="D2869" s="91"/>
      <c r="E2869" s="91"/>
      <c r="F2869" s="80"/>
      <c r="G2869" s="91"/>
      <c r="H2869" s="91"/>
    </row>
    <row r="2870" spans="2:8">
      <c r="B2870" s="91"/>
      <c r="C2870" s="36"/>
      <c r="D2870" s="91"/>
      <c r="E2870" s="91"/>
      <c r="F2870" s="80"/>
      <c r="G2870" s="91"/>
      <c r="H2870" s="91"/>
    </row>
    <row r="2871" spans="2:8">
      <c r="B2871" s="91"/>
      <c r="C2871" s="36"/>
      <c r="D2871" s="91"/>
      <c r="E2871" s="91"/>
      <c r="F2871" s="80"/>
      <c r="G2871" s="91"/>
      <c r="H2871" s="91"/>
    </row>
    <row r="2872" spans="2:8">
      <c r="B2872" s="91"/>
      <c r="C2872" s="36"/>
      <c r="D2872" s="91"/>
      <c r="E2872" s="91"/>
      <c r="F2872" s="80"/>
      <c r="G2872" s="91"/>
      <c r="H2872" s="91"/>
    </row>
    <row r="2873" spans="2:8">
      <c r="B2873" s="91"/>
      <c r="C2873" s="36"/>
      <c r="D2873" s="91"/>
      <c r="E2873" s="91"/>
      <c r="F2873" s="80"/>
      <c r="G2873" s="91"/>
      <c r="H2873" s="91"/>
    </row>
    <row r="2874" spans="2:8">
      <c r="B2874" s="91"/>
      <c r="C2874" s="36"/>
      <c r="D2874" s="91"/>
      <c r="E2874" s="91"/>
      <c r="F2874" s="80"/>
      <c r="G2874" s="91"/>
      <c r="H2874" s="91"/>
    </row>
    <row r="2875" spans="2:8">
      <c r="B2875" s="91"/>
      <c r="C2875" s="36"/>
      <c r="D2875" s="91"/>
      <c r="E2875" s="91"/>
      <c r="F2875" s="80"/>
      <c r="G2875" s="91"/>
      <c r="H2875" s="91"/>
    </row>
    <row r="2876" spans="2:8">
      <c r="B2876" s="91"/>
      <c r="C2876" s="36"/>
      <c r="D2876" s="91"/>
      <c r="E2876" s="91"/>
      <c r="F2876" s="80"/>
      <c r="G2876" s="91"/>
      <c r="H2876" s="91"/>
    </row>
    <row r="2877" spans="2:8">
      <c r="B2877" s="91"/>
      <c r="C2877" s="36"/>
      <c r="D2877" s="91"/>
      <c r="E2877" s="91"/>
      <c r="F2877" s="80"/>
      <c r="G2877" s="91"/>
      <c r="H2877" s="91"/>
    </row>
    <row r="2878" spans="2:8">
      <c r="B2878" s="91"/>
      <c r="C2878" s="36"/>
      <c r="D2878" s="91"/>
      <c r="E2878" s="91"/>
      <c r="F2878" s="80"/>
      <c r="G2878" s="91"/>
      <c r="H2878" s="91"/>
    </row>
    <row r="2879" spans="2:8">
      <c r="B2879" s="91"/>
      <c r="C2879" s="36"/>
      <c r="D2879" s="91"/>
      <c r="E2879" s="91"/>
      <c r="F2879" s="80"/>
      <c r="G2879" s="91"/>
      <c r="H2879" s="91"/>
    </row>
    <row r="2880" spans="2:8">
      <c r="B2880" s="91"/>
      <c r="C2880" s="36"/>
      <c r="D2880" s="91"/>
      <c r="E2880" s="91"/>
      <c r="F2880" s="80"/>
      <c r="G2880" s="91"/>
      <c r="H2880" s="91"/>
    </row>
    <row r="2881" spans="2:8">
      <c r="B2881" s="91"/>
      <c r="C2881" s="36"/>
      <c r="D2881" s="91"/>
      <c r="E2881" s="91"/>
      <c r="F2881" s="80"/>
      <c r="G2881" s="91"/>
      <c r="H2881" s="91"/>
    </row>
    <row r="2882" spans="2:8">
      <c r="B2882" s="91"/>
      <c r="C2882" s="36"/>
      <c r="D2882" s="91"/>
      <c r="E2882" s="91"/>
      <c r="F2882" s="80"/>
      <c r="G2882" s="91"/>
      <c r="H2882" s="91"/>
    </row>
    <row r="2883" spans="2:8">
      <c r="B2883" s="91"/>
      <c r="C2883" s="36"/>
      <c r="D2883" s="91"/>
      <c r="E2883" s="91"/>
      <c r="F2883" s="80"/>
      <c r="G2883" s="91"/>
      <c r="H2883" s="91"/>
    </row>
    <row r="2884" spans="2:8">
      <c r="B2884" s="91"/>
      <c r="C2884" s="36"/>
      <c r="D2884" s="91"/>
      <c r="E2884" s="91"/>
      <c r="F2884" s="80"/>
      <c r="G2884" s="91"/>
      <c r="H2884" s="91"/>
    </row>
    <row r="2885" spans="2:8">
      <c r="B2885" s="91"/>
      <c r="C2885" s="36"/>
      <c r="D2885" s="91"/>
      <c r="E2885" s="91"/>
      <c r="F2885" s="80"/>
      <c r="G2885" s="91"/>
      <c r="H2885" s="91"/>
    </row>
    <row r="2886" spans="2:8">
      <c r="B2886" s="91"/>
      <c r="C2886" s="36"/>
      <c r="D2886" s="91"/>
      <c r="E2886" s="91"/>
      <c r="F2886" s="80"/>
      <c r="G2886" s="91"/>
      <c r="H2886" s="91"/>
    </row>
    <row r="2887" spans="2:8">
      <c r="B2887" s="91"/>
      <c r="C2887" s="36"/>
      <c r="D2887" s="91"/>
      <c r="E2887" s="91"/>
      <c r="F2887" s="80"/>
      <c r="G2887" s="91"/>
      <c r="H2887" s="91"/>
    </row>
    <row r="2888" spans="2:8">
      <c r="B2888" s="91"/>
      <c r="C2888" s="36"/>
      <c r="D2888" s="91"/>
      <c r="E2888" s="91"/>
      <c r="F2888" s="80"/>
      <c r="G2888" s="91"/>
      <c r="H2888" s="91"/>
    </row>
    <row r="2889" spans="2:8">
      <c r="B2889" s="91"/>
      <c r="C2889" s="36"/>
      <c r="D2889" s="91"/>
      <c r="E2889" s="91"/>
      <c r="F2889" s="80"/>
      <c r="G2889" s="91"/>
      <c r="H2889" s="91"/>
    </row>
    <row r="2890" spans="2:8">
      <c r="B2890" s="91"/>
      <c r="C2890" s="36"/>
      <c r="D2890" s="91"/>
      <c r="E2890" s="91"/>
      <c r="F2890" s="80"/>
      <c r="G2890" s="91"/>
      <c r="H2890" s="91"/>
    </row>
    <row r="2891" spans="2:8">
      <c r="B2891" s="91"/>
      <c r="C2891" s="36"/>
      <c r="D2891" s="91"/>
      <c r="E2891" s="91"/>
      <c r="F2891" s="80"/>
      <c r="G2891" s="91"/>
      <c r="H2891" s="91"/>
    </row>
    <row r="2892" spans="2:8">
      <c r="B2892" s="91"/>
      <c r="C2892" s="36"/>
      <c r="D2892" s="91"/>
      <c r="E2892" s="91"/>
      <c r="F2892" s="80"/>
      <c r="G2892" s="91"/>
      <c r="H2892" s="91"/>
    </row>
    <row r="2893" spans="2:8">
      <c r="B2893" s="91"/>
      <c r="C2893" s="36"/>
      <c r="D2893" s="91"/>
      <c r="E2893" s="91"/>
      <c r="F2893" s="80"/>
      <c r="G2893" s="91"/>
      <c r="H2893" s="91"/>
    </row>
    <row r="2894" spans="2:8">
      <c r="B2894" s="91"/>
      <c r="C2894" s="36"/>
      <c r="D2894" s="91"/>
      <c r="E2894" s="91"/>
      <c r="F2894" s="80"/>
      <c r="G2894" s="91"/>
      <c r="H2894" s="91"/>
    </row>
    <row r="2895" spans="2:8">
      <c r="B2895" s="91"/>
      <c r="C2895" s="36"/>
      <c r="D2895" s="91"/>
      <c r="E2895" s="91"/>
      <c r="F2895" s="80"/>
      <c r="G2895" s="91"/>
      <c r="H2895" s="91"/>
    </row>
    <row r="2896" spans="2:8">
      <c r="B2896" s="91"/>
      <c r="C2896" s="36"/>
      <c r="D2896" s="91"/>
      <c r="E2896" s="91"/>
      <c r="F2896" s="80"/>
      <c r="G2896" s="91"/>
      <c r="H2896" s="91"/>
    </row>
    <row r="2897" spans="2:8">
      <c r="B2897" s="91"/>
      <c r="C2897" s="36"/>
      <c r="D2897" s="91"/>
      <c r="E2897" s="91"/>
      <c r="F2897" s="80"/>
      <c r="G2897" s="91"/>
      <c r="H2897" s="91"/>
    </row>
    <row r="2898" spans="2:8">
      <c r="B2898" s="91"/>
      <c r="C2898" s="36"/>
      <c r="D2898" s="91"/>
      <c r="E2898" s="91"/>
      <c r="F2898" s="80"/>
      <c r="G2898" s="91"/>
      <c r="H2898" s="91"/>
    </row>
    <row r="2899" spans="2:8">
      <c r="B2899" s="91"/>
      <c r="C2899" s="36"/>
      <c r="D2899" s="91"/>
      <c r="E2899" s="91"/>
      <c r="F2899" s="80"/>
      <c r="G2899" s="91"/>
      <c r="H2899" s="91"/>
    </row>
    <row r="2900" spans="2:8">
      <c r="B2900" s="91"/>
      <c r="C2900" s="36"/>
      <c r="D2900" s="91"/>
      <c r="E2900" s="91"/>
      <c r="F2900" s="80"/>
      <c r="G2900" s="91"/>
      <c r="H2900" s="91"/>
    </row>
    <row r="2901" spans="2:8">
      <c r="B2901" s="91"/>
      <c r="C2901" s="36"/>
      <c r="D2901" s="91"/>
      <c r="E2901" s="91"/>
      <c r="F2901" s="80"/>
      <c r="G2901" s="91"/>
      <c r="H2901" s="91"/>
    </row>
    <row r="2902" spans="2:8">
      <c r="B2902" s="91"/>
      <c r="C2902" s="36"/>
      <c r="D2902" s="91"/>
      <c r="E2902" s="91"/>
      <c r="F2902" s="80"/>
      <c r="G2902" s="91"/>
      <c r="H2902" s="91"/>
    </row>
    <row r="2903" spans="2:8">
      <c r="B2903" s="91"/>
      <c r="C2903" s="36"/>
      <c r="D2903" s="91"/>
      <c r="E2903" s="91"/>
      <c r="F2903" s="80"/>
      <c r="G2903" s="91"/>
      <c r="H2903" s="91"/>
    </row>
    <row r="2904" spans="2:8">
      <c r="B2904" s="91"/>
      <c r="C2904" s="36"/>
      <c r="D2904" s="91"/>
      <c r="E2904" s="91"/>
      <c r="F2904" s="80"/>
      <c r="G2904" s="91"/>
      <c r="H2904" s="91"/>
    </row>
    <row r="2905" spans="2:8">
      <c r="B2905" s="91"/>
      <c r="C2905" s="36"/>
      <c r="D2905" s="91"/>
      <c r="E2905" s="91"/>
      <c r="F2905" s="80"/>
      <c r="G2905" s="91"/>
      <c r="H2905" s="91"/>
    </row>
    <row r="2906" spans="2:8">
      <c r="B2906" s="91"/>
      <c r="C2906" s="36"/>
      <c r="D2906" s="91"/>
      <c r="E2906" s="91"/>
      <c r="F2906" s="80"/>
      <c r="G2906" s="91"/>
      <c r="H2906" s="91"/>
    </row>
    <row r="2907" spans="2:8">
      <c r="B2907" s="91"/>
      <c r="C2907" s="36"/>
      <c r="D2907" s="91"/>
      <c r="E2907" s="91"/>
      <c r="F2907" s="80"/>
      <c r="G2907" s="91"/>
      <c r="H2907" s="91"/>
    </row>
    <row r="2908" spans="2:8">
      <c r="B2908" s="91"/>
      <c r="C2908" s="36"/>
      <c r="D2908" s="91"/>
      <c r="E2908" s="91"/>
      <c r="F2908" s="80"/>
      <c r="G2908" s="91"/>
      <c r="H2908" s="91"/>
    </row>
    <row r="2909" spans="2:8">
      <c r="B2909" s="91"/>
      <c r="C2909" s="36"/>
      <c r="D2909" s="91"/>
      <c r="E2909" s="91"/>
      <c r="F2909" s="80"/>
      <c r="G2909" s="91"/>
      <c r="H2909" s="91"/>
    </row>
    <row r="2910" spans="2:8">
      <c r="B2910" s="91"/>
      <c r="C2910" s="36"/>
      <c r="D2910" s="91"/>
      <c r="E2910" s="91"/>
      <c r="F2910" s="80"/>
      <c r="G2910" s="91"/>
      <c r="H2910" s="91"/>
    </row>
    <row r="2911" spans="2:8">
      <c r="B2911" s="91"/>
      <c r="C2911" s="36"/>
      <c r="D2911" s="91"/>
      <c r="E2911" s="91"/>
      <c r="F2911" s="80"/>
      <c r="G2911" s="91"/>
      <c r="H2911" s="91"/>
    </row>
    <row r="2912" spans="2:8">
      <c r="B2912" s="91"/>
      <c r="C2912" s="36"/>
      <c r="D2912" s="91"/>
      <c r="E2912" s="91"/>
      <c r="F2912" s="80"/>
      <c r="G2912" s="91"/>
      <c r="H2912" s="91"/>
    </row>
    <row r="2913" spans="2:8">
      <c r="B2913" s="91"/>
      <c r="C2913" s="36"/>
      <c r="D2913" s="91"/>
      <c r="E2913" s="91"/>
      <c r="F2913" s="80"/>
      <c r="G2913" s="91"/>
      <c r="H2913" s="91"/>
    </row>
    <row r="2914" spans="2:8">
      <c r="B2914" s="91"/>
      <c r="C2914" s="36"/>
      <c r="D2914" s="91"/>
      <c r="E2914" s="91"/>
      <c r="F2914" s="80"/>
      <c r="G2914" s="91"/>
      <c r="H2914" s="91"/>
    </row>
    <row r="2915" spans="2:8">
      <c r="B2915" s="91"/>
      <c r="C2915" s="36"/>
      <c r="D2915" s="91"/>
      <c r="E2915" s="91"/>
      <c r="F2915" s="80"/>
      <c r="G2915" s="91"/>
      <c r="H2915" s="91"/>
    </row>
    <row r="2916" spans="2:8">
      <c r="B2916" s="91"/>
      <c r="C2916" s="36"/>
      <c r="D2916" s="91"/>
      <c r="E2916" s="91"/>
      <c r="F2916" s="80"/>
      <c r="G2916" s="91"/>
      <c r="H2916" s="91"/>
    </row>
    <row r="2917" spans="2:8">
      <c r="B2917" s="91"/>
      <c r="C2917" s="36"/>
      <c r="D2917" s="91"/>
      <c r="E2917" s="91"/>
      <c r="F2917" s="80"/>
      <c r="G2917" s="91"/>
      <c r="H2917" s="91"/>
    </row>
    <row r="2918" spans="2:8">
      <c r="B2918" s="91"/>
      <c r="C2918" s="36"/>
      <c r="D2918" s="91"/>
      <c r="E2918" s="91"/>
      <c r="F2918" s="80"/>
      <c r="G2918" s="91"/>
      <c r="H2918" s="91"/>
    </row>
    <row r="2919" spans="2:8">
      <c r="B2919" s="91"/>
      <c r="C2919" s="36"/>
      <c r="D2919" s="91"/>
      <c r="E2919" s="91"/>
      <c r="F2919" s="80"/>
      <c r="G2919" s="91"/>
      <c r="H2919" s="91"/>
    </row>
    <row r="2920" spans="2:8">
      <c r="B2920" s="91"/>
      <c r="C2920" s="36"/>
      <c r="D2920" s="91"/>
      <c r="E2920" s="91"/>
      <c r="F2920" s="80"/>
      <c r="G2920" s="91"/>
      <c r="H2920" s="91"/>
    </row>
    <row r="2921" spans="2:8">
      <c r="B2921" s="91"/>
      <c r="C2921" s="36"/>
      <c r="D2921" s="91"/>
      <c r="E2921" s="91"/>
      <c r="F2921" s="80"/>
      <c r="G2921" s="91"/>
      <c r="H2921" s="91"/>
    </row>
    <row r="2922" spans="2:8">
      <c r="B2922" s="91"/>
      <c r="C2922" s="36"/>
      <c r="D2922" s="91"/>
      <c r="E2922" s="91"/>
      <c r="F2922" s="80"/>
      <c r="G2922" s="91"/>
      <c r="H2922" s="91"/>
    </row>
    <row r="2923" spans="2:8">
      <c r="B2923" s="91"/>
      <c r="C2923" s="36"/>
      <c r="D2923" s="91"/>
      <c r="E2923" s="91"/>
      <c r="F2923" s="80"/>
      <c r="G2923" s="91"/>
      <c r="H2923" s="91"/>
    </row>
    <row r="2924" spans="2:8">
      <c r="B2924" s="91"/>
      <c r="C2924" s="36"/>
      <c r="D2924" s="91"/>
      <c r="E2924" s="91"/>
      <c r="F2924" s="80"/>
      <c r="G2924" s="91"/>
      <c r="H2924" s="91"/>
    </row>
    <row r="2925" spans="2:8">
      <c r="B2925" s="91"/>
      <c r="C2925" s="36"/>
      <c r="D2925" s="91"/>
      <c r="E2925" s="91"/>
      <c r="F2925" s="80"/>
      <c r="G2925" s="91"/>
      <c r="H2925" s="91"/>
    </row>
    <row r="2926" spans="2:8">
      <c r="B2926" s="91"/>
      <c r="C2926" s="36"/>
      <c r="D2926" s="91"/>
      <c r="E2926" s="91"/>
      <c r="F2926" s="80"/>
      <c r="G2926" s="91"/>
      <c r="H2926" s="91"/>
    </row>
    <row r="2927" spans="2:8">
      <c r="B2927" s="91"/>
      <c r="C2927" s="36"/>
      <c r="D2927" s="91"/>
      <c r="E2927" s="91"/>
      <c r="F2927" s="80"/>
      <c r="G2927" s="91"/>
      <c r="H2927" s="91"/>
    </row>
    <row r="2928" spans="2:8">
      <c r="B2928" s="91"/>
      <c r="C2928" s="36"/>
      <c r="D2928" s="91"/>
      <c r="E2928" s="91"/>
      <c r="F2928" s="80"/>
      <c r="G2928" s="91"/>
      <c r="H2928" s="91"/>
    </row>
    <row r="2929" spans="2:8">
      <c r="B2929" s="91"/>
      <c r="C2929" s="36"/>
      <c r="D2929" s="91"/>
      <c r="E2929" s="91"/>
      <c r="F2929" s="80"/>
      <c r="G2929" s="91"/>
      <c r="H2929" s="91"/>
    </row>
    <row r="2930" spans="2:8">
      <c r="B2930" s="91"/>
      <c r="C2930" s="36"/>
      <c r="D2930" s="91"/>
      <c r="E2930" s="91"/>
      <c r="F2930" s="80"/>
      <c r="G2930" s="91"/>
      <c r="H2930" s="91"/>
    </row>
    <row r="2931" spans="2:8">
      <c r="B2931" s="91"/>
      <c r="C2931" s="36"/>
      <c r="D2931" s="91"/>
      <c r="E2931" s="91"/>
      <c r="F2931" s="80"/>
      <c r="G2931" s="91"/>
      <c r="H2931" s="91"/>
    </row>
    <row r="2932" spans="2:8">
      <c r="B2932" s="91"/>
      <c r="C2932" s="36"/>
      <c r="D2932" s="91"/>
      <c r="E2932" s="91"/>
      <c r="F2932" s="80"/>
      <c r="G2932" s="91"/>
      <c r="H2932" s="91"/>
    </row>
    <row r="2933" spans="2:8">
      <c r="B2933" s="91"/>
      <c r="C2933" s="36"/>
      <c r="D2933" s="91"/>
      <c r="E2933" s="91"/>
      <c r="F2933" s="80"/>
      <c r="G2933" s="91"/>
      <c r="H2933" s="91"/>
    </row>
    <row r="2934" spans="2:8">
      <c r="B2934" s="91"/>
      <c r="C2934" s="36"/>
      <c r="D2934" s="91"/>
      <c r="E2934" s="91"/>
      <c r="F2934" s="80"/>
      <c r="G2934" s="91"/>
      <c r="H2934" s="91"/>
    </row>
    <row r="2935" spans="2:8">
      <c r="B2935" s="91"/>
      <c r="C2935" s="36"/>
      <c r="D2935" s="91"/>
      <c r="E2935" s="91"/>
      <c r="F2935" s="80"/>
      <c r="G2935" s="91"/>
      <c r="H2935" s="91"/>
    </row>
    <row r="2936" spans="2:8">
      <c r="B2936" s="91"/>
      <c r="C2936" s="36"/>
      <c r="D2936" s="91"/>
      <c r="E2936" s="91"/>
      <c r="F2936" s="80"/>
      <c r="G2936" s="91"/>
      <c r="H2936" s="91"/>
    </row>
    <row r="2937" spans="2:8">
      <c r="B2937" s="91"/>
      <c r="C2937" s="36"/>
      <c r="D2937" s="91"/>
      <c r="E2937" s="91"/>
      <c r="F2937" s="80"/>
      <c r="G2937" s="91"/>
      <c r="H2937" s="91"/>
    </row>
    <row r="2938" spans="2:8">
      <c r="B2938" s="91"/>
      <c r="C2938" s="36"/>
      <c r="D2938" s="91"/>
      <c r="E2938" s="91"/>
      <c r="F2938" s="80"/>
      <c r="G2938" s="91"/>
      <c r="H2938" s="91"/>
    </row>
    <row r="2939" spans="2:8">
      <c r="B2939" s="91"/>
      <c r="C2939" s="36"/>
      <c r="D2939" s="91"/>
      <c r="E2939" s="91"/>
      <c r="F2939" s="80"/>
      <c r="G2939" s="91"/>
      <c r="H2939" s="91"/>
    </row>
    <row r="2940" spans="2:8">
      <c r="B2940" s="91"/>
      <c r="C2940" s="36"/>
      <c r="D2940" s="91"/>
      <c r="E2940" s="91"/>
      <c r="F2940" s="80"/>
      <c r="G2940" s="91"/>
      <c r="H2940" s="91"/>
    </row>
    <row r="2941" spans="2:8">
      <c r="B2941" s="91"/>
      <c r="C2941" s="36"/>
      <c r="D2941" s="91"/>
      <c r="E2941" s="91"/>
      <c r="F2941" s="80"/>
      <c r="G2941" s="91"/>
      <c r="H2941" s="91"/>
    </row>
    <row r="2942" spans="2:8">
      <c r="B2942" s="91"/>
      <c r="C2942" s="36"/>
      <c r="D2942" s="91"/>
      <c r="E2942" s="91"/>
      <c r="F2942" s="80"/>
      <c r="G2942" s="91"/>
      <c r="H2942" s="91"/>
    </row>
    <row r="2943" spans="2:8">
      <c r="B2943" s="91"/>
      <c r="C2943" s="36"/>
      <c r="D2943" s="91"/>
      <c r="E2943" s="91"/>
      <c r="F2943" s="80"/>
      <c r="G2943" s="91"/>
      <c r="H2943" s="91"/>
    </row>
    <row r="2944" spans="2:8">
      <c r="B2944" s="91"/>
      <c r="C2944" s="36"/>
      <c r="D2944" s="91"/>
      <c r="E2944" s="91"/>
      <c r="F2944" s="80"/>
      <c r="G2944" s="91"/>
      <c r="H2944" s="91"/>
    </row>
    <row r="2945" spans="2:8">
      <c r="B2945" s="91"/>
      <c r="C2945" s="36"/>
      <c r="D2945" s="91"/>
      <c r="E2945" s="91"/>
      <c r="F2945" s="80"/>
      <c r="G2945" s="91"/>
      <c r="H2945" s="91"/>
    </row>
    <row r="2946" spans="2:8">
      <c r="B2946" s="91"/>
      <c r="C2946" s="36"/>
      <c r="D2946" s="91"/>
      <c r="E2946" s="91"/>
      <c r="F2946" s="80"/>
      <c r="G2946" s="91"/>
      <c r="H2946" s="91"/>
    </row>
    <row r="2947" spans="2:8">
      <c r="B2947" s="91"/>
      <c r="C2947" s="36"/>
      <c r="D2947" s="91"/>
      <c r="E2947" s="91"/>
      <c r="F2947" s="80"/>
      <c r="G2947" s="91"/>
      <c r="H2947" s="91"/>
    </row>
    <row r="2948" spans="2:8">
      <c r="B2948" s="91"/>
      <c r="C2948" s="36"/>
      <c r="D2948" s="91"/>
      <c r="E2948" s="91"/>
      <c r="F2948" s="80"/>
      <c r="G2948" s="91"/>
      <c r="H2948" s="91"/>
    </row>
    <row r="2949" spans="2:8">
      <c r="B2949" s="91"/>
      <c r="C2949" s="36"/>
      <c r="D2949" s="91"/>
      <c r="E2949" s="91"/>
      <c r="F2949" s="80"/>
      <c r="G2949" s="91"/>
      <c r="H2949" s="91"/>
    </row>
    <row r="2950" spans="2:8">
      <c r="B2950" s="91"/>
      <c r="C2950" s="36"/>
      <c r="D2950" s="91"/>
      <c r="E2950" s="91"/>
      <c r="F2950" s="80"/>
      <c r="G2950" s="91"/>
      <c r="H2950" s="91"/>
    </row>
    <row r="2951" spans="2:8">
      <c r="B2951" s="91"/>
      <c r="C2951" s="36"/>
      <c r="D2951" s="91"/>
      <c r="E2951" s="91"/>
      <c r="F2951" s="80"/>
      <c r="G2951" s="91"/>
      <c r="H2951" s="91"/>
    </row>
    <row r="2952" spans="2:8">
      <c r="B2952" s="91"/>
      <c r="C2952" s="36"/>
      <c r="D2952" s="91"/>
      <c r="E2952" s="91"/>
      <c r="F2952" s="80"/>
      <c r="G2952" s="91"/>
      <c r="H2952" s="91"/>
    </row>
    <row r="2953" spans="2:8">
      <c r="B2953" s="91"/>
      <c r="C2953" s="36"/>
      <c r="D2953" s="91"/>
      <c r="E2953" s="91"/>
      <c r="F2953" s="80"/>
      <c r="G2953" s="91"/>
      <c r="H2953" s="91"/>
    </row>
    <row r="2954" spans="2:8">
      <c r="B2954" s="91"/>
      <c r="C2954" s="36"/>
      <c r="D2954" s="91"/>
      <c r="E2954" s="91"/>
      <c r="F2954" s="80"/>
      <c r="G2954" s="91"/>
      <c r="H2954" s="91"/>
    </row>
    <row r="2955" spans="2:8">
      <c r="B2955" s="91"/>
      <c r="C2955" s="36"/>
      <c r="D2955" s="91"/>
      <c r="E2955" s="91"/>
      <c r="F2955" s="80"/>
      <c r="G2955" s="91"/>
      <c r="H2955" s="91"/>
    </row>
    <row r="2956" spans="2:8">
      <c r="B2956" s="91"/>
      <c r="C2956" s="36"/>
      <c r="D2956" s="91"/>
      <c r="E2956" s="91"/>
      <c r="F2956" s="80"/>
      <c r="G2956" s="91"/>
      <c r="H2956" s="91"/>
    </row>
    <row r="2957" spans="2:8">
      <c r="B2957" s="91"/>
      <c r="C2957" s="36"/>
      <c r="D2957" s="91"/>
      <c r="E2957" s="91"/>
      <c r="F2957" s="80"/>
      <c r="G2957" s="91"/>
      <c r="H2957" s="91"/>
    </row>
    <row r="2958" spans="2:8">
      <c r="B2958" s="91"/>
      <c r="C2958" s="36"/>
      <c r="D2958" s="91"/>
      <c r="E2958" s="91"/>
      <c r="F2958" s="80"/>
      <c r="G2958" s="91"/>
      <c r="H2958" s="91"/>
    </row>
    <row r="2959" spans="2:8">
      <c r="B2959" s="91"/>
      <c r="C2959" s="36"/>
      <c r="D2959" s="91"/>
      <c r="E2959" s="91"/>
      <c r="F2959" s="80"/>
      <c r="G2959" s="91"/>
      <c r="H2959" s="91"/>
    </row>
    <row r="2960" spans="2:8">
      <c r="B2960" s="91"/>
      <c r="C2960" s="36"/>
      <c r="D2960" s="91"/>
      <c r="E2960" s="91"/>
      <c r="F2960" s="80"/>
      <c r="G2960" s="91"/>
      <c r="H2960" s="91"/>
    </row>
    <row r="2961" spans="2:8">
      <c r="B2961" s="91"/>
      <c r="C2961" s="36"/>
      <c r="D2961" s="91"/>
      <c r="E2961" s="91"/>
      <c r="F2961" s="80"/>
      <c r="G2961" s="91"/>
      <c r="H2961" s="91"/>
    </row>
    <row r="2962" spans="2:8">
      <c r="B2962" s="91"/>
      <c r="C2962" s="36"/>
      <c r="D2962" s="91"/>
      <c r="E2962" s="91"/>
      <c r="F2962" s="80"/>
      <c r="G2962" s="91"/>
      <c r="H2962" s="91"/>
    </row>
    <row r="2963" spans="2:8">
      <c r="B2963" s="91"/>
      <c r="C2963" s="36"/>
      <c r="D2963" s="91"/>
      <c r="E2963" s="91"/>
      <c r="F2963" s="80"/>
      <c r="G2963" s="91"/>
      <c r="H2963" s="91"/>
    </row>
    <row r="2964" spans="2:8">
      <c r="B2964" s="91"/>
      <c r="C2964" s="36"/>
      <c r="D2964" s="91"/>
      <c r="E2964" s="91"/>
      <c r="F2964" s="80"/>
      <c r="G2964" s="91"/>
      <c r="H2964" s="91"/>
    </row>
    <row r="2965" spans="2:8">
      <c r="B2965" s="91"/>
      <c r="C2965" s="36"/>
      <c r="D2965" s="91"/>
      <c r="E2965" s="91"/>
      <c r="F2965" s="80"/>
      <c r="G2965" s="91"/>
      <c r="H2965" s="91"/>
    </row>
    <row r="2966" spans="2:8">
      <c r="B2966" s="91"/>
      <c r="C2966" s="36"/>
      <c r="D2966" s="91"/>
      <c r="E2966" s="91"/>
      <c r="F2966" s="80"/>
      <c r="G2966" s="91"/>
      <c r="H2966" s="91"/>
    </row>
    <row r="2967" spans="2:8">
      <c r="B2967" s="91"/>
      <c r="C2967" s="36"/>
      <c r="D2967" s="91"/>
      <c r="E2967" s="91"/>
      <c r="F2967" s="80"/>
      <c r="G2967" s="91"/>
      <c r="H2967" s="91"/>
    </row>
    <row r="2968" spans="2:8">
      <c r="B2968" s="91"/>
      <c r="C2968" s="36"/>
      <c r="D2968" s="91"/>
      <c r="E2968" s="91"/>
      <c r="F2968" s="80"/>
      <c r="G2968" s="91"/>
      <c r="H2968" s="91"/>
    </row>
    <row r="2969" spans="2:8">
      <c r="B2969" s="91"/>
      <c r="C2969" s="36"/>
      <c r="D2969" s="91"/>
      <c r="E2969" s="91"/>
      <c r="F2969" s="80"/>
      <c r="G2969" s="91"/>
      <c r="H2969" s="91"/>
    </row>
    <row r="2970" spans="2:8">
      <c r="B2970" s="91"/>
      <c r="C2970" s="36"/>
      <c r="D2970" s="91"/>
      <c r="E2970" s="91"/>
      <c r="F2970" s="80"/>
      <c r="G2970" s="91"/>
      <c r="H2970" s="91"/>
    </row>
    <row r="2971" spans="2:8">
      <c r="B2971" s="91"/>
      <c r="C2971" s="36"/>
      <c r="D2971" s="91"/>
      <c r="E2971" s="91"/>
      <c r="F2971" s="80"/>
      <c r="G2971" s="91"/>
      <c r="H2971" s="91"/>
    </row>
    <row r="2972" spans="2:8">
      <c r="B2972" s="91"/>
      <c r="C2972" s="36"/>
      <c r="D2972" s="91"/>
      <c r="E2972" s="91"/>
      <c r="F2972" s="80"/>
      <c r="G2972" s="91"/>
      <c r="H2972" s="91"/>
    </row>
    <row r="2973" spans="2:8">
      <c r="B2973" s="91"/>
      <c r="C2973" s="36"/>
      <c r="D2973" s="91"/>
      <c r="E2973" s="91"/>
      <c r="F2973" s="80"/>
      <c r="G2973" s="91"/>
      <c r="H2973" s="91"/>
    </row>
    <row r="2974" spans="2:8">
      <c r="B2974" s="91"/>
      <c r="C2974" s="36"/>
      <c r="D2974" s="91"/>
      <c r="E2974" s="91"/>
      <c r="F2974" s="80"/>
      <c r="G2974" s="91"/>
      <c r="H2974" s="91"/>
    </row>
    <row r="2975" spans="2:8">
      <c r="B2975" s="91"/>
      <c r="C2975" s="36"/>
      <c r="D2975" s="91"/>
      <c r="E2975" s="91"/>
      <c r="F2975" s="80"/>
      <c r="G2975" s="91"/>
      <c r="H2975" s="91"/>
    </row>
    <row r="2976" spans="2:8">
      <c r="B2976" s="91"/>
      <c r="C2976" s="36"/>
      <c r="D2976" s="91"/>
      <c r="E2976" s="91"/>
      <c r="F2976" s="80"/>
      <c r="G2976" s="91"/>
      <c r="H2976" s="91"/>
    </row>
    <row r="2977" spans="2:8">
      <c r="B2977" s="91"/>
      <c r="C2977" s="36"/>
      <c r="D2977" s="91"/>
      <c r="E2977" s="91"/>
      <c r="F2977" s="80"/>
      <c r="G2977" s="91"/>
      <c r="H2977" s="91"/>
    </row>
    <row r="2978" spans="2:8">
      <c r="B2978" s="91"/>
      <c r="C2978" s="36"/>
      <c r="D2978" s="91"/>
      <c r="E2978" s="91"/>
      <c r="F2978" s="80"/>
      <c r="G2978" s="91"/>
      <c r="H2978" s="91"/>
    </row>
    <row r="2979" spans="2:8">
      <c r="B2979" s="91"/>
      <c r="C2979" s="36"/>
      <c r="D2979" s="91"/>
      <c r="E2979" s="91"/>
      <c r="F2979" s="80"/>
      <c r="G2979" s="91"/>
      <c r="H2979" s="91"/>
    </row>
    <row r="2980" spans="2:8">
      <c r="B2980" s="91"/>
      <c r="C2980" s="36"/>
      <c r="D2980" s="91"/>
      <c r="E2980" s="91"/>
      <c r="F2980" s="80"/>
      <c r="G2980" s="91"/>
      <c r="H2980" s="91"/>
    </row>
    <row r="2981" spans="2:8">
      <c r="B2981" s="91"/>
      <c r="C2981" s="36"/>
      <c r="D2981" s="91"/>
      <c r="E2981" s="91"/>
      <c r="F2981" s="80"/>
      <c r="G2981" s="91"/>
      <c r="H2981" s="91"/>
    </row>
    <row r="2982" spans="2:8">
      <c r="B2982" s="91"/>
      <c r="C2982" s="36"/>
      <c r="D2982" s="91"/>
      <c r="E2982" s="91"/>
      <c r="F2982" s="80"/>
      <c r="G2982" s="91"/>
      <c r="H2982" s="91"/>
    </row>
    <row r="2983" spans="2:8">
      <c r="B2983" s="91"/>
      <c r="C2983" s="36"/>
      <c r="D2983" s="91"/>
      <c r="E2983" s="91"/>
      <c r="F2983" s="80"/>
      <c r="G2983" s="91"/>
      <c r="H2983" s="91"/>
    </row>
    <row r="2984" spans="2:8">
      <c r="B2984" s="91"/>
      <c r="C2984" s="36"/>
      <c r="D2984" s="91"/>
      <c r="E2984" s="91"/>
      <c r="F2984" s="80"/>
      <c r="G2984" s="91"/>
      <c r="H2984" s="91"/>
    </row>
    <row r="2985" spans="2:8">
      <c r="B2985" s="91"/>
      <c r="C2985" s="36"/>
      <c r="D2985" s="91"/>
      <c r="E2985" s="91"/>
      <c r="F2985" s="80"/>
      <c r="G2985" s="91"/>
      <c r="H2985" s="91"/>
    </row>
    <row r="2986" spans="2:8">
      <c r="B2986" s="91"/>
      <c r="C2986" s="36"/>
      <c r="D2986" s="91"/>
      <c r="E2986" s="91"/>
      <c r="F2986" s="80"/>
      <c r="G2986" s="91"/>
      <c r="H2986" s="91"/>
    </row>
    <row r="2987" spans="2:8">
      <c r="B2987" s="91"/>
      <c r="C2987" s="36"/>
      <c r="D2987" s="91"/>
      <c r="E2987" s="91"/>
      <c r="F2987" s="80"/>
      <c r="G2987" s="91"/>
      <c r="H2987" s="91"/>
    </row>
    <row r="2988" spans="2:8">
      <c r="B2988" s="91"/>
      <c r="C2988" s="36"/>
      <c r="D2988" s="91"/>
      <c r="E2988" s="91"/>
      <c r="F2988" s="80"/>
      <c r="G2988" s="91"/>
      <c r="H2988" s="91"/>
    </row>
    <row r="2989" spans="2:8">
      <c r="B2989" s="91"/>
      <c r="C2989" s="36"/>
      <c r="D2989" s="91"/>
      <c r="E2989" s="91"/>
      <c r="F2989" s="80"/>
      <c r="G2989" s="91"/>
      <c r="H2989" s="91"/>
    </row>
    <row r="2990" spans="2:8">
      <c r="B2990" s="91"/>
      <c r="C2990" s="36"/>
      <c r="D2990" s="91"/>
      <c r="E2990" s="91"/>
      <c r="F2990" s="80"/>
      <c r="G2990" s="91"/>
      <c r="H2990" s="91"/>
    </row>
    <row r="2991" spans="2:8">
      <c r="B2991" s="91"/>
      <c r="C2991" s="36"/>
      <c r="D2991" s="91"/>
      <c r="E2991" s="91"/>
      <c r="F2991" s="80"/>
      <c r="G2991" s="91"/>
      <c r="H2991" s="91"/>
    </row>
    <row r="2992" spans="2:8">
      <c r="B2992" s="91"/>
      <c r="C2992" s="36"/>
      <c r="D2992" s="91"/>
      <c r="E2992" s="91"/>
      <c r="F2992" s="80"/>
      <c r="G2992" s="91"/>
      <c r="H2992" s="91"/>
    </row>
    <row r="2993" spans="2:8">
      <c r="B2993" s="91"/>
      <c r="C2993" s="36"/>
      <c r="D2993" s="91"/>
      <c r="E2993" s="91"/>
      <c r="F2993" s="80"/>
      <c r="G2993" s="91"/>
      <c r="H2993" s="91"/>
    </row>
    <row r="2994" spans="2:8">
      <c r="B2994" s="91"/>
      <c r="C2994" s="36"/>
      <c r="D2994" s="91"/>
      <c r="E2994" s="91"/>
      <c r="F2994" s="80"/>
      <c r="G2994" s="91"/>
      <c r="H2994" s="91"/>
    </row>
    <row r="2995" spans="2:8">
      <c r="B2995" s="91"/>
      <c r="C2995" s="36"/>
      <c r="D2995" s="91"/>
      <c r="E2995" s="91"/>
      <c r="F2995" s="80"/>
      <c r="G2995" s="91"/>
      <c r="H2995" s="91"/>
    </row>
    <row r="2996" spans="2:8">
      <c r="B2996" s="91"/>
      <c r="C2996" s="36"/>
      <c r="D2996" s="91"/>
      <c r="E2996" s="91"/>
      <c r="F2996" s="80"/>
      <c r="G2996" s="91"/>
      <c r="H2996" s="91"/>
    </row>
    <row r="2997" spans="2:8">
      <c r="B2997" s="91"/>
      <c r="C2997" s="36"/>
      <c r="D2997" s="91"/>
      <c r="E2997" s="91"/>
      <c r="F2997" s="80"/>
      <c r="G2997" s="91"/>
      <c r="H2997" s="91"/>
    </row>
    <row r="2998" spans="2:8">
      <c r="B2998" s="91"/>
      <c r="C2998" s="36"/>
      <c r="D2998" s="91"/>
      <c r="E2998" s="91"/>
      <c r="F2998" s="80"/>
      <c r="G2998" s="91"/>
      <c r="H2998" s="91"/>
    </row>
    <row r="2999" spans="2:8">
      <c r="B2999" s="91"/>
      <c r="C2999" s="36"/>
      <c r="D2999" s="91"/>
      <c r="E2999" s="91"/>
      <c r="F2999" s="80"/>
      <c r="G2999" s="91"/>
      <c r="H2999" s="91"/>
    </row>
    <row r="3000" spans="2:8">
      <c r="B3000" s="91"/>
      <c r="C3000" s="36"/>
      <c r="D3000" s="91"/>
      <c r="E3000" s="91"/>
      <c r="F3000" s="80"/>
      <c r="G3000" s="91"/>
      <c r="H3000" s="91"/>
    </row>
    <row r="3001" spans="2:8">
      <c r="B3001" s="91"/>
      <c r="C3001" s="36"/>
      <c r="D3001" s="91"/>
      <c r="E3001" s="91"/>
      <c r="F3001" s="80"/>
      <c r="G3001" s="91"/>
      <c r="H3001" s="91"/>
    </row>
    <row r="3002" spans="2:8">
      <c r="B3002" s="91"/>
      <c r="C3002" s="36"/>
      <c r="D3002" s="91"/>
      <c r="E3002" s="91"/>
      <c r="F3002" s="80"/>
      <c r="G3002" s="91"/>
      <c r="H3002" s="91"/>
    </row>
    <row r="3003" spans="2:8">
      <c r="B3003" s="91"/>
      <c r="C3003" s="36"/>
      <c r="D3003" s="91"/>
      <c r="E3003" s="91"/>
      <c r="F3003" s="80"/>
      <c r="G3003" s="91"/>
      <c r="H3003" s="91"/>
    </row>
    <row r="3004" spans="2:8">
      <c r="B3004" s="91"/>
      <c r="C3004" s="36"/>
      <c r="D3004" s="91"/>
      <c r="E3004" s="91"/>
      <c r="F3004" s="80"/>
      <c r="G3004" s="91"/>
      <c r="H3004" s="91"/>
    </row>
    <row r="3005" spans="2:8">
      <c r="B3005" s="91"/>
      <c r="C3005" s="36"/>
      <c r="D3005" s="91"/>
      <c r="E3005" s="91"/>
      <c r="F3005" s="80"/>
      <c r="G3005" s="91"/>
      <c r="H3005" s="91"/>
    </row>
    <row r="3006" spans="2:8">
      <c r="B3006" s="91"/>
      <c r="C3006" s="36"/>
      <c r="D3006" s="91"/>
      <c r="E3006" s="91"/>
      <c r="F3006" s="80"/>
      <c r="G3006" s="91"/>
      <c r="H3006" s="91"/>
    </row>
    <row r="3007" spans="2:8">
      <c r="B3007" s="91"/>
      <c r="C3007" s="36"/>
      <c r="D3007" s="91"/>
      <c r="E3007" s="91"/>
      <c r="F3007" s="80"/>
      <c r="G3007" s="91"/>
      <c r="H3007" s="91"/>
    </row>
    <row r="3008" spans="2:8">
      <c r="B3008" s="91"/>
      <c r="C3008" s="36"/>
      <c r="D3008" s="91"/>
      <c r="E3008" s="91"/>
      <c r="F3008" s="80"/>
      <c r="G3008" s="91"/>
      <c r="H3008" s="91"/>
    </row>
    <row r="3009" spans="2:8">
      <c r="B3009" s="91"/>
      <c r="C3009" s="36"/>
      <c r="D3009" s="91"/>
      <c r="E3009" s="91"/>
      <c r="F3009" s="80"/>
      <c r="G3009" s="91"/>
      <c r="H3009" s="91"/>
    </row>
    <row r="3010" spans="2:8">
      <c r="B3010" s="91"/>
      <c r="C3010" s="36"/>
      <c r="D3010" s="91"/>
      <c r="E3010" s="91"/>
      <c r="F3010" s="80"/>
      <c r="G3010" s="91"/>
      <c r="H3010" s="91"/>
    </row>
    <row r="3011" spans="2:8">
      <c r="B3011" s="91"/>
      <c r="C3011" s="36"/>
      <c r="D3011" s="91"/>
      <c r="E3011" s="91"/>
      <c r="F3011" s="80"/>
      <c r="G3011" s="91"/>
      <c r="H3011" s="91"/>
    </row>
    <row r="3012" spans="2:8">
      <c r="B3012" s="91"/>
      <c r="C3012" s="36"/>
      <c r="D3012" s="91"/>
      <c r="E3012" s="91"/>
      <c r="F3012" s="80"/>
      <c r="G3012" s="91"/>
      <c r="H3012" s="91"/>
    </row>
    <row r="3013" spans="2:8">
      <c r="B3013" s="91"/>
      <c r="C3013" s="36"/>
      <c r="D3013" s="91"/>
      <c r="E3013" s="91"/>
      <c r="F3013" s="80"/>
      <c r="G3013" s="91"/>
      <c r="H3013" s="91"/>
    </row>
    <row r="3014" spans="2:8">
      <c r="B3014" s="91"/>
      <c r="C3014" s="36"/>
      <c r="D3014" s="91"/>
      <c r="E3014" s="91"/>
      <c r="F3014" s="80"/>
      <c r="G3014" s="91"/>
      <c r="H3014" s="91"/>
    </row>
    <row r="3015" spans="2:8">
      <c r="B3015" s="91"/>
      <c r="C3015" s="36"/>
      <c r="D3015" s="91"/>
      <c r="E3015" s="91"/>
      <c r="F3015" s="80"/>
      <c r="G3015" s="91"/>
      <c r="H3015" s="91"/>
    </row>
    <row r="3016" spans="2:8">
      <c r="B3016" s="91"/>
      <c r="C3016" s="36"/>
      <c r="D3016" s="91"/>
      <c r="E3016" s="91"/>
      <c r="F3016" s="80"/>
      <c r="G3016" s="91"/>
      <c r="H3016" s="91"/>
    </row>
    <row r="3017" spans="2:8">
      <c r="B3017" s="91"/>
      <c r="C3017" s="36"/>
      <c r="D3017" s="91"/>
      <c r="E3017" s="91"/>
      <c r="F3017" s="80"/>
      <c r="G3017" s="91"/>
      <c r="H3017" s="91"/>
    </row>
    <row r="3018" spans="2:8">
      <c r="B3018" s="91"/>
      <c r="C3018" s="36"/>
      <c r="D3018" s="91"/>
      <c r="E3018" s="91"/>
      <c r="F3018" s="80"/>
      <c r="G3018" s="91"/>
      <c r="H3018" s="91"/>
    </row>
    <row r="3019" spans="2:8">
      <c r="B3019" s="91"/>
      <c r="C3019" s="36"/>
      <c r="D3019" s="91"/>
      <c r="E3019" s="91"/>
      <c r="F3019" s="80"/>
      <c r="G3019" s="91"/>
      <c r="H3019" s="91"/>
    </row>
    <row r="3020" spans="2:8">
      <c r="B3020" s="91"/>
      <c r="C3020" s="36"/>
      <c r="D3020" s="91"/>
      <c r="E3020" s="91"/>
      <c r="F3020" s="80"/>
      <c r="G3020" s="91"/>
      <c r="H3020" s="91"/>
    </row>
    <row r="3021" spans="2:8">
      <c r="B3021" s="91"/>
      <c r="C3021" s="36"/>
      <c r="D3021" s="91"/>
      <c r="E3021" s="91"/>
      <c r="F3021" s="80"/>
      <c r="G3021" s="91"/>
      <c r="H3021" s="91"/>
    </row>
    <row r="3022" spans="2:8">
      <c r="B3022" s="91"/>
      <c r="C3022" s="36"/>
      <c r="D3022" s="91"/>
      <c r="E3022" s="91"/>
      <c r="F3022" s="80"/>
      <c r="G3022" s="91"/>
      <c r="H3022" s="91"/>
    </row>
    <row r="3023" spans="2:8">
      <c r="B3023" s="91"/>
      <c r="C3023" s="36"/>
      <c r="D3023" s="91"/>
      <c r="E3023" s="91"/>
      <c r="F3023" s="80"/>
      <c r="G3023" s="91"/>
      <c r="H3023" s="91"/>
    </row>
    <row r="3024" spans="2:8">
      <c r="B3024" s="91"/>
      <c r="C3024" s="36"/>
      <c r="D3024" s="91"/>
      <c r="E3024" s="91"/>
      <c r="F3024" s="80"/>
      <c r="G3024" s="91"/>
      <c r="H3024" s="91"/>
    </row>
    <row r="3025" spans="2:8">
      <c r="B3025" s="91"/>
      <c r="C3025" s="36"/>
      <c r="D3025" s="91"/>
      <c r="E3025" s="91"/>
      <c r="F3025" s="80"/>
      <c r="G3025" s="91"/>
      <c r="H3025" s="91"/>
    </row>
    <row r="3026" spans="2:8">
      <c r="B3026" s="91"/>
      <c r="C3026" s="36"/>
      <c r="D3026" s="91"/>
      <c r="E3026" s="91"/>
      <c r="F3026" s="80"/>
      <c r="G3026" s="91"/>
      <c r="H3026" s="91"/>
    </row>
    <row r="3027" spans="2:8">
      <c r="B3027" s="91"/>
      <c r="C3027" s="36"/>
      <c r="D3027" s="91"/>
      <c r="E3027" s="91"/>
      <c r="F3027" s="80"/>
      <c r="G3027" s="91"/>
      <c r="H3027" s="91"/>
    </row>
    <row r="3028" spans="2:8">
      <c r="B3028" s="91"/>
      <c r="C3028" s="36"/>
      <c r="D3028" s="91"/>
      <c r="E3028" s="91"/>
      <c r="F3028" s="80"/>
      <c r="G3028" s="91"/>
      <c r="H3028" s="91"/>
    </row>
    <row r="3029" spans="2:8">
      <c r="B3029" s="91"/>
      <c r="C3029" s="36"/>
      <c r="D3029" s="91"/>
      <c r="E3029" s="91"/>
      <c r="F3029" s="80"/>
      <c r="G3029" s="91"/>
      <c r="H3029" s="91"/>
    </row>
    <row r="3030" spans="2:8">
      <c r="B3030" s="91"/>
      <c r="C3030" s="36"/>
      <c r="D3030" s="91"/>
      <c r="E3030" s="91"/>
      <c r="F3030" s="80"/>
      <c r="G3030" s="91"/>
      <c r="H3030" s="91"/>
    </row>
    <row r="3031" spans="2:8">
      <c r="B3031" s="91"/>
      <c r="C3031" s="36"/>
      <c r="D3031" s="91"/>
      <c r="E3031" s="91"/>
      <c r="F3031" s="80"/>
      <c r="G3031" s="91"/>
      <c r="H3031" s="91"/>
    </row>
    <row r="3032" spans="2:8">
      <c r="B3032" s="91"/>
      <c r="C3032" s="36"/>
      <c r="D3032" s="91"/>
      <c r="E3032" s="91"/>
      <c r="F3032" s="80"/>
      <c r="G3032" s="91"/>
      <c r="H3032" s="91"/>
    </row>
    <row r="3033" spans="2:8">
      <c r="B3033" s="91"/>
      <c r="C3033" s="36"/>
      <c r="D3033" s="91"/>
      <c r="E3033" s="91"/>
      <c r="F3033" s="80"/>
      <c r="G3033" s="91"/>
      <c r="H3033" s="91"/>
    </row>
    <row r="3034" spans="2:8">
      <c r="B3034" s="91"/>
      <c r="C3034" s="36"/>
      <c r="D3034" s="91"/>
      <c r="E3034" s="91"/>
      <c r="F3034" s="80"/>
      <c r="G3034" s="91"/>
      <c r="H3034" s="91"/>
    </row>
    <row r="3035" spans="2:8">
      <c r="B3035" s="91"/>
      <c r="C3035" s="36"/>
      <c r="D3035" s="91"/>
      <c r="E3035" s="91"/>
      <c r="F3035" s="80"/>
      <c r="G3035" s="91"/>
      <c r="H3035" s="91"/>
    </row>
    <row r="3036" spans="2:8">
      <c r="B3036" s="91"/>
      <c r="C3036" s="36"/>
      <c r="D3036" s="91"/>
      <c r="E3036" s="91"/>
      <c r="F3036" s="80"/>
      <c r="G3036" s="91"/>
      <c r="H3036" s="91"/>
    </row>
    <row r="3037" spans="2:8">
      <c r="B3037" s="91"/>
      <c r="C3037" s="36"/>
      <c r="D3037" s="91"/>
      <c r="E3037" s="91"/>
      <c r="F3037" s="80"/>
      <c r="G3037" s="91"/>
      <c r="H3037" s="91"/>
    </row>
    <row r="3038" spans="2:8">
      <c r="B3038" s="91"/>
      <c r="C3038" s="36"/>
      <c r="D3038" s="91"/>
      <c r="E3038" s="91"/>
      <c r="F3038" s="80"/>
      <c r="G3038" s="91"/>
      <c r="H3038" s="91"/>
    </row>
    <row r="3039" spans="2:8">
      <c r="B3039" s="91"/>
      <c r="C3039" s="36"/>
      <c r="D3039" s="91"/>
      <c r="E3039" s="91"/>
      <c r="F3039" s="80"/>
      <c r="G3039" s="91"/>
      <c r="H3039" s="91"/>
    </row>
    <row r="3040" spans="2:8">
      <c r="B3040" s="91"/>
      <c r="C3040" s="36"/>
      <c r="D3040" s="91"/>
      <c r="E3040" s="91"/>
      <c r="F3040" s="80"/>
      <c r="G3040" s="91"/>
      <c r="H3040" s="91"/>
    </row>
    <row r="3041" spans="2:8">
      <c r="B3041" s="91"/>
      <c r="C3041" s="36"/>
      <c r="D3041" s="91"/>
      <c r="E3041" s="91"/>
      <c r="F3041" s="80"/>
      <c r="G3041" s="91"/>
      <c r="H3041" s="91"/>
    </row>
    <row r="3042" spans="2:8">
      <c r="B3042" s="91"/>
      <c r="C3042" s="36"/>
      <c r="D3042" s="91"/>
      <c r="E3042" s="91"/>
      <c r="F3042" s="80"/>
      <c r="G3042" s="91"/>
      <c r="H3042" s="91"/>
    </row>
    <row r="3043" spans="2:8">
      <c r="B3043" s="91"/>
      <c r="C3043" s="36"/>
      <c r="D3043" s="91"/>
      <c r="E3043" s="91"/>
      <c r="F3043" s="80"/>
      <c r="G3043" s="91"/>
      <c r="H3043" s="91"/>
    </row>
    <row r="3044" spans="2:8">
      <c r="B3044" s="91"/>
      <c r="C3044" s="36"/>
      <c r="D3044" s="91"/>
      <c r="E3044" s="91"/>
      <c r="F3044" s="80"/>
      <c r="G3044" s="91"/>
      <c r="H3044" s="91"/>
    </row>
    <row r="3045" spans="2:8">
      <c r="B3045" s="91"/>
      <c r="C3045" s="36"/>
      <c r="D3045" s="91"/>
      <c r="E3045" s="91"/>
      <c r="F3045" s="80"/>
      <c r="G3045" s="91"/>
      <c r="H3045" s="91"/>
    </row>
    <row r="3046" spans="2:8">
      <c r="B3046" s="91"/>
      <c r="C3046" s="36"/>
      <c r="D3046" s="91"/>
      <c r="E3046" s="91"/>
      <c r="F3046" s="80"/>
      <c r="G3046" s="91"/>
      <c r="H3046" s="91"/>
    </row>
    <row r="3047" spans="2:8">
      <c r="B3047" s="91"/>
      <c r="C3047" s="36"/>
      <c r="D3047" s="91"/>
      <c r="E3047" s="91"/>
      <c r="F3047" s="80"/>
      <c r="G3047" s="91"/>
      <c r="H3047" s="91"/>
    </row>
    <row r="3048" spans="2:8">
      <c r="B3048" s="91"/>
      <c r="C3048" s="36"/>
      <c r="D3048" s="91"/>
      <c r="E3048" s="91"/>
      <c r="F3048" s="80"/>
      <c r="G3048" s="91"/>
      <c r="H3048" s="91"/>
    </row>
    <row r="3049" spans="2:8">
      <c r="B3049" s="91"/>
      <c r="C3049" s="36"/>
      <c r="D3049" s="91"/>
      <c r="E3049" s="91"/>
      <c r="F3049" s="80"/>
      <c r="G3049" s="91"/>
      <c r="H3049" s="91"/>
    </row>
    <row r="3050" spans="2:8">
      <c r="B3050" s="91"/>
      <c r="C3050" s="36"/>
      <c r="D3050" s="91"/>
      <c r="E3050" s="91"/>
      <c r="F3050" s="80"/>
      <c r="G3050" s="91"/>
      <c r="H3050" s="91"/>
    </row>
    <row r="3051" spans="2:8">
      <c r="B3051" s="91"/>
      <c r="C3051" s="36"/>
      <c r="D3051" s="91"/>
      <c r="E3051" s="91"/>
      <c r="F3051" s="80"/>
      <c r="G3051" s="91"/>
      <c r="H3051" s="91"/>
    </row>
    <row r="3052" spans="2:8">
      <c r="B3052" s="91"/>
      <c r="C3052" s="36"/>
      <c r="D3052" s="91"/>
      <c r="E3052" s="91"/>
      <c r="F3052" s="80"/>
      <c r="G3052" s="91"/>
      <c r="H3052" s="91"/>
    </row>
    <row r="3053" spans="2:8">
      <c r="B3053" s="91"/>
      <c r="C3053" s="36"/>
      <c r="D3053" s="91"/>
      <c r="E3053" s="91"/>
      <c r="F3053" s="80"/>
      <c r="G3053" s="91"/>
      <c r="H3053" s="91"/>
    </row>
    <row r="3054" spans="2:8">
      <c r="B3054" s="91"/>
      <c r="C3054" s="36"/>
      <c r="D3054" s="91"/>
      <c r="E3054" s="91"/>
      <c r="F3054" s="80"/>
      <c r="G3054" s="91"/>
      <c r="H3054" s="91"/>
    </row>
    <row r="3055" spans="2:8">
      <c r="B3055" s="91"/>
      <c r="C3055" s="36"/>
      <c r="D3055" s="91"/>
      <c r="E3055" s="91"/>
      <c r="F3055" s="80"/>
      <c r="G3055" s="91"/>
      <c r="H3055" s="91"/>
    </row>
    <row r="3056" spans="2:8">
      <c r="B3056" s="91"/>
      <c r="C3056" s="36"/>
      <c r="D3056" s="91"/>
      <c r="E3056" s="91"/>
      <c r="F3056" s="80"/>
      <c r="G3056" s="91"/>
      <c r="H3056" s="91"/>
    </row>
    <row r="3057" spans="2:8">
      <c r="B3057" s="91"/>
      <c r="C3057" s="36"/>
      <c r="D3057" s="91"/>
      <c r="E3057" s="91"/>
      <c r="F3057" s="80"/>
      <c r="G3057" s="91"/>
      <c r="H3057" s="91"/>
    </row>
    <row r="3058" spans="2:8">
      <c r="B3058" s="91"/>
      <c r="C3058" s="36"/>
      <c r="D3058" s="91"/>
      <c r="E3058" s="91"/>
      <c r="F3058" s="80"/>
      <c r="G3058" s="91"/>
      <c r="H3058" s="91"/>
    </row>
    <row r="3059" spans="2:8">
      <c r="B3059" s="91"/>
      <c r="C3059" s="36"/>
      <c r="D3059" s="91"/>
      <c r="E3059" s="91"/>
      <c r="F3059" s="80"/>
      <c r="G3059" s="91"/>
      <c r="H3059" s="91"/>
    </row>
    <row r="3060" spans="2:8">
      <c r="B3060" s="91"/>
      <c r="C3060" s="36"/>
      <c r="D3060" s="91"/>
      <c r="E3060" s="91"/>
      <c r="F3060" s="80"/>
      <c r="G3060" s="91"/>
      <c r="H3060" s="91"/>
    </row>
    <row r="3061" spans="2:8">
      <c r="B3061" s="91"/>
      <c r="C3061" s="36"/>
      <c r="D3061" s="91"/>
      <c r="E3061" s="91"/>
      <c r="F3061" s="80"/>
      <c r="G3061" s="91"/>
      <c r="H3061" s="91"/>
    </row>
    <row r="3062" spans="2:8">
      <c r="B3062" s="91"/>
      <c r="C3062" s="36"/>
      <c r="D3062" s="91"/>
      <c r="E3062" s="91"/>
      <c r="F3062" s="80"/>
      <c r="G3062" s="91"/>
      <c r="H3062" s="91"/>
    </row>
    <row r="3063" spans="2:8">
      <c r="B3063" s="91"/>
      <c r="C3063" s="36"/>
      <c r="D3063" s="91"/>
      <c r="E3063" s="91"/>
      <c r="F3063" s="80"/>
      <c r="G3063" s="91"/>
      <c r="H3063" s="91"/>
    </row>
    <row r="3064" spans="2:8">
      <c r="B3064" s="91"/>
      <c r="C3064" s="36"/>
      <c r="D3064" s="91"/>
      <c r="E3064" s="91"/>
      <c r="F3064" s="80"/>
      <c r="G3064" s="91"/>
      <c r="H3064" s="91"/>
    </row>
    <row r="3065" spans="2:8">
      <c r="B3065" s="91"/>
      <c r="C3065" s="36"/>
      <c r="D3065" s="91"/>
      <c r="E3065" s="91"/>
      <c r="F3065" s="80"/>
      <c r="G3065" s="91"/>
      <c r="H3065" s="91"/>
    </row>
    <row r="3066" spans="2:8">
      <c r="B3066" s="91"/>
      <c r="C3066" s="36"/>
      <c r="D3066" s="91"/>
      <c r="E3066" s="91"/>
      <c r="F3066" s="80"/>
      <c r="G3066" s="91"/>
      <c r="H3066" s="91"/>
    </row>
    <row r="3067" spans="2:8">
      <c r="B3067" s="91"/>
      <c r="C3067" s="36"/>
      <c r="D3067" s="91"/>
      <c r="E3067" s="91"/>
      <c r="F3067" s="80"/>
      <c r="G3067" s="91"/>
      <c r="H3067" s="91"/>
    </row>
    <row r="3068" spans="2:8">
      <c r="B3068" s="91"/>
      <c r="C3068" s="36"/>
      <c r="D3068" s="91"/>
      <c r="E3068" s="91"/>
      <c r="F3068" s="80"/>
      <c r="G3068" s="91"/>
      <c r="H3068" s="91"/>
    </row>
    <row r="3069" spans="2:8">
      <c r="B3069" s="91"/>
      <c r="C3069" s="36"/>
      <c r="D3069" s="91"/>
      <c r="E3069" s="91"/>
      <c r="F3069" s="80"/>
      <c r="G3069" s="91"/>
      <c r="H3069" s="91"/>
    </row>
    <row r="3070" spans="2:8">
      <c r="B3070" s="91"/>
      <c r="C3070" s="36"/>
      <c r="D3070" s="91"/>
      <c r="E3070" s="91"/>
      <c r="F3070" s="80"/>
      <c r="G3070" s="91"/>
      <c r="H3070" s="91"/>
    </row>
    <row r="3071" spans="2:8">
      <c r="B3071" s="91"/>
      <c r="C3071" s="36"/>
      <c r="D3071" s="91"/>
      <c r="E3071" s="91"/>
      <c r="F3071" s="80"/>
      <c r="G3071" s="91"/>
      <c r="H3071" s="91"/>
    </row>
    <row r="3072" spans="2:8">
      <c r="B3072" s="91"/>
      <c r="C3072" s="36"/>
      <c r="D3072" s="91"/>
      <c r="E3072" s="91"/>
      <c r="F3072" s="80"/>
      <c r="G3072" s="91"/>
      <c r="H3072" s="91"/>
    </row>
    <row r="3073" spans="2:8">
      <c r="B3073" s="91"/>
      <c r="C3073" s="36"/>
      <c r="D3073" s="91"/>
      <c r="E3073" s="91"/>
      <c r="F3073" s="80"/>
      <c r="G3073" s="91"/>
      <c r="H3073" s="91"/>
    </row>
    <row r="3074" spans="2:8">
      <c r="B3074" s="91"/>
      <c r="C3074" s="36"/>
      <c r="D3074" s="91"/>
      <c r="E3074" s="91"/>
      <c r="F3074" s="80"/>
      <c r="G3074" s="91"/>
      <c r="H3074" s="91"/>
    </row>
    <row r="3075" spans="2:8">
      <c r="B3075" s="91"/>
      <c r="C3075" s="36"/>
      <c r="D3075" s="91"/>
      <c r="E3075" s="91"/>
      <c r="F3075" s="80"/>
      <c r="G3075" s="91"/>
      <c r="H3075" s="91"/>
    </row>
    <row r="3076" spans="2:8">
      <c r="B3076" s="91"/>
      <c r="C3076" s="36"/>
      <c r="D3076" s="91"/>
      <c r="E3076" s="91"/>
      <c r="F3076" s="80"/>
      <c r="G3076" s="91"/>
      <c r="H3076" s="91"/>
    </row>
    <row r="3077" spans="2:8">
      <c r="B3077" s="91"/>
      <c r="C3077" s="36"/>
      <c r="D3077" s="91"/>
      <c r="E3077" s="91"/>
      <c r="F3077" s="80"/>
      <c r="G3077" s="91"/>
      <c r="H3077" s="91"/>
    </row>
    <row r="3078" spans="2:8">
      <c r="B3078" s="91"/>
      <c r="C3078" s="36"/>
      <c r="D3078" s="91"/>
      <c r="E3078" s="91"/>
      <c r="F3078" s="80"/>
      <c r="G3078" s="91"/>
      <c r="H3078" s="91"/>
    </row>
    <row r="3079" spans="2:8">
      <c r="B3079" s="91"/>
      <c r="C3079" s="36"/>
      <c r="D3079" s="91"/>
      <c r="E3079" s="91"/>
      <c r="F3079" s="80"/>
      <c r="G3079" s="91"/>
      <c r="H3079" s="91"/>
    </row>
    <row r="3080" spans="2:8">
      <c r="B3080" s="91"/>
      <c r="C3080" s="36"/>
      <c r="D3080" s="91"/>
      <c r="E3080" s="91"/>
      <c r="F3080" s="80"/>
      <c r="G3080" s="91"/>
      <c r="H3080" s="91"/>
    </row>
    <row r="3081" spans="2:8">
      <c r="B3081" s="91"/>
      <c r="C3081" s="36"/>
      <c r="D3081" s="91"/>
      <c r="E3081" s="91"/>
      <c r="F3081" s="80"/>
      <c r="G3081" s="91"/>
      <c r="H3081" s="91"/>
    </row>
    <row r="3082" spans="2:8">
      <c r="B3082" s="91"/>
      <c r="C3082" s="36"/>
      <c r="D3082" s="91"/>
      <c r="E3082" s="91"/>
      <c r="F3082" s="80"/>
      <c r="G3082" s="91"/>
      <c r="H3082" s="91"/>
    </row>
    <row r="3083" spans="2:8">
      <c r="B3083" s="91"/>
      <c r="C3083" s="36"/>
      <c r="D3083" s="91"/>
      <c r="E3083" s="91"/>
      <c r="F3083" s="80"/>
      <c r="G3083" s="91"/>
      <c r="H3083" s="91"/>
    </row>
    <row r="3084" spans="2:8">
      <c r="B3084" s="91"/>
      <c r="C3084" s="36"/>
      <c r="D3084" s="91"/>
      <c r="E3084" s="91"/>
      <c r="F3084" s="80"/>
      <c r="G3084" s="91"/>
      <c r="H3084" s="91"/>
    </row>
    <row r="3085" spans="2:8">
      <c r="B3085" s="91"/>
      <c r="C3085" s="36"/>
      <c r="D3085" s="91"/>
      <c r="E3085" s="91"/>
      <c r="F3085" s="80"/>
      <c r="G3085" s="91"/>
      <c r="H3085" s="91"/>
    </row>
    <row r="3086" spans="2:8">
      <c r="B3086" s="91"/>
      <c r="C3086" s="36"/>
      <c r="D3086" s="91"/>
      <c r="E3086" s="91"/>
      <c r="F3086" s="80"/>
      <c r="G3086" s="91"/>
      <c r="H3086" s="91"/>
    </row>
    <row r="3087" spans="2:8">
      <c r="B3087" s="91"/>
      <c r="C3087" s="36"/>
      <c r="D3087" s="91"/>
      <c r="E3087" s="91"/>
      <c r="F3087" s="80"/>
      <c r="G3087" s="91"/>
      <c r="H3087" s="91"/>
    </row>
    <row r="3088" spans="2:8">
      <c r="B3088" s="91"/>
      <c r="C3088" s="36"/>
      <c r="D3088" s="91"/>
      <c r="E3088" s="91"/>
      <c r="F3088" s="80"/>
      <c r="G3088" s="91"/>
      <c r="H3088" s="91"/>
    </row>
    <row r="3089" spans="2:8">
      <c r="B3089" s="91"/>
      <c r="C3089" s="36"/>
      <c r="D3089" s="91"/>
      <c r="E3089" s="91"/>
      <c r="F3089" s="80"/>
      <c r="G3089" s="91"/>
      <c r="H3089" s="91"/>
    </row>
    <row r="3090" spans="2:8">
      <c r="B3090" s="91"/>
      <c r="C3090" s="36"/>
      <c r="D3090" s="91"/>
      <c r="E3090" s="91"/>
      <c r="F3090" s="80"/>
      <c r="G3090" s="91"/>
      <c r="H3090" s="91"/>
    </row>
    <row r="3091" spans="2:8">
      <c r="B3091" s="91"/>
      <c r="C3091" s="36"/>
      <c r="D3091" s="91"/>
      <c r="E3091" s="91"/>
      <c r="F3091" s="80"/>
      <c r="G3091" s="91"/>
      <c r="H3091" s="91"/>
    </row>
    <row r="3092" spans="2:8">
      <c r="B3092" s="91"/>
      <c r="C3092" s="36"/>
      <c r="D3092" s="91"/>
      <c r="E3092" s="91"/>
      <c r="F3092" s="80"/>
      <c r="G3092" s="91"/>
      <c r="H3092" s="91"/>
    </row>
    <row r="3093" spans="2:8">
      <c r="B3093" s="91"/>
      <c r="C3093" s="36"/>
      <c r="D3093" s="91"/>
      <c r="E3093" s="91"/>
      <c r="F3093" s="80"/>
      <c r="G3093" s="91"/>
      <c r="H3093" s="91"/>
    </row>
    <row r="3094" spans="2:8">
      <c r="B3094" s="91"/>
      <c r="C3094" s="36"/>
      <c r="D3094" s="91"/>
      <c r="E3094" s="91"/>
      <c r="F3094" s="80"/>
      <c r="G3094" s="91"/>
      <c r="H3094" s="91"/>
    </row>
    <row r="3095" spans="2:8">
      <c r="B3095" s="91"/>
      <c r="C3095" s="36"/>
      <c r="D3095" s="91"/>
      <c r="E3095" s="91"/>
      <c r="F3095" s="80"/>
      <c r="G3095" s="91"/>
      <c r="H3095" s="91"/>
    </row>
    <row r="3096" spans="2:8">
      <c r="B3096" s="91"/>
      <c r="C3096" s="36"/>
      <c r="D3096" s="91"/>
      <c r="E3096" s="91"/>
      <c r="F3096" s="80"/>
      <c r="G3096" s="91"/>
      <c r="H3096" s="91"/>
    </row>
    <row r="3097" spans="2:8">
      <c r="B3097" s="91"/>
      <c r="C3097" s="36"/>
      <c r="D3097" s="91"/>
      <c r="E3097" s="91"/>
      <c r="F3097" s="80"/>
      <c r="G3097" s="91"/>
      <c r="H3097" s="91"/>
    </row>
    <row r="3098" spans="2:8">
      <c r="B3098" s="91"/>
      <c r="C3098" s="36"/>
      <c r="D3098" s="91"/>
      <c r="E3098" s="91"/>
      <c r="F3098" s="80"/>
      <c r="G3098" s="91"/>
      <c r="H3098" s="91"/>
    </row>
    <row r="3099" spans="2:8">
      <c r="B3099" s="91"/>
      <c r="C3099" s="36"/>
      <c r="D3099" s="91"/>
      <c r="E3099" s="91"/>
      <c r="F3099" s="80"/>
      <c r="G3099" s="91"/>
      <c r="H3099" s="91"/>
    </row>
    <row r="3100" spans="2:8">
      <c r="B3100" s="91"/>
      <c r="C3100" s="36"/>
      <c r="D3100" s="91"/>
      <c r="E3100" s="91"/>
      <c r="F3100" s="80"/>
      <c r="G3100" s="91"/>
      <c r="H3100" s="91"/>
    </row>
    <row r="3101" spans="2:8">
      <c r="B3101" s="91"/>
      <c r="C3101" s="36"/>
      <c r="D3101" s="91"/>
      <c r="E3101" s="91"/>
      <c r="F3101" s="80"/>
      <c r="G3101" s="91"/>
      <c r="H3101" s="91"/>
    </row>
    <row r="3102" spans="2:8">
      <c r="B3102" s="91"/>
      <c r="C3102" s="36"/>
      <c r="D3102" s="91"/>
      <c r="E3102" s="91"/>
      <c r="F3102" s="80"/>
      <c r="G3102" s="91"/>
      <c r="H3102" s="91"/>
    </row>
    <row r="3103" spans="2:8">
      <c r="B3103" s="91"/>
      <c r="C3103" s="36"/>
      <c r="D3103" s="91"/>
      <c r="E3103" s="91"/>
      <c r="F3103" s="80"/>
      <c r="G3103" s="91"/>
      <c r="H3103" s="91"/>
    </row>
    <row r="3104" spans="2:8">
      <c r="B3104" s="91"/>
      <c r="C3104" s="36"/>
      <c r="D3104" s="91"/>
      <c r="E3104" s="91"/>
      <c r="F3104" s="80"/>
      <c r="G3104" s="91"/>
      <c r="H3104" s="91"/>
    </row>
    <row r="3105" spans="2:8">
      <c r="B3105" s="91"/>
      <c r="C3105" s="36"/>
      <c r="D3105" s="91"/>
      <c r="E3105" s="91"/>
      <c r="F3105" s="80"/>
      <c r="G3105" s="91"/>
      <c r="H3105" s="91"/>
    </row>
    <row r="3106" spans="2:8">
      <c r="B3106" s="91"/>
      <c r="C3106" s="36"/>
      <c r="D3106" s="91"/>
      <c r="E3106" s="91"/>
      <c r="F3106" s="80"/>
      <c r="G3106" s="91"/>
      <c r="H3106" s="91"/>
    </row>
    <row r="3107" spans="2:8">
      <c r="B3107" s="91"/>
      <c r="C3107" s="36"/>
      <c r="D3107" s="91"/>
      <c r="E3107" s="91"/>
      <c r="F3107" s="80"/>
      <c r="G3107" s="91"/>
      <c r="H3107" s="91"/>
    </row>
    <row r="3108" spans="2:8">
      <c r="B3108" s="91"/>
      <c r="C3108" s="36"/>
      <c r="D3108" s="91"/>
      <c r="E3108" s="91"/>
      <c r="F3108" s="80"/>
      <c r="G3108" s="91"/>
      <c r="H3108" s="91"/>
    </row>
    <row r="3109" spans="2:8">
      <c r="B3109" s="91"/>
      <c r="C3109" s="36"/>
      <c r="D3109" s="91"/>
      <c r="E3109" s="91"/>
      <c r="F3109" s="80"/>
      <c r="G3109" s="91"/>
      <c r="H3109" s="91"/>
    </row>
    <row r="3110" spans="2:8">
      <c r="B3110" s="91"/>
      <c r="C3110" s="36"/>
      <c r="D3110" s="91"/>
      <c r="E3110" s="91"/>
      <c r="F3110" s="80"/>
      <c r="G3110" s="91"/>
      <c r="H3110" s="91"/>
    </row>
    <row r="3111" spans="2:8">
      <c r="B3111" s="91"/>
      <c r="C3111" s="36"/>
      <c r="D3111" s="91"/>
      <c r="E3111" s="91"/>
      <c r="F3111" s="80"/>
      <c r="G3111" s="91"/>
      <c r="H3111" s="91"/>
    </row>
    <row r="3112" spans="2:8">
      <c r="B3112" s="91"/>
      <c r="C3112" s="36"/>
      <c r="D3112" s="91"/>
      <c r="E3112" s="91"/>
      <c r="F3112" s="80"/>
      <c r="G3112" s="91"/>
      <c r="H3112" s="91"/>
    </row>
    <row r="3113" spans="2:8">
      <c r="B3113" s="91"/>
      <c r="C3113" s="36"/>
      <c r="D3113" s="91"/>
      <c r="E3113" s="91"/>
      <c r="F3113" s="80"/>
      <c r="G3113" s="91"/>
      <c r="H3113" s="91"/>
    </row>
    <row r="3114" spans="2:8">
      <c r="B3114" s="91"/>
      <c r="C3114" s="36"/>
      <c r="D3114" s="91"/>
      <c r="E3114" s="91"/>
      <c r="F3114" s="80"/>
      <c r="G3114" s="91"/>
      <c r="H3114" s="91"/>
    </row>
    <row r="3115" spans="2:8">
      <c r="B3115" s="91"/>
      <c r="C3115" s="36"/>
      <c r="D3115" s="91"/>
      <c r="E3115" s="91"/>
      <c r="F3115" s="80"/>
      <c r="G3115" s="91"/>
      <c r="H3115" s="91"/>
    </row>
    <row r="3116" spans="2:8">
      <c r="B3116" s="91"/>
      <c r="C3116" s="36"/>
      <c r="D3116" s="91"/>
      <c r="E3116" s="91"/>
      <c r="F3116" s="80"/>
      <c r="G3116" s="91"/>
      <c r="H3116" s="91"/>
    </row>
    <row r="3117" spans="2:8">
      <c r="B3117" s="91"/>
      <c r="C3117" s="36"/>
      <c r="D3117" s="91"/>
      <c r="E3117" s="91"/>
      <c r="F3117" s="80"/>
      <c r="G3117" s="91"/>
      <c r="H3117" s="91"/>
    </row>
    <row r="3118" spans="2:8">
      <c r="B3118" s="91"/>
      <c r="C3118" s="36"/>
      <c r="D3118" s="91"/>
      <c r="E3118" s="91"/>
      <c r="F3118" s="80"/>
      <c r="G3118" s="91"/>
      <c r="H3118" s="91"/>
    </row>
    <row r="3119" spans="2:8">
      <c r="B3119" s="91"/>
      <c r="C3119" s="36"/>
      <c r="D3119" s="91"/>
      <c r="E3119" s="91"/>
      <c r="F3119" s="80"/>
      <c r="G3119" s="91"/>
      <c r="H3119" s="91"/>
    </row>
    <row r="3120" spans="2:8">
      <c r="B3120" s="91"/>
      <c r="C3120" s="36"/>
      <c r="D3120" s="91"/>
      <c r="E3120" s="91"/>
      <c r="F3120" s="80"/>
      <c r="G3120" s="91"/>
      <c r="H3120" s="91"/>
    </row>
    <row r="3121" spans="2:8">
      <c r="B3121" s="91"/>
      <c r="C3121" s="36"/>
      <c r="D3121" s="91"/>
      <c r="E3121" s="91"/>
      <c r="F3121" s="80"/>
      <c r="G3121" s="91"/>
      <c r="H3121" s="91"/>
    </row>
    <row r="3122" spans="2:8">
      <c r="B3122" s="91"/>
      <c r="C3122" s="36"/>
      <c r="D3122" s="91"/>
      <c r="E3122" s="91"/>
      <c r="F3122" s="80"/>
      <c r="G3122" s="91"/>
      <c r="H3122" s="91"/>
    </row>
    <row r="3123" spans="2:8">
      <c r="B3123" s="91"/>
      <c r="C3123" s="36"/>
      <c r="D3123" s="91"/>
      <c r="E3123" s="91"/>
      <c r="F3123" s="80"/>
      <c r="G3123" s="91"/>
      <c r="H3123" s="91"/>
    </row>
    <row r="3124" spans="2:8">
      <c r="B3124" s="91"/>
      <c r="C3124" s="36"/>
      <c r="D3124" s="91"/>
      <c r="E3124" s="91"/>
      <c r="F3124" s="80"/>
      <c r="G3124" s="91"/>
      <c r="H3124" s="91"/>
    </row>
    <row r="3125" spans="2:8">
      <c r="B3125" s="91"/>
      <c r="C3125" s="36"/>
      <c r="D3125" s="91"/>
      <c r="E3125" s="91"/>
      <c r="F3125" s="80"/>
      <c r="G3125" s="91"/>
      <c r="H3125" s="91"/>
    </row>
    <row r="3126" spans="2:8">
      <c r="B3126" s="91"/>
      <c r="C3126" s="36"/>
      <c r="D3126" s="91"/>
      <c r="E3126" s="91"/>
      <c r="F3126" s="80"/>
      <c r="G3126" s="91"/>
      <c r="H3126" s="91"/>
    </row>
    <row r="3127" spans="2:8">
      <c r="B3127" s="91"/>
      <c r="C3127" s="36"/>
      <c r="D3127" s="91"/>
      <c r="E3127" s="91"/>
      <c r="F3127" s="80"/>
      <c r="G3127" s="91"/>
      <c r="H3127" s="91"/>
    </row>
    <row r="3128" spans="2:8">
      <c r="B3128" s="91"/>
      <c r="C3128" s="36"/>
      <c r="D3128" s="91"/>
      <c r="E3128" s="91"/>
      <c r="F3128" s="80"/>
      <c r="G3128" s="91"/>
      <c r="H3128" s="91"/>
    </row>
    <row r="3129" spans="2:8">
      <c r="B3129" s="91"/>
      <c r="C3129" s="36"/>
      <c r="D3129" s="91"/>
      <c r="E3129" s="91"/>
      <c r="F3129" s="80"/>
      <c r="G3129" s="91"/>
      <c r="H3129" s="91"/>
    </row>
    <row r="3130" spans="2:8">
      <c r="B3130" s="91"/>
      <c r="C3130" s="36"/>
      <c r="D3130" s="91"/>
      <c r="E3130" s="91"/>
      <c r="F3130" s="80"/>
      <c r="G3130" s="91"/>
      <c r="H3130" s="91"/>
    </row>
    <row r="3131" spans="2:8">
      <c r="B3131" s="91"/>
      <c r="C3131" s="36"/>
      <c r="D3131" s="91"/>
      <c r="E3131" s="91"/>
      <c r="F3131" s="80"/>
      <c r="G3131" s="91"/>
      <c r="H3131" s="91"/>
    </row>
    <row r="3132" spans="2:8">
      <c r="B3132" s="91"/>
      <c r="C3132" s="36"/>
      <c r="D3132" s="91"/>
      <c r="E3132" s="91"/>
      <c r="F3132" s="80"/>
      <c r="G3132" s="91"/>
      <c r="H3132" s="91"/>
    </row>
    <row r="3133" spans="2:8">
      <c r="B3133" s="91"/>
      <c r="C3133" s="36"/>
      <c r="D3133" s="91"/>
      <c r="E3133" s="91"/>
      <c r="F3133" s="80"/>
      <c r="G3133" s="91"/>
      <c r="H3133" s="91"/>
    </row>
    <row r="3134" spans="2:8">
      <c r="B3134" s="91"/>
      <c r="C3134" s="36"/>
      <c r="D3134" s="91"/>
      <c r="E3134" s="91"/>
      <c r="F3134" s="80"/>
      <c r="G3134" s="91"/>
      <c r="H3134" s="91"/>
    </row>
    <row r="3135" spans="2:8">
      <c r="B3135" s="91"/>
      <c r="C3135" s="36"/>
      <c r="D3135" s="91"/>
      <c r="E3135" s="91"/>
      <c r="F3135" s="80"/>
      <c r="G3135" s="91"/>
      <c r="H3135" s="91"/>
    </row>
    <row r="3136" spans="2:8">
      <c r="B3136" s="91"/>
      <c r="C3136" s="36"/>
      <c r="D3136" s="91"/>
      <c r="E3136" s="91"/>
      <c r="F3136" s="80"/>
      <c r="G3136" s="91"/>
      <c r="H3136" s="91"/>
    </row>
    <row r="3137" spans="2:8">
      <c r="B3137" s="91"/>
      <c r="C3137" s="36"/>
      <c r="D3137" s="91"/>
      <c r="E3137" s="91"/>
      <c r="F3137" s="80"/>
      <c r="G3137" s="91"/>
      <c r="H3137" s="91"/>
    </row>
    <row r="3138" spans="2:8">
      <c r="B3138" s="91"/>
      <c r="C3138" s="36"/>
      <c r="D3138" s="91"/>
      <c r="E3138" s="91"/>
      <c r="F3138" s="80"/>
      <c r="G3138" s="91"/>
      <c r="H3138" s="91"/>
    </row>
    <row r="3139" spans="2:8">
      <c r="B3139" s="91"/>
      <c r="C3139" s="36"/>
      <c r="D3139" s="91"/>
      <c r="E3139" s="91"/>
      <c r="F3139" s="80"/>
      <c r="G3139" s="91"/>
      <c r="H3139" s="91"/>
    </row>
    <row r="3140" spans="2:8">
      <c r="B3140" s="91"/>
      <c r="C3140" s="36"/>
      <c r="D3140" s="91"/>
      <c r="E3140" s="91"/>
      <c r="F3140" s="80"/>
      <c r="G3140" s="91"/>
      <c r="H3140" s="91"/>
    </row>
    <row r="3141" spans="2:8">
      <c r="B3141" s="91"/>
      <c r="C3141" s="36"/>
      <c r="D3141" s="91"/>
      <c r="E3141" s="91"/>
      <c r="F3141" s="80"/>
      <c r="G3141" s="91"/>
      <c r="H3141" s="91"/>
    </row>
    <row r="3142" spans="2:8">
      <c r="B3142" s="91"/>
      <c r="C3142" s="36"/>
      <c r="D3142" s="91"/>
      <c r="E3142" s="91"/>
      <c r="F3142" s="80"/>
      <c r="G3142" s="91"/>
      <c r="H3142" s="91"/>
    </row>
    <row r="3143" spans="2:8">
      <c r="B3143" s="91"/>
      <c r="C3143" s="36"/>
      <c r="D3143" s="91"/>
      <c r="E3143" s="91"/>
      <c r="F3143" s="80"/>
      <c r="G3143" s="91"/>
      <c r="H3143" s="91"/>
    </row>
    <row r="3144" spans="2:8">
      <c r="B3144" s="91"/>
      <c r="C3144" s="36"/>
      <c r="D3144" s="91"/>
      <c r="E3144" s="91"/>
      <c r="F3144" s="80"/>
      <c r="G3144" s="91"/>
      <c r="H3144" s="91"/>
    </row>
    <row r="3145" spans="2:8">
      <c r="B3145" s="91"/>
      <c r="C3145" s="36"/>
      <c r="D3145" s="91"/>
      <c r="E3145" s="91"/>
      <c r="F3145" s="80"/>
      <c r="G3145" s="91"/>
      <c r="H3145" s="91"/>
    </row>
    <row r="3146" spans="2:8">
      <c r="B3146" s="91"/>
      <c r="C3146" s="36"/>
      <c r="D3146" s="91"/>
      <c r="E3146" s="91"/>
      <c r="F3146" s="80"/>
      <c r="G3146" s="91"/>
      <c r="H3146" s="91"/>
    </row>
    <row r="3147" spans="2:8">
      <c r="B3147" s="91"/>
      <c r="C3147" s="36"/>
      <c r="D3147" s="91"/>
      <c r="E3147" s="91"/>
      <c r="F3147" s="80"/>
      <c r="G3147" s="91"/>
      <c r="H3147" s="91"/>
    </row>
    <row r="3148" spans="2:8">
      <c r="B3148" s="91"/>
      <c r="C3148" s="36"/>
      <c r="D3148" s="91"/>
      <c r="E3148" s="91"/>
      <c r="F3148" s="80"/>
      <c r="G3148" s="91"/>
      <c r="H3148" s="91"/>
    </row>
    <row r="3149" spans="2:8">
      <c r="B3149" s="91"/>
      <c r="C3149" s="36"/>
      <c r="D3149" s="91"/>
      <c r="E3149" s="91"/>
      <c r="F3149" s="80"/>
      <c r="G3149" s="91"/>
      <c r="H3149" s="91"/>
    </row>
    <row r="3150" spans="2:8">
      <c r="B3150" s="91"/>
      <c r="C3150" s="36"/>
      <c r="D3150" s="91"/>
      <c r="E3150" s="91"/>
      <c r="F3150" s="80"/>
      <c r="G3150" s="91"/>
      <c r="H3150" s="91"/>
    </row>
    <row r="3151" spans="2:8">
      <c r="B3151" s="91"/>
      <c r="C3151" s="36"/>
      <c r="D3151" s="91"/>
      <c r="E3151" s="91"/>
      <c r="F3151" s="80"/>
      <c r="G3151" s="91"/>
      <c r="H3151" s="91"/>
    </row>
    <row r="3152" spans="2:8">
      <c r="B3152" s="91"/>
      <c r="C3152" s="36"/>
      <c r="D3152" s="91"/>
      <c r="E3152" s="91"/>
      <c r="F3152" s="80"/>
      <c r="G3152" s="91"/>
      <c r="H3152" s="91"/>
    </row>
    <row r="3153" spans="2:8">
      <c r="B3153" s="91"/>
      <c r="C3153" s="36"/>
      <c r="D3153" s="91"/>
      <c r="E3153" s="91"/>
      <c r="F3153" s="80"/>
      <c r="G3153" s="91"/>
      <c r="H3153" s="91"/>
    </row>
    <row r="3154" spans="2:8">
      <c r="B3154" s="91"/>
      <c r="C3154" s="36"/>
      <c r="D3154" s="91"/>
      <c r="E3154" s="91"/>
      <c r="F3154" s="80"/>
      <c r="G3154" s="91"/>
      <c r="H3154" s="91"/>
    </row>
    <row r="3155" spans="2:8">
      <c r="B3155" s="91"/>
      <c r="C3155" s="36"/>
      <c r="D3155" s="91"/>
      <c r="E3155" s="91"/>
      <c r="F3155" s="80"/>
      <c r="G3155" s="91"/>
      <c r="H3155" s="91"/>
    </row>
    <row r="3156" spans="2:8">
      <c r="B3156" s="91"/>
      <c r="C3156" s="36"/>
      <c r="D3156" s="91"/>
      <c r="E3156" s="91"/>
      <c r="F3156" s="80"/>
      <c r="G3156" s="91"/>
      <c r="H3156" s="91"/>
    </row>
    <row r="3157" spans="2:8">
      <c r="B3157" s="91"/>
      <c r="C3157" s="36"/>
      <c r="D3157" s="91"/>
      <c r="E3157" s="91"/>
      <c r="F3157" s="80"/>
      <c r="G3157" s="91"/>
      <c r="H3157" s="91"/>
    </row>
    <row r="3158" spans="2:8">
      <c r="B3158" s="91"/>
      <c r="C3158" s="36"/>
      <c r="D3158" s="91"/>
      <c r="E3158" s="91"/>
      <c r="F3158" s="80"/>
      <c r="G3158" s="91"/>
      <c r="H3158" s="91"/>
    </row>
    <row r="3159" spans="2:8">
      <c r="B3159" s="91"/>
      <c r="C3159" s="36"/>
      <c r="D3159" s="91"/>
      <c r="E3159" s="91"/>
      <c r="F3159" s="80"/>
      <c r="G3159" s="91"/>
      <c r="H3159" s="91"/>
    </row>
    <row r="3160" spans="2:8">
      <c r="B3160" s="91"/>
      <c r="C3160" s="36"/>
      <c r="D3160" s="91"/>
      <c r="E3160" s="91"/>
      <c r="F3160" s="80"/>
      <c r="G3160" s="91"/>
      <c r="H3160" s="91"/>
    </row>
    <row r="3161" spans="2:8">
      <c r="B3161" s="91"/>
      <c r="C3161" s="36"/>
      <c r="D3161" s="91"/>
      <c r="E3161" s="91"/>
      <c r="F3161" s="80"/>
      <c r="G3161" s="91"/>
      <c r="H3161" s="91"/>
    </row>
    <row r="3162" spans="2:8">
      <c r="B3162" s="91"/>
      <c r="C3162" s="36"/>
      <c r="D3162" s="91"/>
      <c r="E3162" s="91"/>
      <c r="F3162" s="80"/>
      <c r="G3162" s="91"/>
      <c r="H3162" s="91"/>
    </row>
    <row r="3163" spans="2:8">
      <c r="B3163" s="91"/>
      <c r="C3163" s="36"/>
      <c r="D3163" s="91"/>
      <c r="E3163" s="91"/>
      <c r="F3163" s="80"/>
      <c r="G3163" s="91"/>
      <c r="H3163" s="91"/>
    </row>
    <row r="3164" spans="2:8">
      <c r="B3164" s="91"/>
      <c r="C3164" s="36"/>
      <c r="D3164" s="91"/>
      <c r="E3164" s="91"/>
      <c r="F3164" s="80"/>
      <c r="G3164" s="91"/>
      <c r="H3164" s="91"/>
    </row>
    <row r="3165" spans="2:8">
      <c r="B3165" s="91"/>
      <c r="C3165" s="36"/>
      <c r="D3165" s="91"/>
      <c r="E3165" s="91"/>
      <c r="F3165" s="80"/>
      <c r="G3165" s="91"/>
      <c r="H3165" s="91"/>
    </row>
    <row r="3166" spans="2:8">
      <c r="B3166" s="91"/>
      <c r="C3166" s="36"/>
      <c r="D3166" s="91"/>
      <c r="E3166" s="91"/>
      <c r="F3166" s="80"/>
      <c r="G3166" s="91"/>
      <c r="H3166" s="91"/>
    </row>
    <row r="3167" spans="2:8">
      <c r="B3167" s="91"/>
      <c r="C3167" s="36"/>
      <c r="D3167" s="91"/>
      <c r="E3167" s="91"/>
      <c r="F3167" s="80"/>
      <c r="G3167" s="91"/>
      <c r="H3167" s="91"/>
    </row>
    <row r="3168" spans="2:8">
      <c r="B3168" s="91"/>
      <c r="C3168" s="36"/>
      <c r="D3168" s="91"/>
      <c r="E3168" s="91"/>
      <c r="F3168" s="80"/>
      <c r="G3168" s="91"/>
      <c r="H3168" s="91"/>
    </row>
    <row r="3169" spans="2:8">
      <c r="B3169" s="91"/>
      <c r="C3169" s="36"/>
      <c r="D3169" s="91"/>
      <c r="E3169" s="91"/>
      <c r="F3169" s="80"/>
      <c r="G3169" s="91"/>
      <c r="H3169" s="91"/>
    </row>
    <row r="3170" spans="2:8">
      <c r="B3170" s="91"/>
      <c r="C3170" s="36"/>
      <c r="D3170" s="91"/>
      <c r="E3170" s="91"/>
      <c r="F3170" s="80"/>
      <c r="G3170" s="91"/>
      <c r="H3170" s="91"/>
    </row>
    <row r="3171" spans="2:8">
      <c r="B3171" s="91"/>
      <c r="C3171" s="36"/>
      <c r="D3171" s="91"/>
      <c r="E3171" s="91"/>
      <c r="F3171" s="80"/>
      <c r="G3171" s="91"/>
      <c r="H3171" s="91"/>
    </row>
    <row r="3172" spans="2:8">
      <c r="B3172" s="91"/>
      <c r="C3172" s="36"/>
      <c r="D3172" s="91"/>
      <c r="E3172" s="91"/>
      <c r="F3172" s="80"/>
      <c r="G3172" s="91"/>
      <c r="H3172" s="91"/>
    </row>
    <row r="3173" spans="2:8">
      <c r="B3173" s="91"/>
      <c r="C3173" s="36"/>
      <c r="D3173" s="91"/>
      <c r="E3173" s="91"/>
      <c r="F3173" s="80"/>
      <c r="G3173" s="91"/>
      <c r="H3173" s="91"/>
    </row>
    <row r="3174" spans="2:8">
      <c r="B3174" s="91"/>
      <c r="C3174" s="36"/>
      <c r="D3174" s="91"/>
      <c r="E3174" s="91"/>
      <c r="F3174" s="80"/>
      <c r="G3174" s="91"/>
      <c r="H3174" s="91"/>
    </row>
    <row r="3175" spans="2:8">
      <c r="B3175" s="91"/>
      <c r="C3175" s="36"/>
      <c r="D3175" s="91"/>
      <c r="E3175" s="91"/>
      <c r="F3175" s="80"/>
      <c r="G3175" s="91"/>
      <c r="H3175" s="91"/>
    </row>
    <row r="3176" spans="2:8">
      <c r="B3176" s="91"/>
      <c r="C3176" s="36"/>
      <c r="D3176" s="91"/>
      <c r="E3176" s="91"/>
      <c r="F3176" s="80"/>
      <c r="G3176" s="91"/>
      <c r="H3176" s="91"/>
    </row>
    <row r="3177" spans="2:8">
      <c r="B3177" s="91"/>
      <c r="C3177" s="36"/>
      <c r="D3177" s="91"/>
      <c r="E3177" s="91"/>
      <c r="F3177" s="80"/>
      <c r="G3177" s="91"/>
      <c r="H3177" s="91"/>
    </row>
    <row r="3178" spans="2:8">
      <c r="B3178" s="91"/>
      <c r="C3178" s="36"/>
      <c r="D3178" s="91"/>
      <c r="E3178" s="91"/>
      <c r="F3178" s="80"/>
      <c r="G3178" s="91"/>
      <c r="H3178" s="91"/>
    </row>
    <row r="3179" spans="2:8">
      <c r="B3179" s="91"/>
      <c r="C3179" s="36"/>
      <c r="D3179" s="91"/>
      <c r="E3179" s="91"/>
      <c r="F3179" s="80"/>
      <c r="G3179" s="91"/>
      <c r="H3179" s="91"/>
    </row>
    <row r="3180" spans="2:8">
      <c r="B3180" s="91"/>
      <c r="C3180" s="36"/>
      <c r="D3180" s="91"/>
      <c r="E3180" s="91"/>
      <c r="F3180" s="80"/>
      <c r="G3180" s="91"/>
      <c r="H3180" s="91"/>
    </row>
    <row r="3181" spans="2:8">
      <c r="B3181" s="91"/>
      <c r="C3181" s="36"/>
      <c r="D3181" s="91"/>
      <c r="E3181" s="91"/>
      <c r="F3181" s="80"/>
      <c r="G3181" s="91"/>
      <c r="H3181" s="91"/>
    </row>
    <row r="3182" spans="2:8">
      <c r="B3182" s="91"/>
      <c r="C3182" s="36"/>
      <c r="D3182" s="91"/>
      <c r="E3182" s="91"/>
      <c r="F3182" s="80"/>
      <c r="G3182" s="91"/>
      <c r="H3182" s="91"/>
    </row>
    <row r="3183" spans="2:8">
      <c r="B3183" s="91"/>
      <c r="C3183" s="36"/>
      <c r="D3183" s="91"/>
      <c r="E3183" s="91"/>
      <c r="F3183" s="80"/>
      <c r="G3183" s="91"/>
      <c r="H3183" s="91"/>
    </row>
    <row r="3184" spans="2:8">
      <c r="B3184" s="91"/>
      <c r="C3184" s="36"/>
      <c r="D3184" s="91"/>
      <c r="E3184" s="91"/>
      <c r="F3184" s="80"/>
      <c r="G3184" s="91"/>
      <c r="H3184" s="91"/>
    </row>
    <row r="3185" spans="2:8">
      <c r="B3185" s="91"/>
      <c r="C3185" s="36"/>
      <c r="D3185" s="91"/>
      <c r="E3185" s="91"/>
      <c r="F3185" s="80"/>
      <c r="G3185" s="91"/>
      <c r="H3185" s="91"/>
    </row>
    <row r="3186" spans="2:8">
      <c r="B3186" s="91"/>
      <c r="C3186" s="36"/>
      <c r="D3186" s="91"/>
      <c r="E3186" s="91"/>
      <c r="F3186" s="80"/>
      <c r="G3186" s="91"/>
      <c r="H3186" s="91"/>
    </row>
    <row r="3187" spans="2:8">
      <c r="B3187" s="91"/>
      <c r="C3187" s="36"/>
      <c r="D3187" s="91"/>
      <c r="E3187" s="91"/>
      <c r="F3187" s="80"/>
      <c r="G3187" s="91"/>
      <c r="H3187" s="91"/>
    </row>
    <row r="3188" spans="2:8">
      <c r="B3188" s="91"/>
      <c r="C3188" s="36"/>
      <c r="D3188" s="91"/>
      <c r="E3188" s="91"/>
      <c r="F3188" s="80"/>
      <c r="G3188" s="91"/>
      <c r="H3188" s="91"/>
    </row>
    <row r="3189" spans="2:8">
      <c r="B3189" s="91"/>
      <c r="C3189" s="36"/>
      <c r="D3189" s="91"/>
      <c r="E3189" s="91"/>
      <c r="F3189" s="80"/>
      <c r="G3189" s="91"/>
      <c r="H3189" s="91"/>
    </row>
    <row r="3190" spans="2:8">
      <c r="B3190" s="91"/>
      <c r="C3190" s="36"/>
      <c r="D3190" s="91"/>
      <c r="E3190" s="91"/>
      <c r="F3190" s="80"/>
      <c r="G3190" s="91"/>
      <c r="H3190" s="91"/>
    </row>
    <row r="3191" spans="2:8">
      <c r="B3191" s="91"/>
      <c r="C3191" s="36"/>
      <c r="D3191" s="91"/>
      <c r="E3191" s="91"/>
      <c r="F3191" s="80"/>
      <c r="G3191" s="91"/>
      <c r="H3191" s="91"/>
    </row>
    <row r="3192" spans="2:8">
      <c r="B3192" s="91"/>
      <c r="C3192" s="36"/>
      <c r="D3192" s="91"/>
      <c r="E3192" s="91"/>
      <c r="F3192" s="80"/>
      <c r="G3192" s="91"/>
      <c r="H3192" s="91"/>
    </row>
    <row r="3193" spans="2:8">
      <c r="B3193" s="91"/>
      <c r="C3193" s="36"/>
      <c r="D3193" s="91"/>
      <c r="E3193" s="91"/>
      <c r="F3193" s="80"/>
      <c r="G3193" s="91"/>
      <c r="H3193" s="91"/>
    </row>
    <row r="3194" spans="2:8">
      <c r="B3194" s="91"/>
      <c r="C3194" s="36"/>
      <c r="D3194" s="91"/>
      <c r="E3194" s="91"/>
      <c r="F3194" s="80"/>
      <c r="G3194" s="91"/>
      <c r="H3194" s="91"/>
    </row>
    <row r="3195" spans="2:8">
      <c r="B3195" s="91"/>
      <c r="C3195" s="36"/>
      <c r="D3195" s="91"/>
      <c r="E3195" s="91"/>
      <c r="F3195" s="80"/>
      <c r="G3195" s="91"/>
      <c r="H3195" s="91"/>
    </row>
    <row r="3196" spans="2:8">
      <c r="B3196" s="91"/>
      <c r="C3196" s="36"/>
      <c r="D3196" s="91"/>
      <c r="E3196" s="91"/>
      <c r="F3196" s="80"/>
      <c r="G3196" s="91"/>
      <c r="H3196" s="91"/>
    </row>
    <row r="3197" spans="2:8">
      <c r="B3197" s="91"/>
      <c r="C3197" s="36"/>
      <c r="D3197" s="91"/>
      <c r="E3197" s="91"/>
      <c r="F3197" s="80"/>
      <c r="G3197" s="91"/>
      <c r="H3197" s="91"/>
    </row>
    <row r="3198" spans="2:8">
      <c r="B3198" s="91"/>
      <c r="C3198" s="36"/>
      <c r="D3198" s="91"/>
      <c r="E3198" s="91"/>
      <c r="F3198" s="80"/>
      <c r="G3198" s="91"/>
      <c r="H3198" s="91"/>
    </row>
    <row r="3199" spans="2:8">
      <c r="B3199" s="91"/>
      <c r="C3199" s="36"/>
      <c r="D3199" s="91"/>
      <c r="E3199" s="91"/>
      <c r="F3199" s="80"/>
      <c r="G3199" s="91"/>
      <c r="H3199" s="91"/>
    </row>
    <row r="3200" spans="2:8">
      <c r="B3200" s="91"/>
      <c r="C3200" s="36"/>
      <c r="D3200" s="91"/>
      <c r="E3200" s="91"/>
      <c r="F3200" s="80"/>
      <c r="G3200" s="91"/>
      <c r="H3200" s="91"/>
    </row>
    <row r="3201" spans="2:8">
      <c r="B3201" s="91"/>
      <c r="C3201" s="36"/>
      <c r="D3201" s="91"/>
      <c r="E3201" s="91"/>
      <c r="F3201" s="80"/>
      <c r="G3201" s="91"/>
      <c r="H3201" s="91"/>
    </row>
    <row r="3202" spans="2:8">
      <c r="B3202" s="91"/>
      <c r="C3202" s="36"/>
      <c r="D3202" s="91"/>
      <c r="E3202" s="91"/>
      <c r="F3202" s="80"/>
      <c r="G3202" s="91"/>
      <c r="H3202" s="91"/>
    </row>
    <row r="3203" spans="2:8">
      <c r="B3203" s="91"/>
      <c r="C3203" s="36"/>
      <c r="D3203" s="91"/>
      <c r="E3203" s="91"/>
      <c r="F3203" s="80"/>
      <c r="G3203" s="91"/>
      <c r="H3203" s="91"/>
    </row>
    <row r="3204" spans="2:8">
      <c r="B3204" s="91"/>
      <c r="C3204" s="36"/>
      <c r="D3204" s="91"/>
      <c r="E3204" s="91"/>
      <c r="F3204" s="80"/>
      <c r="G3204" s="91"/>
      <c r="H3204" s="91"/>
    </row>
    <row r="3205" spans="2:8">
      <c r="B3205" s="91"/>
      <c r="C3205" s="36"/>
      <c r="D3205" s="91"/>
      <c r="E3205" s="91"/>
      <c r="F3205" s="80"/>
      <c r="G3205" s="91"/>
      <c r="H3205" s="91"/>
    </row>
    <row r="3206" spans="2:8">
      <c r="B3206" s="91"/>
      <c r="C3206" s="36"/>
      <c r="D3206" s="91"/>
      <c r="E3206" s="91"/>
      <c r="F3206" s="80"/>
      <c r="G3206" s="91"/>
      <c r="H3206" s="91"/>
    </row>
    <row r="3207" spans="2:8">
      <c r="B3207" s="91"/>
      <c r="C3207" s="36"/>
      <c r="D3207" s="91"/>
      <c r="E3207" s="91"/>
      <c r="F3207" s="80"/>
      <c r="G3207" s="91"/>
      <c r="H3207" s="91"/>
    </row>
    <row r="3208" spans="2:8">
      <c r="B3208" s="91"/>
      <c r="C3208" s="36"/>
      <c r="D3208" s="91"/>
      <c r="E3208" s="91"/>
      <c r="F3208" s="80"/>
      <c r="G3208" s="91"/>
      <c r="H3208" s="91"/>
    </row>
    <row r="3209" spans="2:8">
      <c r="B3209" s="91"/>
      <c r="C3209" s="36"/>
      <c r="D3209" s="91"/>
      <c r="E3209" s="91"/>
      <c r="F3209" s="80"/>
      <c r="G3209" s="91"/>
      <c r="H3209" s="91"/>
    </row>
    <row r="3210" spans="2:8">
      <c r="B3210" s="91"/>
      <c r="C3210" s="36"/>
      <c r="D3210" s="91"/>
      <c r="E3210" s="91"/>
      <c r="F3210" s="80"/>
      <c r="G3210" s="91"/>
      <c r="H3210" s="91"/>
    </row>
    <row r="3211" spans="2:8">
      <c r="B3211" s="91"/>
      <c r="C3211" s="36"/>
      <c r="D3211" s="91"/>
      <c r="E3211" s="91"/>
      <c r="F3211" s="80"/>
      <c r="G3211" s="91"/>
      <c r="H3211" s="91"/>
    </row>
    <row r="3212" spans="2:8">
      <c r="B3212" s="91"/>
      <c r="C3212" s="36"/>
      <c r="D3212" s="91"/>
      <c r="E3212" s="91"/>
      <c r="F3212" s="80"/>
      <c r="G3212" s="91"/>
      <c r="H3212" s="91"/>
    </row>
    <row r="3213" spans="2:8">
      <c r="B3213" s="91"/>
      <c r="C3213" s="36"/>
      <c r="D3213" s="91"/>
      <c r="E3213" s="91"/>
      <c r="F3213" s="80"/>
      <c r="G3213" s="91"/>
      <c r="H3213" s="91"/>
    </row>
    <row r="3214" spans="2:8">
      <c r="B3214" s="91"/>
      <c r="C3214" s="36"/>
      <c r="D3214" s="91"/>
      <c r="E3214" s="91"/>
      <c r="F3214" s="80"/>
      <c r="G3214" s="91"/>
      <c r="H3214" s="91"/>
    </row>
    <row r="3215" spans="2:8">
      <c r="B3215" s="91"/>
      <c r="C3215" s="36"/>
      <c r="D3215" s="91"/>
      <c r="E3215" s="91"/>
      <c r="F3215" s="80"/>
      <c r="G3215" s="91"/>
      <c r="H3215" s="91"/>
    </row>
    <row r="3216" spans="2:8">
      <c r="B3216" s="91"/>
      <c r="C3216" s="36"/>
      <c r="D3216" s="91"/>
      <c r="E3216" s="91"/>
      <c r="F3216" s="80"/>
      <c r="G3216" s="91"/>
      <c r="H3216" s="91"/>
    </row>
    <row r="3217" spans="2:8">
      <c r="B3217" s="91"/>
      <c r="C3217" s="36"/>
      <c r="D3217" s="91"/>
      <c r="E3217" s="91"/>
      <c r="F3217" s="80"/>
      <c r="G3217" s="91"/>
      <c r="H3217" s="91"/>
    </row>
    <row r="3218" spans="2:8">
      <c r="B3218" s="91"/>
      <c r="C3218" s="36"/>
      <c r="D3218" s="91"/>
      <c r="E3218" s="91"/>
      <c r="F3218" s="80"/>
      <c r="G3218" s="91"/>
      <c r="H3218" s="91"/>
    </row>
    <row r="3219" spans="2:8">
      <c r="B3219" s="91"/>
      <c r="C3219" s="36"/>
      <c r="D3219" s="91"/>
      <c r="E3219" s="91"/>
      <c r="F3219" s="80"/>
      <c r="G3219" s="91"/>
      <c r="H3219" s="91"/>
    </row>
    <row r="3220" spans="2:8">
      <c r="B3220" s="91"/>
      <c r="C3220" s="36"/>
      <c r="D3220" s="91"/>
      <c r="E3220" s="91"/>
      <c r="F3220" s="80"/>
      <c r="G3220" s="91"/>
      <c r="H3220" s="91"/>
    </row>
    <row r="3221" spans="2:8">
      <c r="B3221" s="91"/>
      <c r="C3221" s="36"/>
      <c r="D3221" s="91"/>
      <c r="E3221" s="91"/>
      <c r="F3221" s="80"/>
      <c r="G3221" s="91"/>
      <c r="H3221" s="91"/>
    </row>
    <row r="3222" spans="2:8">
      <c r="B3222" s="91"/>
      <c r="C3222" s="36"/>
      <c r="D3222" s="91"/>
      <c r="E3222" s="91"/>
      <c r="F3222" s="80"/>
      <c r="G3222" s="91"/>
      <c r="H3222" s="91"/>
    </row>
    <row r="3223" spans="2:8">
      <c r="B3223" s="91"/>
      <c r="C3223" s="36"/>
      <c r="D3223" s="91"/>
      <c r="E3223" s="91"/>
      <c r="F3223" s="80"/>
      <c r="G3223" s="91"/>
      <c r="H3223" s="91"/>
    </row>
    <row r="3224" spans="2:8">
      <c r="B3224" s="91"/>
      <c r="C3224" s="36"/>
      <c r="D3224" s="91"/>
      <c r="E3224" s="91"/>
      <c r="F3224" s="80"/>
      <c r="G3224" s="91"/>
      <c r="H3224" s="91"/>
    </row>
    <row r="3225" spans="2:8">
      <c r="B3225" s="91"/>
      <c r="C3225" s="36"/>
      <c r="D3225" s="91"/>
      <c r="E3225" s="91"/>
      <c r="F3225" s="80"/>
      <c r="G3225" s="91"/>
      <c r="H3225" s="91"/>
    </row>
    <row r="3226" spans="2:8">
      <c r="B3226" s="91"/>
      <c r="C3226" s="36"/>
      <c r="D3226" s="91"/>
      <c r="E3226" s="91"/>
      <c r="F3226" s="80"/>
      <c r="G3226" s="91"/>
      <c r="H3226" s="91"/>
    </row>
    <row r="3227" spans="2:8">
      <c r="B3227" s="91"/>
      <c r="C3227" s="36"/>
      <c r="D3227" s="91"/>
      <c r="E3227" s="91"/>
      <c r="F3227" s="80"/>
      <c r="G3227" s="91"/>
      <c r="H3227" s="91"/>
    </row>
    <row r="3228" spans="2:8">
      <c r="B3228" s="91"/>
      <c r="C3228" s="36"/>
      <c r="D3228" s="91"/>
      <c r="E3228" s="91"/>
      <c r="F3228" s="80"/>
      <c r="G3228" s="91"/>
      <c r="H3228" s="91"/>
    </row>
    <row r="3229" spans="2:8">
      <c r="B3229" s="91"/>
      <c r="C3229" s="36"/>
      <c r="D3229" s="91"/>
      <c r="E3229" s="91"/>
      <c r="F3229" s="80"/>
      <c r="G3229" s="91"/>
      <c r="H3229" s="91"/>
    </row>
    <row r="3230" spans="2:8">
      <c r="B3230" s="91"/>
      <c r="C3230" s="36"/>
      <c r="D3230" s="91"/>
      <c r="E3230" s="91"/>
      <c r="F3230" s="80"/>
      <c r="G3230" s="91"/>
      <c r="H3230" s="91"/>
    </row>
    <row r="3231" spans="2:8">
      <c r="B3231" s="91"/>
      <c r="C3231" s="36"/>
      <c r="D3231" s="91"/>
      <c r="E3231" s="91"/>
      <c r="F3231" s="80"/>
      <c r="G3231" s="91"/>
      <c r="H3231" s="91"/>
    </row>
    <row r="3232" spans="2:8">
      <c r="B3232" s="91"/>
      <c r="C3232" s="36"/>
      <c r="D3232" s="91"/>
      <c r="E3232" s="91"/>
      <c r="F3232" s="80"/>
      <c r="G3232" s="91"/>
      <c r="H3232" s="91"/>
    </row>
    <row r="3233" spans="2:8">
      <c r="B3233" s="91"/>
      <c r="C3233" s="36"/>
      <c r="D3233" s="91"/>
      <c r="E3233" s="91"/>
      <c r="F3233" s="80"/>
      <c r="G3233" s="91"/>
      <c r="H3233" s="91"/>
    </row>
    <row r="3234" spans="2:8">
      <c r="B3234" s="91"/>
      <c r="C3234" s="36"/>
      <c r="D3234" s="91"/>
      <c r="E3234" s="91"/>
      <c r="F3234" s="80"/>
      <c r="G3234" s="91"/>
      <c r="H3234" s="91"/>
    </row>
    <row r="3235" spans="2:8">
      <c r="B3235" s="91"/>
      <c r="C3235" s="36"/>
      <c r="D3235" s="91"/>
      <c r="E3235" s="91"/>
      <c r="F3235" s="80"/>
      <c r="G3235" s="91"/>
      <c r="H3235" s="91"/>
    </row>
    <row r="3236" spans="2:8">
      <c r="B3236" s="91"/>
      <c r="C3236" s="36"/>
      <c r="D3236" s="91"/>
      <c r="E3236" s="91"/>
      <c r="F3236" s="80"/>
      <c r="G3236" s="91"/>
      <c r="H3236" s="91"/>
    </row>
    <row r="3237" spans="2:8">
      <c r="B3237" s="91"/>
      <c r="C3237" s="36"/>
      <c r="D3237" s="91"/>
      <c r="E3237" s="91"/>
      <c r="F3237" s="80"/>
      <c r="G3237" s="91"/>
      <c r="H3237" s="91"/>
    </row>
    <row r="3238" spans="2:8">
      <c r="B3238" s="91"/>
      <c r="C3238" s="36"/>
      <c r="D3238" s="91"/>
      <c r="E3238" s="91"/>
      <c r="F3238" s="80"/>
      <c r="G3238" s="91"/>
      <c r="H3238" s="91"/>
    </row>
    <row r="3239" spans="2:8">
      <c r="B3239" s="91"/>
      <c r="C3239" s="36"/>
      <c r="D3239" s="91"/>
      <c r="E3239" s="91"/>
      <c r="F3239" s="80"/>
      <c r="G3239" s="91"/>
      <c r="H3239" s="91"/>
    </row>
    <row r="3240" spans="2:8">
      <c r="B3240" s="91"/>
      <c r="C3240" s="36"/>
      <c r="D3240" s="91"/>
      <c r="E3240" s="91"/>
      <c r="F3240" s="80"/>
      <c r="G3240" s="91"/>
      <c r="H3240" s="91"/>
    </row>
    <row r="3241" spans="2:8">
      <c r="B3241" s="91"/>
      <c r="C3241" s="36"/>
      <c r="D3241" s="91"/>
      <c r="E3241" s="91"/>
      <c r="F3241" s="80"/>
      <c r="G3241" s="91"/>
      <c r="H3241" s="91"/>
    </row>
    <row r="3242" spans="2:8">
      <c r="B3242" s="91"/>
      <c r="C3242" s="36"/>
      <c r="D3242" s="91"/>
      <c r="E3242" s="91"/>
      <c r="F3242" s="80"/>
      <c r="G3242" s="91"/>
      <c r="H3242" s="91"/>
    </row>
    <row r="3243" spans="2:8">
      <c r="B3243" s="91"/>
      <c r="C3243" s="36"/>
      <c r="D3243" s="91"/>
      <c r="E3243" s="91"/>
      <c r="F3243" s="80"/>
      <c r="G3243" s="91"/>
      <c r="H3243" s="91"/>
    </row>
    <row r="3244" spans="2:8">
      <c r="B3244" s="91"/>
      <c r="C3244" s="36"/>
      <c r="D3244" s="91"/>
      <c r="E3244" s="91"/>
      <c r="F3244" s="80"/>
      <c r="G3244" s="91"/>
      <c r="H3244" s="91"/>
    </row>
    <row r="3245" spans="2:8">
      <c r="B3245" s="91"/>
      <c r="C3245" s="36"/>
      <c r="D3245" s="91"/>
      <c r="E3245" s="91"/>
      <c r="F3245" s="80"/>
      <c r="G3245" s="91"/>
      <c r="H3245" s="91"/>
    </row>
    <row r="3246" spans="2:8">
      <c r="B3246" s="91"/>
      <c r="C3246" s="36"/>
      <c r="D3246" s="91"/>
      <c r="E3246" s="91"/>
      <c r="F3246" s="80"/>
      <c r="G3246" s="91"/>
      <c r="H3246" s="91"/>
    </row>
    <row r="3247" spans="2:8">
      <c r="B3247" s="91"/>
      <c r="C3247" s="36"/>
      <c r="D3247" s="91"/>
      <c r="E3247" s="91"/>
      <c r="F3247" s="80"/>
      <c r="G3247" s="91"/>
      <c r="H3247" s="91"/>
    </row>
    <row r="3248" spans="2:8">
      <c r="B3248" s="91"/>
      <c r="C3248" s="36"/>
      <c r="D3248" s="91"/>
      <c r="E3248" s="91"/>
      <c r="F3248" s="80"/>
      <c r="G3248" s="91"/>
      <c r="H3248" s="91"/>
    </row>
    <row r="3249" spans="2:8">
      <c r="B3249" s="91"/>
      <c r="C3249" s="36"/>
      <c r="D3249" s="91"/>
      <c r="E3249" s="91"/>
      <c r="F3249" s="80"/>
      <c r="G3249" s="91"/>
      <c r="H3249" s="91"/>
    </row>
    <row r="3250" spans="2:8">
      <c r="B3250" s="91"/>
      <c r="C3250" s="36"/>
      <c r="D3250" s="91"/>
      <c r="E3250" s="91"/>
      <c r="F3250" s="80"/>
      <c r="G3250" s="91"/>
      <c r="H3250" s="91"/>
    </row>
    <row r="3251" spans="2:8">
      <c r="B3251" s="91"/>
      <c r="C3251" s="36"/>
      <c r="D3251" s="91"/>
      <c r="E3251" s="91"/>
      <c r="F3251" s="80"/>
      <c r="G3251" s="91"/>
      <c r="H3251" s="91"/>
    </row>
    <row r="3252" spans="2:8">
      <c r="B3252" s="91"/>
      <c r="C3252" s="36"/>
      <c r="D3252" s="91"/>
      <c r="E3252" s="91"/>
      <c r="F3252" s="80"/>
      <c r="G3252" s="91"/>
      <c r="H3252" s="91"/>
    </row>
    <row r="3253" spans="2:8">
      <c r="B3253" s="91"/>
      <c r="C3253" s="36"/>
      <c r="D3253" s="91"/>
      <c r="E3253" s="91"/>
      <c r="F3253" s="80"/>
      <c r="G3253" s="91"/>
      <c r="H3253" s="91"/>
    </row>
    <row r="3254" spans="2:8">
      <c r="B3254" s="91"/>
      <c r="C3254" s="36"/>
      <c r="D3254" s="91"/>
      <c r="E3254" s="91"/>
      <c r="F3254" s="80"/>
      <c r="G3254" s="91"/>
      <c r="H3254" s="91"/>
    </row>
    <row r="3255" spans="2:8">
      <c r="B3255" s="91"/>
      <c r="C3255" s="36"/>
      <c r="D3255" s="91"/>
      <c r="E3255" s="91"/>
      <c r="F3255" s="80"/>
      <c r="G3255" s="91"/>
      <c r="H3255" s="91"/>
    </row>
    <row r="3256" spans="2:8">
      <c r="B3256" s="91"/>
      <c r="C3256" s="36"/>
      <c r="D3256" s="91"/>
      <c r="E3256" s="91"/>
      <c r="F3256" s="80"/>
      <c r="G3256" s="91"/>
      <c r="H3256" s="91"/>
    </row>
    <row r="3257" spans="2:8">
      <c r="B3257" s="91"/>
      <c r="C3257" s="36"/>
      <c r="D3257" s="91"/>
      <c r="E3257" s="91"/>
      <c r="F3257" s="80"/>
      <c r="G3257" s="91"/>
      <c r="H3257" s="91"/>
    </row>
    <row r="3258" spans="2:8">
      <c r="B3258" s="91"/>
      <c r="C3258" s="36"/>
      <c r="D3258" s="91"/>
      <c r="E3258" s="91"/>
      <c r="F3258" s="80"/>
      <c r="G3258" s="91"/>
      <c r="H3258" s="91"/>
    </row>
    <row r="3259" spans="2:8">
      <c r="B3259" s="91"/>
      <c r="C3259" s="36"/>
      <c r="D3259" s="91"/>
      <c r="E3259" s="91"/>
      <c r="F3259" s="80"/>
      <c r="G3259" s="91"/>
      <c r="H3259" s="91"/>
    </row>
    <row r="3260" spans="2:8">
      <c r="B3260" s="91"/>
      <c r="C3260" s="36"/>
      <c r="D3260" s="91"/>
      <c r="E3260" s="91"/>
      <c r="F3260" s="80"/>
      <c r="G3260" s="91"/>
      <c r="H3260" s="91"/>
    </row>
    <row r="3261" spans="2:8">
      <c r="B3261" s="91"/>
      <c r="C3261" s="36"/>
      <c r="D3261" s="91"/>
      <c r="E3261" s="91"/>
      <c r="F3261" s="80"/>
      <c r="G3261" s="91"/>
      <c r="H3261" s="91"/>
    </row>
    <row r="3262" spans="2:8">
      <c r="B3262" s="91"/>
      <c r="C3262" s="36"/>
      <c r="D3262" s="91"/>
      <c r="E3262" s="91"/>
      <c r="F3262" s="80"/>
      <c r="G3262" s="91"/>
      <c r="H3262" s="91"/>
    </row>
    <row r="3263" spans="2:8">
      <c r="B3263" s="91"/>
      <c r="C3263" s="36"/>
      <c r="D3263" s="91"/>
      <c r="E3263" s="91"/>
      <c r="F3263" s="80"/>
      <c r="G3263" s="91"/>
      <c r="H3263" s="91"/>
    </row>
    <row r="3264" spans="2:8">
      <c r="B3264" s="91"/>
      <c r="C3264" s="36"/>
      <c r="D3264" s="91"/>
      <c r="E3264" s="91"/>
      <c r="F3264" s="80"/>
      <c r="G3264" s="91"/>
      <c r="H3264" s="91"/>
    </row>
    <row r="3265" spans="2:8">
      <c r="B3265" s="91"/>
      <c r="C3265" s="36"/>
      <c r="D3265" s="91"/>
      <c r="E3265" s="91"/>
      <c r="F3265" s="80"/>
      <c r="G3265" s="91"/>
      <c r="H3265" s="91"/>
    </row>
    <row r="3266" spans="2:8">
      <c r="B3266" s="91"/>
      <c r="C3266" s="36"/>
      <c r="D3266" s="91"/>
      <c r="E3266" s="91"/>
      <c r="F3266" s="80"/>
      <c r="G3266" s="91"/>
      <c r="H3266" s="91"/>
    </row>
    <row r="3267" spans="2:8">
      <c r="B3267" s="91"/>
      <c r="C3267" s="36"/>
      <c r="D3267" s="91"/>
      <c r="E3267" s="91"/>
      <c r="F3267" s="80"/>
      <c r="G3267" s="91"/>
      <c r="H3267" s="91"/>
    </row>
    <row r="3268" spans="2:8">
      <c r="B3268" s="91"/>
      <c r="C3268" s="36"/>
      <c r="D3268" s="91"/>
      <c r="E3268" s="91"/>
      <c r="F3268" s="80"/>
      <c r="G3268" s="91"/>
      <c r="H3268" s="91"/>
    </row>
    <row r="3269" spans="2:8">
      <c r="B3269" s="91"/>
      <c r="C3269" s="36"/>
      <c r="D3269" s="91"/>
      <c r="E3269" s="91"/>
      <c r="F3269" s="80"/>
      <c r="G3269" s="91"/>
      <c r="H3269" s="91"/>
    </row>
    <row r="3270" spans="2:8">
      <c r="B3270" s="91"/>
      <c r="C3270" s="36"/>
      <c r="D3270" s="91"/>
      <c r="E3270" s="91"/>
      <c r="F3270" s="80"/>
      <c r="G3270" s="91"/>
      <c r="H3270" s="91"/>
    </row>
    <row r="3271" spans="2:8">
      <c r="B3271" s="91"/>
      <c r="C3271" s="36"/>
      <c r="D3271" s="91"/>
      <c r="E3271" s="91"/>
      <c r="F3271" s="80"/>
      <c r="G3271" s="91"/>
      <c r="H3271" s="91"/>
    </row>
    <row r="3272" spans="2:8">
      <c r="B3272" s="91"/>
      <c r="C3272" s="36"/>
      <c r="D3272" s="91"/>
      <c r="E3272" s="91"/>
      <c r="F3272" s="80"/>
      <c r="G3272" s="91"/>
      <c r="H3272" s="91"/>
    </row>
    <row r="3273" spans="2:8">
      <c r="B3273" s="91"/>
      <c r="C3273" s="36"/>
      <c r="D3273" s="91"/>
      <c r="E3273" s="91"/>
      <c r="F3273" s="80"/>
      <c r="G3273" s="91"/>
      <c r="H3273" s="91"/>
    </row>
    <row r="3274" spans="2:8">
      <c r="B3274" s="91"/>
      <c r="C3274" s="36"/>
      <c r="D3274" s="91"/>
      <c r="E3274" s="91"/>
      <c r="F3274" s="80"/>
      <c r="G3274" s="91"/>
      <c r="H3274" s="91"/>
    </row>
    <row r="3275" spans="2:8">
      <c r="B3275" s="91"/>
      <c r="C3275" s="36"/>
      <c r="D3275" s="91"/>
      <c r="E3275" s="91"/>
      <c r="F3275" s="80"/>
      <c r="G3275" s="91"/>
      <c r="H3275" s="91"/>
    </row>
    <row r="3276" spans="2:8">
      <c r="B3276" s="91"/>
      <c r="C3276" s="36"/>
      <c r="D3276" s="91"/>
      <c r="E3276" s="91"/>
      <c r="F3276" s="80"/>
      <c r="G3276" s="91"/>
      <c r="H3276" s="91"/>
    </row>
    <row r="3277" spans="2:8">
      <c r="B3277" s="91"/>
      <c r="C3277" s="36"/>
      <c r="D3277" s="91"/>
      <c r="E3277" s="91"/>
      <c r="F3277" s="80"/>
      <c r="G3277" s="91"/>
      <c r="H3277" s="91"/>
    </row>
    <row r="3278" spans="2:8">
      <c r="B3278" s="91"/>
      <c r="C3278" s="36"/>
      <c r="D3278" s="91"/>
      <c r="E3278" s="91"/>
      <c r="F3278" s="80"/>
      <c r="G3278" s="91"/>
      <c r="H3278" s="91"/>
    </row>
    <row r="3279" spans="2:8">
      <c r="B3279" s="91"/>
      <c r="C3279" s="36"/>
      <c r="D3279" s="91"/>
      <c r="E3279" s="91"/>
      <c r="F3279" s="80"/>
      <c r="G3279" s="91"/>
      <c r="H3279" s="91"/>
    </row>
    <row r="3280" spans="2:8">
      <c r="B3280" s="91"/>
      <c r="C3280" s="36"/>
      <c r="D3280" s="91"/>
      <c r="E3280" s="91"/>
      <c r="F3280" s="80"/>
      <c r="G3280" s="91"/>
      <c r="H3280" s="91"/>
    </row>
    <row r="3281" spans="2:8">
      <c r="B3281" s="91"/>
      <c r="C3281" s="36"/>
      <c r="D3281" s="91"/>
      <c r="E3281" s="91"/>
      <c r="F3281" s="80"/>
      <c r="G3281" s="91"/>
      <c r="H3281" s="91"/>
    </row>
    <row r="3282" spans="2:8">
      <c r="B3282" s="91"/>
      <c r="C3282" s="36"/>
      <c r="D3282" s="91"/>
      <c r="E3282" s="91"/>
      <c r="F3282" s="80"/>
      <c r="G3282" s="91"/>
      <c r="H3282" s="91"/>
    </row>
    <row r="3283" spans="2:8">
      <c r="B3283" s="91"/>
      <c r="C3283" s="36"/>
      <c r="D3283" s="91"/>
      <c r="E3283" s="91"/>
      <c r="F3283" s="80"/>
      <c r="G3283" s="91"/>
      <c r="H3283" s="91"/>
    </row>
    <row r="3284" spans="2:8">
      <c r="B3284" s="91"/>
      <c r="C3284" s="36"/>
      <c r="D3284" s="91"/>
      <c r="E3284" s="91"/>
      <c r="F3284" s="80"/>
      <c r="G3284" s="91"/>
      <c r="H3284" s="91"/>
    </row>
    <row r="3285" spans="2:8">
      <c r="B3285" s="91"/>
      <c r="C3285" s="36"/>
      <c r="D3285" s="91"/>
      <c r="E3285" s="91"/>
      <c r="F3285" s="80"/>
      <c r="G3285" s="91"/>
      <c r="H3285" s="91"/>
    </row>
    <row r="3286" spans="2:8">
      <c r="B3286" s="91"/>
      <c r="C3286" s="36"/>
      <c r="D3286" s="91"/>
      <c r="E3286" s="91"/>
      <c r="F3286" s="80"/>
      <c r="G3286" s="91"/>
      <c r="H3286" s="91"/>
    </row>
    <row r="3287" spans="2:8">
      <c r="B3287" s="91"/>
      <c r="C3287" s="36"/>
      <c r="D3287" s="91"/>
      <c r="E3287" s="91"/>
      <c r="F3287" s="80"/>
      <c r="G3287" s="91"/>
      <c r="H3287" s="91"/>
    </row>
    <row r="3288" spans="2:8">
      <c r="B3288" s="91"/>
      <c r="C3288" s="36"/>
      <c r="D3288" s="91"/>
      <c r="E3288" s="91"/>
      <c r="F3288" s="80"/>
      <c r="G3288" s="91"/>
      <c r="H3288" s="91"/>
    </row>
    <row r="3289" spans="2:8">
      <c r="B3289" s="91"/>
      <c r="C3289" s="36"/>
      <c r="D3289" s="91"/>
      <c r="E3289" s="91"/>
      <c r="F3289" s="80"/>
      <c r="G3289" s="91"/>
      <c r="H3289" s="91"/>
    </row>
    <row r="3290" spans="2:8">
      <c r="B3290" s="91"/>
      <c r="C3290" s="36"/>
      <c r="D3290" s="91"/>
      <c r="E3290" s="91"/>
      <c r="F3290" s="80"/>
      <c r="G3290" s="91"/>
      <c r="H3290" s="91"/>
    </row>
    <row r="3291" spans="2:8">
      <c r="B3291" s="91"/>
      <c r="C3291" s="36"/>
      <c r="D3291" s="91"/>
      <c r="E3291" s="91"/>
      <c r="F3291" s="80"/>
      <c r="G3291" s="91"/>
      <c r="H3291" s="91"/>
    </row>
    <row r="3292" spans="2:8">
      <c r="B3292" s="91"/>
      <c r="C3292" s="36"/>
      <c r="D3292" s="91"/>
      <c r="E3292" s="91"/>
      <c r="F3292" s="80"/>
      <c r="G3292" s="91"/>
      <c r="H3292" s="91"/>
    </row>
    <row r="3293" spans="2:8">
      <c r="B3293" s="91"/>
      <c r="C3293" s="36"/>
      <c r="D3293" s="91"/>
      <c r="E3293" s="91"/>
      <c r="F3293" s="80"/>
      <c r="G3293" s="91"/>
      <c r="H3293" s="91"/>
    </row>
    <row r="3294" spans="2:8">
      <c r="B3294" s="91"/>
      <c r="C3294" s="36"/>
      <c r="D3294" s="91"/>
      <c r="E3294" s="91"/>
      <c r="F3294" s="80"/>
      <c r="G3294" s="91"/>
      <c r="H3294" s="91"/>
    </row>
    <row r="3295" spans="2:8">
      <c r="B3295" s="91"/>
      <c r="C3295" s="36"/>
      <c r="D3295" s="91"/>
      <c r="E3295" s="91"/>
      <c r="F3295" s="80"/>
      <c r="G3295" s="91"/>
      <c r="H3295" s="91"/>
    </row>
    <row r="3296" spans="2:8">
      <c r="B3296" s="91"/>
      <c r="C3296" s="36"/>
      <c r="D3296" s="91"/>
      <c r="E3296" s="91"/>
      <c r="F3296" s="80"/>
      <c r="G3296" s="91"/>
      <c r="H3296" s="91"/>
    </row>
    <row r="3297" spans="2:8">
      <c r="B3297" s="91"/>
      <c r="C3297" s="36"/>
      <c r="D3297" s="91"/>
      <c r="E3297" s="91"/>
      <c r="F3297" s="80"/>
      <c r="G3297" s="91"/>
      <c r="H3297" s="91"/>
    </row>
    <row r="3298" spans="2:8">
      <c r="B3298" s="91"/>
      <c r="C3298" s="36"/>
      <c r="D3298" s="91"/>
      <c r="E3298" s="91"/>
      <c r="F3298" s="80"/>
      <c r="G3298" s="91"/>
      <c r="H3298" s="91"/>
    </row>
    <row r="3299" spans="2:8">
      <c r="B3299" s="91"/>
      <c r="C3299" s="36"/>
      <c r="D3299" s="91"/>
      <c r="E3299" s="91"/>
      <c r="F3299" s="80"/>
      <c r="G3299" s="91"/>
      <c r="H3299" s="91"/>
    </row>
    <row r="3300" spans="2:8">
      <c r="B3300" s="91"/>
      <c r="C3300" s="36"/>
      <c r="D3300" s="91"/>
      <c r="E3300" s="91"/>
      <c r="F3300" s="80"/>
      <c r="G3300" s="91"/>
      <c r="H3300" s="91"/>
    </row>
    <row r="3301" spans="2:8">
      <c r="B3301" s="91"/>
      <c r="C3301" s="36"/>
      <c r="D3301" s="91"/>
      <c r="E3301" s="91"/>
      <c r="F3301" s="80"/>
      <c r="G3301" s="91"/>
      <c r="H3301" s="91"/>
    </row>
    <row r="3302" spans="2:8">
      <c r="B3302" s="91"/>
      <c r="C3302" s="36"/>
      <c r="D3302" s="91"/>
      <c r="E3302" s="91"/>
      <c r="F3302" s="80"/>
      <c r="G3302" s="91"/>
      <c r="H3302" s="91"/>
    </row>
    <row r="3303" spans="2:8">
      <c r="B3303" s="91"/>
      <c r="C3303" s="36"/>
      <c r="D3303" s="91"/>
      <c r="E3303" s="91"/>
      <c r="F3303" s="80"/>
      <c r="G3303" s="91"/>
      <c r="H3303" s="91"/>
    </row>
    <row r="3304" spans="2:8">
      <c r="B3304" s="91"/>
      <c r="C3304" s="36"/>
      <c r="D3304" s="91"/>
      <c r="E3304" s="91"/>
      <c r="F3304" s="80"/>
      <c r="G3304" s="91"/>
      <c r="H3304" s="91"/>
    </row>
    <row r="3305" spans="2:8">
      <c r="B3305" s="91"/>
      <c r="C3305" s="36"/>
      <c r="D3305" s="91"/>
      <c r="E3305" s="91"/>
      <c r="F3305" s="80"/>
      <c r="G3305" s="91"/>
      <c r="H3305" s="91"/>
    </row>
    <row r="3306" spans="2:8">
      <c r="B3306" s="91"/>
      <c r="C3306" s="36"/>
      <c r="D3306" s="91"/>
      <c r="E3306" s="91"/>
      <c r="F3306" s="80"/>
      <c r="G3306" s="91"/>
      <c r="H3306" s="91"/>
    </row>
    <row r="3307" spans="2:8">
      <c r="B3307" s="91"/>
      <c r="C3307" s="36"/>
      <c r="D3307" s="91"/>
      <c r="E3307" s="91"/>
      <c r="F3307" s="80"/>
      <c r="G3307" s="91"/>
      <c r="H3307" s="91"/>
    </row>
    <row r="3308" spans="2:8">
      <c r="B3308" s="91"/>
      <c r="C3308" s="36"/>
      <c r="D3308" s="91"/>
      <c r="E3308" s="91"/>
      <c r="F3308" s="80"/>
      <c r="G3308" s="91"/>
      <c r="H3308" s="91"/>
    </row>
    <row r="3309" spans="2:8">
      <c r="B3309" s="91"/>
      <c r="C3309" s="36"/>
      <c r="D3309" s="91"/>
      <c r="E3309" s="91"/>
      <c r="F3309" s="80"/>
      <c r="G3309" s="91"/>
      <c r="H3309" s="91"/>
    </row>
    <row r="3310" spans="2:8">
      <c r="B3310" s="91"/>
      <c r="C3310" s="36"/>
      <c r="D3310" s="91"/>
      <c r="E3310" s="91"/>
      <c r="F3310" s="80"/>
      <c r="G3310" s="91"/>
      <c r="H3310" s="91"/>
    </row>
    <row r="3311" spans="2:8">
      <c r="B3311" s="91"/>
      <c r="C3311" s="36"/>
      <c r="D3311" s="91"/>
      <c r="E3311" s="91"/>
      <c r="F3311" s="80"/>
      <c r="G3311" s="91"/>
      <c r="H3311" s="91"/>
    </row>
    <row r="3312" spans="2:8">
      <c r="B3312" s="91"/>
      <c r="C3312" s="36"/>
      <c r="D3312" s="91"/>
      <c r="E3312" s="91"/>
      <c r="F3312" s="80"/>
      <c r="G3312" s="91"/>
      <c r="H3312" s="91"/>
    </row>
    <row r="3313" spans="2:8">
      <c r="B3313" s="91"/>
      <c r="C3313" s="36"/>
      <c r="D3313" s="91"/>
      <c r="E3313" s="91"/>
      <c r="F3313" s="80"/>
      <c r="G3313" s="91"/>
      <c r="H3313" s="91"/>
    </row>
    <row r="3314" spans="2:8">
      <c r="B3314" s="91"/>
      <c r="C3314" s="36"/>
      <c r="D3314" s="91"/>
      <c r="E3314" s="91"/>
      <c r="F3314" s="80"/>
      <c r="G3314" s="91"/>
      <c r="H3314" s="91"/>
    </row>
    <row r="3315" spans="2:8">
      <c r="B3315" s="91"/>
      <c r="C3315" s="36"/>
      <c r="D3315" s="91"/>
      <c r="E3315" s="91"/>
      <c r="F3315" s="80"/>
      <c r="G3315" s="91"/>
      <c r="H3315" s="91"/>
    </row>
    <row r="3316" spans="2:8">
      <c r="B3316" s="91"/>
      <c r="C3316" s="36"/>
      <c r="D3316" s="91"/>
      <c r="E3316" s="91"/>
      <c r="F3316" s="80"/>
      <c r="G3316" s="91"/>
      <c r="H3316" s="91"/>
    </row>
    <row r="3317" spans="2:8">
      <c r="B3317" s="91"/>
      <c r="C3317" s="36"/>
      <c r="D3317" s="91"/>
      <c r="E3317" s="91"/>
      <c r="F3317" s="80"/>
      <c r="G3317" s="91"/>
      <c r="H3317" s="91"/>
    </row>
    <row r="3318" spans="2:8">
      <c r="B3318" s="91"/>
      <c r="C3318" s="36"/>
      <c r="D3318" s="91"/>
      <c r="E3318" s="91"/>
      <c r="F3318" s="80"/>
      <c r="G3318" s="91"/>
      <c r="H3318" s="91"/>
    </row>
    <row r="3319" spans="2:8">
      <c r="B3319" s="91"/>
      <c r="C3319" s="36"/>
      <c r="D3319" s="91"/>
      <c r="E3319" s="91"/>
      <c r="F3319" s="80"/>
      <c r="G3319" s="91"/>
      <c r="H3319" s="91"/>
    </row>
    <row r="3320" spans="2:8">
      <c r="B3320" s="91"/>
      <c r="C3320" s="36"/>
      <c r="D3320" s="91"/>
      <c r="E3320" s="91"/>
      <c r="F3320" s="80"/>
      <c r="G3320" s="91"/>
      <c r="H3320" s="91"/>
    </row>
    <row r="3321" spans="2:8">
      <c r="B3321" s="91"/>
      <c r="C3321" s="36"/>
      <c r="D3321" s="91"/>
      <c r="E3321" s="91"/>
      <c r="F3321" s="80"/>
      <c r="G3321" s="91"/>
      <c r="H3321" s="91"/>
    </row>
    <row r="3322" spans="2:8">
      <c r="B3322" s="91"/>
      <c r="C3322" s="36"/>
      <c r="D3322" s="91"/>
      <c r="E3322" s="91"/>
      <c r="F3322" s="80"/>
      <c r="G3322" s="91"/>
      <c r="H3322" s="91"/>
    </row>
    <row r="3323" spans="2:8">
      <c r="B3323" s="91"/>
      <c r="C3323" s="36"/>
      <c r="D3323" s="91"/>
      <c r="E3323" s="91"/>
      <c r="F3323" s="80"/>
      <c r="G3323" s="91"/>
      <c r="H3323" s="91"/>
    </row>
    <row r="3324" spans="2:8">
      <c r="B3324" s="91"/>
      <c r="C3324" s="36"/>
      <c r="D3324" s="91"/>
      <c r="E3324" s="91"/>
      <c r="F3324" s="80"/>
      <c r="G3324" s="91"/>
      <c r="H3324" s="91"/>
    </row>
    <row r="3325" spans="2:8">
      <c r="B3325" s="91"/>
      <c r="C3325" s="36"/>
      <c r="D3325" s="91"/>
      <c r="E3325" s="91"/>
      <c r="F3325" s="80"/>
      <c r="G3325" s="91"/>
      <c r="H3325" s="91"/>
    </row>
    <row r="3326" spans="2:8">
      <c r="B3326" s="91"/>
      <c r="C3326" s="36"/>
      <c r="D3326" s="91"/>
      <c r="E3326" s="91"/>
      <c r="F3326" s="80"/>
      <c r="G3326" s="91"/>
      <c r="H3326" s="91"/>
    </row>
    <row r="3327" spans="2:8">
      <c r="B3327" s="91"/>
      <c r="C3327" s="36"/>
      <c r="D3327" s="91"/>
      <c r="E3327" s="91"/>
      <c r="F3327" s="80"/>
      <c r="G3327" s="91"/>
      <c r="H3327" s="91"/>
    </row>
    <row r="3328" spans="2:8">
      <c r="B3328" s="91"/>
      <c r="C3328" s="36"/>
      <c r="D3328" s="91"/>
      <c r="E3328" s="91"/>
      <c r="F3328" s="80"/>
      <c r="G3328" s="91"/>
      <c r="H3328" s="91"/>
    </row>
    <row r="3329" spans="2:8">
      <c r="B3329" s="91"/>
      <c r="C3329" s="36"/>
      <c r="D3329" s="91"/>
      <c r="E3329" s="91"/>
      <c r="F3329" s="80"/>
      <c r="G3329" s="91"/>
      <c r="H3329" s="91"/>
    </row>
    <row r="3330" spans="2:8">
      <c r="B3330" s="91"/>
      <c r="C3330" s="36"/>
      <c r="D3330" s="91"/>
      <c r="E3330" s="91"/>
      <c r="F3330" s="80"/>
      <c r="G3330" s="91"/>
      <c r="H3330" s="91"/>
    </row>
    <row r="3331" spans="2:8">
      <c r="B3331" s="91"/>
      <c r="C3331" s="36"/>
      <c r="D3331" s="91"/>
      <c r="E3331" s="91"/>
      <c r="F3331" s="80"/>
      <c r="G3331" s="91"/>
      <c r="H3331" s="91"/>
    </row>
    <row r="3332" spans="2:8">
      <c r="B3332" s="91"/>
      <c r="C3332" s="36"/>
      <c r="D3332" s="91"/>
      <c r="E3332" s="91"/>
      <c r="F3332" s="80"/>
      <c r="G3332" s="91"/>
      <c r="H3332" s="91"/>
    </row>
    <row r="3333" spans="2:8">
      <c r="B3333" s="91"/>
      <c r="C3333" s="36"/>
      <c r="D3333" s="91"/>
      <c r="E3333" s="91"/>
      <c r="F3333" s="80"/>
      <c r="G3333" s="91"/>
      <c r="H3333" s="91"/>
    </row>
    <row r="3334" spans="2:8">
      <c r="B3334" s="91"/>
      <c r="C3334" s="36"/>
      <c r="D3334" s="91"/>
      <c r="E3334" s="91"/>
      <c r="F3334" s="80"/>
      <c r="G3334" s="91"/>
      <c r="H3334" s="91"/>
    </row>
    <row r="3335" spans="2:8">
      <c r="B3335" s="91"/>
      <c r="C3335" s="36"/>
      <c r="D3335" s="91"/>
      <c r="E3335" s="91"/>
      <c r="F3335" s="80"/>
      <c r="G3335" s="91"/>
      <c r="H3335" s="91"/>
    </row>
    <row r="3336" spans="2:8">
      <c r="B3336" s="91"/>
      <c r="C3336" s="36"/>
      <c r="D3336" s="91"/>
      <c r="E3336" s="91"/>
      <c r="F3336" s="80"/>
      <c r="G3336" s="91"/>
      <c r="H3336" s="91"/>
    </row>
    <row r="3337" spans="2:8">
      <c r="B3337" s="91"/>
      <c r="C3337" s="36"/>
      <c r="D3337" s="91"/>
      <c r="E3337" s="91"/>
      <c r="F3337" s="80"/>
      <c r="G3337" s="91"/>
      <c r="H3337" s="91"/>
    </row>
    <row r="3338" spans="2:8">
      <c r="B3338" s="91"/>
      <c r="C3338" s="36"/>
      <c r="D3338" s="91"/>
      <c r="E3338" s="91"/>
      <c r="F3338" s="80"/>
      <c r="G3338" s="91"/>
      <c r="H3338" s="91"/>
    </row>
    <row r="3339" spans="2:8">
      <c r="B3339" s="91"/>
      <c r="C3339" s="36"/>
      <c r="D3339" s="91"/>
      <c r="E3339" s="91"/>
      <c r="F3339" s="80"/>
      <c r="G3339" s="91"/>
      <c r="H3339" s="91"/>
    </row>
    <row r="3340" spans="2:8">
      <c r="B3340" s="91"/>
      <c r="C3340" s="36"/>
      <c r="D3340" s="91"/>
      <c r="E3340" s="91"/>
      <c r="F3340" s="80"/>
      <c r="G3340" s="91"/>
      <c r="H3340" s="91"/>
    </row>
    <row r="3341" spans="2:8">
      <c r="B3341" s="91"/>
      <c r="C3341" s="36"/>
      <c r="D3341" s="91"/>
      <c r="E3341" s="91"/>
      <c r="F3341" s="80"/>
      <c r="G3341" s="91"/>
      <c r="H3341" s="91"/>
    </row>
    <row r="3342" spans="2:8">
      <c r="B3342" s="91"/>
      <c r="C3342" s="36"/>
      <c r="D3342" s="91"/>
      <c r="E3342" s="91"/>
      <c r="F3342" s="80"/>
      <c r="G3342" s="91"/>
      <c r="H3342" s="91"/>
    </row>
    <row r="3343" spans="2:8">
      <c r="B3343" s="91"/>
      <c r="C3343" s="36"/>
      <c r="D3343" s="91"/>
      <c r="E3343" s="91"/>
      <c r="F3343" s="80"/>
      <c r="G3343" s="91"/>
      <c r="H3343" s="91"/>
    </row>
    <row r="3344" spans="2:8">
      <c r="B3344" s="91"/>
      <c r="C3344" s="36"/>
      <c r="D3344" s="91"/>
      <c r="E3344" s="91"/>
      <c r="F3344" s="80"/>
      <c r="G3344" s="91"/>
      <c r="H3344" s="91"/>
    </row>
    <row r="3345" spans="2:8">
      <c r="B3345" s="91"/>
      <c r="C3345" s="36"/>
      <c r="D3345" s="91"/>
      <c r="E3345" s="91"/>
      <c r="F3345" s="80"/>
      <c r="G3345" s="91"/>
      <c r="H3345" s="91"/>
    </row>
    <row r="3346" spans="2:8">
      <c r="B3346" s="91"/>
      <c r="C3346" s="36"/>
      <c r="D3346" s="91"/>
      <c r="E3346" s="91"/>
      <c r="F3346" s="80"/>
      <c r="G3346" s="91"/>
      <c r="H3346" s="91"/>
    </row>
    <row r="3347" spans="2:8">
      <c r="B3347" s="91"/>
      <c r="C3347" s="36"/>
      <c r="D3347" s="91"/>
      <c r="E3347" s="91"/>
      <c r="F3347" s="80"/>
      <c r="G3347" s="91"/>
      <c r="H3347" s="91"/>
    </row>
    <row r="3348" spans="2:8">
      <c r="B3348" s="91"/>
      <c r="C3348" s="36"/>
      <c r="D3348" s="91"/>
      <c r="E3348" s="91"/>
      <c r="F3348" s="80"/>
      <c r="G3348" s="91"/>
      <c r="H3348" s="91"/>
    </row>
    <row r="3349" spans="2:8">
      <c r="B3349" s="91"/>
      <c r="C3349" s="36"/>
      <c r="D3349" s="91"/>
      <c r="E3349" s="91"/>
      <c r="F3349" s="80"/>
      <c r="G3349" s="91"/>
      <c r="H3349" s="91"/>
    </row>
    <row r="3350" spans="2:8">
      <c r="B3350" s="91"/>
      <c r="C3350" s="36"/>
      <c r="D3350" s="91"/>
      <c r="E3350" s="91"/>
      <c r="F3350" s="80"/>
      <c r="G3350" s="91"/>
      <c r="H3350" s="91"/>
    </row>
    <row r="3351" spans="2:8">
      <c r="B3351" s="91"/>
      <c r="C3351" s="36"/>
      <c r="D3351" s="91"/>
      <c r="E3351" s="91"/>
      <c r="F3351" s="80"/>
      <c r="G3351" s="91"/>
      <c r="H3351" s="91"/>
    </row>
    <row r="3352" spans="2:8">
      <c r="B3352" s="91"/>
      <c r="C3352" s="36"/>
      <c r="D3352" s="91"/>
      <c r="E3352" s="91"/>
      <c r="F3352" s="80"/>
      <c r="G3352" s="91"/>
      <c r="H3352" s="91"/>
    </row>
    <row r="3353" spans="2:8">
      <c r="B3353" s="91"/>
      <c r="C3353" s="36"/>
      <c r="D3353" s="91"/>
      <c r="E3353" s="91"/>
      <c r="F3353" s="80"/>
      <c r="G3353" s="91"/>
      <c r="H3353" s="91"/>
    </row>
    <row r="3354" spans="2:8">
      <c r="B3354" s="91"/>
      <c r="C3354" s="36"/>
      <c r="D3354" s="91"/>
      <c r="E3354" s="91"/>
      <c r="F3354" s="80"/>
      <c r="G3354" s="91"/>
      <c r="H3354" s="91"/>
    </row>
    <row r="3355" spans="2:8">
      <c r="B3355" s="91"/>
      <c r="C3355" s="36"/>
      <c r="D3355" s="91"/>
      <c r="E3355" s="91"/>
      <c r="F3355" s="80"/>
      <c r="G3355" s="91"/>
      <c r="H3355" s="91"/>
    </row>
    <row r="3356" spans="2:8">
      <c r="B3356" s="91"/>
      <c r="C3356" s="36"/>
      <c r="D3356" s="91"/>
      <c r="E3356" s="91"/>
      <c r="F3356" s="80"/>
      <c r="G3356" s="91"/>
      <c r="H3356" s="91"/>
    </row>
    <row r="3357" spans="2:8">
      <c r="B3357" s="91"/>
      <c r="C3357" s="36"/>
      <c r="D3357" s="91"/>
      <c r="E3357" s="91"/>
      <c r="F3357" s="80"/>
      <c r="G3357" s="91"/>
      <c r="H3357" s="91"/>
    </row>
    <row r="3358" spans="2:8">
      <c r="B3358" s="91"/>
      <c r="C3358" s="36"/>
      <c r="D3358" s="91"/>
      <c r="E3358" s="91"/>
      <c r="F3358" s="80"/>
      <c r="G3358" s="91"/>
      <c r="H3358" s="91"/>
    </row>
    <row r="3359" spans="2:8">
      <c r="B3359" s="91"/>
      <c r="C3359" s="36"/>
      <c r="D3359" s="91"/>
      <c r="E3359" s="91"/>
      <c r="F3359" s="80"/>
      <c r="G3359" s="91"/>
      <c r="H3359" s="91"/>
    </row>
    <row r="3360" spans="2:8">
      <c r="B3360" s="91"/>
      <c r="C3360" s="36"/>
      <c r="D3360" s="91"/>
      <c r="E3360" s="91"/>
      <c r="F3360" s="80"/>
      <c r="G3360" s="91"/>
      <c r="H3360" s="91"/>
    </row>
    <row r="3361" spans="2:8">
      <c r="B3361" s="91"/>
      <c r="C3361" s="36"/>
      <c r="D3361" s="91"/>
      <c r="E3361" s="91"/>
      <c r="F3361" s="80"/>
      <c r="G3361" s="91"/>
      <c r="H3361" s="91"/>
    </row>
    <row r="3362" spans="2:8">
      <c r="B3362" s="91"/>
      <c r="C3362" s="36"/>
      <c r="D3362" s="91"/>
      <c r="E3362" s="91"/>
      <c r="F3362" s="80"/>
      <c r="G3362" s="91"/>
      <c r="H3362" s="91"/>
    </row>
    <row r="3363" spans="2:8">
      <c r="B3363" s="91"/>
      <c r="C3363" s="36"/>
      <c r="D3363" s="91"/>
      <c r="E3363" s="91"/>
      <c r="F3363" s="80"/>
      <c r="G3363" s="91"/>
      <c r="H3363" s="91"/>
    </row>
    <row r="3364" spans="2:8">
      <c r="B3364" s="91"/>
      <c r="C3364" s="36"/>
      <c r="D3364" s="91"/>
      <c r="E3364" s="91"/>
      <c r="F3364" s="80"/>
      <c r="G3364" s="91"/>
      <c r="H3364" s="91"/>
    </row>
    <row r="3365" spans="2:8">
      <c r="B3365" s="91"/>
      <c r="C3365" s="36"/>
      <c r="D3365" s="91"/>
      <c r="E3365" s="91"/>
      <c r="F3365" s="80"/>
      <c r="G3365" s="91"/>
      <c r="H3365" s="91"/>
    </row>
    <row r="3366" spans="2:8">
      <c r="B3366" s="91"/>
      <c r="C3366" s="36"/>
      <c r="D3366" s="91"/>
      <c r="E3366" s="91"/>
      <c r="F3366" s="80"/>
      <c r="G3366" s="91"/>
      <c r="H3366" s="91"/>
    </row>
    <row r="3367" spans="2:8">
      <c r="B3367" s="91"/>
      <c r="C3367" s="36"/>
      <c r="D3367" s="91"/>
      <c r="E3367" s="91"/>
      <c r="F3367" s="80"/>
      <c r="G3367" s="91"/>
      <c r="H3367" s="91"/>
    </row>
    <row r="3368" spans="2:8">
      <c r="B3368" s="91"/>
      <c r="C3368" s="36"/>
      <c r="D3368" s="91"/>
      <c r="E3368" s="91"/>
      <c r="F3368" s="80"/>
      <c r="G3368" s="91"/>
      <c r="H3368" s="91"/>
    </row>
    <row r="3369" spans="2:8">
      <c r="B3369" s="91"/>
      <c r="C3369" s="36"/>
      <c r="D3369" s="91"/>
      <c r="E3369" s="91"/>
      <c r="F3369" s="80"/>
      <c r="G3369" s="91"/>
      <c r="H3369" s="91"/>
    </row>
    <row r="3370" spans="2:8">
      <c r="B3370" s="91"/>
      <c r="C3370" s="36"/>
      <c r="D3370" s="91"/>
      <c r="E3370" s="91"/>
      <c r="F3370" s="80"/>
      <c r="G3370" s="91"/>
      <c r="H3370" s="91"/>
    </row>
    <row r="3371" spans="2:8">
      <c r="B3371" s="91"/>
      <c r="C3371" s="36"/>
      <c r="D3371" s="91"/>
      <c r="E3371" s="91"/>
      <c r="F3371" s="80"/>
      <c r="G3371" s="91"/>
      <c r="H3371" s="91"/>
    </row>
    <row r="3372" spans="2:8">
      <c r="B3372" s="91"/>
      <c r="C3372" s="36"/>
      <c r="D3372" s="91"/>
      <c r="E3372" s="91"/>
      <c r="F3372" s="80"/>
      <c r="G3372" s="91"/>
      <c r="H3372" s="91"/>
    </row>
    <row r="3373" spans="2:8">
      <c r="B3373" s="91"/>
      <c r="C3373" s="36"/>
      <c r="D3373" s="91"/>
      <c r="E3373" s="91"/>
      <c r="F3373" s="80"/>
      <c r="G3373" s="91"/>
      <c r="H3373" s="91"/>
    </row>
    <row r="3374" spans="2:8">
      <c r="B3374" s="91"/>
      <c r="C3374" s="36"/>
      <c r="D3374" s="91"/>
      <c r="E3374" s="91"/>
      <c r="F3374" s="80"/>
      <c r="G3374" s="91"/>
      <c r="H3374" s="91"/>
    </row>
    <row r="3375" spans="2:8">
      <c r="B3375" s="91"/>
      <c r="C3375" s="36"/>
      <c r="D3375" s="91"/>
      <c r="E3375" s="91"/>
      <c r="F3375" s="80"/>
      <c r="G3375" s="91"/>
      <c r="H3375" s="91"/>
    </row>
    <row r="3376" spans="2:8">
      <c r="B3376" s="91"/>
      <c r="C3376" s="36"/>
      <c r="D3376" s="91"/>
      <c r="E3376" s="91"/>
      <c r="F3376" s="80"/>
      <c r="G3376" s="91"/>
      <c r="H3376" s="91"/>
    </row>
    <row r="3377" spans="2:8">
      <c r="B3377" s="91"/>
      <c r="C3377" s="36"/>
      <c r="D3377" s="91"/>
      <c r="E3377" s="91"/>
      <c r="F3377" s="80"/>
      <c r="G3377" s="91"/>
      <c r="H3377" s="91"/>
    </row>
    <row r="3378" spans="2:8">
      <c r="B3378" s="91"/>
      <c r="C3378" s="36"/>
      <c r="D3378" s="91"/>
      <c r="E3378" s="91"/>
      <c r="F3378" s="80"/>
      <c r="G3378" s="91"/>
      <c r="H3378" s="91"/>
    </row>
    <row r="3379" spans="2:8">
      <c r="B3379" s="91"/>
      <c r="C3379" s="36"/>
      <c r="D3379" s="91"/>
      <c r="E3379" s="91"/>
      <c r="F3379" s="80"/>
      <c r="G3379" s="91"/>
      <c r="H3379" s="91"/>
    </row>
    <row r="3380" spans="2:8">
      <c r="B3380" s="91"/>
      <c r="C3380" s="36"/>
      <c r="D3380" s="91"/>
      <c r="E3380" s="91"/>
      <c r="F3380" s="80"/>
      <c r="G3380" s="91"/>
      <c r="H3380" s="91"/>
    </row>
    <row r="3381" spans="2:8">
      <c r="B3381" s="91"/>
      <c r="C3381" s="36"/>
      <c r="D3381" s="91"/>
      <c r="E3381" s="91"/>
      <c r="F3381" s="80"/>
      <c r="G3381" s="91"/>
      <c r="H3381" s="91"/>
    </row>
    <row r="3382" spans="2:8">
      <c r="B3382" s="91"/>
      <c r="C3382" s="36"/>
      <c r="D3382" s="91"/>
      <c r="E3382" s="91"/>
      <c r="F3382" s="80"/>
      <c r="G3382" s="91"/>
      <c r="H3382" s="91"/>
    </row>
    <row r="3383" spans="2:8">
      <c r="B3383" s="91"/>
      <c r="C3383" s="36"/>
      <c r="D3383" s="91"/>
      <c r="E3383" s="91"/>
      <c r="F3383" s="80"/>
      <c r="G3383" s="91"/>
      <c r="H3383" s="91"/>
    </row>
    <row r="3384" spans="2:8">
      <c r="B3384" s="91"/>
      <c r="C3384" s="36"/>
      <c r="D3384" s="91"/>
      <c r="E3384" s="91"/>
      <c r="F3384" s="80"/>
      <c r="G3384" s="91"/>
      <c r="H3384" s="91"/>
    </row>
    <row r="3385" spans="2:8">
      <c r="B3385" s="91"/>
      <c r="C3385" s="36"/>
      <c r="D3385" s="91"/>
      <c r="E3385" s="91"/>
      <c r="F3385" s="80"/>
      <c r="G3385" s="91"/>
      <c r="H3385" s="91"/>
    </row>
    <row r="3386" spans="2:8">
      <c r="B3386" s="91"/>
      <c r="C3386" s="36"/>
      <c r="D3386" s="91"/>
      <c r="E3386" s="91"/>
      <c r="F3386" s="80"/>
      <c r="G3386" s="91"/>
      <c r="H3386" s="91"/>
    </row>
    <row r="3387" spans="2:8">
      <c r="B3387" s="91"/>
      <c r="C3387" s="36"/>
      <c r="D3387" s="91"/>
      <c r="E3387" s="91"/>
      <c r="F3387" s="80"/>
      <c r="G3387" s="91"/>
      <c r="H3387" s="91"/>
    </row>
    <row r="3388" spans="2:8">
      <c r="B3388" s="91"/>
      <c r="C3388" s="36"/>
      <c r="D3388" s="91"/>
      <c r="E3388" s="91"/>
      <c r="F3388" s="80"/>
      <c r="G3388" s="91"/>
      <c r="H3388" s="91"/>
    </row>
    <row r="3389" spans="2:8">
      <c r="B3389" s="91"/>
      <c r="C3389" s="36"/>
      <c r="D3389" s="91"/>
      <c r="E3389" s="91"/>
      <c r="F3389" s="80"/>
      <c r="G3389" s="91"/>
      <c r="H3389" s="91"/>
    </row>
    <row r="3390" spans="2:8">
      <c r="B3390" s="91"/>
      <c r="C3390" s="36"/>
      <c r="D3390" s="91"/>
      <c r="E3390" s="91"/>
      <c r="F3390" s="80"/>
      <c r="G3390" s="91"/>
      <c r="H3390" s="91"/>
    </row>
    <row r="3391" spans="2:8">
      <c r="B3391" s="91"/>
      <c r="C3391" s="36"/>
      <c r="D3391" s="91"/>
      <c r="E3391" s="91"/>
      <c r="F3391" s="80"/>
      <c r="G3391" s="91"/>
      <c r="H3391" s="91"/>
    </row>
    <row r="3392" spans="2:8">
      <c r="B3392" s="91"/>
      <c r="C3392" s="36"/>
      <c r="D3392" s="91"/>
      <c r="E3392" s="91"/>
      <c r="F3392" s="80"/>
      <c r="G3392" s="91"/>
      <c r="H3392" s="91"/>
    </row>
    <row r="3393" spans="2:8">
      <c r="B3393" s="91"/>
      <c r="C3393" s="36"/>
      <c r="D3393" s="91"/>
      <c r="E3393" s="91"/>
      <c r="F3393" s="80"/>
      <c r="G3393" s="91"/>
      <c r="H3393" s="91"/>
    </row>
    <row r="3394" spans="2:8">
      <c r="B3394" s="91"/>
      <c r="C3394" s="36"/>
      <c r="D3394" s="91"/>
      <c r="E3394" s="91"/>
      <c r="F3394" s="80"/>
      <c r="G3394" s="91"/>
      <c r="H3394" s="91"/>
    </row>
    <row r="3395" spans="2:8">
      <c r="B3395" s="91"/>
      <c r="C3395" s="36"/>
      <c r="D3395" s="91"/>
      <c r="E3395" s="91"/>
      <c r="F3395" s="80"/>
      <c r="G3395" s="91"/>
      <c r="H3395" s="91"/>
    </row>
    <row r="3396" spans="2:8">
      <c r="B3396" s="91"/>
      <c r="C3396" s="36"/>
      <c r="D3396" s="91"/>
      <c r="E3396" s="91"/>
      <c r="F3396" s="80"/>
      <c r="G3396" s="91"/>
      <c r="H3396" s="91"/>
    </row>
    <row r="3397" spans="2:8">
      <c r="B3397" s="91"/>
      <c r="C3397" s="36"/>
      <c r="D3397" s="91"/>
      <c r="E3397" s="91"/>
      <c r="F3397" s="80"/>
      <c r="G3397" s="91"/>
      <c r="H3397" s="91"/>
    </row>
    <row r="3398" spans="2:8">
      <c r="B3398" s="91"/>
      <c r="C3398" s="36"/>
      <c r="D3398" s="91"/>
      <c r="E3398" s="91"/>
      <c r="F3398" s="80"/>
      <c r="G3398" s="91"/>
      <c r="H3398" s="91"/>
    </row>
    <row r="3399" spans="2:8">
      <c r="B3399" s="91"/>
      <c r="C3399" s="36"/>
      <c r="D3399" s="91"/>
      <c r="E3399" s="91"/>
      <c r="F3399" s="80"/>
      <c r="G3399" s="91"/>
      <c r="H3399" s="91"/>
    </row>
    <row r="3400" spans="2:8">
      <c r="B3400" s="91"/>
      <c r="C3400" s="36"/>
      <c r="D3400" s="91"/>
      <c r="E3400" s="91"/>
      <c r="F3400" s="80"/>
      <c r="G3400" s="91"/>
      <c r="H3400" s="91"/>
    </row>
    <row r="3401" spans="2:8">
      <c r="B3401" s="91"/>
      <c r="C3401" s="36"/>
      <c r="D3401" s="91"/>
      <c r="E3401" s="91"/>
      <c r="F3401" s="80"/>
      <c r="G3401" s="91"/>
      <c r="H3401" s="91"/>
    </row>
    <row r="3402" spans="2:8">
      <c r="B3402" s="91"/>
      <c r="C3402" s="36"/>
      <c r="D3402" s="91"/>
      <c r="E3402" s="91"/>
      <c r="F3402" s="80"/>
      <c r="G3402" s="91"/>
      <c r="H3402" s="91"/>
    </row>
    <row r="3403" spans="2:8">
      <c r="B3403" s="91"/>
      <c r="C3403" s="36"/>
      <c r="D3403" s="91"/>
      <c r="E3403" s="91"/>
      <c r="F3403" s="80"/>
      <c r="G3403" s="91"/>
      <c r="H3403" s="91"/>
    </row>
    <row r="3404" spans="2:8">
      <c r="B3404" s="91"/>
      <c r="C3404" s="36"/>
      <c r="D3404" s="91"/>
      <c r="E3404" s="91"/>
      <c r="F3404" s="80"/>
      <c r="G3404" s="91"/>
      <c r="H3404" s="91"/>
    </row>
    <row r="3405" spans="2:8">
      <c r="B3405" s="91"/>
      <c r="C3405" s="36"/>
      <c r="D3405" s="91"/>
      <c r="E3405" s="91"/>
      <c r="F3405" s="80"/>
      <c r="G3405" s="91"/>
      <c r="H3405" s="91"/>
    </row>
    <row r="3406" spans="2:8">
      <c r="B3406" s="91"/>
      <c r="C3406" s="36"/>
      <c r="D3406" s="91"/>
      <c r="E3406" s="91"/>
      <c r="F3406" s="80"/>
      <c r="G3406" s="91"/>
      <c r="H3406" s="91"/>
    </row>
    <row r="3407" spans="2:8">
      <c r="B3407" s="91"/>
      <c r="C3407" s="36"/>
      <c r="D3407" s="91"/>
      <c r="E3407" s="91"/>
      <c r="F3407" s="80"/>
      <c r="G3407" s="91"/>
      <c r="H3407" s="91"/>
    </row>
    <row r="3408" spans="2:8">
      <c r="B3408" s="91"/>
      <c r="C3408" s="36"/>
      <c r="D3408" s="91"/>
      <c r="E3408" s="91"/>
      <c r="F3408" s="80"/>
      <c r="G3408" s="91"/>
      <c r="H3408" s="91"/>
    </row>
    <row r="3409" spans="2:8">
      <c r="B3409" s="91"/>
      <c r="C3409" s="36"/>
      <c r="D3409" s="91"/>
      <c r="E3409" s="91"/>
      <c r="F3409" s="80"/>
      <c r="G3409" s="91"/>
      <c r="H3409" s="91"/>
    </row>
    <row r="3410" spans="2:8">
      <c r="B3410" s="91"/>
      <c r="C3410" s="36"/>
      <c r="D3410" s="91"/>
      <c r="E3410" s="91"/>
      <c r="F3410" s="80"/>
      <c r="G3410" s="91"/>
      <c r="H3410" s="91"/>
    </row>
    <row r="3411" spans="2:8">
      <c r="B3411" s="91"/>
      <c r="C3411" s="36"/>
      <c r="D3411" s="91"/>
      <c r="E3411" s="91"/>
      <c r="F3411" s="80"/>
      <c r="G3411" s="91"/>
      <c r="H3411" s="91"/>
    </row>
    <row r="3412" spans="2:8">
      <c r="B3412" s="91"/>
      <c r="C3412" s="36"/>
      <c r="D3412" s="91"/>
      <c r="E3412" s="91"/>
      <c r="F3412" s="80"/>
      <c r="G3412" s="91"/>
      <c r="H3412" s="91"/>
    </row>
    <row r="3413" spans="2:8">
      <c r="B3413" s="91"/>
      <c r="C3413" s="36"/>
      <c r="D3413" s="91"/>
      <c r="E3413" s="91"/>
      <c r="F3413" s="80"/>
      <c r="G3413" s="91"/>
      <c r="H3413" s="91"/>
    </row>
    <row r="3414" spans="2:8">
      <c r="B3414" s="91"/>
      <c r="C3414" s="36"/>
      <c r="D3414" s="91"/>
      <c r="E3414" s="91"/>
      <c r="F3414" s="80"/>
      <c r="G3414" s="91"/>
      <c r="H3414" s="91"/>
    </row>
    <row r="3415" spans="2:8">
      <c r="B3415" s="91"/>
      <c r="C3415" s="36"/>
      <c r="D3415" s="91"/>
      <c r="E3415" s="91"/>
      <c r="F3415" s="80"/>
      <c r="G3415" s="91"/>
      <c r="H3415" s="91"/>
    </row>
    <row r="3416" spans="2:8">
      <c r="B3416" s="91"/>
      <c r="C3416" s="36"/>
      <c r="D3416" s="91"/>
      <c r="E3416" s="91"/>
      <c r="F3416" s="80"/>
      <c r="G3416" s="91"/>
      <c r="H3416" s="91"/>
    </row>
    <row r="3417" spans="2:8">
      <c r="B3417" s="91"/>
      <c r="C3417" s="36"/>
      <c r="D3417" s="91"/>
      <c r="E3417" s="91"/>
      <c r="F3417" s="80"/>
      <c r="G3417" s="91"/>
      <c r="H3417" s="91"/>
    </row>
    <row r="3418" spans="2:8">
      <c r="B3418" s="91"/>
      <c r="C3418" s="36"/>
      <c r="D3418" s="91"/>
      <c r="E3418" s="91"/>
      <c r="F3418" s="80"/>
      <c r="G3418" s="91"/>
      <c r="H3418" s="91"/>
    </row>
    <row r="3419" spans="2:8">
      <c r="B3419" s="91"/>
      <c r="C3419" s="36"/>
      <c r="D3419" s="91"/>
      <c r="E3419" s="91"/>
      <c r="F3419" s="80"/>
      <c r="G3419" s="91"/>
      <c r="H3419" s="91"/>
    </row>
    <row r="3420" spans="2:8">
      <c r="B3420" s="91"/>
      <c r="C3420" s="36"/>
      <c r="D3420" s="91"/>
      <c r="E3420" s="91"/>
      <c r="F3420" s="80"/>
      <c r="G3420" s="91"/>
      <c r="H3420" s="91"/>
    </row>
    <row r="3421" spans="2:8">
      <c r="B3421" s="91"/>
      <c r="C3421" s="36"/>
      <c r="D3421" s="91"/>
      <c r="E3421" s="91"/>
      <c r="F3421" s="80"/>
      <c r="G3421" s="91"/>
      <c r="H3421" s="91"/>
    </row>
    <row r="3422" spans="2:8">
      <c r="B3422" s="91"/>
      <c r="C3422" s="36"/>
      <c r="D3422" s="91"/>
      <c r="E3422" s="91"/>
      <c r="F3422" s="80"/>
      <c r="G3422" s="91"/>
      <c r="H3422" s="91"/>
    </row>
    <row r="3423" spans="2:8">
      <c r="B3423" s="91"/>
      <c r="C3423" s="36"/>
      <c r="D3423" s="91"/>
      <c r="E3423" s="91"/>
      <c r="F3423" s="80"/>
      <c r="G3423" s="91"/>
      <c r="H3423" s="91"/>
    </row>
    <row r="3424" spans="2:8">
      <c r="B3424" s="91"/>
      <c r="C3424" s="36"/>
      <c r="D3424" s="91"/>
      <c r="E3424" s="91"/>
      <c r="F3424" s="80"/>
      <c r="G3424" s="91"/>
      <c r="H3424" s="91"/>
    </row>
    <row r="3425" spans="2:8">
      <c r="B3425" s="91"/>
      <c r="C3425" s="36"/>
      <c r="D3425" s="91"/>
      <c r="E3425" s="91"/>
      <c r="F3425" s="80"/>
      <c r="G3425" s="91"/>
      <c r="H3425" s="91"/>
    </row>
    <row r="3426" spans="2:8">
      <c r="B3426" s="91"/>
      <c r="C3426" s="36"/>
      <c r="D3426" s="91"/>
      <c r="E3426" s="91"/>
      <c r="F3426" s="80"/>
      <c r="G3426" s="91"/>
      <c r="H3426" s="91"/>
    </row>
    <row r="3427" spans="2:8">
      <c r="B3427" s="91"/>
      <c r="C3427" s="36"/>
      <c r="D3427" s="91"/>
      <c r="E3427" s="91"/>
      <c r="F3427" s="80"/>
      <c r="G3427" s="91"/>
      <c r="H3427" s="91"/>
    </row>
    <row r="3428" spans="2:8">
      <c r="B3428" s="91"/>
      <c r="C3428" s="36"/>
      <c r="D3428" s="91"/>
      <c r="E3428" s="91"/>
      <c r="F3428" s="80"/>
      <c r="G3428" s="91"/>
      <c r="H3428" s="91"/>
    </row>
    <row r="3429" spans="2:8">
      <c r="B3429" s="91"/>
      <c r="C3429" s="36"/>
      <c r="D3429" s="91"/>
      <c r="E3429" s="91"/>
      <c r="F3429" s="80"/>
      <c r="G3429" s="91"/>
      <c r="H3429" s="91"/>
    </row>
    <row r="3430" spans="2:8">
      <c r="B3430" s="91"/>
      <c r="C3430" s="36"/>
      <c r="D3430" s="91"/>
      <c r="E3430" s="91"/>
      <c r="F3430" s="80"/>
      <c r="G3430" s="91"/>
      <c r="H3430" s="91"/>
    </row>
    <row r="3431" spans="2:8">
      <c r="B3431" s="91"/>
      <c r="C3431" s="36"/>
      <c r="D3431" s="91"/>
      <c r="E3431" s="91"/>
      <c r="F3431" s="80"/>
      <c r="G3431" s="91"/>
      <c r="H3431" s="91"/>
    </row>
    <row r="3432" spans="2:8">
      <c r="B3432" s="91"/>
      <c r="C3432" s="36"/>
      <c r="D3432" s="91"/>
      <c r="E3432" s="91"/>
      <c r="F3432" s="80"/>
      <c r="G3432" s="91"/>
      <c r="H3432" s="91"/>
    </row>
    <row r="3433" spans="2:8">
      <c r="B3433" s="91"/>
      <c r="C3433" s="36"/>
      <c r="D3433" s="91"/>
      <c r="E3433" s="91"/>
      <c r="F3433" s="80"/>
      <c r="G3433" s="91"/>
      <c r="H3433" s="91"/>
    </row>
    <row r="3434" spans="2:8">
      <c r="B3434" s="91"/>
      <c r="C3434" s="36"/>
      <c r="D3434" s="91"/>
      <c r="E3434" s="91"/>
      <c r="F3434" s="80"/>
      <c r="G3434" s="91"/>
      <c r="H3434" s="91"/>
    </row>
    <row r="3435" spans="2:8">
      <c r="B3435" s="91"/>
      <c r="C3435" s="36"/>
      <c r="D3435" s="91"/>
      <c r="E3435" s="91"/>
      <c r="F3435" s="80"/>
      <c r="G3435" s="91"/>
      <c r="H3435" s="91"/>
    </row>
    <row r="3436" spans="2:8">
      <c r="B3436" s="91"/>
      <c r="C3436" s="36"/>
      <c r="D3436" s="91"/>
      <c r="E3436" s="91"/>
      <c r="F3436" s="80"/>
      <c r="G3436" s="91"/>
      <c r="H3436" s="91"/>
    </row>
    <row r="3437" spans="2:8">
      <c r="B3437" s="91"/>
      <c r="C3437" s="36"/>
      <c r="D3437" s="91"/>
      <c r="E3437" s="91"/>
      <c r="F3437" s="80"/>
      <c r="G3437" s="91"/>
      <c r="H3437" s="91"/>
    </row>
    <row r="3438" spans="2:8">
      <c r="B3438" s="91"/>
      <c r="C3438" s="36"/>
      <c r="D3438" s="91"/>
      <c r="E3438" s="91"/>
      <c r="F3438" s="80"/>
      <c r="G3438" s="91"/>
      <c r="H3438" s="91"/>
    </row>
    <row r="3439" spans="2:8">
      <c r="B3439" s="91"/>
      <c r="C3439" s="36"/>
      <c r="D3439" s="91"/>
      <c r="E3439" s="91"/>
      <c r="F3439" s="80"/>
      <c r="G3439" s="91"/>
      <c r="H3439" s="91"/>
    </row>
    <row r="3440" spans="2:8">
      <c r="B3440" s="91"/>
      <c r="C3440" s="36"/>
      <c r="D3440" s="91"/>
      <c r="E3440" s="91"/>
      <c r="F3440" s="80"/>
      <c r="G3440" s="91"/>
      <c r="H3440" s="91"/>
    </row>
    <row r="3441" spans="2:8">
      <c r="B3441" s="91"/>
      <c r="C3441" s="36"/>
      <c r="D3441" s="91"/>
      <c r="E3441" s="91"/>
      <c r="F3441" s="80"/>
      <c r="G3441" s="91"/>
      <c r="H3441" s="91"/>
    </row>
    <row r="3442" spans="2:8">
      <c r="B3442" s="91"/>
      <c r="C3442" s="36"/>
      <c r="D3442" s="91"/>
      <c r="E3442" s="91"/>
      <c r="F3442" s="80"/>
      <c r="G3442" s="91"/>
      <c r="H3442" s="91"/>
    </row>
    <row r="3443" spans="2:8">
      <c r="B3443" s="91"/>
      <c r="C3443" s="36"/>
      <c r="D3443" s="91"/>
      <c r="E3443" s="91"/>
      <c r="F3443" s="80"/>
      <c r="G3443" s="91"/>
      <c r="H3443" s="91"/>
    </row>
    <row r="3444" spans="2:8">
      <c r="B3444" s="91"/>
      <c r="C3444" s="36"/>
      <c r="D3444" s="91"/>
      <c r="E3444" s="91"/>
      <c r="F3444" s="80"/>
      <c r="G3444" s="91"/>
      <c r="H3444" s="91"/>
    </row>
    <row r="3445" spans="2:8">
      <c r="B3445" s="91"/>
      <c r="C3445" s="36"/>
      <c r="D3445" s="91"/>
      <c r="E3445" s="91"/>
      <c r="F3445" s="80"/>
      <c r="G3445" s="91"/>
      <c r="H3445" s="91"/>
    </row>
    <row r="3446" spans="2:8">
      <c r="B3446" s="91"/>
      <c r="C3446" s="36"/>
      <c r="D3446" s="91"/>
      <c r="E3446" s="91"/>
      <c r="F3446" s="80"/>
      <c r="G3446" s="91"/>
      <c r="H3446" s="91"/>
    </row>
    <row r="3447" spans="2:8">
      <c r="B3447" s="91"/>
      <c r="C3447" s="36"/>
      <c r="D3447" s="91"/>
      <c r="E3447" s="91"/>
      <c r="F3447" s="80"/>
      <c r="G3447" s="91"/>
      <c r="H3447" s="91"/>
    </row>
    <row r="3448" spans="2:8">
      <c r="B3448" s="91"/>
      <c r="C3448" s="36"/>
      <c r="D3448" s="91"/>
      <c r="E3448" s="91"/>
      <c r="F3448" s="80"/>
      <c r="G3448" s="91"/>
      <c r="H3448" s="91"/>
    </row>
    <row r="3449" spans="2:8">
      <c r="B3449" s="91"/>
      <c r="C3449" s="36"/>
      <c r="D3449" s="91"/>
      <c r="E3449" s="91"/>
      <c r="F3449" s="80"/>
      <c r="G3449" s="91"/>
      <c r="H3449" s="91"/>
    </row>
    <row r="3450" spans="2:8">
      <c r="B3450" s="91"/>
      <c r="C3450" s="36"/>
      <c r="D3450" s="91"/>
      <c r="E3450" s="91"/>
      <c r="F3450" s="80"/>
      <c r="G3450" s="91"/>
      <c r="H3450" s="91"/>
    </row>
    <row r="3451" spans="2:8">
      <c r="B3451" s="91"/>
      <c r="C3451" s="36"/>
      <c r="D3451" s="91"/>
      <c r="E3451" s="91"/>
      <c r="F3451" s="80"/>
      <c r="G3451" s="91"/>
      <c r="H3451" s="91"/>
    </row>
    <row r="3452" spans="2:8">
      <c r="B3452" s="91"/>
      <c r="C3452" s="36"/>
      <c r="D3452" s="91"/>
      <c r="E3452" s="91"/>
      <c r="F3452" s="80"/>
      <c r="G3452" s="91"/>
      <c r="H3452" s="91"/>
    </row>
    <row r="3453" spans="2:8">
      <c r="B3453" s="91"/>
      <c r="C3453" s="36"/>
      <c r="D3453" s="91"/>
      <c r="E3453" s="91"/>
      <c r="F3453" s="80"/>
      <c r="G3453" s="91"/>
      <c r="H3453" s="91"/>
    </row>
    <row r="3454" spans="2:8">
      <c r="B3454" s="91"/>
      <c r="C3454" s="36"/>
      <c r="D3454" s="91"/>
      <c r="E3454" s="91"/>
      <c r="F3454" s="80"/>
      <c r="G3454" s="91"/>
      <c r="H3454" s="91"/>
    </row>
    <row r="3455" spans="2:8">
      <c r="B3455" s="91"/>
      <c r="C3455" s="36"/>
      <c r="D3455" s="91"/>
      <c r="E3455" s="91"/>
      <c r="F3455" s="80"/>
      <c r="G3455" s="91"/>
      <c r="H3455" s="91"/>
    </row>
    <row r="3456" spans="2:8">
      <c r="B3456" s="91"/>
      <c r="C3456" s="36"/>
      <c r="D3456" s="91"/>
      <c r="E3456" s="91"/>
      <c r="F3456" s="80"/>
      <c r="G3456" s="91"/>
      <c r="H3456" s="91"/>
    </row>
    <row r="3457" spans="2:8">
      <c r="B3457" s="91"/>
      <c r="C3457" s="36"/>
      <c r="D3457" s="91"/>
      <c r="E3457" s="91"/>
      <c r="F3457" s="80"/>
      <c r="G3457" s="91"/>
      <c r="H3457" s="91"/>
    </row>
    <row r="3458" spans="2:8">
      <c r="B3458" s="91"/>
      <c r="C3458" s="36"/>
      <c r="D3458" s="91"/>
      <c r="E3458" s="91"/>
      <c r="F3458" s="80"/>
      <c r="G3458" s="91"/>
      <c r="H3458" s="91"/>
    </row>
    <row r="3459" spans="2:8">
      <c r="B3459" s="91"/>
      <c r="C3459" s="36"/>
      <c r="D3459" s="91"/>
      <c r="E3459" s="91"/>
      <c r="F3459" s="80"/>
      <c r="G3459" s="91"/>
      <c r="H3459" s="91"/>
    </row>
    <row r="3460" spans="2:8">
      <c r="B3460" s="91"/>
      <c r="C3460" s="36"/>
      <c r="D3460" s="91"/>
      <c r="E3460" s="91"/>
      <c r="F3460" s="80"/>
      <c r="G3460" s="91"/>
      <c r="H3460" s="91"/>
    </row>
    <row r="3461" spans="2:8">
      <c r="B3461" s="91"/>
      <c r="C3461" s="36"/>
      <c r="D3461" s="91"/>
      <c r="E3461" s="91"/>
      <c r="F3461" s="80"/>
      <c r="G3461" s="91"/>
      <c r="H3461" s="91"/>
    </row>
    <row r="3462" spans="2:8">
      <c r="B3462" s="91"/>
      <c r="C3462" s="36"/>
      <c r="D3462" s="91"/>
      <c r="E3462" s="91"/>
      <c r="F3462" s="80"/>
      <c r="G3462" s="91"/>
      <c r="H3462" s="91"/>
    </row>
    <row r="3463" spans="2:8">
      <c r="B3463" s="91"/>
      <c r="C3463" s="36"/>
      <c r="D3463" s="91"/>
      <c r="E3463" s="91"/>
      <c r="F3463" s="80"/>
      <c r="G3463" s="91"/>
      <c r="H3463" s="91"/>
    </row>
    <row r="3464" spans="2:8">
      <c r="B3464" s="91"/>
      <c r="C3464" s="36"/>
      <c r="D3464" s="91"/>
      <c r="E3464" s="91"/>
      <c r="F3464" s="80"/>
      <c r="G3464" s="91"/>
      <c r="H3464" s="91"/>
    </row>
    <row r="3465" spans="2:8">
      <c r="B3465" s="91"/>
      <c r="C3465" s="36"/>
      <c r="D3465" s="91"/>
      <c r="E3465" s="91"/>
      <c r="F3465" s="80"/>
      <c r="G3465" s="91"/>
      <c r="H3465" s="91"/>
    </row>
    <row r="3466" spans="2:8">
      <c r="B3466" s="91"/>
      <c r="C3466" s="36"/>
      <c r="D3466" s="91"/>
      <c r="E3466" s="91"/>
      <c r="F3466" s="80"/>
      <c r="G3466" s="91"/>
      <c r="H3466" s="91"/>
    </row>
    <row r="3467" spans="2:8">
      <c r="B3467" s="91"/>
      <c r="C3467" s="36"/>
      <c r="D3467" s="91"/>
      <c r="E3467" s="91"/>
      <c r="F3467" s="80"/>
      <c r="G3467" s="91"/>
      <c r="H3467" s="91"/>
    </row>
    <row r="3468" spans="2:8">
      <c r="B3468" s="91"/>
      <c r="C3468" s="36"/>
      <c r="D3468" s="91"/>
      <c r="E3468" s="91"/>
      <c r="F3468" s="80"/>
      <c r="G3468" s="91"/>
      <c r="H3468" s="91"/>
    </row>
    <row r="3469" spans="2:8">
      <c r="B3469" s="91"/>
      <c r="C3469" s="36"/>
      <c r="D3469" s="91"/>
      <c r="E3469" s="91"/>
      <c r="F3469" s="80"/>
      <c r="G3469" s="91"/>
      <c r="H3469" s="91"/>
    </row>
    <row r="3470" spans="2:8">
      <c r="B3470" s="91"/>
      <c r="C3470" s="36"/>
      <c r="D3470" s="91"/>
      <c r="E3470" s="91"/>
      <c r="F3470" s="80"/>
      <c r="G3470" s="91"/>
      <c r="H3470" s="91"/>
    </row>
    <row r="3471" spans="2:8">
      <c r="B3471" s="91"/>
      <c r="C3471" s="36"/>
      <c r="D3471" s="91"/>
      <c r="E3471" s="91"/>
      <c r="F3471" s="80"/>
      <c r="G3471" s="91"/>
      <c r="H3471" s="91"/>
    </row>
    <row r="3472" spans="2:8">
      <c r="B3472" s="91"/>
      <c r="C3472" s="36"/>
      <c r="D3472" s="91"/>
      <c r="E3472" s="91"/>
      <c r="F3472" s="80"/>
      <c r="G3472" s="91"/>
      <c r="H3472" s="91"/>
    </row>
    <row r="3473" spans="2:8">
      <c r="B3473" s="91"/>
      <c r="C3473" s="36"/>
      <c r="D3473" s="91"/>
      <c r="E3473" s="91"/>
      <c r="F3473" s="80"/>
      <c r="G3473" s="91"/>
      <c r="H3473" s="91"/>
    </row>
    <row r="3474" spans="2:8">
      <c r="B3474" s="91"/>
      <c r="C3474" s="36"/>
      <c r="D3474" s="91"/>
      <c r="E3474" s="91"/>
      <c r="F3474" s="80"/>
      <c r="G3474" s="91"/>
      <c r="H3474" s="91"/>
    </row>
    <row r="3475" spans="2:8">
      <c r="B3475" s="91"/>
      <c r="C3475" s="36"/>
      <c r="D3475" s="91"/>
      <c r="E3475" s="91"/>
      <c r="F3475" s="80"/>
      <c r="G3475" s="91"/>
      <c r="H3475" s="91"/>
    </row>
    <row r="3476" spans="2:8">
      <c r="B3476" s="91"/>
      <c r="C3476" s="36"/>
      <c r="D3476" s="91"/>
      <c r="E3476" s="91"/>
      <c r="F3476" s="80"/>
      <c r="G3476" s="91"/>
      <c r="H3476" s="91"/>
    </row>
    <row r="3477" spans="2:8">
      <c r="B3477" s="91"/>
      <c r="C3477" s="36"/>
      <c r="D3477" s="91"/>
      <c r="E3477" s="91"/>
      <c r="F3477" s="80"/>
      <c r="G3477" s="91"/>
      <c r="H3477" s="91"/>
    </row>
    <row r="3478" spans="2:8">
      <c r="B3478" s="91"/>
      <c r="C3478" s="36"/>
      <c r="D3478" s="91"/>
      <c r="E3478" s="91"/>
      <c r="F3478" s="80"/>
      <c r="G3478" s="91"/>
      <c r="H3478" s="91"/>
    </row>
    <row r="3479" spans="2:8">
      <c r="B3479" s="91"/>
      <c r="C3479" s="36"/>
      <c r="D3479" s="91"/>
      <c r="E3479" s="91"/>
      <c r="F3479" s="80"/>
      <c r="G3479" s="91"/>
      <c r="H3479" s="91"/>
    </row>
    <row r="3480" spans="2:8">
      <c r="B3480" s="91"/>
      <c r="C3480" s="36"/>
      <c r="D3480" s="91"/>
      <c r="E3480" s="91"/>
      <c r="F3480" s="80"/>
      <c r="G3480" s="91"/>
      <c r="H3480" s="91"/>
    </row>
    <row r="3481" spans="2:8">
      <c r="B3481" s="91"/>
      <c r="C3481" s="36"/>
      <c r="D3481" s="91"/>
      <c r="E3481" s="91"/>
      <c r="F3481" s="80"/>
      <c r="G3481" s="91"/>
      <c r="H3481" s="91"/>
    </row>
    <row r="3482" spans="2:8">
      <c r="B3482" s="91"/>
      <c r="C3482" s="36"/>
      <c r="D3482" s="91"/>
      <c r="E3482" s="91"/>
      <c r="F3482" s="80"/>
      <c r="G3482" s="91"/>
      <c r="H3482" s="91"/>
    </row>
    <row r="3483" spans="2:8">
      <c r="B3483" s="91"/>
      <c r="C3483" s="36"/>
      <c r="D3483" s="91"/>
      <c r="E3483" s="91"/>
      <c r="F3483" s="80"/>
      <c r="G3483" s="91"/>
      <c r="H3483" s="91"/>
    </row>
    <row r="3484" spans="2:8">
      <c r="B3484" s="91"/>
      <c r="C3484" s="36"/>
      <c r="D3484" s="91"/>
      <c r="E3484" s="91"/>
      <c r="F3484" s="80"/>
      <c r="G3484" s="91"/>
      <c r="H3484" s="91"/>
    </row>
    <row r="3485" spans="2:8">
      <c r="B3485" s="91"/>
      <c r="C3485" s="36"/>
      <c r="D3485" s="91"/>
      <c r="E3485" s="91"/>
      <c r="F3485" s="80"/>
      <c r="G3485" s="91"/>
      <c r="H3485" s="91"/>
    </row>
    <row r="3486" spans="2:8">
      <c r="B3486" s="91"/>
      <c r="C3486" s="36"/>
      <c r="D3486" s="91"/>
      <c r="E3486" s="91"/>
      <c r="F3486" s="80"/>
      <c r="G3486" s="91"/>
      <c r="H3486" s="91"/>
    </row>
    <row r="3487" spans="2:8">
      <c r="B3487" s="91"/>
      <c r="C3487" s="36"/>
      <c r="D3487" s="91"/>
      <c r="E3487" s="91"/>
      <c r="F3487" s="80"/>
      <c r="G3487" s="91"/>
      <c r="H3487" s="91"/>
    </row>
    <row r="3488" spans="2:8">
      <c r="B3488" s="91"/>
      <c r="C3488" s="36"/>
      <c r="D3488" s="91"/>
      <c r="E3488" s="91"/>
      <c r="F3488" s="80"/>
      <c r="G3488" s="91"/>
      <c r="H3488" s="91"/>
    </row>
    <row r="3489" spans="2:8">
      <c r="B3489" s="91"/>
      <c r="C3489" s="36"/>
      <c r="D3489" s="91"/>
      <c r="E3489" s="91"/>
      <c r="F3489" s="80"/>
      <c r="G3489" s="91"/>
      <c r="H3489" s="91"/>
    </row>
    <row r="3490" spans="2:8">
      <c r="B3490" s="91"/>
      <c r="C3490" s="36"/>
      <c r="D3490" s="91"/>
      <c r="E3490" s="91"/>
      <c r="F3490" s="80"/>
      <c r="G3490" s="91"/>
      <c r="H3490" s="91"/>
    </row>
    <row r="3491" spans="2:8">
      <c r="B3491" s="91"/>
      <c r="C3491" s="36"/>
      <c r="D3491" s="91"/>
      <c r="E3491" s="91"/>
      <c r="F3491" s="80"/>
      <c r="G3491" s="91"/>
      <c r="H3491" s="91"/>
    </row>
    <row r="3492" spans="2:8">
      <c r="B3492" s="91"/>
      <c r="C3492" s="36"/>
      <c r="D3492" s="91"/>
      <c r="E3492" s="91"/>
      <c r="F3492" s="80"/>
      <c r="G3492" s="91"/>
      <c r="H3492" s="91"/>
    </row>
    <row r="3493" spans="2:8">
      <c r="B3493" s="91"/>
      <c r="C3493" s="36"/>
      <c r="D3493" s="91"/>
      <c r="E3493" s="91"/>
      <c r="F3493" s="80"/>
      <c r="G3493" s="91"/>
      <c r="H3493" s="91"/>
    </row>
    <row r="3494" spans="2:8">
      <c r="B3494" s="91"/>
      <c r="C3494" s="36"/>
      <c r="D3494" s="91"/>
      <c r="E3494" s="91"/>
      <c r="F3494" s="80"/>
      <c r="G3494" s="91"/>
      <c r="H3494" s="91"/>
    </row>
    <row r="3495" spans="2:8">
      <c r="B3495" s="91"/>
      <c r="C3495" s="36"/>
      <c r="D3495" s="91"/>
      <c r="E3495" s="91"/>
      <c r="F3495" s="80"/>
      <c r="G3495" s="91"/>
      <c r="H3495" s="91"/>
    </row>
    <row r="3496" spans="2:8">
      <c r="B3496" s="91"/>
      <c r="C3496" s="36"/>
      <c r="D3496" s="91"/>
      <c r="E3496" s="91"/>
      <c r="F3496" s="80"/>
      <c r="G3496" s="91"/>
      <c r="H3496" s="91"/>
    </row>
    <row r="3497" spans="2:8">
      <c r="B3497" s="91"/>
      <c r="C3497" s="36"/>
      <c r="D3497" s="91"/>
      <c r="E3497" s="91"/>
      <c r="F3497" s="80"/>
      <c r="G3497" s="91"/>
      <c r="H3497" s="91"/>
    </row>
    <row r="3498" spans="2:8">
      <c r="B3498" s="91"/>
      <c r="C3498" s="36"/>
      <c r="D3498" s="91"/>
      <c r="E3498" s="91"/>
      <c r="F3498" s="80"/>
      <c r="G3498" s="91"/>
      <c r="H3498" s="91"/>
    </row>
    <row r="3499" spans="2:8">
      <c r="B3499" s="91"/>
      <c r="C3499" s="36"/>
      <c r="D3499" s="91"/>
      <c r="E3499" s="91"/>
      <c r="F3499" s="80"/>
      <c r="G3499" s="91"/>
      <c r="H3499" s="91"/>
    </row>
    <row r="3500" spans="2:8">
      <c r="B3500" s="91"/>
      <c r="C3500" s="36"/>
      <c r="D3500" s="91"/>
      <c r="E3500" s="91"/>
      <c r="F3500" s="80"/>
      <c r="G3500" s="91"/>
      <c r="H3500" s="91"/>
    </row>
    <row r="3501" spans="2:8">
      <c r="B3501" s="91"/>
      <c r="C3501" s="36"/>
      <c r="D3501" s="91"/>
      <c r="E3501" s="91"/>
      <c r="F3501" s="80"/>
      <c r="G3501" s="91"/>
      <c r="H3501" s="91"/>
    </row>
    <row r="3502" spans="2:8">
      <c r="B3502" s="91"/>
      <c r="C3502" s="36"/>
      <c r="D3502" s="91"/>
      <c r="E3502" s="91"/>
      <c r="F3502" s="80"/>
      <c r="G3502" s="91"/>
      <c r="H3502" s="91"/>
    </row>
    <row r="3503" spans="2:8">
      <c r="B3503" s="91"/>
      <c r="C3503" s="36"/>
      <c r="D3503" s="91"/>
      <c r="E3503" s="91"/>
      <c r="F3503" s="80"/>
      <c r="G3503" s="91"/>
      <c r="H3503" s="91"/>
    </row>
    <row r="3504" spans="2:8">
      <c r="B3504" s="91"/>
      <c r="C3504" s="36"/>
      <c r="D3504" s="91"/>
      <c r="E3504" s="91"/>
      <c r="F3504" s="80"/>
      <c r="G3504" s="91"/>
      <c r="H3504" s="91"/>
    </row>
    <row r="3505" spans="2:8">
      <c r="B3505" s="91"/>
      <c r="C3505" s="36"/>
      <c r="D3505" s="91"/>
      <c r="E3505" s="91"/>
      <c r="F3505" s="80"/>
      <c r="G3505" s="91"/>
      <c r="H3505" s="91"/>
    </row>
    <row r="3506" spans="2:8">
      <c r="B3506" s="91"/>
      <c r="C3506" s="36"/>
      <c r="D3506" s="91"/>
      <c r="E3506" s="91"/>
      <c r="F3506" s="80"/>
      <c r="G3506" s="91"/>
      <c r="H3506" s="91"/>
    </row>
    <row r="3507" spans="2:8">
      <c r="B3507" s="91"/>
      <c r="C3507" s="36"/>
      <c r="D3507" s="91"/>
      <c r="E3507" s="91"/>
      <c r="F3507" s="80"/>
      <c r="G3507" s="91"/>
      <c r="H3507" s="91"/>
    </row>
    <row r="3508" spans="2:8">
      <c r="B3508" s="91"/>
      <c r="C3508" s="36"/>
      <c r="D3508" s="91"/>
      <c r="E3508" s="91"/>
      <c r="F3508" s="80"/>
      <c r="G3508" s="91"/>
      <c r="H3508" s="91"/>
    </row>
    <row r="3509" spans="2:8">
      <c r="B3509" s="91"/>
      <c r="C3509" s="36"/>
      <c r="D3509" s="91"/>
      <c r="E3509" s="91"/>
      <c r="F3509" s="80"/>
      <c r="G3509" s="91"/>
      <c r="H3509" s="91"/>
    </row>
    <row r="3510" spans="2:8">
      <c r="B3510" s="91"/>
      <c r="C3510" s="36"/>
      <c r="D3510" s="91"/>
      <c r="E3510" s="91"/>
      <c r="F3510" s="80"/>
      <c r="G3510" s="91"/>
      <c r="H3510" s="91"/>
    </row>
    <row r="3511" spans="2:8">
      <c r="B3511" s="91"/>
      <c r="C3511" s="36"/>
      <c r="D3511" s="91"/>
      <c r="E3511" s="91"/>
      <c r="F3511" s="80"/>
      <c r="G3511" s="91"/>
      <c r="H3511" s="91"/>
    </row>
    <row r="3512" spans="2:8">
      <c r="B3512" s="91"/>
      <c r="C3512" s="36"/>
      <c r="D3512" s="91"/>
      <c r="E3512" s="91"/>
      <c r="F3512" s="80"/>
      <c r="G3512" s="91"/>
      <c r="H3512" s="91"/>
    </row>
    <row r="3513" spans="2:8">
      <c r="B3513" s="91"/>
      <c r="C3513" s="36"/>
      <c r="D3513" s="91"/>
      <c r="E3513" s="91"/>
      <c r="F3513" s="80"/>
      <c r="G3513" s="91"/>
      <c r="H3513" s="91"/>
    </row>
    <row r="3514" spans="2:8">
      <c r="B3514" s="91"/>
      <c r="C3514" s="36"/>
      <c r="D3514" s="91"/>
      <c r="E3514" s="91"/>
      <c r="F3514" s="80"/>
      <c r="G3514" s="91"/>
      <c r="H3514" s="91"/>
    </row>
    <row r="3515" spans="2:8">
      <c r="B3515" s="91"/>
      <c r="C3515" s="36"/>
      <c r="D3515" s="91"/>
      <c r="E3515" s="91"/>
      <c r="F3515" s="80"/>
      <c r="G3515" s="91"/>
      <c r="H3515" s="91"/>
    </row>
    <row r="3516" spans="2:8">
      <c r="B3516" s="91"/>
      <c r="C3516" s="36"/>
      <c r="D3516" s="91"/>
      <c r="E3516" s="91"/>
      <c r="F3516" s="80"/>
      <c r="G3516" s="91"/>
      <c r="H3516" s="91"/>
    </row>
    <row r="3517" spans="2:8">
      <c r="B3517" s="91"/>
      <c r="C3517" s="36"/>
      <c r="D3517" s="91"/>
      <c r="E3517" s="91"/>
      <c r="F3517" s="80"/>
      <c r="G3517" s="91"/>
      <c r="H3517" s="91"/>
    </row>
    <row r="3518" spans="2:8">
      <c r="B3518" s="91"/>
      <c r="C3518" s="36"/>
      <c r="D3518" s="91"/>
      <c r="E3518" s="91"/>
      <c r="F3518" s="80"/>
      <c r="G3518" s="91"/>
      <c r="H3518" s="91"/>
    </row>
    <row r="3519" spans="2:8">
      <c r="B3519" s="91"/>
      <c r="C3519" s="36"/>
      <c r="D3519" s="91"/>
      <c r="E3519" s="91"/>
      <c r="F3519" s="80"/>
      <c r="G3519" s="91"/>
      <c r="H3519" s="91"/>
    </row>
    <row r="3520" spans="2:8">
      <c r="B3520" s="91"/>
      <c r="C3520" s="36"/>
      <c r="D3520" s="91"/>
      <c r="E3520" s="91"/>
      <c r="F3520" s="80"/>
      <c r="G3520" s="91"/>
      <c r="H3520" s="91"/>
    </row>
    <row r="3521" spans="2:8">
      <c r="B3521" s="91"/>
      <c r="C3521" s="36"/>
      <c r="D3521" s="91"/>
      <c r="E3521" s="91"/>
      <c r="F3521" s="80"/>
      <c r="G3521" s="91"/>
      <c r="H3521" s="91"/>
    </row>
    <row r="3522" spans="2:8">
      <c r="B3522" s="91"/>
      <c r="C3522" s="36"/>
      <c r="D3522" s="91"/>
      <c r="E3522" s="91"/>
      <c r="F3522" s="80"/>
      <c r="G3522" s="91"/>
      <c r="H3522" s="91"/>
    </row>
    <row r="3523" spans="2:8">
      <c r="B3523" s="91"/>
      <c r="C3523" s="36"/>
      <c r="D3523" s="91"/>
      <c r="E3523" s="91"/>
      <c r="F3523" s="80"/>
      <c r="G3523" s="91"/>
      <c r="H3523" s="91"/>
    </row>
    <row r="3524" spans="2:8">
      <c r="B3524" s="91"/>
      <c r="C3524" s="36"/>
      <c r="D3524" s="91"/>
      <c r="E3524" s="91"/>
      <c r="F3524" s="80"/>
      <c r="G3524" s="91"/>
      <c r="H3524" s="91"/>
    </row>
    <row r="3525" spans="2:8">
      <c r="B3525" s="91"/>
      <c r="C3525" s="36"/>
      <c r="D3525" s="91"/>
      <c r="E3525" s="91"/>
      <c r="F3525" s="80"/>
      <c r="G3525" s="91"/>
      <c r="H3525" s="91"/>
    </row>
    <row r="3526" spans="2:8">
      <c r="B3526" s="91"/>
      <c r="C3526" s="36"/>
      <c r="D3526" s="91"/>
      <c r="E3526" s="91"/>
      <c r="F3526" s="80"/>
      <c r="G3526" s="91"/>
      <c r="H3526" s="91"/>
    </row>
    <row r="3527" spans="2:8">
      <c r="B3527" s="91"/>
      <c r="C3527" s="36"/>
      <c r="D3527" s="91"/>
      <c r="E3527" s="91"/>
      <c r="F3527" s="80"/>
      <c r="G3527" s="91"/>
      <c r="H3527" s="91"/>
    </row>
    <row r="3528" spans="2:8">
      <c r="B3528" s="91"/>
      <c r="C3528" s="36"/>
      <c r="D3528" s="91"/>
      <c r="E3528" s="91"/>
      <c r="F3528" s="80"/>
      <c r="G3528" s="91"/>
      <c r="H3528" s="91"/>
    </row>
    <row r="3529" spans="2:8">
      <c r="B3529" s="91"/>
      <c r="C3529" s="36"/>
      <c r="D3529" s="91"/>
      <c r="E3529" s="91"/>
      <c r="F3529" s="80"/>
      <c r="G3529" s="91"/>
      <c r="H3529" s="91"/>
    </row>
    <row r="3530" spans="2:8">
      <c r="B3530" s="91"/>
      <c r="C3530" s="36"/>
      <c r="D3530" s="91"/>
      <c r="E3530" s="91"/>
      <c r="F3530" s="80"/>
      <c r="G3530" s="91"/>
      <c r="H3530" s="91"/>
    </row>
    <row r="3531" spans="2:8">
      <c r="B3531" s="91"/>
      <c r="C3531" s="36"/>
      <c r="D3531" s="91"/>
      <c r="E3531" s="91"/>
      <c r="F3531" s="80"/>
      <c r="G3531" s="91"/>
      <c r="H3531" s="91"/>
    </row>
    <row r="3532" spans="2:8">
      <c r="B3532" s="91"/>
      <c r="C3532" s="36"/>
      <c r="D3532" s="91"/>
      <c r="E3532" s="91"/>
      <c r="F3532" s="80"/>
      <c r="G3532" s="91"/>
      <c r="H3532" s="91"/>
    </row>
    <row r="3533" spans="2:8">
      <c r="B3533" s="91"/>
      <c r="C3533" s="36"/>
      <c r="D3533" s="91"/>
      <c r="E3533" s="91"/>
      <c r="F3533" s="80"/>
      <c r="G3533" s="91"/>
      <c r="H3533" s="91"/>
    </row>
    <row r="3534" spans="2:8">
      <c r="B3534" s="91"/>
      <c r="C3534" s="36"/>
      <c r="D3534" s="91"/>
      <c r="E3534" s="91"/>
      <c r="F3534" s="80"/>
      <c r="G3534" s="91"/>
      <c r="H3534" s="91"/>
    </row>
    <row r="3535" spans="2:8">
      <c r="B3535" s="91"/>
      <c r="C3535" s="36"/>
      <c r="D3535" s="91"/>
      <c r="E3535" s="91"/>
      <c r="F3535" s="80"/>
      <c r="G3535" s="91"/>
      <c r="H3535" s="91"/>
    </row>
    <row r="3536" spans="2:8">
      <c r="B3536" s="91"/>
      <c r="C3536" s="36"/>
      <c r="D3536" s="91"/>
      <c r="E3536" s="91"/>
      <c r="F3536" s="80"/>
      <c r="G3536" s="91"/>
      <c r="H3536" s="91"/>
    </row>
    <row r="3537" spans="2:8">
      <c r="B3537" s="91"/>
      <c r="C3537" s="36"/>
      <c r="D3537" s="91"/>
      <c r="E3537" s="91"/>
      <c r="F3537" s="80"/>
      <c r="G3537" s="91"/>
      <c r="H3537" s="91"/>
    </row>
    <row r="3538" spans="2:8">
      <c r="B3538" s="91"/>
      <c r="C3538" s="36"/>
      <c r="D3538" s="91"/>
      <c r="E3538" s="91"/>
      <c r="F3538" s="80"/>
      <c r="G3538" s="91"/>
      <c r="H3538" s="91"/>
    </row>
    <row r="3539" spans="2:8">
      <c r="B3539" s="91"/>
      <c r="C3539" s="36"/>
      <c r="D3539" s="91"/>
      <c r="E3539" s="91"/>
      <c r="F3539" s="80"/>
      <c r="G3539" s="91"/>
      <c r="H3539" s="91"/>
    </row>
    <row r="3540" spans="2:8">
      <c r="B3540" s="91"/>
      <c r="C3540" s="36"/>
      <c r="D3540" s="91"/>
      <c r="E3540" s="91"/>
      <c r="F3540" s="80"/>
      <c r="G3540" s="91"/>
      <c r="H3540" s="91"/>
    </row>
    <row r="3541" spans="2:8">
      <c r="B3541" s="91"/>
      <c r="C3541" s="36"/>
      <c r="D3541" s="91"/>
      <c r="E3541" s="91"/>
      <c r="F3541" s="80"/>
      <c r="G3541" s="91"/>
      <c r="H3541" s="91"/>
    </row>
    <row r="3542" spans="2:8">
      <c r="B3542" s="91"/>
      <c r="C3542" s="36"/>
      <c r="D3542" s="91"/>
      <c r="E3542" s="91"/>
      <c r="F3542" s="80"/>
      <c r="G3542" s="91"/>
      <c r="H3542" s="91"/>
    </row>
    <row r="3543" spans="2:8">
      <c r="B3543" s="91"/>
      <c r="C3543" s="36"/>
      <c r="D3543" s="91"/>
      <c r="E3543" s="91"/>
      <c r="F3543" s="80"/>
      <c r="G3543" s="91"/>
      <c r="H3543" s="91"/>
    </row>
    <row r="3544" spans="2:8">
      <c r="B3544" s="91"/>
      <c r="C3544" s="36"/>
      <c r="D3544" s="91"/>
      <c r="E3544" s="91"/>
      <c r="F3544" s="80"/>
      <c r="G3544" s="91"/>
      <c r="H3544" s="91"/>
    </row>
    <row r="3545" spans="2:8">
      <c r="B3545" s="91"/>
      <c r="C3545" s="36"/>
      <c r="D3545" s="91"/>
      <c r="E3545" s="91"/>
      <c r="F3545" s="80"/>
      <c r="G3545" s="91"/>
      <c r="H3545" s="91"/>
    </row>
  </sheetData>
  <sheetProtection selectLockedCells="1"/>
  <mergeCells count="7">
    <mergeCell ref="O1:P1"/>
    <mergeCell ref="B1:B2"/>
    <mergeCell ref="C1:E1"/>
    <mergeCell ref="F1:F2"/>
    <mergeCell ref="K1:K2"/>
    <mergeCell ref="L1:M1"/>
    <mergeCell ref="N1:N2"/>
  </mergeCells>
  <pageMargins left="0.75" right="0.75" top="1" bottom="1" header="0" footer="0"/>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A1:AEB93"/>
  <sheetViews>
    <sheetView showGridLines="0" workbookViewId="0">
      <pane xSplit="1" ySplit="3" topLeftCell="B34" activePane="bottomRight" state="frozenSplit"/>
      <selection activeCell="C45" sqref="C45"/>
      <selection pane="topRight" activeCell="C45" sqref="C45"/>
      <selection pane="bottomLeft" activeCell="C45" sqref="C45"/>
      <selection pane="bottomRight" activeCell="E51" sqref="E51:E69"/>
    </sheetView>
  </sheetViews>
  <sheetFormatPr defaultColWidth="11.453125" defaultRowHeight="13"/>
  <cols>
    <col min="1" max="2" width="14.453125" style="29" customWidth="1"/>
    <col min="3" max="3" width="12.54296875" style="32" bestFit="1" customWidth="1"/>
    <col min="4" max="4" width="12.54296875" style="33" bestFit="1" customWidth="1"/>
    <col min="5" max="5" width="12.54296875" style="33" customWidth="1"/>
    <col min="6" max="6" width="11.81640625" style="33" bestFit="1" customWidth="1"/>
    <col min="7" max="7" width="15.1796875" style="31" customWidth="1"/>
    <col min="9" max="9" width="12.26953125" bestFit="1" customWidth="1"/>
    <col min="13" max="804" width="0" hidden="1" customWidth="1"/>
  </cols>
  <sheetData>
    <row r="1" spans="1:808" ht="30.75" customHeight="1" thickBot="1">
      <c r="H1" t="s">
        <v>109</v>
      </c>
      <c r="P1" t="s">
        <v>108</v>
      </c>
      <c r="ADZ1" s="43"/>
    </row>
    <row r="2" spans="1:808" ht="14" thickTop="1" thickBot="1">
      <c r="A2" s="4"/>
      <c r="B2" s="661"/>
      <c r="C2" s="657"/>
      <c r="D2" s="657"/>
      <c r="E2" s="658"/>
      <c r="F2" s="658"/>
      <c r="G2" s="658"/>
      <c r="H2" s="661"/>
      <c r="I2" s="657"/>
      <c r="J2" s="657"/>
      <c r="K2" s="658"/>
      <c r="L2" s="658"/>
      <c r="M2" s="658"/>
    </row>
    <row r="3" spans="1:808" ht="14" thickTop="1" thickBot="1">
      <c r="A3" s="7" t="s">
        <v>14</v>
      </c>
      <c r="B3" s="9" t="s">
        <v>16</v>
      </c>
      <c r="C3" s="10" t="s">
        <v>13</v>
      </c>
      <c r="D3" s="5" t="s">
        <v>17</v>
      </c>
      <c r="E3" s="8" t="s">
        <v>15</v>
      </c>
      <c r="F3" s="5" t="s">
        <v>18</v>
      </c>
      <c r="G3" s="11" t="s">
        <v>19</v>
      </c>
      <c r="H3" s="10" t="s">
        <v>13</v>
      </c>
      <c r="I3" s="5" t="s">
        <v>17</v>
      </c>
      <c r="J3" s="8" t="s">
        <v>15</v>
      </c>
      <c r="K3" s="5" t="s">
        <v>18</v>
      </c>
      <c r="L3" s="11" t="s">
        <v>19</v>
      </c>
      <c r="M3" s="11"/>
      <c r="AEA3" s="43" t="s">
        <v>13</v>
      </c>
      <c r="AEB3" s="43" t="s">
        <v>15</v>
      </c>
    </row>
    <row r="4" spans="1:808" ht="14" thickTop="1" thickBot="1">
      <c r="A4" s="15">
        <v>1</v>
      </c>
      <c r="B4" s="17">
        <f>IF(F4="","",('choose m.p.'!D3-'choose m.p.'!B3)/'choose m.p.'!B3)</f>
        <v>0</v>
      </c>
      <c r="C4" s="18">
        <f>IF(F4="","",'choose m.p.'!D3)</f>
        <v>50</v>
      </c>
      <c r="D4" s="19"/>
      <c r="E4" s="17">
        <f>IF(F4="","",'choose m.p.'!G3/100)</f>
        <v>0.02</v>
      </c>
      <c r="F4" s="25">
        <f>IF('choose m.p.'!I3="","",'choose m.p.'!I3/100)</f>
        <v>0.02</v>
      </c>
      <c r="G4" s="17">
        <f>IF(F4="","",'choose m.p.'!H3/100)</f>
        <v>0</v>
      </c>
      <c r="H4" s="18">
        <f>IF(K4="","",'choose m.p. (endogenous policy)'!D3)</f>
        <v>50</v>
      </c>
      <c r="I4" s="18"/>
      <c r="J4" s="17">
        <f>IF(K4="","",'choose m.p. (endogenous policy)'!G3/100)</f>
        <v>0.02</v>
      </c>
      <c r="K4" s="17">
        <f>IF('choose m.p.'!I3="","",'choose m.p. (endogenous policy)'!I3/100)</f>
        <v>0.04</v>
      </c>
      <c r="L4" s="25">
        <f>IF(K4="","",'choose m.p. (endogenous policy)'!H3/100)</f>
        <v>0.02</v>
      </c>
      <c r="M4" s="17"/>
      <c r="AEA4">
        <f>IF(E4="","",IF(E4&gt;100,0,C4))</f>
        <v>50</v>
      </c>
      <c r="AEB4">
        <f>IF(E4="","",IF(E4&gt;100,0,E4))</f>
        <v>0.02</v>
      </c>
    </row>
    <row r="5" spans="1:808" ht="14" thickTop="1" thickBot="1">
      <c r="A5" s="15">
        <v>2</v>
      </c>
      <c r="B5" s="17">
        <f>IF(F5="","",('choose m.p.'!D4-'choose m.p.'!B4)/'choose m.p.'!B4)</f>
        <v>0.03</v>
      </c>
      <c r="C5" s="18">
        <f>IF(F5="","",'choose m.p.'!D4)</f>
        <v>51.5</v>
      </c>
      <c r="D5" s="24">
        <f>IF(F5="","",C5/C4-1)</f>
        <v>3.0000000000000027E-2</v>
      </c>
      <c r="E5" s="17">
        <f>IF(F5="","",'choose m.p.'!G4/100)</f>
        <v>3.5000000000000003E-2</v>
      </c>
      <c r="F5" s="25">
        <f>IF('choose m.p.'!I4="","",'choose m.p.'!I4/100)</f>
        <v>0.02</v>
      </c>
      <c r="G5" s="17">
        <f>IF(F5="","",'choose m.p.'!H4/100)</f>
        <v>-1.4999999999999999E-2</v>
      </c>
      <c r="H5" s="18">
        <f>IF(K5="","",'choose m.p. (endogenous policy)'!D4)</f>
        <v>50</v>
      </c>
      <c r="I5" s="173">
        <f>IF(F5="","",H5/H4-1)</f>
        <v>0</v>
      </c>
      <c r="J5" s="17">
        <f>IF(K5="","",'choose m.p. (endogenous policy)'!G4/100)</f>
        <v>0.02</v>
      </c>
      <c r="K5" s="17">
        <f>IF('choose m.p.'!I4="","",'choose m.p. (endogenous policy)'!I4/100)</f>
        <v>0.04</v>
      </c>
      <c r="L5" s="25">
        <f>IF(K5="","",'choose m.p. (endogenous policy)'!H4/100)</f>
        <v>0.02</v>
      </c>
      <c r="M5" s="17"/>
      <c r="AEA5">
        <f t="shared" ref="AEA5:AEA23" si="0">IF(E5="","",IF(E5&gt;100,0,C5))</f>
        <v>51.5</v>
      </c>
      <c r="AEB5">
        <f t="shared" ref="AEB5:AEB23" si="1">IF(E5="","",IF(E5&gt;100,0,E5))</f>
        <v>3.5000000000000003E-2</v>
      </c>
    </row>
    <row r="6" spans="1:808" ht="14" thickTop="1" thickBot="1">
      <c r="A6" s="15">
        <v>3</v>
      </c>
      <c r="B6" s="17">
        <f>IF(F6="","",('choose m.p.'!D5-'choose m.p.'!B5)/'choose m.p.'!B5)</f>
        <v>5.2499999999999998E-2</v>
      </c>
      <c r="C6" s="18">
        <f>IF(F6="","",'choose m.p.'!D5)</f>
        <v>52.625</v>
      </c>
      <c r="D6" s="24">
        <f t="shared" ref="D6:D23" si="2">IF(F6="","",C6/C5-1)</f>
        <v>2.1844660194174859E-2</v>
      </c>
      <c r="E6" s="17">
        <f>IF(F6="","",'choose m.p.'!G5/100)</f>
        <v>6.1249999999999999E-2</v>
      </c>
      <c r="F6" s="25">
        <f>IF('choose m.p.'!I5="","",'choose m.p.'!I5/100)</f>
        <v>0.02</v>
      </c>
      <c r="G6" s="17">
        <f>IF(F6="","",'choose m.p.'!H5/100)</f>
        <v>-4.1250000000000002E-2</v>
      </c>
      <c r="H6" s="18">
        <f>IF(K6="","",'choose m.p. (endogenous policy)'!D5)</f>
        <v>50</v>
      </c>
      <c r="I6" s="173">
        <f t="shared" ref="I6:I23" si="3">IF(F6="","",H6/H5-1)</f>
        <v>0</v>
      </c>
      <c r="J6" s="17">
        <f>IF(K6="","",'choose m.p. (endogenous policy)'!G5/100)</f>
        <v>0.02</v>
      </c>
      <c r="K6" s="17">
        <f>IF('choose m.p.'!I5="","",'choose m.p. (endogenous policy)'!I5/100)</f>
        <v>0.04</v>
      </c>
      <c r="L6" s="25">
        <f>IF(K6="","",'choose m.p. (endogenous policy)'!H5/100)</f>
        <v>0.02</v>
      </c>
      <c r="M6" s="17"/>
      <c r="AEA6">
        <f t="shared" si="0"/>
        <v>52.625</v>
      </c>
      <c r="AEB6">
        <f t="shared" si="1"/>
        <v>6.1249999999999999E-2</v>
      </c>
    </row>
    <row r="7" spans="1:808" ht="14" thickTop="1" thickBot="1">
      <c r="A7" s="15">
        <v>4</v>
      </c>
      <c r="B7" s="17">
        <f>IF(F7="","",('choose m.p.'!D6-'choose m.p.'!B6)/'choose m.p.'!B6)</f>
        <v>9.1874999999999998E-2</v>
      </c>
      <c r="C7" s="18">
        <f>IF(F7="","",'choose m.p.'!D6)</f>
        <v>54.59375</v>
      </c>
      <c r="D7" s="24">
        <f t="shared" si="2"/>
        <v>3.7410926365795794E-2</v>
      </c>
      <c r="E7" s="17">
        <f>IF(F7="","",'choose m.p.'!G6/100)</f>
        <v>0.1071875</v>
      </c>
      <c r="F7" s="25">
        <f>IF('choose m.p.'!I6="","",'choose m.p.'!I6/100)</f>
        <v>0.02</v>
      </c>
      <c r="G7" s="17">
        <f>IF(F7="","",'choose m.p.'!H6/100)</f>
        <v>-8.7187500000000001E-2</v>
      </c>
      <c r="H7" s="18">
        <f>IF(K7="","",'choose m.p. (endogenous policy)'!D6)</f>
        <v>50</v>
      </c>
      <c r="I7" s="173">
        <f t="shared" si="3"/>
        <v>0</v>
      </c>
      <c r="J7" s="17">
        <f>IF(K7="","",'choose m.p. (endogenous policy)'!G6/100)</f>
        <v>0.02</v>
      </c>
      <c r="K7" s="17">
        <f>IF('choose m.p.'!I6="","",'choose m.p. (endogenous policy)'!I6/100)</f>
        <v>0.04</v>
      </c>
      <c r="L7" s="25">
        <f>IF(K7="","",'choose m.p. (endogenous policy)'!H6/100)</f>
        <v>0.02</v>
      </c>
      <c r="M7" s="17"/>
      <c r="AEA7">
        <f t="shared" si="0"/>
        <v>54.59375</v>
      </c>
      <c r="AEB7">
        <f t="shared" si="1"/>
        <v>0.1071875</v>
      </c>
    </row>
    <row r="8" spans="1:808" ht="14" thickTop="1" thickBot="1">
      <c r="A8" s="15">
        <v>5</v>
      </c>
      <c r="B8" s="17">
        <f>IF(F8="","",('choose m.p.'!D7-'choose m.p.'!B7)/'choose m.p.'!B7)</f>
        <v>0.13594350961538465</v>
      </c>
      <c r="C8" s="18">
        <f>IF(F8="","",'choose m.p.'!D7)</f>
        <v>59.069062500000001</v>
      </c>
      <c r="D8" s="24">
        <f t="shared" si="2"/>
        <v>8.1974813966800175E-2</v>
      </c>
      <c r="E8" s="17">
        <f>IF(F8="","",'choose m.p.'!G7/100)</f>
        <v>0.177878125</v>
      </c>
      <c r="F8" s="25">
        <f>IF('choose m.p.'!I7="","",'choose m.p.'!I7/100)</f>
        <v>0.02</v>
      </c>
      <c r="G8" s="17">
        <f>IF(F8="","",'choose m.p.'!H7/100)</f>
        <v>-0.15787812500000001</v>
      </c>
      <c r="H8" s="18">
        <f>IF(K8="","",'choose m.p. (endogenous policy)'!D7)</f>
        <v>50</v>
      </c>
      <c r="I8" s="173">
        <f t="shared" si="3"/>
        <v>0</v>
      </c>
      <c r="J8" s="17">
        <f>IF(K8="","",'choose m.p. (endogenous policy)'!G7/100)</f>
        <v>5.0000000000000001E-3</v>
      </c>
      <c r="K8" s="17">
        <f>IF('choose m.p.'!I7="","",'choose m.p. (endogenous policy)'!I7/100)</f>
        <v>0</v>
      </c>
      <c r="L8" s="25">
        <f>IF(K8="","",'choose m.p. (endogenous policy)'!H7/100)</f>
        <v>-5.0000000000000001E-3</v>
      </c>
      <c r="M8" s="17"/>
      <c r="AEA8">
        <f t="shared" si="0"/>
        <v>59.069062500000001</v>
      </c>
      <c r="AEB8">
        <f t="shared" si="1"/>
        <v>0.177878125</v>
      </c>
    </row>
    <row r="9" spans="1:808" ht="14" thickTop="1" thickBot="1">
      <c r="A9" s="15">
        <v>6</v>
      </c>
      <c r="B9" s="17">
        <f>IF(F9="","",('choose m.p.'!D8-'choose m.p.'!B8)/'choose m.p.'!B8)</f>
        <v>0.2668171875</v>
      </c>
      <c r="C9" s="18">
        <f>IF(F9="","",'choose m.p.'!D8)</f>
        <v>63.340859375000001</v>
      </c>
      <c r="D9" s="24">
        <f t="shared" si="2"/>
        <v>7.2318684167367531E-2</v>
      </c>
      <c r="E9" s="17">
        <f>IF(F9="","",'choose m.p.'!G8/100)</f>
        <v>0.31128671875000002</v>
      </c>
      <c r="F9" s="25">
        <f>IF('choose m.p.'!I8="","",'choose m.p.'!I8/100)</f>
        <v>0.02</v>
      </c>
      <c r="G9" s="17">
        <f>IF(F9="","",'choose m.p.'!H8/100)</f>
        <v>-0.29128671875000001</v>
      </c>
      <c r="H9" s="18">
        <f>IF(K9="","",'choose m.p. (endogenous policy)'!D8)</f>
        <v>51.875</v>
      </c>
      <c r="I9" s="173">
        <f t="shared" si="3"/>
        <v>3.7500000000000089E-2</v>
      </c>
      <c r="J9" s="17">
        <f>IF(K9="","",'choose m.p. (endogenous policy)'!G8/100)</f>
        <v>2.375E-2</v>
      </c>
      <c r="K9" s="17">
        <f>IF('choose m.p.'!I8="","",'choose m.p. (endogenous policy)'!I8/100)</f>
        <v>4.697373796582472E-2</v>
      </c>
      <c r="L9" s="25">
        <f>IF(K9="","",'choose m.p. (endogenous policy)'!H8/100)</f>
        <v>2.3223737965824717E-2</v>
      </c>
      <c r="M9" s="17"/>
      <c r="AEA9">
        <f t="shared" si="0"/>
        <v>63.340859375000001</v>
      </c>
      <c r="AEB9">
        <f t="shared" si="1"/>
        <v>0.31128671875000002</v>
      </c>
    </row>
    <row r="10" spans="1:808" ht="14" thickTop="1" thickBot="1">
      <c r="A10" s="15">
        <v>7</v>
      </c>
      <c r="B10" s="17">
        <f>IF(F10="","",('choose m.p.'!D9-'choose m.p.'!B9)/'choose m.p.'!B9)</f>
        <v>0.46693007812500015</v>
      </c>
      <c r="C10" s="18">
        <f>IF(F10="","",'choose m.p.'!D9)</f>
        <v>73.346503906250007</v>
      </c>
      <c r="D10" s="24">
        <f t="shared" si="2"/>
        <v>0.15796508967478795</v>
      </c>
      <c r="E10" s="17">
        <f>IF(F10="","",'choose m.p.'!G9/100)</f>
        <v>0.54475175781250007</v>
      </c>
      <c r="F10" s="25">
        <f>IF('choose m.p.'!I9="","",'choose m.p.'!I9/100)</f>
        <v>0.02</v>
      </c>
      <c r="G10" s="17">
        <f>IF(F10="","",'choose m.p.'!H9/100)</f>
        <v>-0.52475175781250005</v>
      </c>
      <c r="H10" s="18">
        <f>IF(K10="","",'choose m.p. (endogenous policy)'!D9)</f>
        <v>49.758219652563149</v>
      </c>
      <c r="I10" s="173">
        <f t="shared" si="3"/>
        <v>-4.0805404287939329E-2</v>
      </c>
      <c r="J10" s="17">
        <f>IF(K10="","",'choose m.p. (endogenous policy)'!G9/100)</f>
        <v>2.1332196525631487E-2</v>
      </c>
      <c r="K10" s="17">
        <f>IF('choose m.p.'!I9="","",'choose m.p. (endogenous policy)'!I9/100)</f>
        <v>4.2477437196996294E-2</v>
      </c>
      <c r="L10" s="25">
        <f>IF(K10="","",'choose m.p. (endogenous policy)'!H9/100)</f>
        <v>2.1145240671364807E-2</v>
      </c>
      <c r="M10" s="17"/>
      <c r="AEA10">
        <f t="shared" si="0"/>
        <v>73.346503906250007</v>
      </c>
      <c r="AEB10">
        <f t="shared" si="1"/>
        <v>0.54475175781250007</v>
      </c>
    </row>
    <row r="11" spans="1:808" ht="14" thickTop="1" thickBot="1">
      <c r="A11" s="15">
        <v>8</v>
      </c>
      <c r="B11" s="17">
        <f>IF(F11="","",('choose m.p.'!D10-'choose m.p.'!B10)/'choose m.p.'!B10)</f>
        <v>0.81712763671874999</v>
      </c>
      <c r="C11" s="18">
        <f>IF(F11="","",'choose m.p.'!D10)</f>
        <v>90.856381835937498</v>
      </c>
      <c r="D11" s="24">
        <f t="shared" si="2"/>
        <v>0.23872818740029178</v>
      </c>
      <c r="E11" s="17">
        <f>IF(F11="","",'choose m.p.'!G10/100)</f>
        <v>0.95331557617187512</v>
      </c>
      <c r="F11" s="25">
        <f>IF('choose m.p.'!I10="","",'choose m.p.'!I10/100)</f>
        <v>0.02</v>
      </c>
      <c r="G11" s="17">
        <f>IF(F11="","",'choose m.p.'!H10/100)</f>
        <v>-0.93331557617187511</v>
      </c>
      <c r="H11" s="18">
        <f>IF(K11="","",'choose m.p. (endogenous policy)'!D10)</f>
        <v>49.914106949647639</v>
      </c>
      <c r="I11" s="173">
        <f t="shared" si="3"/>
        <v>3.1328953924190106E-3</v>
      </c>
      <c r="J11" s="17">
        <f>IF(K11="","",'choose m.p. (endogenous policy)'!G10/100)</f>
        <v>2.0473266022107878E-2</v>
      </c>
      <c r="K11" s="17">
        <f>IF('choose m.p.'!I10="","",'choose m.p. (endogenous policy)'!I10/100)</f>
        <v>4.088011552701562E-2</v>
      </c>
      <c r="L11" s="25">
        <f>IF(K11="","",'choose m.p. (endogenous policy)'!H10/100)</f>
        <v>2.0406849504907738E-2</v>
      </c>
      <c r="M11" s="17"/>
      <c r="AEA11">
        <f t="shared" si="0"/>
        <v>90.856381835937498</v>
      </c>
      <c r="AEB11">
        <f t="shared" si="1"/>
        <v>0.95331557617187512</v>
      </c>
    </row>
    <row r="12" spans="1:808" ht="14" thickTop="1" thickBot="1">
      <c r="A12" s="15">
        <v>9</v>
      </c>
      <c r="B12" s="17" t="str">
        <f>IF(F12="","",('choose m.p.'!D11-'choose m.p.'!B11)/'choose m.p.'!B11)</f>
        <v/>
      </c>
      <c r="C12" s="18" t="str">
        <f>IF(F12="","",'choose m.p.'!D11)</f>
        <v/>
      </c>
      <c r="D12" s="24" t="str">
        <f t="shared" si="2"/>
        <v/>
      </c>
      <c r="E12" s="17" t="str">
        <f>IF(F12="","",'choose m.p.'!G11/100)</f>
        <v/>
      </c>
      <c r="F12" s="25" t="str">
        <f>IF('choose m.p.'!I11="","",'choose m.p.'!I11/100)</f>
        <v/>
      </c>
      <c r="G12" s="17" t="str">
        <f>IF(F12="","",'choose m.p.'!H11/100)</f>
        <v/>
      </c>
      <c r="H12" s="18" t="str">
        <f>IF(K12="","",'choose m.p. (endogenous policy)'!D11)</f>
        <v/>
      </c>
      <c r="I12" s="173" t="str">
        <f t="shared" si="3"/>
        <v/>
      </c>
      <c r="J12" s="17" t="str">
        <f>IF(K12="","",'choose m.p. (endogenous policy)'!G11/100)</f>
        <v/>
      </c>
      <c r="K12" s="17" t="str">
        <f>IF('choose m.p.'!I11="","",'choose m.p. (endogenous policy)'!I11/100)</f>
        <v/>
      </c>
      <c r="L12" s="25" t="str">
        <f>IF(K12="","",'choose m.p. (endogenous policy)'!H11/100)</f>
        <v/>
      </c>
      <c r="M12" s="17"/>
      <c r="AEA12" t="str">
        <f t="shared" si="0"/>
        <v/>
      </c>
      <c r="AEB12" t="str">
        <f t="shared" si="1"/>
        <v/>
      </c>
    </row>
    <row r="13" spans="1:808" ht="14" thickTop="1" thickBot="1">
      <c r="A13" s="15">
        <v>10</v>
      </c>
      <c r="B13" s="17" t="str">
        <f>IF(F13="","",('choose m.p.'!D12-'choose m.p.'!B12)/'choose m.p.'!B12)</f>
        <v/>
      </c>
      <c r="C13" s="18" t="str">
        <f>IF(F13="","",'choose m.p.'!D12)</f>
        <v/>
      </c>
      <c r="D13" s="24" t="str">
        <f t="shared" si="2"/>
        <v/>
      </c>
      <c r="E13" s="17" t="str">
        <f>IF(F13="","",'choose m.p.'!G12/100)</f>
        <v/>
      </c>
      <c r="F13" s="25" t="str">
        <f>IF('choose m.p.'!I12="","",'choose m.p.'!I12/100)</f>
        <v/>
      </c>
      <c r="G13" s="17" t="str">
        <f>IF(F13="","",'choose m.p.'!H12/100)</f>
        <v/>
      </c>
      <c r="H13" s="18" t="str">
        <f>IF(K13="","",'choose m.p. (endogenous policy)'!D12)</f>
        <v/>
      </c>
      <c r="I13" s="173" t="str">
        <f t="shared" si="3"/>
        <v/>
      </c>
      <c r="J13" s="17" t="str">
        <f>IF(K13="","",'choose m.p. (endogenous policy)'!G12/100)</f>
        <v/>
      </c>
      <c r="K13" s="17" t="str">
        <f>IF('choose m.p.'!I12="","",'choose m.p. (endogenous policy)'!I12/100)</f>
        <v/>
      </c>
      <c r="L13" s="25" t="str">
        <f>IF(K13="","",'choose m.p. (endogenous policy)'!H12/100)</f>
        <v/>
      </c>
      <c r="M13" s="17"/>
      <c r="AEA13" t="str">
        <f t="shared" si="0"/>
        <v/>
      </c>
      <c r="AEB13" t="str">
        <f t="shared" si="1"/>
        <v/>
      </c>
    </row>
    <row r="14" spans="1:808" ht="14" thickTop="1" thickBot="1">
      <c r="A14" s="15">
        <v>11</v>
      </c>
      <c r="B14" s="17" t="str">
        <f>IF(F14="","",('choose m.p.'!D13-'choose m.p.'!B13)/'choose m.p.'!B13)</f>
        <v/>
      </c>
      <c r="C14" s="18" t="str">
        <f>IF(F14="","",'choose m.p.'!D13)</f>
        <v/>
      </c>
      <c r="D14" s="24" t="str">
        <f t="shared" si="2"/>
        <v/>
      </c>
      <c r="E14" s="17" t="str">
        <f>IF(F14="","",'choose m.p.'!G13/100)</f>
        <v/>
      </c>
      <c r="F14" s="25" t="str">
        <f>IF('choose m.p.'!I13="","",'choose m.p.'!I13/100)</f>
        <v/>
      </c>
      <c r="G14" s="17" t="str">
        <f>IF(F14="","",'choose m.p.'!H13/100)</f>
        <v/>
      </c>
      <c r="H14" s="18" t="str">
        <f>IF(K14="","",'choose m.p. (endogenous policy)'!D13)</f>
        <v/>
      </c>
      <c r="I14" s="173" t="str">
        <f t="shared" si="3"/>
        <v/>
      </c>
      <c r="J14" s="17" t="str">
        <f>IF(K14="","",'choose m.p. (endogenous policy)'!G13/100)</f>
        <v/>
      </c>
      <c r="K14" s="17" t="str">
        <f>IF('choose m.p.'!I13="","",'choose m.p. (endogenous policy)'!I13/100)</f>
        <v/>
      </c>
      <c r="L14" s="25" t="str">
        <f>IF(K14="","",'choose m.p. (endogenous policy)'!H13/100)</f>
        <v/>
      </c>
      <c r="M14" s="17"/>
      <c r="AEA14" t="str">
        <f t="shared" si="0"/>
        <v/>
      </c>
      <c r="AEB14" t="str">
        <f t="shared" si="1"/>
        <v/>
      </c>
    </row>
    <row r="15" spans="1:808" ht="14" thickTop="1" thickBot="1">
      <c r="A15" s="15">
        <v>12</v>
      </c>
      <c r="B15" s="17" t="str">
        <f>IF(F15="","",('choose m.p.'!D14-'choose m.p.'!B14)/'choose m.p.'!B14)</f>
        <v/>
      </c>
      <c r="C15" s="18" t="str">
        <f>IF(F15="","",'choose m.p.'!D14)</f>
        <v/>
      </c>
      <c r="D15" s="24" t="str">
        <f t="shared" si="2"/>
        <v/>
      </c>
      <c r="E15" s="17" t="str">
        <f>IF(F15="","",'choose m.p.'!G14/100)</f>
        <v/>
      </c>
      <c r="F15" s="25" t="str">
        <f>IF('choose m.p.'!I14="","",'choose m.p.'!I14/100)</f>
        <v/>
      </c>
      <c r="G15" s="17" t="str">
        <f>IF(F15="","",'choose m.p.'!H14/100)</f>
        <v/>
      </c>
      <c r="H15" s="18" t="str">
        <f>IF(K15="","",'choose m.p. (endogenous policy)'!D14)</f>
        <v/>
      </c>
      <c r="I15" s="173" t="str">
        <f t="shared" si="3"/>
        <v/>
      </c>
      <c r="J15" s="17" t="str">
        <f>IF(K15="","",'choose m.p. (endogenous policy)'!G14/100)</f>
        <v/>
      </c>
      <c r="K15" s="17" t="str">
        <f>IF('choose m.p.'!I14="","",'choose m.p. (endogenous policy)'!I14/100)</f>
        <v/>
      </c>
      <c r="L15" s="25" t="str">
        <f>IF(K15="","",'choose m.p. (endogenous policy)'!H14/100)</f>
        <v/>
      </c>
      <c r="M15" s="17"/>
      <c r="AEA15" t="str">
        <f t="shared" si="0"/>
        <v/>
      </c>
      <c r="AEB15" t="str">
        <f t="shared" si="1"/>
        <v/>
      </c>
    </row>
    <row r="16" spans="1:808" ht="14" thickTop="1" thickBot="1">
      <c r="A16" s="15">
        <v>13</v>
      </c>
      <c r="B16" s="17" t="str">
        <f>IF(F16="","",('choose m.p.'!D15-'choose m.p.'!B15)/'choose m.p.'!B15)</f>
        <v/>
      </c>
      <c r="C16" s="18" t="str">
        <f>IF(F16="","",'choose m.p.'!D15)</f>
        <v/>
      </c>
      <c r="D16" s="24" t="str">
        <f t="shared" si="2"/>
        <v/>
      </c>
      <c r="E16" s="17" t="str">
        <f>IF(F16="","",'choose m.p.'!G15/100)</f>
        <v/>
      </c>
      <c r="F16" s="25" t="str">
        <f>IF('choose m.p.'!I15="","",'choose m.p.'!I15/100)</f>
        <v/>
      </c>
      <c r="G16" s="17" t="str">
        <f>IF(F16="","",'choose m.p.'!H15/100)</f>
        <v/>
      </c>
      <c r="H16" s="18" t="str">
        <f>IF(K16="","",'choose m.p. (endogenous policy)'!D15)</f>
        <v/>
      </c>
      <c r="I16" s="173" t="str">
        <f t="shared" si="3"/>
        <v/>
      </c>
      <c r="J16" s="17" t="str">
        <f>IF(K16="","",'choose m.p. (endogenous policy)'!G15/100)</f>
        <v/>
      </c>
      <c r="K16" s="17" t="str">
        <f>IF('choose m.p.'!I15="","",'choose m.p. (endogenous policy)'!I15/100)</f>
        <v/>
      </c>
      <c r="L16" s="25" t="str">
        <f>IF(K16="","",'choose m.p. (endogenous policy)'!H15/100)</f>
        <v/>
      </c>
      <c r="M16" s="17"/>
      <c r="AEA16" t="str">
        <f t="shared" si="0"/>
        <v/>
      </c>
      <c r="AEB16" t="str">
        <f t="shared" si="1"/>
        <v/>
      </c>
    </row>
    <row r="17" spans="1:808" ht="14" thickTop="1" thickBot="1">
      <c r="A17" s="15">
        <v>14</v>
      </c>
      <c r="B17" s="17" t="str">
        <f>IF(F17="","",('choose m.p.'!D16-'choose m.p.'!B16)/'choose m.p.'!B16)</f>
        <v/>
      </c>
      <c r="C17" s="18" t="str">
        <f>IF(F17="","",'choose m.p.'!D16)</f>
        <v/>
      </c>
      <c r="D17" s="24" t="str">
        <f t="shared" si="2"/>
        <v/>
      </c>
      <c r="E17" s="17" t="str">
        <f>IF(F17="","",'choose m.p.'!G16/100)</f>
        <v/>
      </c>
      <c r="F17" s="25" t="str">
        <f>IF('choose m.p.'!I16="","",'choose m.p.'!I16/100)</f>
        <v/>
      </c>
      <c r="G17" s="17" t="str">
        <f>IF(F17="","",'choose m.p.'!H16/100)</f>
        <v/>
      </c>
      <c r="H17" s="18" t="str">
        <f>IF(K17="","",'choose m.p. (endogenous policy)'!D16)</f>
        <v/>
      </c>
      <c r="I17" s="173" t="str">
        <f t="shared" si="3"/>
        <v/>
      </c>
      <c r="J17" s="17" t="str">
        <f>IF(K17="","",'choose m.p. (endogenous policy)'!G16/100)</f>
        <v/>
      </c>
      <c r="K17" s="17" t="str">
        <f>IF('choose m.p.'!I16="","",'choose m.p. (endogenous policy)'!I16/100)</f>
        <v/>
      </c>
      <c r="L17" s="25" t="str">
        <f>IF(K17="","",'choose m.p. (endogenous policy)'!H16/100)</f>
        <v/>
      </c>
      <c r="M17" s="17"/>
      <c r="AEA17" t="str">
        <f t="shared" si="0"/>
        <v/>
      </c>
      <c r="AEB17" t="str">
        <f t="shared" si="1"/>
        <v/>
      </c>
    </row>
    <row r="18" spans="1:808" ht="14" thickTop="1" thickBot="1">
      <c r="A18" s="15">
        <v>15</v>
      </c>
      <c r="B18" s="17" t="str">
        <f>IF(F18="","",('choose m.p.'!D17-'choose m.p.'!B17)/'choose m.p.'!B17)</f>
        <v/>
      </c>
      <c r="C18" s="18" t="str">
        <f>IF(F18="","",'choose m.p.'!D17)</f>
        <v/>
      </c>
      <c r="D18" s="24" t="str">
        <f t="shared" si="2"/>
        <v/>
      </c>
      <c r="E18" s="17" t="str">
        <f>IF(F18="","",'choose m.p.'!G17/100)</f>
        <v/>
      </c>
      <c r="F18" s="25" t="str">
        <f>IF('choose m.p.'!I17="","",'choose m.p.'!I17/100)</f>
        <v/>
      </c>
      <c r="G18" s="17" t="str">
        <f>IF(F18="","",'choose m.p.'!H17/100)</f>
        <v/>
      </c>
      <c r="H18" s="18" t="str">
        <f>IF(K18="","",'choose m.p. (endogenous policy)'!D17)</f>
        <v/>
      </c>
      <c r="I18" s="173" t="str">
        <f t="shared" si="3"/>
        <v/>
      </c>
      <c r="J18" s="17" t="str">
        <f>IF(K18="","",'choose m.p. (endogenous policy)'!G17/100)</f>
        <v/>
      </c>
      <c r="K18" s="17" t="str">
        <f>IF('choose m.p.'!I17="","",'choose m.p. (endogenous policy)'!I17/100)</f>
        <v/>
      </c>
      <c r="L18" s="25" t="str">
        <f>IF(K18="","",'choose m.p. (endogenous policy)'!H17/100)</f>
        <v/>
      </c>
      <c r="M18" s="17"/>
      <c r="AEA18" t="str">
        <f t="shared" si="0"/>
        <v/>
      </c>
      <c r="AEB18" t="str">
        <f t="shared" si="1"/>
        <v/>
      </c>
    </row>
    <row r="19" spans="1:808" ht="14" thickTop="1" thickBot="1">
      <c r="A19" s="15">
        <v>16</v>
      </c>
      <c r="B19" s="17" t="str">
        <f>IF(F19="","",('choose m.p.'!D18-'choose m.p.'!B18)/'choose m.p.'!B18)</f>
        <v/>
      </c>
      <c r="C19" s="18" t="str">
        <f>IF(F19="","",'choose m.p.'!D18)</f>
        <v/>
      </c>
      <c r="D19" s="24" t="str">
        <f t="shared" si="2"/>
        <v/>
      </c>
      <c r="E19" s="17" t="str">
        <f>IF(F19="","",'choose m.p.'!G18/100)</f>
        <v/>
      </c>
      <c r="F19" s="25" t="str">
        <f>IF('choose m.p.'!I18="","",'choose m.p.'!I18/100)</f>
        <v/>
      </c>
      <c r="G19" s="17" t="str">
        <f>IF(F19="","",'choose m.p.'!H18/100)</f>
        <v/>
      </c>
      <c r="H19" s="18" t="str">
        <f>IF(K19="","",'choose m.p. (endogenous policy)'!D18)</f>
        <v/>
      </c>
      <c r="I19" s="173" t="str">
        <f t="shared" si="3"/>
        <v/>
      </c>
      <c r="J19" s="17" t="str">
        <f>IF(K19="","",'choose m.p. (endogenous policy)'!G18/100)</f>
        <v/>
      </c>
      <c r="K19" s="17" t="str">
        <f>IF('choose m.p.'!I18="","",'choose m.p. (endogenous policy)'!I18/100)</f>
        <v/>
      </c>
      <c r="L19" s="25" t="str">
        <f>IF(K19="","",'choose m.p. (endogenous policy)'!H18/100)</f>
        <v/>
      </c>
      <c r="M19" s="17"/>
      <c r="AEA19" t="str">
        <f>IF(E19="","",IF(E19&gt;100,0,C19))</f>
        <v/>
      </c>
      <c r="AEB19" t="str">
        <f t="shared" si="1"/>
        <v/>
      </c>
    </row>
    <row r="20" spans="1:808" ht="14" thickTop="1" thickBot="1">
      <c r="A20" s="15">
        <v>17</v>
      </c>
      <c r="B20" s="17" t="str">
        <f>IF(F20="","",('choose m.p.'!D19-'choose m.p.'!B19)/'choose m.p.'!B19)</f>
        <v/>
      </c>
      <c r="C20" s="18" t="str">
        <f>IF(F20="","",'choose m.p.'!D19)</f>
        <v/>
      </c>
      <c r="D20" s="24" t="str">
        <f t="shared" si="2"/>
        <v/>
      </c>
      <c r="E20" s="17" t="str">
        <f>IF(F20="","",'choose m.p.'!G19/100)</f>
        <v/>
      </c>
      <c r="F20" s="25" t="str">
        <f>IF('choose m.p.'!I19="","",'choose m.p.'!I19/100)</f>
        <v/>
      </c>
      <c r="G20" s="17" t="str">
        <f>IF(F20="","",'choose m.p.'!H19/100)</f>
        <v/>
      </c>
      <c r="H20" s="18" t="str">
        <f>IF(K20="","",'choose m.p. (endogenous policy)'!D19)</f>
        <v/>
      </c>
      <c r="I20" s="173" t="str">
        <f t="shared" si="3"/>
        <v/>
      </c>
      <c r="J20" s="17" t="str">
        <f>IF(K20="","",'choose m.p. (endogenous policy)'!G19/100)</f>
        <v/>
      </c>
      <c r="K20" s="17" t="str">
        <f>IF('choose m.p.'!I19="","",'choose m.p. (endogenous policy)'!I19/100)</f>
        <v/>
      </c>
      <c r="L20" s="25" t="str">
        <f>IF(K20="","",'choose m.p. (endogenous policy)'!H19/100)</f>
        <v/>
      </c>
      <c r="M20" s="17"/>
      <c r="AEA20" t="str">
        <f t="shared" si="0"/>
        <v/>
      </c>
      <c r="AEB20" t="str">
        <f t="shared" si="1"/>
        <v/>
      </c>
    </row>
    <row r="21" spans="1:808" ht="14" thickTop="1" thickBot="1">
      <c r="A21" s="15">
        <v>18</v>
      </c>
      <c r="B21" s="17" t="str">
        <f>IF(F21="","",('choose m.p.'!D20-'choose m.p.'!B20)/'choose m.p.'!B20)</f>
        <v/>
      </c>
      <c r="C21" s="18" t="str">
        <f>IF(F21="","",'choose m.p.'!D20)</f>
        <v/>
      </c>
      <c r="D21" s="24" t="str">
        <f t="shared" si="2"/>
        <v/>
      </c>
      <c r="E21" s="17" t="str">
        <f>IF(F21="","",'choose m.p.'!G20/100)</f>
        <v/>
      </c>
      <c r="F21" s="25" t="str">
        <f>IF('choose m.p.'!I20="","",'choose m.p.'!I20/100)</f>
        <v/>
      </c>
      <c r="G21" s="17" t="str">
        <f>IF(F21="","",'choose m.p.'!H20/100)</f>
        <v/>
      </c>
      <c r="H21" s="18" t="str">
        <f>IF(K21="","",'choose m.p. (endogenous policy)'!D20)</f>
        <v/>
      </c>
      <c r="I21" s="173" t="str">
        <f t="shared" si="3"/>
        <v/>
      </c>
      <c r="J21" s="17" t="str">
        <f>IF(K21="","",'choose m.p. (endogenous policy)'!G20/100)</f>
        <v/>
      </c>
      <c r="K21" s="17" t="str">
        <f>IF('choose m.p.'!I20="","",'choose m.p. (endogenous policy)'!I20/100)</f>
        <v/>
      </c>
      <c r="L21" s="25" t="str">
        <f>IF(K21="","",'choose m.p. (endogenous policy)'!H20/100)</f>
        <v/>
      </c>
      <c r="M21" s="17"/>
      <c r="AEA21" t="str">
        <f t="shared" si="0"/>
        <v/>
      </c>
      <c r="AEB21" t="str">
        <f t="shared" si="1"/>
        <v/>
      </c>
    </row>
    <row r="22" spans="1:808" ht="14" thickTop="1" thickBot="1">
      <c r="A22" s="15">
        <v>19</v>
      </c>
      <c r="B22" s="17" t="str">
        <f>IF(F22="","",('choose m.p.'!D21-'choose m.p.'!B21)/'choose m.p.'!B21)</f>
        <v/>
      </c>
      <c r="C22" s="18" t="str">
        <f>IF(F22="","",'choose m.p.'!D21)</f>
        <v/>
      </c>
      <c r="D22" s="24" t="str">
        <f t="shared" si="2"/>
        <v/>
      </c>
      <c r="E22" s="17" t="str">
        <f>IF(F22="","",'choose m.p.'!G21/100)</f>
        <v/>
      </c>
      <c r="F22" s="25" t="str">
        <f>IF('choose m.p.'!I21="","",'choose m.p.'!I21/100)</f>
        <v/>
      </c>
      <c r="G22" s="17" t="str">
        <f>IF(F22="","",'choose m.p.'!H21/100)</f>
        <v/>
      </c>
      <c r="H22" s="18" t="str">
        <f>IF(K22="","",'choose m.p. (endogenous policy)'!D21)</f>
        <v/>
      </c>
      <c r="I22" s="173" t="str">
        <f t="shared" si="3"/>
        <v/>
      </c>
      <c r="J22" s="17" t="str">
        <f>IF(K22="","",'choose m.p. (endogenous policy)'!G21/100)</f>
        <v/>
      </c>
      <c r="K22" s="17" t="str">
        <f>IF('choose m.p.'!I21="","",'choose m.p. (endogenous policy)'!I21/100)</f>
        <v/>
      </c>
      <c r="L22" s="25" t="str">
        <f>IF(K22="","",'choose m.p. (endogenous policy)'!H21/100)</f>
        <v/>
      </c>
      <c r="M22" s="17"/>
      <c r="AEA22" t="str">
        <f t="shared" si="0"/>
        <v/>
      </c>
      <c r="AEB22" t="str">
        <f t="shared" si="1"/>
        <v/>
      </c>
    </row>
    <row r="23" spans="1:808" ht="14" thickTop="1" thickBot="1">
      <c r="A23" s="15">
        <v>20</v>
      </c>
      <c r="B23" s="17" t="str">
        <f>IF(F23="","",('choose m.p.'!D22-'choose m.p.'!B22)/'choose m.p.'!B22)</f>
        <v/>
      </c>
      <c r="C23" s="18" t="str">
        <f>IF(F23="","",'choose m.p.'!D22)</f>
        <v/>
      </c>
      <c r="D23" s="24" t="str">
        <f t="shared" si="2"/>
        <v/>
      </c>
      <c r="E23" s="17" t="str">
        <f>IF(F23="","",'choose m.p.'!G22/100)</f>
        <v/>
      </c>
      <c r="F23" s="25" t="str">
        <f>IF('choose m.p.'!I22="","",'choose m.p.'!I22/100)</f>
        <v/>
      </c>
      <c r="G23" s="17" t="str">
        <f>IF(F23="","",'choose m.p.'!H22/100)</f>
        <v/>
      </c>
      <c r="H23" s="18" t="str">
        <f>IF(K23="","",'choose m.p. (endogenous policy)'!D22)</f>
        <v/>
      </c>
      <c r="I23" s="173" t="str">
        <f t="shared" si="3"/>
        <v/>
      </c>
      <c r="J23" s="17" t="str">
        <f>IF(K23="","",'choose m.p. (endogenous policy)'!G22/100)</f>
        <v/>
      </c>
      <c r="K23" s="17" t="str">
        <f>IF('choose m.p.'!I22="","",'choose m.p. (endogenous policy)'!I22/100)</f>
        <v/>
      </c>
      <c r="L23" s="25" t="str">
        <f>IF(K23="","",'choose m.p. (endogenous policy)'!H22/100)</f>
        <v/>
      </c>
      <c r="M23" s="17"/>
      <c r="AEA23" t="str">
        <f t="shared" si="0"/>
        <v/>
      </c>
      <c r="AEB23" t="str">
        <f t="shared" si="1"/>
        <v/>
      </c>
    </row>
    <row r="24" spans="1:808" ht="13.5" thickTop="1">
      <c r="E24" s="171"/>
      <c r="F24" s="172"/>
    </row>
    <row r="25" spans="1:808">
      <c r="C25" s="329">
        <f>SUM(C26:C44)</f>
        <v>93.331557617187514</v>
      </c>
      <c r="D25" s="330" t="s">
        <v>199</v>
      </c>
      <c r="E25" s="331">
        <f>SUM(E26:E44)</f>
        <v>205.06696777343751</v>
      </c>
      <c r="F25" s="332"/>
      <c r="H25" s="334">
        <f>SUM(H26:H44)</f>
        <v>4.7326602210787883E-2</v>
      </c>
      <c r="I25" s="335"/>
      <c r="J25" s="336">
        <f>SUM(J27:J44)</f>
        <v>-0.94445374522606329</v>
      </c>
      <c r="K25" s="335"/>
      <c r="L25" s="335"/>
    </row>
    <row r="26" spans="1:808">
      <c r="C26" s="317">
        <f>IF(E4="","",(AEA4-'choose m.p.'!B3))</f>
        <v>0</v>
      </c>
      <c r="D26" s="32">
        <f>IF('choose m.p.'!L3="",IF('choose m.p.'!M3="",'beta estimation(inputs)'!C26,""),"")</f>
        <v>0</v>
      </c>
      <c r="E26" s="33">
        <f>IF(E4="","",(AEB4*100-'input own m.p.'!$K$16)*'input own m.p.'!$K$10)</f>
        <v>0</v>
      </c>
      <c r="F26" s="321">
        <f>IF('choose m.p.'!L3="",IF('choose m.p.'!M3="",'beta estimation(inputs)'!E26,""),"")</f>
        <v>0</v>
      </c>
      <c r="H26" s="335">
        <f>IF(E4="","",('choose m.p. (endogenous policy)'!D3-'choose m.p. (endogenous policy)'!B3))</f>
        <v>0</v>
      </c>
      <c r="I26" s="335">
        <f>IF('choose m.p.'!L3="",IF('choose m.p.'!M3="",'beta estimation(inputs)'!H26,""),"")</f>
        <v>0</v>
      </c>
      <c r="J26" s="336">
        <f>IF(E4="","",(J4*100-'input own m.p.'!$K$16))</f>
        <v>0</v>
      </c>
      <c r="K26" s="335">
        <f>J26*'input own m.p.'!$K$10</f>
        <v>0</v>
      </c>
      <c r="L26" s="335">
        <f>IF('choose m.p.'!L3="",IF('choose m.p.'!M3="",'beta estimation(inputs)'!K26,""),"")</f>
        <v>0</v>
      </c>
    </row>
    <row r="27" spans="1:808">
      <c r="C27" s="317">
        <f>IF(E5="","",(AEA5-'choose m.p.'!B4))</f>
        <v>1.5</v>
      </c>
      <c r="D27" s="32">
        <f>IF('choose m.p.'!L4="",IF('choose m.p.'!M4="",'beta estimation(inputs)'!C27,""),"")</f>
        <v>1.5</v>
      </c>
      <c r="E27" s="33">
        <f>IF(E5="","",(AEB5*100-'input own m.p.'!$K$16)*'input own m.p.'!$K$10)</f>
        <v>1.5000000000000004</v>
      </c>
      <c r="F27" s="321">
        <f>IF('choose m.p.'!L4="",IF('choose m.p.'!M4="",'beta estimation(inputs)'!E27,""),"")</f>
        <v>1.5000000000000004</v>
      </c>
      <c r="H27" s="335">
        <f>IF(E5="","",('choose m.p. (endogenous policy)'!D4-'choose m.p. (endogenous policy)'!B4))</f>
        <v>0</v>
      </c>
      <c r="I27" s="335">
        <f>IF('choose m.p.'!L4="",IF('choose m.p.'!M4="",'beta estimation(inputs)'!H27,""),"")</f>
        <v>0</v>
      </c>
      <c r="J27" s="336">
        <f>IF(E5="","",(J5*100-'input own m.p.'!$K$16))</f>
        <v>0</v>
      </c>
      <c r="K27" s="335">
        <f>J27*'input own m.p.'!$K$10</f>
        <v>0</v>
      </c>
      <c r="L27" s="335">
        <f>IF('choose m.p.'!L4="",IF('choose m.p.'!M4="",'beta estimation(inputs)'!K27,""),"")</f>
        <v>0</v>
      </c>
    </row>
    <row r="28" spans="1:808">
      <c r="C28" s="317">
        <f>IF(E6="","",(AEA6-'choose m.p.'!B5))</f>
        <v>2.625</v>
      </c>
      <c r="D28" s="32" t="str">
        <f>IF('choose m.p.'!L5="",IF('choose m.p.'!M5="",'beta estimation(inputs)'!C28,""),"")</f>
        <v/>
      </c>
      <c r="E28" s="33">
        <f>IF(E6="","",(AEB6*100-'input own m.p.'!$K$16)*'input own m.p.'!$K$10)</f>
        <v>4.125</v>
      </c>
      <c r="F28" s="321" t="str">
        <f>IF('choose m.p.'!L5="",IF('choose m.p.'!M5="",'beta estimation(inputs)'!E28,""),"")</f>
        <v/>
      </c>
      <c r="H28" s="335">
        <f>IF(E6="","",('choose m.p. (endogenous policy)'!D5-'choose m.p. (endogenous policy)'!B5))</f>
        <v>0</v>
      </c>
      <c r="I28" s="335" t="str">
        <f>IF('choose m.p.'!L5="",IF('choose m.p.'!M5="",'beta estimation(inputs)'!H28,""),"")</f>
        <v/>
      </c>
      <c r="J28" s="336">
        <f>IF(E6="","",(J6*100-'input own m.p.'!$K$16))</f>
        <v>0</v>
      </c>
      <c r="K28" s="335">
        <f>J28*'input own m.p.'!$K$10</f>
        <v>0</v>
      </c>
      <c r="L28" s="335" t="str">
        <f>IF('choose m.p.'!L5="",IF('choose m.p.'!M5="",'beta estimation(inputs)'!K28,""),"")</f>
        <v/>
      </c>
    </row>
    <row r="29" spans="1:808">
      <c r="C29" s="317">
        <f>IF(E7="","",(AEA7-'choose m.p.'!B6))</f>
        <v>4.59375</v>
      </c>
      <c r="D29" s="32">
        <f>IF('choose m.p.'!L6="",IF('choose m.p.'!M6="",'beta estimation(inputs)'!C29,""),"")</f>
        <v>4.59375</v>
      </c>
      <c r="E29" s="33">
        <f>IF(E7="","",(AEB7*100-'input own m.p.'!$K$16)*'input own m.p.'!$K$10)</f>
        <v>8.71875</v>
      </c>
      <c r="F29" s="321">
        <f>IF('choose m.p.'!L6="",IF('choose m.p.'!M6="",'beta estimation(inputs)'!E29,""),"")</f>
        <v>8.71875</v>
      </c>
      <c r="H29" s="335">
        <f>IF(E7="","",('choose m.p. (endogenous policy)'!D6-'choose m.p. (endogenous policy)'!B6))</f>
        <v>0</v>
      </c>
      <c r="I29" s="335">
        <f>IF('choose m.p.'!L6="",IF('choose m.p.'!M6="",'beta estimation(inputs)'!H29,""),"")</f>
        <v>0</v>
      </c>
      <c r="J29" s="336">
        <f>IF(E7="","",(J7*100-'input own m.p.'!$K$16))</f>
        <v>0</v>
      </c>
      <c r="K29" s="335">
        <f>J29*'input own m.p.'!$K$10</f>
        <v>0</v>
      </c>
      <c r="L29" s="335">
        <f>IF('choose m.p.'!L6="",IF('choose m.p.'!M6="",'beta estimation(inputs)'!K29,""),"")</f>
        <v>0</v>
      </c>
    </row>
    <row r="30" spans="1:808">
      <c r="C30" s="317">
        <f>IF(E8="","",(AEA8-'choose m.p.'!B7))</f>
        <v>7.0690625000000011</v>
      </c>
      <c r="D30" s="32" t="str">
        <f>IF('choose m.p.'!L7="",IF('choose m.p.'!M7="",'beta estimation(inputs)'!C30,""),"")</f>
        <v/>
      </c>
      <c r="E30" s="33">
        <f>IF(E8="","",(AEB8*100-'input own m.p.'!$K$16)*'input own m.p.'!$K$10)</f>
        <v>15.787812500000001</v>
      </c>
      <c r="F30" s="321" t="str">
        <f>IF('choose m.p.'!L7="",IF('choose m.p.'!M7="",'beta estimation(inputs)'!E30,""),"")</f>
        <v/>
      </c>
      <c r="H30" s="335">
        <f>IF(E8="","",('choose m.p. (endogenous policy)'!D7-'choose m.p. (endogenous policy)'!B7))</f>
        <v>-1.5</v>
      </c>
      <c r="I30" s="335" t="str">
        <f>IF('choose m.p.'!L7="",IF('choose m.p.'!M7="",'beta estimation(inputs)'!H30,""),"")</f>
        <v/>
      </c>
      <c r="J30" s="336">
        <f>IF(E8="","",(J8*100-'input own m.p.'!$K$16))</f>
        <v>-1.5</v>
      </c>
      <c r="K30" s="335">
        <f>J30*'input own m.p.'!$K$10</f>
        <v>-1.5</v>
      </c>
      <c r="L30" s="335" t="str">
        <f>IF('choose m.p.'!L7="",IF('choose m.p.'!M7="",'beta estimation(inputs)'!K30,""),"")</f>
        <v/>
      </c>
    </row>
    <row r="31" spans="1:808">
      <c r="C31" s="317">
        <f>IF(E9="","",(AEA9-'choose m.p.'!B8))</f>
        <v>13.340859375000001</v>
      </c>
      <c r="D31" s="32">
        <f>IF('choose m.p.'!L8="",IF('choose m.p.'!M8="",'beta estimation(inputs)'!C31,""),"")</f>
        <v>13.340859375000001</v>
      </c>
      <c r="E31" s="33">
        <f>IF(E9="","",(AEB9*100-'input own m.p.'!$K$16)*'input own m.p.'!$K$10)</f>
        <v>29.128671875000002</v>
      </c>
      <c r="F31" s="321">
        <f>IF('choose m.p.'!L8="",IF('choose m.p.'!M8="",'beta estimation(inputs)'!E31,""),"")</f>
        <v>29.128671875000002</v>
      </c>
      <c r="H31" s="335">
        <f>IF(E9="","",('choose m.p. (endogenous policy)'!D8-'choose m.p. (endogenous policy)'!B8))</f>
        <v>1.875</v>
      </c>
      <c r="I31" s="335">
        <f>IF('choose m.p.'!L8="",IF('choose m.p.'!M8="",'beta estimation(inputs)'!H31,""),"")</f>
        <v>1.875</v>
      </c>
      <c r="J31" s="336">
        <f>IF(E9="","",(J9*100-'input own m.p.'!$K$16))</f>
        <v>0.375</v>
      </c>
      <c r="K31" s="335">
        <f>J31*'input own m.p.'!$K$10</f>
        <v>0.375</v>
      </c>
      <c r="L31" s="335">
        <f>IF('choose m.p.'!L8="",IF('choose m.p.'!M8="",'beta estimation(inputs)'!K31,""),"")</f>
        <v>0.375</v>
      </c>
    </row>
    <row r="32" spans="1:808">
      <c r="C32" s="317">
        <f>IF(E10="","",(AEA10-'choose m.p.'!B9))</f>
        <v>23.346503906250007</v>
      </c>
      <c r="D32" s="32">
        <f>IF('choose m.p.'!L9="",IF('choose m.p.'!M9="",'beta estimation(inputs)'!C32,""),"")</f>
        <v>23.346503906250007</v>
      </c>
      <c r="E32" s="33">
        <f>IF(E10="","",(AEB10*100-'input own m.p.'!$K$16)*'input own m.p.'!$K$10)</f>
        <v>52.475175781250009</v>
      </c>
      <c r="F32" s="321">
        <f>IF('choose m.p.'!L9="",IF('choose m.p.'!M9="",'beta estimation(inputs)'!E32,""),"")</f>
        <v>52.475175781250009</v>
      </c>
      <c r="H32" s="335">
        <f>IF(E10="","",('choose m.p. (endogenous policy)'!D9-'choose m.p. (endogenous policy)'!B9))</f>
        <v>-0.24178034743685117</v>
      </c>
      <c r="I32" s="335">
        <f>IF('choose m.p.'!L9="",IF('choose m.p.'!M9="",'beta estimation(inputs)'!H32,""),"")</f>
        <v>-0.24178034743685117</v>
      </c>
      <c r="J32" s="336">
        <f>IF(E10="","",(J10*100-'input own m.p.'!$K$16))</f>
        <v>0.13321965256314883</v>
      </c>
      <c r="K32" s="335">
        <f>J32*'input own m.p.'!$K$10</f>
        <v>0.13321965256314883</v>
      </c>
      <c r="L32" s="335">
        <f>IF('choose m.p.'!L9="",IF('choose m.p.'!M9="",'beta estimation(inputs)'!K32,""),"")</f>
        <v>0.13321965256314883</v>
      </c>
    </row>
    <row r="33" spans="2:12">
      <c r="C33" s="317">
        <f>IF(E11="","",(AEA11-'choose m.p.'!B10))</f>
        <v>40.856381835937498</v>
      </c>
      <c r="D33" s="32" t="str">
        <f>IF('choose m.p.'!L10="",IF('choose m.p.'!M10="",'beta estimation(inputs)'!C33,""),"")</f>
        <v/>
      </c>
      <c r="E33" s="33">
        <f>IF(E11="","",(AEB11*100-'input own m.p.'!$K$16)*'input own m.p.'!$K$10)</f>
        <v>93.331557617187514</v>
      </c>
      <c r="F33" s="321" t="str">
        <f>IF('choose m.p.'!L10="",IF('choose m.p.'!M10="",'beta estimation(inputs)'!E33,""),"")</f>
        <v/>
      </c>
      <c r="H33" s="335">
        <f>IF(E11="","",('choose m.p. (endogenous policy)'!D10-'choose m.p. (endogenous policy)'!B10))</f>
        <v>-8.5893050352360945E-2</v>
      </c>
      <c r="I33" s="335" t="str">
        <f>IF('choose m.p.'!L10="",IF('choose m.p.'!M10="",'beta estimation(inputs)'!H33,""),"")</f>
        <v/>
      </c>
      <c r="J33" s="336">
        <f>IF(E11="","",(J11*100-'input own m.p.'!$K$16))</f>
        <v>4.7326602210787883E-2</v>
      </c>
      <c r="K33" s="335">
        <f>J33*'input own m.p.'!$K$10</f>
        <v>4.7326602210787883E-2</v>
      </c>
      <c r="L33" s="335" t="str">
        <f>IF('choose m.p.'!L10="",IF('choose m.p.'!M10="",'beta estimation(inputs)'!K33,""),"")</f>
        <v/>
      </c>
    </row>
    <row r="34" spans="2:12">
      <c r="B34" s="29" t="str">
        <f>IFERROR(LINEST(D26:D44,F26:F44,FALSE),"")</f>
        <v/>
      </c>
      <c r="C34" s="317" t="str">
        <f>IF(E12="","",(AEA12-'choose m.p.'!B11))</f>
        <v/>
      </c>
      <c r="D34" s="32" t="str">
        <f>IF('choose m.p.'!L11="",IF('choose m.p.'!M11="",'beta estimation(inputs)'!C34,""),"")</f>
        <v/>
      </c>
      <c r="E34" s="33" t="str">
        <f>IF(E12="","",(AEB12*100-'input own m.p.'!$K$16)*'input own m.p.'!$K$10)</f>
        <v/>
      </c>
      <c r="F34" s="321" t="str">
        <f>IF('choose m.p.'!L11="",IF('choose m.p.'!M11="",'beta estimation(inputs)'!E34,""),"")</f>
        <v/>
      </c>
      <c r="H34" s="335" t="str">
        <f>IF(E12="","",('choose m.p. (endogenous policy)'!D11-'choose m.p. (endogenous policy)'!B11))</f>
        <v/>
      </c>
      <c r="I34" s="335" t="str">
        <f>IF('choose m.p.'!L11="",IF('choose m.p.'!M11="",'beta estimation(inputs)'!H34,""),"")</f>
        <v/>
      </c>
      <c r="J34" s="336" t="str">
        <f>IF(E12="","",(J12*100-'input own m.p.'!$K$16))</f>
        <v/>
      </c>
      <c r="K34" s="335" t="e">
        <f>J34*'input own m.p.'!$K$10</f>
        <v>#VALUE!</v>
      </c>
      <c r="L34" s="335" t="e">
        <f>IF('choose m.p.'!L11="",IF('choose m.p.'!M11="",'beta estimation(inputs)'!K34,""),"")</f>
        <v>#VALUE!</v>
      </c>
    </row>
    <row r="35" spans="2:12">
      <c r="C35" s="317" t="str">
        <f>IF(E13="","",(AEA13-'choose m.p.'!B12))</f>
        <v/>
      </c>
      <c r="D35" s="32" t="str">
        <f>IF('choose m.p.'!L12="",IF('choose m.p.'!M12="",'beta estimation(inputs)'!C35,""),"")</f>
        <v/>
      </c>
      <c r="E35" s="33" t="str">
        <f>IF(E13="","",(AEB13*100-'input own m.p.'!$K$16)*'input own m.p.'!$K$10)</f>
        <v/>
      </c>
      <c r="F35" s="321" t="str">
        <f>IF('choose m.p.'!L12="",IF('choose m.p.'!M12="",'beta estimation(inputs)'!E35,""),"")</f>
        <v/>
      </c>
      <c r="H35" s="335" t="str">
        <f>IF(E13="","",('choose m.p. (endogenous policy)'!D12-'choose m.p. (endogenous policy)'!B12))</f>
        <v/>
      </c>
      <c r="I35" s="335" t="str">
        <f>IF('choose m.p.'!L12="",IF('choose m.p.'!M12="",'beta estimation(inputs)'!H35,""),"")</f>
        <v/>
      </c>
      <c r="J35" s="336" t="str">
        <f>IF(E13="","",(J13*100-'input own m.p.'!$K$16))</f>
        <v/>
      </c>
      <c r="K35" s="335" t="e">
        <f>J35*'input own m.p.'!$K$10</f>
        <v>#VALUE!</v>
      </c>
      <c r="L35" s="335" t="str">
        <f>IF('choose m.p.'!L12="",IF('choose m.p.'!M12="",'beta estimation(inputs)'!K35,""),"")</f>
        <v/>
      </c>
    </row>
    <row r="36" spans="2:12">
      <c r="C36" s="317" t="str">
        <f>IF(E14="","",(AEA14-'choose m.p.'!B13))</f>
        <v/>
      </c>
      <c r="D36" s="32" t="str">
        <f>IF('choose m.p.'!L13="",IF('choose m.p.'!M13="",'beta estimation(inputs)'!C36,""),"")</f>
        <v/>
      </c>
      <c r="E36" s="33" t="str">
        <f>IF(E14="","",(AEB14*100-'input own m.p.'!$K$16)*'input own m.p.'!$K$10)</f>
        <v/>
      </c>
      <c r="F36" s="321" t="str">
        <f>IF('choose m.p.'!L13="",IF('choose m.p.'!M13="",'beta estimation(inputs)'!E36,""),"")</f>
        <v/>
      </c>
      <c r="H36" s="335" t="str">
        <f>IF(E14="","",('choose m.p. (endogenous policy)'!D13-'choose m.p. (endogenous policy)'!B13))</f>
        <v/>
      </c>
      <c r="I36" s="335" t="str">
        <f>IF('choose m.p.'!L13="",IF('choose m.p.'!M13="",'beta estimation(inputs)'!H36,""),"")</f>
        <v/>
      </c>
      <c r="J36" s="336" t="str">
        <f>IF(E14="","",(J14*100-'input own m.p.'!$K$16))</f>
        <v/>
      </c>
      <c r="K36" s="335" t="e">
        <f>J36*'input own m.p.'!$K$10</f>
        <v>#VALUE!</v>
      </c>
      <c r="L36" s="335" t="e">
        <f>IF('choose m.p.'!L13="",IF('choose m.p.'!M13="",'beta estimation(inputs)'!K36,""),"")</f>
        <v>#VALUE!</v>
      </c>
    </row>
    <row r="37" spans="2:12">
      <c r="C37" s="317" t="str">
        <f>IF(E15="","",(AEA15-'choose m.p.'!B14))</f>
        <v/>
      </c>
      <c r="D37" s="32" t="str">
        <f>IF('choose m.p.'!L14="",IF('choose m.p.'!M14="",'beta estimation(inputs)'!C37,""),"")</f>
        <v/>
      </c>
      <c r="E37" s="33" t="str">
        <f>IF(E15="","",(AEB15*100-'input own m.p.'!$K$16)*'input own m.p.'!$K$10)</f>
        <v/>
      </c>
      <c r="F37" s="321" t="str">
        <f>IF('choose m.p.'!L14="",IF('choose m.p.'!M14="",'beta estimation(inputs)'!E37,""),"")</f>
        <v/>
      </c>
      <c r="H37" s="335" t="str">
        <f>IF(E15="","",('choose m.p. (endogenous policy)'!D14-'choose m.p. (endogenous policy)'!B14))</f>
        <v/>
      </c>
      <c r="I37" s="335" t="str">
        <f>IF('choose m.p.'!L14="",IF('choose m.p.'!M14="",'beta estimation(inputs)'!H37,""),"")</f>
        <v/>
      </c>
      <c r="J37" s="336" t="str">
        <f>IF(E15="","",(J15*100-'input own m.p.'!$K$16))</f>
        <v/>
      </c>
      <c r="K37" s="335" t="e">
        <f>J37*'input own m.p.'!$K$10</f>
        <v>#VALUE!</v>
      </c>
      <c r="L37" s="335" t="e">
        <f>IF('choose m.p.'!L14="",IF('choose m.p.'!M14="",'beta estimation(inputs)'!K37,""),"")</f>
        <v>#VALUE!</v>
      </c>
    </row>
    <row r="38" spans="2:12">
      <c r="C38" s="317" t="str">
        <f>IF(E16="","",(AEA16-'choose m.p.'!B15))</f>
        <v/>
      </c>
      <c r="D38" s="32" t="str">
        <f>IF('choose m.p.'!L15="",IF('choose m.p.'!M15="",'beta estimation(inputs)'!C38,""),"")</f>
        <v/>
      </c>
      <c r="E38" s="33" t="str">
        <f>IF(E16="","",(AEB16*100-'input own m.p.'!$K$16)*'input own m.p.'!$K$10)</f>
        <v/>
      </c>
      <c r="F38" s="321" t="str">
        <f>IF('choose m.p.'!L15="",IF('choose m.p.'!M15="",'beta estimation(inputs)'!E38,""),"")</f>
        <v/>
      </c>
      <c r="H38" s="335" t="str">
        <f>IF(E16="","",('choose m.p. (endogenous policy)'!D15-'choose m.p. (endogenous policy)'!B15))</f>
        <v/>
      </c>
      <c r="I38" s="335" t="str">
        <f>IF('choose m.p.'!L15="",IF('choose m.p.'!M15="",'beta estimation(inputs)'!H38,""),"")</f>
        <v/>
      </c>
      <c r="J38" s="336" t="str">
        <f>IF(E16="","",(J16*100-'input own m.p.'!$K$16))</f>
        <v/>
      </c>
      <c r="K38" s="335" t="e">
        <f>J38*'input own m.p.'!$K$10</f>
        <v>#VALUE!</v>
      </c>
      <c r="L38" s="335" t="str">
        <f>IF('choose m.p.'!L15="",IF('choose m.p.'!M15="",'beta estimation(inputs)'!K38,""),"")</f>
        <v/>
      </c>
    </row>
    <row r="39" spans="2:12">
      <c r="C39" s="317" t="str">
        <f>IF(E17="","",(AEA17-'choose m.p.'!B16))</f>
        <v/>
      </c>
      <c r="D39" s="32" t="str">
        <f>IF('choose m.p.'!L16="",IF('choose m.p.'!M16="",'beta estimation(inputs)'!C39,""),"")</f>
        <v/>
      </c>
      <c r="E39" s="33" t="str">
        <f>IF(E17="","",(AEB17*100-'input own m.p.'!$K$16)*'input own m.p.'!$K$10)</f>
        <v/>
      </c>
      <c r="F39" s="321" t="str">
        <f>IF('choose m.p.'!L16="",IF('choose m.p.'!M16="",'beta estimation(inputs)'!E39,""),"")</f>
        <v/>
      </c>
      <c r="H39" s="335" t="str">
        <f>IF(E17="","",('choose m.p. (endogenous policy)'!D16-'choose m.p. (endogenous policy)'!B16))</f>
        <v/>
      </c>
      <c r="I39" s="335" t="str">
        <f>IF('choose m.p.'!L16="",IF('choose m.p.'!M16="",'beta estimation(inputs)'!H39,""),"")</f>
        <v/>
      </c>
      <c r="J39" s="336" t="str">
        <f>IF(E17="","",(J17*100-'input own m.p.'!$K$16))</f>
        <v/>
      </c>
      <c r="K39" s="335" t="e">
        <f>J39*'input own m.p.'!$K$10</f>
        <v>#VALUE!</v>
      </c>
      <c r="L39" s="335" t="e">
        <f>IF('choose m.p.'!L16="",IF('choose m.p.'!M16="",'beta estimation(inputs)'!K39,""),"")</f>
        <v>#VALUE!</v>
      </c>
    </row>
    <row r="40" spans="2:12">
      <c r="C40" s="317" t="str">
        <f>IF(E18="","",(AEA18-'choose m.p.'!B17))</f>
        <v/>
      </c>
      <c r="D40" s="32" t="str">
        <f>IF('choose m.p.'!L17="",IF('choose m.p.'!M17="",'beta estimation(inputs)'!C40,""),"")</f>
        <v/>
      </c>
      <c r="E40" s="33" t="str">
        <f>IF(E18="","",(AEB18*100-'input own m.p.'!$K$16)*'input own m.p.'!$K$10)</f>
        <v/>
      </c>
      <c r="F40" s="321" t="str">
        <f>IF('choose m.p.'!L17="",IF('choose m.p.'!M17="",'beta estimation(inputs)'!E40,""),"")</f>
        <v/>
      </c>
      <c r="H40" s="335" t="str">
        <f>IF(E18="","",('choose m.p. (endogenous policy)'!D17-'choose m.p. (endogenous policy)'!B17))</f>
        <v/>
      </c>
      <c r="I40" s="335" t="str">
        <f>IF('choose m.p.'!L17="",IF('choose m.p.'!M17="",'beta estimation(inputs)'!H40,""),"")</f>
        <v/>
      </c>
      <c r="J40" s="336" t="str">
        <f>IF(E18="","",(J18*100-'input own m.p.'!$K$16))</f>
        <v/>
      </c>
      <c r="K40" s="335" t="e">
        <f>J40*'input own m.p.'!$K$10</f>
        <v>#VALUE!</v>
      </c>
      <c r="L40" s="335" t="e">
        <f>IF('choose m.p.'!L17="",IF('choose m.p.'!M17="",'beta estimation(inputs)'!K40,""),"")</f>
        <v>#VALUE!</v>
      </c>
    </row>
    <row r="41" spans="2:12">
      <c r="C41" s="317" t="str">
        <f>IF(E19="","",(AEA19-'choose m.p.'!B18))</f>
        <v/>
      </c>
      <c r="D41" s="32" t="str">
        <f>IF('choose m.p.'!L18="",IF('choose m.p.'!M18="",'beta estimation(inputs)'!C41,""),"")</f>
        <v/>
      </c>
      <c r="E41" s="33" t="str">
        <f>IF(E19="","",(AEB19*100-'input own m.p.'!$K$16)*'input own m.p.'!$K$10)</f>
        <v/>
      </c>
      <c r="F41" s="321" t="str">
        <f>IF('choose m.p.'!L18="",IF('choose m.p.'!M18="",'beta estimation(inputs)'!E41,""),"")</f>
        <v/>
      </c>
      <c r="H41" s="335" t="str">
        <f>IF(E19="","",('choose m.p. (endogenous policy)'!D18-'choose m.p. (endogenous policy)'!B18))</f>
        <v/>
      </c>
      <c r="I41" s="335" t="str">
        <f>IF('choose m.p.'!L18="",IF('choose m.p.'!M18="",'beta estimation(inputs)'!H41,""),"")</f>
        <v/>
      </c>
      <c r="J41" s="336" t="str">
        <f>IF(E19="","",(J19*100-'input own m.p.'!$K$16))</f>
        <v/>
      </c>
      <c r="K41" s="335" t="e">
        <f>J41*'input own m.p.'!$K$10</f>
        <v>#VALUE!</v>
      </c>
      <c r="L41" s="335" t="e">
        <f>IF('choose m.p.'!L18="",IF('choose m.p.'!M18="",'beta estimation(inputs)'!K41,""),"")</f>
        <v>#VALUE!</v>
      </c>
    </row>
    <row r="42" spans="2:12">
      <c r="C42" s="317" t="str">
        <f>IF(E20="","",(AEA20-'choose m.p.'!B19))</f>
        <v/>
      </c>
      <c r="D42" s="32" t="str">
        <f>IF('choose m.p.'!L19="",IF('choose m.p.'!M19="",'beta estimation(inputs)'!C42,""),"")</f>
        <v/>
      </c>
      <c r="E42" s="33" t="str">
        <f>IF(E20="","",(AEB20*100-'input own m.p.'!$K$16)*'input own m.p.'!$K$10)</f>
        <v/>
      </c>
      <c r="F42" s="321" t="str">
        <f>IF('choose m.p.'!L19="",IF('choose m.p.'!M19="",'beta estimation(inputs)'!E42,""),"")</f>
        <v/>
      </c>
      <c r="H42" s="335" t="str">
        <f>IF(E20="","",('choose m.p. (endogenous policy)'!D19-'choose m.p. (endogenous policy)'!B19))</f>
        <v/>
      </c>
      <c r="I42" s="335" t="str">
        <f>IF('choose m.p.'!L19="",IF('choose m.p.'!M19="",'beta estimation(inputs)'!H42,""),"")</f>
        <v/>
      </c>
      <c r="J42" s="336" t="str">
        <f>IF(E20="","",(J20*100-'input own m.p.'!$K$16))</f>
        <v/>
      </c>
      <c r="K42" s="335" t="e">
        <f>J42*'input own m.p.'!$K$10</f>
        <v>#VALUE!</v>
      </c>
      <c r="L42" s="335" t="e">
        <f>IF('choose m.p.'!L19="",IF('choose m.p.'!M19="",'beta estimation(inputs)'!K42,""),"")</f>
        <v>#VALUE!</v>
      </c>
    </row>
    <row r="43" spans="2:12">
      <c r="C43" s="317" t="str">
        <f>IF(E21="","",(AEA21-'choose m.p.'!B20))</f>
        <v/>
      </c>
      <c r="D43" s="32" t="str">
        <f>IF('choose m.p.'!L20="",IF('choose m.p.'!M20="",'beta estimation(inputs)'!C43,""),"")</f>
        <v/>
      </c>
      <c r="E43" s="33" t="str">
        <f>IF(E21="","",(AEB21*100-'input own m.p.'!$K$16)*'input own m.p.'!$K$10)</f>
        <v/>
      </c>
      <c r="F43" s="321" t="str">
        <f>IF('choose m.p.'!L20="",IF('choose m.p.'!M20="",'beta estimation(inputs)'!E43,""),"")</f>
        <v/>
      </c>
      <c r="H43" s="335" t="str">
        <f>IF(E21="","",('choose m.p. (endogenous policy)'!D20-'choose m.p. (endogenous policy)'!B20))</f>
        <v/>
      </c>
      <c r="I43" s="335" t="str">
        <f>IF('choose m.p.'!L20="",IF('choose m.p.'!M20="",'beta estimation(inputs)'!H43,""),"")</f>
        <v/>
      </c>
      <c r="J43" s="336" t="str">
        <f>IF(E21="","",(J21*100-'input own m.p.'!$K$16))</f>
        <v/>
      </c>
      <c r="K43" s="335" t="e">
        <f>J43*'input own m.p.'!$K$10</f>
        <v>#VALUE!</v>
      </c>
      <c r="L43" s="335" t="str">
        <f>IF('choose m.p.'!L20="",IF('choose m.p.'!M20="",'beta estimation(inputs)'!K43,""),"")</f>
        <v/>
      </c>
    </row>
    <row r="44" spans="2:12">
      <c r="C44" s="314" t="str">
        <f>IF(E22="","",(AEA22-'choose m.p.'!B21))</f>
        <v/>
      </c>
      <c r="D44" s="333" t="str">
        <f>IF('choose m.p.'!L21="",IF('choose m.p.'!M21="",'beta estimation(inputs)'!C44,""),"")</f>
        <v/>
      </c>
      <c r="E44" s="322" t="str">
        <f>IF(E22="","",(AEB22*100-'input own m.p.'!$K$16)*'input own m.p.'!$K$10)</f>
        <v/>
      </c>
      <c r="F44" s="323" t="str">
        <f>IF('choose m.p.'!L21="",IF('choose m.p.'!M21="",'beta estimation(inputs)'!E44,""),"")</f>
        <v/>
      </c>
      <c r="H44" s="335" t="str">
        <f>IF(E22="","",('choose m.p. (endogenous policy)'!D21-'choose m.p. (endogenous policy)'!B21))</f>
        <v/>
      </c>
      <c r="I44" s="335" t="str">
        <f>IF('choose m.p.'!L21="",IF('choose m.p.'!M21="",'beta estimation(inputs)'!H44,""),"")</f>
        <v/>
      </c>
      <c r="J44" s="336" t="str">
        <f>IF(E22="","",(J22*100-'input own m.p.'!$K$16))</f>
        <v/>
      </c>
      <c r="K44" s="335" t="e">
        <f>J44*'input own m.p.'!$K$10</f>
        <v>#VALUE!</v>
      </c>
      <c r="L44" s="335" t="str">
        <f>IF('choose m.p.'!L21="",IF('choose m.p.'!M21="",'beta estimation(inputs)'!K44,""),"")</f>
        <v/>
      </c>
    </row>
    <row r="45" spans="2:12">
      <c r="H45" s="335"/>
      <c r="I45" s="335"/>
      <c r="J45" s="335"/>
      <c r="K45" s="335"/>
      <c r="L45" s="335"/>
    </row>
    <row r="47" spans="2:12">
      <c r="C47" s="311" t="s">
        <v>201</v>
      </c>
      <c r="D47" s="312" t="s">
        <v>188</v>
      </c>
      <c r="E47" s="313" t="s">
        <v>12</v>
      </c>
    </row>
    <row r="48" spans="2:12">
      <c r="C48" s="314">
        <f>0</f>
        <v>0</v>
      </c>
      <c r="D48" s="315"/>
      <c r="E48" s="316"/>
      <c r="F48" s="196"/>
      <c r="G48" s="32"/>
    </row>
    <row r="49" spans="2:9">
      <c r="C49" s="317"/>
      <c r="D49" s="32"/>
      <c r="E49" s="318"/>
      <c r="F49" s="32"/>
      <c r="G49" s="197"/>
    </row>
    <row r="50" spans="2:9">
      <c r="C50" s="319" t="s">
        <v>201</v>
      </c>
      <c r="D50" s="196" t="s">
        <v>188</v>
      </c>
      <c r="E50" s="320" t="s">
        <v>12</v>
      </c>
      <c r="F50"/>
      <c r="G50"/>
      <c r="I50" s="324">
        <f t="array" aca="1" ref="I50:I54" ca="1">LINEST(gdpestlin,inflacionestlin,FALSE,TRUE)</f>
        <v>0</v>
      </c>
    </row>
    <row r="51" spans="2:9">
      <c r="C51" s="317">
        <f>COUNTBLANK(D51)</f>
        <v>0</v>
      </c>
      <c r="D51" s="32">
        <v>0</v>
      </c>
      <c r="E51" s="321">
        <v>0</v>
      </c>
      <c r="F51"/>
      <c r="G51"/>
      <c r="I51" s="324">
        <f ca="1"/>
        <v>0</v>
      </c>
    </row>
    <row r="52" spans="2:9">
      <c r="C52" s="317">
        <f t="shared" ref="C52:C69" si="4">COUNTBLANK(D52)</f>
        <v>0</v>
      </c>
      <c r="D52" s="32">
        <v>0</v>
      </c>
      <c r="E52" s="321">
        <v>0</v>
      </c>
      <c r="F52"/>
      <c r="G52"/>
      <c r="I52" s="324">
        <f ca="1"/>
        <v>1</v>
      </c>
    </row>
    <row r="53" spans="2:9">
      <c r="C53" s="317">
        <f t="shared" si="4"/>
        <v>1</v>
      </c>
      <c r="D53" s="32" t="s">
        <v>200</v>
      </c>
      <c r="E53" s="321" t="s">
        <v>200</v>
      </c>
      <c r="F53"/>
      <c r="G53"/>
      <c r="I53" s="324" t="e">
        <f ca="1"/>
        <v>#NUM!</v>
      </c>
    </row>
    <row r="54" spans="2:9">
      <c r="C54" s="317">
        <f t="shared" si="4"/>
        <v>0</v>
      </c>
      <c r="D54" s="32">
        <v>1.5</v>
      </c>
      <c r="E54" s="321">
        <v>-0.5</v>
      </c>
      <c r="F54"/>
      <c r="G54"/>
      <c r="I54" s="324">
        <f ca="1"/>
        <v>0</v>
      </c>
    </row>
    <row r="55" spans="2:9">
      <c r="C55" s="317">
        <f t="shared" si="4"/>
        <v>1</v>
      </c>
      <c r="D55" s="32" t="s">
        <v>200</v>
      </c>
      <c r="E55" s="321" t="s">
        <v>200</v>
      </c>
      <c r="F55"/>
      <c r="G55"/>
    </row>
    <row r="56" spans="2:9">
      <c r="C56" s="317">
        <f t="shared" si="4"/>
        <v>1</v>
      </c>
      <c r="D56" s="32" t="s">
        <v>200</v>
      </c>
      <c r="E56" s="321" t="s">
        <v>200</v>
      </c>
      <c r="F56"/>
      <c r="G56"/>
    </row>
    <row r="57" spans="2:9">
      <c r="C57" s="317">
        <f t="shared" si="4"/>
        <v>1</v>
      </c>
      <c r="D57" s="32" t="s">
        <v>200</v>
      </c>
      <c r="E57" s="321" t="s">
        <v>200</v>
      </c>
      <c r="F57"/>
      <c r="G57"/>
    </row>
    <row r="58" spans="2:9">
      <c r="C58" s="317">
        <f t="shared" si="4"/>
        <v>0</v>
      </c>
      <c r="D58" s="32">
        <v>0.34987499999999017</v>
      </c>
      <c r="E58" s="321">
        <v>1.6374999999975159E-2</v>
      </c>
      <c r="F58"/>
      <c r="G58"/>
    </row>
    <row r="59" spans="2:9">
      <c r="B59" s="196"/>
      <c r="C59" s="317">
        <f t="shared" si="4"/>
        <v>0</v>
      </c>
      <c r="D59" s="32">
        <v>-2.5218750000021828E-2</v>
      </c>
      <c r="E59" s="321">
        <v>-8.8437500000468905E-3</v>
      </c>
      <c r="F59"/>
      <c r="G59"/>
    </row>
    <row r="60" spans="2:9">
      <c r="B60" s="196"/>
      <c r="C60" s="317">
        <f t="shared" si="4"/>
        <v>0</v>
      </c>
      <c r="D60" s="32">
        <v>1.5867187499964075E-2</v>
      </c>
      <c r="E60" s="321">
        <v>7.0234374999174065E-3</v>
      </c>
      <c r="F60"/>
      <c r="G60"/>
    </row>
    <row r="61" spans="2:9">
      <c r="C61" s="317">
        <f t="shared" si="4"/>
        <v>1</v>
      </c>
      <c r="D61" s="32" t="s">
        <v>200</v>
      </c>
      <c r="E61" s="321" t="s">
        <v>200</v>
      </c>
      <c r="F61"/>
      <c r="G61"/>
    </row>
    <row r="62" spans="2:9">
      <c r="C62" s="317">
        <f t="shared" si="4"/>
        <v>0</v>
      </c>
      <c r="D62" s="32">
        <v>-0.38265673828136215</v>
      </c>
      <c r="E62" s="321">
        <v>0.10713427734349068</v>
      </c>
      <c r="F62"/>
      <c r="G62"/>
    </row>
    <row r="63" spans="2:9">
      <c r="C63" s="317">
        <f t="shared" si="4"/>
        <v>0</v>
      </c>
      <c r="D63" s="32">
        <v>-6.9649291992384121E-2</v>
      </c>
      <c r="E63" s="321">
        <v>3.7484985351106559E-2</v>
      </c>
      <c r="F63"/>
      <c r="G63"/>
    </row>
    <row r="64" spans="2:9">
      <c r="C64" s="317">
        <f t="shared" si="4"/>
        <v>1</v>
      </c>
      <c r="D64" s="32" t="s">
        <v>200</v>
      </c>
      <c r="E64" s="321" t="s">
        <v>200</v>
      </c>
      <c r="F64" s="317"/>
      <c r="G64" s="32"/>
      <c r="H64" s="321"/>
    </row>
    <row r="65" spans="3:11">
      <c r="C65" s="317">
        <f t="shared" si="4"/>
        <v>0</v>
      </c>
      <c r="D65" s="32">
        <v>-0.51059569610655586</v>
      </c>
      <c r="E65" s="321">
        <v>0.50861004241803442</v>
      </c>
      <c r="F65" s="317"/>
      <c r="G65" s="32"/>
      <c r="H65" s="321"/>
    </row>
    <row r="66" spans="3:11">
      <c r="C66" s="317">
        <f t="shared" si="4"/>
        <v>0</v>
      </c>
      <c r="D66" s="32">
        <v>-0.21854246818647738</v>
      </c>
      <c r="E66" s="321">
        <v>0.29006757423155705</v>
      </c>
      <c r="F66" s="317"/>
      <c r="G66" s="32"/>
      <c r="H66" s="321"/>
      <c r="I66" s="196"/>
      <c r="J66" s="32"/>
      <c r="K66" s="321"/>
    </row>
    <row r="67" spans="3:11">
      <c r="C67" s="317">
        <f t="shared" si="4"/>
        <v>0</v>
      </c>
      <c r="D67" s="32">
        <v>-0.11994931932633079</v>
      </c>
      <c r="E67" s="321">
        <v>0.17011825490522625</v>
      </c>
      <c r="F67" s="317"/>
      <c r="G67" s="32"/>
      <c r="H67" s="321"/>
      <c r="I67" s="32"/>
      <c r="J67" s="32"/>
      <c r="K67" s="33"/>
    </row>
    <row r="68" spans="3:11">
      <c r="C68" s="317">
        <f t="shared" si="4"/>
        <v>1</v>
      </c>
      <c r="D68" s="32" t="s">
        <v>200</v>
      </c>
      <c r="E68" s="321" t="s">
        <v>200</v>
      </c>
      <c r="F68" s="317"/>
      <c r="G68" s="32"/>
      <c r="H68" s="321"/>
    </row>
    <row r="69" spans="3:11">
      <c r="C69" s="317">
        <f t="shared" si="4"/>
        <v>0</v>
      </c>
      <c r="D69" s="32">
        <v>-0.43964593075204306</v>
      </c>
      <c r="E69" s="321">
        <v>0.17415949491189764</v>
      </c>
      <c r="F69" s="317"/>
      <c r="G69" s="32"/>
      <c r="H69" s="321"/>
    </row>
    <row r="70" spans="3:11">
      <c r="C70" s="314"/>
      <c r="D70" s="322"/>
      <c r="E70" s="323"/>
      <c r="F70" s="326"/>
      <c r="G70" s="327"/>
      <c r="H70" s="328"/>
    </row>
    <row r="74" spans="3:11">
      <c r="E74" s="33">
        <f>D51*E51</f>
        <v>0</v>
      </c>
    </row>
    <row r="75" spans="3:11">
      <c r="E75" s="33">
        <f t="shared" ref="E75:E92" si="5">D52*E52</f>
        <v>0</v>
      </c>
    </row>
    <row r="76" spans="3:11">
      <c r="E76" s="33" t="e">
        <f t="shared" si="5"/>
        <v>#VALUE!</v>
      </c>
    </row>
    <row r="77" spans="3:11">
      <c r="E77" s="33">
        <f t="shared" si="5"/>
        <v>-0.75</v>
      </c>
    </row>
    <row r="78" spans="3:11">
      <c r="E78" s="33" t="e">
        <f t="shared" si="5"/>
        <v>#VALUE!</v>
      </c>
    </row>
    <row r="79" spans="3:11">
      <c r="E79" s="33" t="e">
        <f t="shared" si="5"/>
        <v>#VALUE!</v>
      </c>
    </row>
    <row r="80" spans="3:11">
      <c r="E80" s="33" t="e">
        <f t="shared" si="5"/>
        <v>#VALUE!</v>
      </c>
    </row>
    <row r="81" spans="5:5">
      <c r="E81" s="33">
        <f t="shared" si="5"/>
        <v>5.7292031249911481E-3</v>
      </c>
    </row>
    <row r="82" spans="5:5">
      <c r="E82" s="33">
        <f t="shared" si="5"/>
        <v>2.2302832031387556E-4</v>
      </c>
    </row>
    <row r="83" spans="5:5">
      <c r="E83" s="33">
        <f t="shared" si="5"/>
        <v>1.1144219970546841E-4</v>
      </c>
    </row>
    <row r="84" spans="5:5">
      <c r="E84" s="33" t="e">
        <f t="shared" si="5"/>
        <v>#VALUE!</v>
      </c>
    </row>
    <row r="85" spans="5:5">
      <c r="E85" s="33">
        <f t="shared" si="5"/>
        <v>-4.0995653126390981E-2</v>
      </c>
    </row>
    <row r="86" spans="5:5">
      <c r="E86" s="33">
        <f t="shared" si="5"/>
        <v>-2.6108026900494622E-3</v>
      </c>
    </row>
    <row r="87" spans="5:5">
      <c r="E87" s="33" t="e">
        <f t="shared" si="5"/>
        <v>#VALUE!</v>
      </c>
    </row>
    <row r="88" spans="5:5">
      <c r="E88" s="33">
        <f t="shared" si="5"/>
        <v>-0.25969409865522119</v>
      </c>
    </row>
    <row r="89" spans="5:5">
      <c r="E89" s="33">
        <f t="shared" si="5"/>
        <v>-6.3392083613428726E-2</v>
      </c>
    </row>
    <row r="90" spans="5:5">
      <c r="E90" s="33">
        <f t="shared" si="5"/>
        <v>-2.0405568880865123E-2</v>
      </c>
    </row>
    <row r="91" spans="5:5">
      <c r="E91" s="33" t="e">
        <f t="shared" si="5"/>
        <v>#VALUE!</v>
      </c>
    </row>
    <row r="92" spans="5:5">
      <c r="E92" s="33">
        <f t="shared" si="5"/>
        <v>-7.6568513239846939E-2</v>
      </c>
    </row>
    <row r="93" spans="5:5">
      <c r="E93" s="33">
        <f>COUNTIF(E74:E92,"&gt;0")</f>
        <v>3</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20"/>
  <dimension ref="A1:R55"/>
  <sheetViews>
    <sheetView showGridLines="0" showRowColHeaders="0" zoomScale="97" zoomScaleNormal="97" workbookViewId="0">
      <selection activeCell="K5" sqref="K5"/>
    </sheetView>
  </sheetViews>
  <sheetFormatPr defaultColWidth="10.90625" defaultRowHeight="12.5"/>
  <cols>
    <col min="1" max="1" width="5.54296875" customWidth="1"/>
    <col min="4" max="4" width="12.26953125" bestFit="1" customWidth="1"/>
    <col min="5" max="5" width="15.7265625" bestFit="1" customWidth="1"/>
    <col min="7" max="7" width="5.81640625" customWidth="1"/>
    <col min="8" max="8" width="4.453125" customWidth="1"/>
    <col min="9" max="9" width="4.81640625" customWidth="1"/>
    <col min="10" max="10" width="23.26953125" customWidth="1"/>
    <col min="11" max="11" width="20.1796875" customWidth="1"/>
    <col min="12" max="12" width="20.81640625" customWidth="1"/>
  </cols>
  <sheetData>
    <row r="1" spans="1:18" ht="6.75" customHeight="1">
      <c r="A1" s="188"/>
      <c r="B1" s="188"/>
      <c r="C1" s="188"/>
      <c r="D1" s="188"/>
      <c r="E1" s="188"/>
      <c r="F1" s="188"/>
      <c r="G1" s="188"/>
      <c r="H1" s="192"/>
      <c r="I1" s="189"/>
      <c r="J1" s="189"/>
      <c r="K1" s="189"/>
      <c r="L1" s="189"/>
      <c r="M1" s="189"/>
      <c r="N1" s="189"/>
      <c r="O1" s="189"/>
      <c r="P1" s="189"/>
      <c r="Q1" s="189"/>
      <c r="R1" s="189"/>
    </row>
    <row r="2" spans="1:18" ht="41.25" customHeight="1">
      <c r="A2" s="188"/>
      <c r="B2" s="709" t="s">
        <v>195</v>
      </c>
      <c r="C2" s="505"/>
      <c r="D2" s="505"/>
      <c r="E2" s="505"/>
      <c r="F2" s="505"/>
      <c r="G2" s="188"/>
      <c r="H2" s="193"/>
      <c r="I2" s="190"/>
      <c r="J2" s="702" t="s">
        <v>204</v>
      </c>
      <c r="K2" s="703"/>
      <c r="L2" s="703"/>
      <c r="M2" s="189"/>
      <c r="N2" s="189"/>
      <c r="O2" s="189"/>
      <c r="P2" s="189"/>
      <c r="Q2" s="189"/>
      <c r="R2" s="189"/>
    </row>
    <row r="3" spans="1:18" ht="9" customHeight="1" thickBot="1">
      <c r="A3" s="698" t="s">
        <v>224</v>
      </c>
      <c r="B3" s="188"/>
      <c r="C3" s="188"/>
      <c r="D3" s="188"/>
      <c r="E3" s="188"/>
      <c r="F3" s="188"/>
      <c r="G3" s="188"/>
      <c r="H3" s="192"/>
      <c r="I3" s="189"/>
      <c r="J3" s="191"/>
      <c r="K3" s="189"/>
      <c r="L3" s="189"/>
      <c r="M3" s="189"/>
      <c r="N3" s="189"/>
      <c r="O3" s="189"/>
      <c r="P3" s="189"/>
      <c r="Q3" s="189"/>
      <c r="R3" s="189"/>
    </row>
    <row r="4" spans="1:18" ht="18.5" thickTop="1" thickBot="1">
      <c r="A4" s="698"/>
      <c r="B4" s="188"/>
      <c r="C4" s="708" t="s">
        <v>197</v>
      </c>
      <c r="D4" s="708"/>
      <c r="E4" s="704">
        <f ca="1">IF(COUNTIF('beta estimation(inputs)'!F26:F44,0)=19,"infinite",-'beta estimation(inputs)'!I50/'input own m.p.'!K10)</f>
        <v>0</v>
      </c>
      <c r="F4" s="188"/>
      <c r="G4" s="188"/>
      <c r="H4" s="192"/>
      <c r="I4" s="189"/>
      <c r="J4" s="189"/>
      <c r="K4" s="199" t="s">
        <v>203</v>
      </c>
      <c r="L4" s="199" t="s">
        <v>207</v>
      </c>
      <c r="M4" s="189"/>
      <c r="N4" s="189"/>
      <c r="O4" s="189"/>
      <c r="P4" s="189"/>
      <c r="Q4" s="189"/>
      <c r="R4" s="189"/>
    </row>
    <row r="5" spans="1:18" ht="19" thickTop="1" thickBot="1">
      <c r="A5" s="698"/>
      <c r="B5" s="188"/>
      <c r="C5" s="708"/>
      <c r="D5" s="708"/>
      <c r="E5" s="705"/>
      <c r="F5" s="188"/>
      <c r="G5" s="188"/>
      <c r="H5" s="192"/>
      <c r="I5" s="189"/>
      <c r="J5" s="186" t="s">
        <v>202</v>
      </c>
      <c r="K5" s="352">
        <v>1.8149</v>
      </c>
      <c r="L5" s="352">
        <v>1.8149</v>
      </c>
      <c r="M5" s="189"/>
      <c r="N5" s="189"/>
      <c r="O5" s="189"/>
      <c r="P5" s="189"/>
      <c r="Q5" s="189"/>
      <c r="R5" s="189"/>
    </row>
    <row r="6" spans="1:18" ht="19.5" customHeight="1" thickTop="1" thickBot="1">
      <c r="A6" s="698"/>
      <c r="B6" s="188"/>
      <c r="C6" s="708" t="s">
        <v>196</v>
      </c>
      <c r="D6" s="708"/>
      <c r="E6" s="706">
        <f ca="1">'beta estimation(inputs)'!I52</f>
        <v>1</v>
      </c>
      <c r="F6" s="188"/>
      <c r="G6" s="188"/>
      <c r="H6" s="192"/>
      <c r="I6" s="189"/>
      <c r="J6" s="189"/>
      <c r="K6" s="189"/>
      <c r="L6" s="189"/>
      <c r="M6" s="189"/>
      <c r="N6" s="189"/>
      <c r="O6" s="189"/>
      <c r="P6" s="189"/>
      <c r="Q6" s="189"/>
      <c r="R6" s="189"/>
    </row>
    <row r="7" spans="1:18" ht="18.5" thickTop="1" thickBot="1">
      <c r="A7" s="698"/>
      <c r="B7" s="188"/>
      <c r="C7" s="708"/>
      <c r="D7" s="708"/>
      <c r="E7" s="707"/>
      <c r="F7" s="188"/>
      <c r="G7" s="188"/>
      <c r="H7" s="192"/>
      <c r="I7" s="189"/>
      <c r="J7" s="189"/>
      <c r="K7" s="199" t="s">
        <v>194</v>
      </c>
      <c r="L7" s="199" t="s">
        <v>205</v>
      </c>
      <c r="M7" s="189"/>
      <c r="N7" s="189"/>
      <c r="O7" s="189"/>
      <c r="P7" s="189"/>
      <c r="Q7" s="189"/>
      <c r="R7" s="189"/>
    </row>
    <row r="8" spans="1:18" ht="18.5" thickTop="1" thickBot="1">
      <c r="A8" s="698"/>
      <c r="B8" s="188"/>
      <c r="C8" s="188"/>
      <c r="D8" s="188"/>
      <c r="E8" s="188"/>
      <c r="F8" s="188"/>
      <c r="G8" s="188"/>
      <c r="H8" s="192"/>
      <c r="I8" s="189"/>
      <c r="J8" s="187" t="s">
        <v>193</v>
      </c>
      <c r="K8" s="380">
        <f>'loss level(inputs)'!D25</f>
        <v>746.39031257057229</v>
      </c>
      <c r="L8" s="380">
        <f>IF(L5="","",'loss level(inputs)'!I25)</f>
        <v>3.5740827364066843</v>
      </c>
      <c r="M8" s="189"/>
      <c r="N8" s="189"/>
      <c r="O8" s="189"/>
      <c r="P8" s="189"/>
      <c r="Q8" s="189"/>
      <c r="R8" s="189"/>
    </row>
    <row r="9" spans="1:18" ht="20.25" customHeight="1" thickTop="1" thickBot="1">
      <c r="A9" s="698"/>
      <c r="B9" s="188"/>
      <c r="C9" s="699" t="str">
        <f ca="1">IF(E4&lt;0,"Your estimated beta is negative! Either you may have got the sign wrong for the monetary policy response or you may have overreacted.",IF(0.2&gt;E6,CONCATENATE("Your goodness of fit is too low. You do not seem to follow a systematic policy, at least one that can be approximated by an MR",". It might also be the case that some outliers are distorting the result (because of policy mistakes or because of reaching the zero bound for the nominal interest rate)."),IF(AND(0.5&gt;E6,E6&gt;=0.2),"Your goodness of fit is low but you seem to be following some systematic behavior in setting your policy.",IF(AND(0.95&gt;=E6,E6&gt;=0.5),"Your fit is good. It seems that you are trying to apply the monetary rule as explained in the book.",IF(AND(0.95&lt;=E6,E6&lt;=1),"Your policy exactly fits a monetary rule with the estimated beta shown above. Confess, you are using the interest rate rule formula to calculate your policy choice!",IF(COUNTIF('beta estimation(inputs)'!D26:D44,0)=19,"You have followed very systematically the simple rule to avoid any output gap and, therefore, your beta is zero. The fit is excellent but cannot be calculated by the computer.",""))))))</f>
        <v>Your policy exactly fits a monetary rule with the estimated beta shown above. Confess, you are using the interest rate rule formula to calculate your policy choice!</v>
      </c>
      <c r="D9" s="699"/>
      <c r="E9" s="699"/>
      <c r="F9" s="188"/>
      <c r="G9" s="188"/>
      <c r="H9" s="192"/>
      <c r="I9" s="189"/>
      <c r="J9" s="187" t="s">
        <v>192</v>
      </c>
      <c r="K9" s="380">
        <f>'loss level(inputs)'!F25</f>
        <v>3680.3902000370035</v>
      </c>
      <c r="L9" s="380">
        <f>IF(L5="","",'loss level(inputs)'!K25)</f>
        <v>0.15837247582904609</v>
      </c>
      <c r="M9" s="189"/>
      <c r="N9" s="189"/>
      <c r="O9" s="189"/>
      <c r="P9" s="189"/>
      <c r="Q9" s="189"/>
      <c r="R9" s="189"/>
    </row>
    <row r="10" spans="1:18" ht="18.5" thickTop="1" thickBot="1">
      <c r="A10" s="698"/>
      <c r="B10" s="188"/>
      <c r="C10" s="699"/>
      <c r="D10" s="699"/>
      <c r="E10" s="699"/>
      <c r="F10" s="188"/>
      <c r="G10" s="188"/>
      <c r="H10" s="192"/>
      <c r="I10" s="189"/>
      <c r="J10" s="194" t="s">
        <v>206</v>
      </c>
      <c r="K10" s="381">
        <f>IF(K5="","",(1/(1+$K$5))*K8+($K$5/(1+$K$5))*K9)</f>
        <v>2638.0796783607698</v>
      </c>
      <c r="L10" s="381">
        <f>IF(L5="","",(1/(1+$K$5))*L8+($K$5/(1+$K$5))*L9)</f>
        <v>1.3718117669504495</v>
      </c>
      <c r="M10" s="189"/>
      <c r="N10" s="189"/>
      <c r="O10" s="189"/>
      <c r="P10" s="189"/>
      <c r="Q10" s="189"/>
      <c r="R10" s="189"/>
    </row>
    <row r="11" spans="1:18" ht="12.75" customHeight="1" thickTop="1">
      <c r="A11" s="698"/>
      <c r="B11" s="188"/>
      <c r="C11" s="699"/>
      <c r="D11" s="699"/>
      <c r="E11" s="699"/>
      <c r="F11" s="188"/>
      <c r="G11" s="188"/>
      <c r="H11" s="192"/>
      <c r="I11" s="189"/>
      <c r="J11" s="189"/>
      <c r="K11" s="189"/>
      <c r="L11" s="189"/>
      <c r="M11" s="189"/>
      <c r="N11" s="189"/>
      <c r="O11" s="189"/>
      <c r="P11" s="189"/>
      <c r="Q11" s="189"/>
      <c r="R11" s="189"/>
    </row>
    <row r="12" spans="1:18" ht="12.75" customHeight="1">
      <c r="A12" s="698"/>
      <c r="B12" s="188"/>
      <c r="C12" s="699"/>
      <c r="D12" s="699"/>
      <c r="E12" s="699"/>
      <c r="F12" s="188"/>
      <c r="G12" s="188"/>
      <c r="H12" s="192"/>
      <c r="I12" s="189"/>
      <c r="J12" s="710" t="str">
        <f>IF(C18&gt;0,"You have used fiscal policy. This blurs the comparison since the automated central bank cannot apply fiscal stimulus.",IF(AND(C19&lt;0.0001,K10&lt;L10),"Oops! The comparison of society's loss is strange. Do you want to know why? ",""))</f>
        <v/>
      </c>
      <c r="K12" s="711"/>
      <c r="L12" s="189"/>
      <c r="M12" s="189"/>
      <c r="N12" s="189"/>
      <c r="O12" s="189"/>
      <c r="P12" s="189"/>
      <c r="Q12" s="189"/>
      <c r="R12" s="189"/>
    </row>
    <row r="13" spans="1:18" ht="12.75" customHeight="1">
      <c r="A13" s="698"/>
      <c r="B13" s="188"/>
      <c r="C13" s="699"/>
      <c r="D13" s="699"/>
      <c r="E13" s="699"/>
      <c r="F13" s="188"/>
      <c r="G13" s="188"/>
      <c r="H13" s="192"/>
      <c r="I13" s="189"/>
      <c r="J13" s="711"/>
      <c r="K13" s="711"/>
      <c r="L13" s="189"/>
      <c r="M13" s="189"/>
      <c r="N13" s="189"/>
      <c r="O13" s="189"/>
      <c r="P13" s="189"/>
      <c r="Q13" s="189"/>
      <c r="R13" s="189"/>
    </row>
    <row r="14" spans="1:18" ht="12.75" customHeight="1">
      <c r="A14" s="698"/>
      <c r="B14" s="188"/>
      <c r="C14" s="699"/>
      <c r="D14" s="699"/>
      <c r="E14" s="699"/>
      <c r="F14" s="188"/>
      <c r="G14" s="188"/>
      <c r="H14" s="192"/>
      <c r="I14" s="189"/>
      <c r="J14" s="711"/>
      <c r="K14" s="711"/>
      <c r="L14" s="189"/>
      <c r="M14" s="189"/>
      <c r="N14" s="189"/>
      <c r="O14" s="189"/>
      <c r="P14" s="189"/>
      <c r="Q14" s="189"/>
      <c r="R14" s="189"/>
    </row>
    <row r="15" spans="1:18" ht="12.75" customHeight="1">
      <c r="A15" s="698"/>
      <c r="B15" s="188"/>
      <c r="C15" s="699"/>
      <c r="D15" s="699"/>
      <c r="E15" s="699"/>
      <c r="F15" s="188"/>
      <c r="G15" s="188"/>
      <c r="H15" s="192"/>
      <c r="I15" s="189"/>
      <c r="J15" s="189"/>
      <c r="K15" s="189"/>
      <c r="L15" s="189"/>
      <c r="M15" s="189"/>
      <c r="N15" s="189"/>
      <c r="O15" s="189"/>
      <c r="P15" s="189"/>
      <c r="Q15" s="189"/>
      <c r="R15" s="189"/>
    </row>
    <row r="16" spans="1:18" ht="12.75" customHeight="1">
      <c r="A16" s="698"/>
      <c r="B16" s="188"/>
      <c r="C16" s="188"/>
      <c r="D16" s="188"/>
      <c r="E16" s="188"/>
      <c r="F16" s="188"/>
      <c r="G16" s="188"/>
      <c r="H16" s="192"/>
      <c r="I16" s="189"/>
      <c r="J16" s="189"/>
      <c r="K16" s="189"/>
      <c r="L16" s="189"/>
      <c r="M16" s="189"/>
      <c r="N16" s="189"/>
      <c r="O16" s="189"/>
      <c r="P16" s="189"/>
      <c r="Q16" s="189"/>
      <c r="R16" s="189"/>
    </row>
    <row r="17" spans="1:18">
      <c r="A17" s="698"/>
      <c r="B17" s="188"/>
      <c r="C17" s="188"/>
      <c r="D17" s="188"/>
      <c r="E17" s="188"/>
      <c r="F17" s="188"/>
      <c r="G17" s="188"/>
      <c r="H17" s="192"/>
      <c r="I17" s="189"/>
      <c r="J17" s="189"/>
      <c r="K17" s="189"/>
      <c r="L17" s="189"/>
      <c r="M17" s="189"/>
      <c r="N17" s="189"/>
      <c r="O17" s="189"/>
      <c r="P17" s="189"/>
      <c r="Q17" s="189"/>
      <c r="R17" s="189"/>
    </row>
    <row r="18" spans="1:18">
      <c r="A18" s="698"/>
      <c r="B18" s="188"/>
      <c r="C18" s="200">
        <f>'choose m.p.'!F25</f>
        <v>0</v>
      </c>
      <c r="D18" s="188">
        <f>'beta estimation(inputs)'!E93</f>
        <v>3</v>
      </c>
      <c r="E18" s="200">
        <f>'choose m.p. (endogenous policy)'!I45</f>
        <v>1</v>
      </c>
      <c r="F18" s="188"/>
      <c r="G18" s="188"/>
      <c r="H18" s="192"/>
      <c r="I18" s="189"/>
      <c r="J18" s="189"/>
      <c r="K18" s="189"/>
      <c r="L18" s="189"/>
      <c r="M18" s="189"/>
      <c r="N18" s="189"/>
      <c r="O18" s="189"/>
      <c r="P18" s="189"/>
      <c r="Q18" s="189"/>
      <c r="R18" s="189"/>
    </row>
    <row r="19" spans="1:18">
      <c r="A19" s="698"/>
      <c r="B19" s="188"/>
      <c r="C19" s="188">
        <f>ABS(K5-L5)</f>
        <v>0</v>
      </c>
      <c r="D19" s="188"/>
      <c r="E19" s="188"/>
      <c r="F19" s="188"/>
      <c r="G19" s="188"/>
      <c r="H19" s="192"/>
      <c r="I19" s="189"/>
      <c r="J19" s="189"/>
      <c r="K19" s="189"/>
      <c r="L19" s="189"/>
      <c r="M19" s="189"/>
      <c r="N19" s="189"/>
      <c r="O19" s="189"/>
      <c r="P19" s="189"/>
      <c r="Q19" s="189"/>
      <c r="R19" s="189"/>
    </row>
    <row r="20" spans="1:18">
      <c r="A20" s="698"/>
      <c r="B20" s="188"/>
      <c r="C20" s="188"/>
      <c r="D20" s="188"/>
      <c r="E20" s="188"/>
      <c r="F20" s="188"/>
      <c r="G20" s="188"/>
      <c r="H20" s="192"/>
      <c r="I20" s="189"/>
      <c r="J20" s="189"/>
      <c r="K20" s="189"/>
      <c r="L20" s="373"/>
      <c r="M20" s="189"/>
      <c r="N20" s="189"/>
      <c r="O20" s="189"/>
      <c r="P20" s="189"/>
      <c r="Q20" s="189"/>
      <c r="R20" s="189"/>
    </row>
    <row r="21" spans="1:18">
      <c r="A21" s="698"/>
      <c r="B21" s="188"/>
      <c r="C21" s="188"/>
      <c r="D21" s="188"/>
      <c r="E21" s="188"/>
      <c r="F21" s="188"/>
      <c r="G21" s="188"/>
      <c r="H21" s="192"/>
      <c r="I21" s="189"/>
      <c r="J21" s="189"/>
      <c r="K21" s="189"/>
      <c r="L21" s="189"/>
      <c r="M21" s="189"/>
      <c r="N21" s="189"/>
      <c r="O21" s="189"/>
      <c r="P21" s="189"/>
      <c r="Q21" s="189"/>
      <c r="R21" s="189"/>
    </row>
    <row r="22" spans="1:18">
      <c r="A22" s="698"/>
      <c r="B22" s="188"/>
      <c r="C22" s="188"/>
      <c r="D22" s="188"/>
      <c r="E22" s="188"/>
      <c r="F22" s="188"/>
      <c r="G22" s="188"/>
      <c r="H22" s="192"/>
      <c r="I22" s="189"/>
      <c r="J22" s="189"/>
      <c r="K22" s="189"/>
      <c r="L22" s="189"/>
      <c r="M22" s="189"/>
      <c r="N22" s="189"/>
      <c r="O22" s="189"/>
      <c r="P22" s="189"/>
      <c r="Q22" s="189"/>
      <c r="R22" s="189"/>
    </row>
    <row r="23" spans="1:18">
      <c r="A23" s="698"/>
      <c r="B23" s="188"/>
      <c r="C23" s="188"/>
      <c r="D23" s="188"/>
      <c r="E23" s="188"/>
      <c r="F23" s="188"/>
      <c r="G23" s="188"/>
      <c r="H23" s="192"/>
      <c r="I23" s="189"/>
      <c r="J23" s="189"/>
      <c r="K23" s="189"/>
      <c r="L23" s="189"/>
      <c r="M23" s="189"/>
      <c r="N23" s="189"/>
      <c r="O23" s="189"/>
      <c r="P23" s="189"/>
      <c r="Q23" s="189"/>
      <c r="R23" s="189"/>
    </row>
    <row r="24" spans="1:18">
      <c r="A24" s="698"/>
      <c r="B24" s="188"/>
      <c r="C24" s="188"/>
      <c r="D24" s="188"/>
      <c r="E24" s="188"/>
      <c r="F24" s="188"/>
      <c r="G24" s="188"/>
      <c r="H24" s="192"/>
      <c r="I24" s="189"/>
      <c r="J24" s="189"/>
      <c r="K24" s="189"/>
      <c r="L24" s="189"/>
      <c r="M24" s="189"/>
      <c r="N24" s="189"/>
      <c r="O24" s="189"/>
      <c r="P24" s="189"/>
      <c r="Q24" s="189"/>
      <c r="R24" s="189"/>
    </row>
    <row r="25" spans="1:18">
      <c r="A25" s="698"/>
      <c r="B25" s="188"/>
      <c r="C25" s="188"/>
      <c r="D25" s="188"/>
      <c r="E25" s="188"/>
      <c r="F25" s="188"/>
      <c r="G25" s="188"/>
      <c r="H25" s="192"/>
      <c r="I25" s="189"/>
      <c r="J25" s="189"/>
      <c r="K25" s="189"/>
      <c r="L25" s="189"/>
      <c r="M25" s="189"/>
      <c r="N25" s="189"/>
      <c r="O25" s="189"/>
      <c r="P25" s="189"/>
      <c r="Q25" s="189"/>
      <c r="R25" s="189"/>
    </row>
    <row r="26" spans="1:18">
      <c r="A26" s="188"/>
      <c r="B26" s="188"/>
      <c r="C26" s="188"/>
      <c r="D26" s="188"/>
      <c r="E26" s="188"/>
      <c r="F26" s="188"/>
      <c r="G26" s="188"/>
      <c r="H26" s="192"/>
      <c r="I26" s="189"/>
      <c r="J26" s="189"/>
      <c r="K26" s="189"/>
      <c r="L26" s="189"/>
      <c r="M26" s="189"/>
      <c r="N26" s="189"/>
      <c r="O26" s="189"/>
      <c r="P26" s="189"/>
      <c r="Q26" s="189"/>
      <c r="R26" s="189"/>
    </row>
    <row r="27" spans="1:18">
      <c r="A27" s="188"/>
      <c r="B27" s="188"/>
      <c r="C27" s="188"/>
      <c r="D27" s="188"/>
      <c r="E27" s="188"/>
      <c r="F27" s="188"/>
      <c r="G27" s="188"/>
      <c r="H27" s="192"/>
      <c r="I27" s="189"/>
      <c r="J27" s="189"/>
      <c r="K27" s="189"/>
      <c r="L27" s="189"/>
      <c r="M27" s="189"/>
      <c r="N27" s="189"/>
      <c r="O27" s="189"/>
      <c r="P27" s="189"/>
      <c r="Q27" s="189"/>
      <c r="R27" s="189"/>
    </row>
    <row r="28" spans="1:18">
      <c r="A28" s="188"/>
      <c r="B28" s="188"/>
      <c r="C28" s="188"/>
      <c r="D28" s="188"/>
      <c r="E28" s="188"/>
      <c r="F28" s="188"/>
      <c r="G28" s="188"/>
      <c r="H28" s="192"/>
      <c r="I28" s="189"/>
      <c r="J28" s="189"/>
      <c r="K28" s="189"/>
      <c r="L28" s="189"/>
      <c r="M28" s="189"/>
      <c r="N28" s="189"/>
      <c r="O28" s="189"/>
      <c r="P28" s="189"/>
      <c r="Q28" s="189"/>
      <c r="R28" s="189"/>
    </row>
    <row r="29" spans="1:18">
      <c r="A29" s="188"/>
      <c r="B29" s="188"/>
      <c r="C29" s="188"/>
      <c r="D29" s="188"/>
      <c r="E29" s="188"/>
      <c r="F29" s="188"/>
      <c r="G29" s="188"/>
      <c r="H29" s="192"/>
      <c r="I29" s="189"/>
      <c r="J29" s="189"/>
      <c r="K29" s="189"/>
      <c r="L29" s="189"/>
      <c r="M29" s="189"/>
      <c r="N29" s="189"/>
      <c r="O29" s="189"/>
      <c r="P29" s="189"/>
      <c r="Q29" s="189"/>
      <c r="R29" s="189"/>
    </row>
    <row r="30" spans="1:18">
      <c r="A30" s="188"/>
      <c r="B30" s="188"/>
      <c r="C30" s="188"/>
      <c r="D30" s="188"/>
      <c r="E30" s="188"/>
      <c r="F30" s="188"/>
      <c r="G30" s="188"/>
      <c r="H30" s="192"/>
      <c r="I30" s="189"/>
      <c r="J30" s="189"/>
      <c r="K30" s="189"/>
      <c r="L30" s="189"/>
      <c r="M30" s="189"/>
      <c r="N30" s="189"/>
      <c r="O30" s="189"/>
      <c r="P30" s="189"/>
      <c r="Q30" s="189"/>
      <c r="R30" s="189"/>
    </row>
    <row r="31" spans="1:18" ht="24.75" customHeight="1">
      <c r="A31" s="188"/>
      <c r="B31" s="700" t="str">
        <f>IF('beta estimation(inputs)'!E93&gt;0,CONCATENATE("Points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f>
        <v>Points in the NE or SW quadrants imply either that you have got the sign wrong for monetary policy (for instance, you have  produced a positive output gap when there was excess inflation) or you have overreacted  (for instance, you have made inflation fall below the target due to a too large negative gap caused by increasing the interest rate too much). This could even produce a negative estimated beta (a MR with positive slope).</v>
      </c>
      <c r="C31" s="701"/>
      <c r="D31" s="701"/>
      <c r="E31" s="701"/>
      <c r="F31" s="701"/>
      <c r="G31" s="188"/>
      <c r="H31" s="192"/>
      <c r="I31" s="189"/>
      <c r="J31" s="189"/>
      <c r="K31" s="189"/>
      <c r="L31" s="189"/>
      <c r="M31" s="189"/>
      <c r="N31" s="189"/>
      <c r="O31" s="189"/>
      <c r="P31" s="189"/>
      <c r="Q31" s="189"/>
      <c r="R31" s="189"/>
    </row>
    <row r="32" spans="1:18">
      <c r="A32" s="188"/>
      <c r="B32" s="701"/>
      <c r="C32" s="701"/>
      <c r="D32" s="701"/>
      <c r="E32" s="701"/>
      <c r="F32" s="701"/>
      <c r="G32" s="188"/>
      <c r="H32" s="192"/>
      <c r="I32" s="189"/>
      <c r="J32" s="189"/>
      <c r="K32" s="189"/>
      <c r="L32" s="189"/>
      <c r="M32" s="189"/>
      <c r="N32" s="189"/>
      <c r="O32" s="189"/>
      <c r="P32" s="189"/>
      <c r="Q32" s="189"/>
      <c r="R32" s="189"/>
    </row>
    <row r="33" spans="1:18" ht="17.25" customHeight="1">
      <c r="A33" s="188"/>
      <c r="B33" s="701"/>
      <c r="C33" s="701"/>
      <c r="D33" s="701"/>
      <c r="E33" s="701"/>
      <c r="F33" s="701"/>
      <c r="G33" s="188"/>
      <c r="H33" s="192"/>
      <c r="I33" s="189"/>
      <c r="J33" s="189"/>
      <c r="K33" s="189"/>
      <c r="L33" s="189"/>
      <c r="M33" s="189"/>
      <c r="N33" s="189"/>
      <c r="O33" s="189"/>
      <c r="P33" s="189"/>
      <c r="Q33" s="189"/>
      <c r="R33" s="189"/>
    </row>
    <row r="34" spans="1:18" ht="21.75" customHeight="1">
      <c r="A34" s="188"/>
      <c r="B34" s="701"/>
      <c r="C34" s="701"/>
      <c r="D34" s="701"/>
      <c r="E34" s="701"/>
      <c r="F34" s="701"/>
      <c r="G34" s="188"/>
      <c r="H34" s="192"/>
      <c r="I34" s="189"/>
      <c r="J34" s="189"/>
      <c r="K34" s="189"/>
      <c r="L34" s="189"/>
      <c r="M34" s="189"/>
      <c r="N34" s="189"/>
      <c r="O34" s="189"/>
      <c r="P34" s="189"/>
      <c r="Q34" s="189"/>
      <c r="R34" s="189"/>
    </row>
    <row r="35" spans="1:18">
      <c r="A35" s="188"/>
      <c r="B35" s="188"/>
      <c r="C35" s="188"/>
      <c r="D35" s="188"/>
      <c r="E35" s="188"/>
      <c r="F35" s="188"/>
      <c r="G35" s="188"/>
      <c r="H35" s="192"/>
      <c r="I35" s="189"/>
      <c r="J35" s="189"/>
      <c r="K35" s="189"/>
      <c r="L35" s="189"/>
      <c r="M35" s="189"/>
      <c r="N35" s="189"/>
      <c r="O35" s="189"/>
      <c r="P35" s="189"/>
      <c r="Q35" s="189"/>
      <c r="R35" s="189"/>
    </row>
    <row r="36" spans="1:18">
      <c r="A36" s="188"/>
      <c r="B36" s="188"/>
      <c r="C36" s="188"/>
      <c r="D36" s="188"/>
      <c r="E36" s="188"/>
      <c r="F36" s="188"/>
      <c r="G36" s="188"/>
      <c r="H36" s="192"/>
      <c r="I36" s="189"/>
      <c r="J36" s="189"/>
      <c r="K36" s="189"/>
      <c r="L36" s="189"/>
      <c r="M36" s="189"/>
      <c r="N36" s="189"/>
      <c r="O36" s="189"/>
      <c r="P36" s="189"/>
      <c r="Q36" s="189"/>
      <c r="R36" s="189"/>
    </row>
    <row r="37" spans="1:18">
      <c r="A37" s="188"/>
      <c r="B37" s="188"/>
      <c r="C37" s="188"/>
      <c r="D37" s="188"/>
      <c r="E37" s="188"/>
      <c r="F37" s="188"/>
      <c r="G37" s="188"/>
      <c r="H37" s="192"/>
      <c r="I37" s="189"/>
      <c r="J37" s="189"/>
      <c r="K37" s="189"/>
      <c r="L37" s="189"/>
      <c r="M37" s="189"/>
      <c r="N37" s="189"/>
      <c r="O37" s="189"/>
      <c r="P37" s="189"/>
      <c r="Q37" s="189"/>
      <c r="R37" s="189"/>
    </row>
    <row r="38" spans="1:18">
      <c r="A38" s="188"/>
      <c r="B38" s="188"/>
      <c r="C38" s="188"/>
      <c r="D38" s="188"/>
      <c r="E38" s="188"/>
      <c r="F38" s="188"/>
      <c r="G38" s="188"/>
      <c r="H38" s="192"/>
      <c r="I38" s="189"/>
      <c r="J38" s="189"/>
      <c r="K38" s="189"/>
      <c r="L38" s="189"/>
      <c r="M38" s="189"/>
      <c r="N38" s="189"/>
      <c r="O38" s="189"/>
      <c r="P38" s="189"/>
      <c r="Q38" s="189"/>
      <c r="R38" s="189"/>
    </row>
    <row r="39" spans="1:18">
      <c r="A39" s="188"/>
      <c r="B39" s="188"/>
      <c r="C39" s="188"/>
      <c r="D39" s="188"/>
      <c r="E39" s="188"/>
      <c r="F39" s="188"/>
      <c r="G39" s="188"/>
      <c r="H39" s="192"/>
      <c r="I39" s="189"/>
      <c r="J39" s="189"/>
      <c r="K39" s="189"/>
      <c r="L39" s="189"/>
      <c r="M39" s="189"/>
      <c r="N39" s="189"/>
      <c r="O39" s="189"/>
      <c r="P39" s="189"/>
      <c r="Q39" s="189"/>
      <c r="R39" s="189"/>
    </row>
    <row r="40" spans="1:18">
      <c r="A40" s="188"/>
      <c r="B40" s="188"/>
      <c r="C40" s="188"/>
      <c r="D40" s="188"/>
      <c r="E40" s="188"/>
      <c r="F40" s="188"/>
      <c r="G40" s="188"/>
      <c r="H40" s="192"/>
      <c r="I40" s="189"/>
      <c r="J40" s="189"/>
      <c r="K40" s="189"/>
      <c r="L40" s="189"/>
      <c r="M40" s="189"/>
      <c r="N40" s="189"/>
      <c r="O40" s="189"/>
      <c r="P40" s="189"/>
      <c r="Q40" s="189"/>
      <c r="R40" s="189"/>
    </row>
    <row r="41" spans="1:18">
      <c r="A41" s="188"/>
      <c r="B41" s="188"/>
      <c r="C41" s="188"/>
      <c r="D41" s="188"/>
      <c r="E41" s="188"/>
      <c r="F41" s="188"/>
      <c r="G41" s="188"/>
      <c r="H41" s="192"/>
      <c r="I41" s="189"/>
      <c r="J41" s="189"/>
      <c r="K41" s="189"/>
      <c r="L41" s="189"/>
      <c r="M41" s="189"/>
      <c r="N41" s="189"/>
      <c r="O41" s="189"/>
      <c r="P41" s="189"/>
      <c r="Q41" s="189"/>
      <c r="R41" s="189"/>
    </row>
    <row r="42" spans="1:18">
      <c r="A42" s="188"/>
      <c r="B42" s="188"/>
      <c r="C42" s="188"/>
      <c r="D42" s="188"/>
      <c r="E42" s="188"/>
      <c r="F42" s="188"/>
      <c r="G42" s="188"/>
      <c r="H42" s="192"/>
      <c r="I42" s="189"/>
      <c r="J42" s="189"/>
      <c r="K42" s="189"/>
      <c r="L42" s="189"/>
      <c r="M42" s="189"/>
      <c r="N42" s="189"/>
      <c r="O42" s="189"/>
      <c r="P42" s="189"/>
      <c r="Q42" s="189"/>
      <c r="R42" s="189"/>
    </row>
    <row r="43" spans="1:18">
      <c r="A43" s="188"/>
      <c r="B43" s="188"/>
      <c r="C43" s="188"/>
      <c r="D43" s="188"/>
      <c r="E43" s="188"/>
      <c r="F43" s="188"/>
      <c r="G43" s="188"/>
      <c r="H43" s="192"/>
      <c r="I43" s="189"/>
      <c r="J43" s="189"/>
      <c r="K43" s="189"/>
      <c r="L43" s="189"/>
      <c r="M43" s="189"/>
      <c r="N43" s="189"/>
      <c r="O43" s="189"/>
      <c r="P43" s="189"/>
      <c r="Q43" s="189"/>
      <c r="R43" s="189"/>
    </row>
    <row r="44" spans="1:18">
      <c r="A44" s="188"/>
      <c r="B44" s="188"/>
      <c r="C44" s="188"/>
      <c r="D44" s="188"/>
      <c r="E44" s="188"/>
      <c r="F44" s="188"/>
      <c r="G44" s="188"/>
      <c r="H44" s="192"/>
      <c r="I44" s="189"/>
      <c r="J44" s="189"/>
      <c r="K44" s="189"/>
      <c r="L44" s="189"/>
      <c r="M44" s="189"/>
      <c r="N44" s="189"/>
      <c r="O44" s="189"/>
      <c r="P44" s="189"/>
      <c r="Q44" s="189"/>
      <c r="R44" s="189"/>
    </row>
    <row r="45" spans="1:18">
      <c r="A45" s="188"/>
      <c r="B45" s="188"/>
      <c r="C45" s="188"/>
      <c r="D45" s="188"/>
      <c r="E45" s="188"/>
      <c r="F45" s="188"/>
      <c r="G45" s="188"/>
      <c r="H45" s="192"/>
      <c r="I45" s="189"/>
      <c r="J45" s="189"/>
      <c r="K45" s="189"/>
      <c r="L45" s="189"/>
      <c r="M45" s="189"/>
      <c r="N45" s="189"/>
      <c r="O45" s="189"/>
      <c r="P45" s="189"/>
      <c r="Q45" s="189"/>
      <c r="R45" s="189"/>
    </row>
    <row r="46" spans="1:18">
      <c r="A46" s="188"/>
      <c r="B46" s="188"/>
      <c r="C46" s="188"/>
      <c r="D46" s="188"/>
      <c r="E46" s="188"/>
      <c r="F46" s="188"/>
      <c r="G46" s="188"/>
      <c r="H46" s="192"/>
      <c r="I46" s="189"/>
      <c r="J46" s="189"/>
      <c r="K46" s="189"/>
      <c r="L46" s="189"/>
      <c r="M46" s="189"/>
      <c r="N46" s="189"/>
      <c r="O46" s="189"/>
      <c r="P46" s="189"/>
      <c r="Q46" s="189"/>
      <c r="R46" s="189"/>
    </row>
    <row r="47" spans="1:18">
      <c r="A47" s="188"/>
      <c r="B47" s="188"/>
      <c r="C47" s="188"/>
      <c r="D47" s="188"/>
      <c r="E47" s="188"/>
      <c r="F47" s="188"/>
      <c r="G47" s="188"/>
      <c r="H47" s="192"/>
      <c r="I47" s="189"/>
      <c r="J47" s="189"/>
      <c r="K47" s="189"/>
      <c r="L47" s="189"/>
      <c r="M47" s="189"/>
      <c r="N47" s="189"/>
      <c r="O47" s="189"/>
      <c r="P47" s="189"/>
      <c r="Q47" s="189"/>
      <c r="R47" s="189"/>
    </row>
    <row r="48" spans="1:18">
      <c r="A48" s="188"/>
      <c r="B48" s="188"/>
      <c r="C48" s="188"/>
      <c r="D48" s="188"/>
      <c r="E48" s="188"/>
      <c r="F48" s="188"/>
      <c r="G48" s="188"/>
      <c r="H48" s="192"/>
      <c r="I48" s="189"/>
      <c r="J48" s="189"/>
      <c r="K48" s="189"/>
      <c r="L48" s="189"/>
      <c r="M48" s="189"/>
      <c r="N48" s="189"/>
      <c r="O48" s="189"/>
      <c r="P48" s="189"/>
      <c r="Q48" s="189"/>
      <c r="R48" s="189"/>
    </row>
    <row r="49" spans="1:18">
      <c r="A49" s="188"/>
      <c r="B49" s="188"/>
      <c r="C49" s="188"/>
      <c r="D49" s="188"/>
      <c r="E49" s="188"/>
      <c r="F49" s="188"/>
      <c r="G49" s="188"/>
      <c r="H49" s="192"/>
      <c r="I49" s="189"/>
      <c r="J49" s="189"/>
      <c r="K49" s="189"/>
      <c r="L49" s="189"/>
      <c r="M49" s="189"/>
      <c r="N49" s="189"/>
      <c r="O49" s="189"/>
      <c r="P49" s="189"/>
      <c r="Q49" s="189"/>
      <c r="R49" s="189"/>
    </row>
    <row r="50" spans="1:18">
      <c r="A50" s="188"/>
      <c r="B50" s="188"/>
      <c r="C50" s="188"/>
      <c r="D50" s="188"/>
      <c r="E50" s="188"/>
      <c r="F50" s="188"/>
      <c r="G50" s="188"/>
      <c r="H50" s="192"/>
      <c r="I50" s="189"/>
      <c r="J50" s="189"/>
      <c r="K50" s="189"/>
      <c r="L50" s="189"/>
      <c r="M50" s="189"/>
      <c r="N50" s="189"/>
      <c r="O50" s="189"/>
      <c r="P50" s="189"/>
      <c r="Q50" s="189"/>
      <c r="R50" s="189"/>
    </row>
    <row r="51" spans="1:18">
      <c r="A51" s="188"/>
      <c r="B51" s="188"/>
      <c r="C51" s="188"/>
      <c r="D51" s="188"/>
      <c r="E51" s="188"/>
      <c r="F51" s="188"/>
      <c r="G51" s="188"/>
      <c r="H51" s="192"/>
      <c r="I51" s="189"/>
      <c r="J51" s="189"/>
      <c r="K51" s="189"/>
      <c r="L51" s="189"/>
      <c r="M51" s="189"/>
      <c r="N51" s="189"/>
      <c r="O51" s="189"/>
      <c r="P51" s="189"/>
      <c r="Q51" s="189"/>
      <c r="R51" s="189"/>
    </row>
    <row r="52" spans="1:18">
      <c r="A52" s="188"/>
      <c r="B52" s="188"/>
      <c r="C52" s="188"/>
      <c r="D52" s="188"/>
      <c r="E52" s="188"/>
      <c r="F52" s="188"/>
      <c r="G52" s="188"/>
      <c r="H52" s="192"/>
      <c r="I52" s="189"/>
      <c r="J52" s="189"/>
      <c r="K52" s="189"/>
      <c r="L52" s="189"/>
      <c r="M52" s="189"/>
      <c r="N52" s="189"/>
      <c r="O52" s="189"/>
      <c r="P52" s="189"/>
      <c r="Q52" s="189"/>
      <c r="R52" s="189"/>
    </row>
    <row r="53" spans="1:18">
      <c r="A53" s="188"/>
      <c r="B53" s="188"/>
      <c r="C53" s="188"/>
      <c r="D53" s="188"/>
      <c r="E53" s="188"/>
      <c r="F53" s="188"/>
      <c r="G53" s="188"/>
      <c r="H53" s="192"/>
      <c r="I53" s="189"/>
      <c r="J53" s="189"/>
      <c r="K53" s="189"/>
      <c r="L53" s="189"/>
      <c r="M53" s="189"/>
      <c r="N53" s="189"/>
      <c r="O53" s="189"/>
      <c r="P53" s="189"/>
      <c r="Q53" s="189"/>
      <c r="R53" s="189"/>
    </row>
    <row r="54" spans="1:18">
      <c r="A54" s="188"/>
      <c r="B54" s="188"/>
      <c r="C54" s="188"/>
      <c r="D54" s="188"/>
      <c r="E54" s="188"/>
      <c r="F54" s="188"/>
      <c r="G54" s="188"/>
      <c r="H54" s="192"/>
      <c r="I54" s="189"/>
      <c r="J54" s="189"/>
      <c r="K54" s="189"/>
      <c r="L54" s="189"/>
      <c r="M54" s="189"/>
      <c r="N54" s="189"/>
      <c r="O54" s="189"/>
      <c r="P54" s="189"/>
      <c r="Q54" s="189"/>
      <c r="R54" s="189"/>
    </row>
    <row r="55" spans="1:18">
      <c r="A55" s="188"/>
      <c r="B55" s="188"/>
      <c r="C55" s="188"/>
      <c r="D55" s="188"/>
      <c r="E55" s="188"/>
      <c r="F55" s="188"/>
      <c r="G55" s="188"/>
      <c r="H55" s="192"/>
      <c r="I55" s="189"/>
      <c r="J55" s="189"/>
      <c r="K55" s="189"/>
      <c r="L55" s="189"/>
      <c r="M55" s="189"/>
      <c r="N55" s="189"/>
      <c r="O55" s="189"/>
      <c r="P55" s="189"/>
      <c r="Q55" s="189"/>
      <c r="R55" s="189"/>
    </row>
  </sheetData>
  <sheetProtection selectLockedCells="1"/>
  <mergeCells count="10">
    <mergeCell ref="A3:A25"/>
    <mergeCell ref="C9:E15"/>
    <mergeCell ref="B31:F34"/>
    <mergeCell ref="J2:L2"/>
    <mergeCell ref="E4:E5"/>
    <mergeCell ref="E6:E7"/>
    <mergeCell ref="C4:D5"/>
    <mergeCell ref="C6:D7"/>
    <mergeCell ref="B2:F2"/>
    <mergeCell ref="J12:K14"/>
  </mergeCells>
  <conditionalFormatting sqref="J12">
    <cfRule type="expression" dxfId="3" priority="1">
      <formula>AND($C$18=0,$C$19&lt;0.0001,$K$10&lt;$L$10)</formula>
    </cfRule>
    <cfRule type="expression" dxfId="2" priority="3">
      <formula>C18&gt;0</formula>
    </cfRule>
  </conditionalFormatting>
  <conditionalFormatting sqref="B31:D34">
    <cfRule type="expression" dxfId="1" priority="2">
      <formula>D18&lt;&gt;0</formula>
    </cfRule>
  </conditionalFormatting>
  <conditionalFormatting sqref="E31:F34">
    <cfRule type="expression" dxfId="0" priority="61">
      <formula>H18&lt;&gt;0</formula>
    </cfRule>
  </conditionalFormatting>
  <pageMargins left="0.7" right="0.7" top="0.75" bottom="0.75" header="0.3" footer="0.3"/>
  <cellWatches>
    <cellWatch r="C9"/>
  </cellWatches>
  <drawing r:id="rId1"/>
  <legacyDrawing r:id="rId2"/>
  <mc:AlternateContent xmlns:mc="http://schemas.openxmlformats.org/markup-compatibility/2006">
    <mc:Choice Requires="x14">
      <controls>
        <mc:AlternateContent xmlns:mc="http://schemas.openxmlformats.org/markup-compatibility/2006">
          <mc:Choice Requires="x14">
            <control shapeId="55313" r:id="rId3" name="Button 17">
              <controlPr defaultSize="0" print="0" autoFill="0" autoPict="0" macro="[0]!yes">
                <anchor moveWithCells="1" sizeWithCells="1">
                  <from>
                    <xdr:col>11</xdr:col>
                    <xdr:colOff>50800</xdr:colOff>
                    <xdr:row>11</xdr:row>
                    <xdr:rowOff>0</xdr:rowOff>
                  </from>
                  <to>
                    <xdr:col>11</xdr:col>
                    <xdr:colOff>488950</xdr:colOff>
                    <xdr:row>13</xdr:row>
                    <xdr:rowOff>146050</xdr:rowOff>
                  </to>
                </anchor>
              </controlPr>
            </control>
          </mc:Choice>
        </mc:AlternateContent>
        <mc:AlternateContent xmlns:mc="http://schemas.openxmlformats.org/markup-compatibility/2006">
          <mc:Choice Requires="x14">
            <control shapeId="55315" r:id="rId4" name="Button 19">
              <controlPr defaultSize="0" print="0" autoFill="0" autoPict="0" macro="[0]!back">
                <anchor moveWithCells="1" sizeWithCells="1">
                  <from>
                    <xdr:col>6</xdr:col>
                    <xdr:colOff>222250</xdr:colOff>
                    <xdr:row>5</xdr:row>
                    <xdr:rowOff>69850</xdr:rowOff>
                  </from>
                  <to>
                    <xdr:col>8</xdr:col>
                    <xdr:colOff>171450</xdr:colOff>
                    <xdr:row>6</xdr:row>
                    <xdr:rowOff>228600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8"/>
  <dimension ref="A1:AEB44"/>
  <sheetViews>
    <sheetView showGridLines="0" workbookViewId="0">
      <pane xSplit="1" ySplit="3" topLeftCell="B4" activePane="bottomRight" state="frozenSplit"/>
      <selection activeCell="C45" sqref="C45"/>
      <selection pane="topRight" activeCell="C45" sqref="C45"/>
      <selection pane="bottomLeft" activeCell="C45" sqref="C45"/>
      <selection pane="bottomRight" activeCell="F36" sqref="F36"/>
    </sheetView>
  </sheetViews>
  <sheetFormatPr defaultColWidth="11.453125" defaultRowHeight="13"/>
  <cols>
    <col min="1" max="2" width="14.453125" style="29" customWidth="1"/>
    <col min="3" max="3" width="12.54296875" style="32" bestFit="1" customWidth="1"/>
    <col min="4" max="4" width="12.54296875" style="33" bestFit="1" customWidth="1"/>
    <col min="5" max="5" width="12.54296875" style="33" customWidth="1"/>
    <col min="6" max="6" width="11.81640625" style="33" bestFit="1" customWidth="1"/>
    <col min="7" max="7" width="15.1796875" style="31" customWidth="1"/>
    <col min="13" max="804" width="0" hidden="1" customWidth="1"/>
  </cols>
  <sheetData>
    <row r="1" spans="1:808" ht="30.75" customHeight="1" thickBot="1">
      <c r="H1" t="s">
        <v>109</v>
      </c>
      <c r="P1" t="s">
        <v>108</v>
      </c>
    </row>
    <row r="2" spans="1:808" ht="14" thickTop="1" thickBot="1">
      <c r="A2" s="4"/>
      <c r="B2" s="661"/>
      <c r="C2" s="657"/>
      <c r="D2" s="657"/>
      <c r="E2" s="658"/>
      <c r="F2" s="658"/>
      <c r="G2" s="658"/>
      <c r="H2" s="661"/>
      <c r="I2" s="657"/>
      <c r="J2" s="657"/>
      <c r="K2" s="658"/>
      <c r="L2" s="658"/>
      <c r="M2" s="658"/>
    </row>
    <row r="3" spans="1:808" ht="14" thickTop="1" thickBot="1">
      <c r="A3" s="7" t="s">
        <v>14</v>
      </c>
      <c r="B3" s="9" t="s">
        <v>16</v>
      </c>
      <c r="C3" s="10" t="s">
        <v>13</v>
      </c>
      <c r="D3" s="5" t="s">
        <v>17</v>
      </c>
      <c r="E3" s="8" t="s">
        <v>15</v>
      </c>
      <c r="F3" s="5" t="s">
        <v>18</v>
      </c>
      <c r="G3" s="11" t="s">
        <v>19</v>
      </c>
      <c r="H3" s="10" t="s">
        <v>13</v>
      </c>
      <c r="I3" s="5" t="s">
        <v>17</v>
      </c>
      <c r="J3" s="8" t="s">
        <v>15</v>
      </c>
      <c r="K3" s="5" t="s">
        <v>18</v>
      </c>
      <c r="L3" s="11" t="s">
        <v>19</v>
      </c>
      <c r="M3" s="11"/>
      <c r="AEA3" s="350" t="s">
        <v>13</v>
      </c>
      <c r="AEB3" s="351" t="s">
        <v>15</v>
      </c>
    </row>
    <row r="4" spans="1:808" ht="14" thickTop="1" thickBot="1">
      <c r="A4" s="15">
        <v>1</v>
      </c>
      <c r="B4" s="17">
        <f>IF(F4="","",('choose m.p.'!D3-'choose m.p.'!B3)/'choose m.p.'!B3)</f>
        <v>0</v>
      </c>
      <c r="C4" s="18">
        <f>IF(F4="","",'choose m.p.'!D3)</f>
        <v>50</v>
      </c>
      <c r="D4" s="19"/>
      <c r="E4" s="17">
        <f>IF(F4="","",'choose m.p.'!G3/100)</f>
        <v>0.02</v>
      </c>
      <c r="F4" s="25">
        <f>IF('choose m.p.'!I3="","",'choose m.p.'!I3/100)</f>
        <v>0.02</v>
      </c>
      <c r="G4" s="17">
        <f>IF(F4="","",'choose m.p.'!H3/100)</f>
        <v>0</v>
      </c>
      <c r="H4" s="18">
        <f>IF(K4="","",'choose m.p. (endogenous policy)'!D3)</f>
        <v>50</v>
      </c>
      <c r="I4" s="18"/>
      <c r="J4" s="17">
        <f>IF(K4="","",'choose m.p. (endogenous policy)'!G3/100)</f>
        <v>0.02</v>
      </c>
      <c r="K4" s="17">
        <f>IF('choose m.p.'!I3="","",'choose m.p. (endogenous policy)'!I3/100)</f>
        <v>0.04</v>
      </c>
      <c r="L4" s="25">
        <f>IF(K4="","",'choose m.p. (endogenous policy)'!H3/100)</f>
        <v>0.02</v>
      </c>
      <c r="M4" s="17"/>
      <c r="AEA4" s="343">
        <f>IF(E4="","",IF(E4&gt;100,0,C4))</f>
        <v>50</v>
      </c>
      <c r="AEB4" s="325">
        <f>IF(E4="","",IF(E4&gt;100,0,E4))</f>
        <v>0.02</v>
      </c>
    </row>
    <row r="5" spans="1:808" ht="14" thickTop="1" thickBot="1">
      <c r="A5" s="15">
        <v>2</v>
      </c>
      <c r="B5" s="17">
        <f>IF(F5="","",('choose m.p.'!D4-'choose m.p.'!B4)/'choose m.p.'!B4)</f>
        <v>0.03</v>
      </c>
      <c r="C5" s="18">
        <f>IF(F5="","",'choose m.p.'!D4)</f>
        <v>51.5</v>
      </c>
      <c r="D5" s="24">
        <f>IF(F5="","",C5/C4-1)</f>
        <v>3.0000000000000027E-2</v>
      </c>
      <c r="E5" s="17">
        <f>IF(F5="","",'choose m.p.'!G4/100)</f>
        <v>3.5000000000000003E-2</v>
      </c>
      <c r="F5" s="25">
        <f>IF('choose m.p.'!I4="","",'choose m.p.'!I4/100)</f>
        <v>0.02</v>
      </c>
      <c r="G5" s="17">
        <f>IF(F5="","",'choose m.p.'!H4/100)</f>
        <v>-1.4999999999999999E-2</v>
      </c>
      <c r="H5" s="18">
        <f>IF(K5="","",'choose m.p. (endogenous policy)'!D4)</f>
        <v>50</v>
      </c>
      <c r="I5" s="173">
        <f>IF(F5="","",H5/H4-1)</f>
        <v>0</v>
      </c>
      <c r="J5" s="17">
        <f>IF(K5="","",'choose m.p. (endogenous policy)'!G4/100)</f>
        <v>0.02</v>
      </c>
      <c r="K5" s="17">
        <f>IF('choose m.p.'!I4="","",'choose m.p. (endogenous policy)'!I4/100)</f>
        <v>0.04</v>
      </c>
      <c r="L5" s="25">
        <f>IF(K5="","",'choose m.p. (endogenous policy)'!H4/100)</f>
        <v>0.02</v>
      </c>
      <c r="M5" s="17"/>
      <c r="AEA5" s="343">
        <f t="shared" ref="AEA5:AEA23" si="0">IF(E5="","",IF(E5&gt;100,0,C5))</f>
        <v>51.5</v>
      </c>
      <c r="AEB5" s="325">
        <f t="shared" ref="AEB5:AEB23" si="1">IF(E5="","",IF(E5&gt;100,0,E5))</f>
        <v>3.5000000000000003E-2</v>
      </c>
    </row>
    <row r="6" spans="1:808" ht="14" thickTop="1" thickBot="1">
      <c r="A6" s="15">
        <v>3</v>
      </c>
      <c r="B6" s="17">
        <f>IF(F6="","",('choose m.p.'!D5-'choose m.p.'!B5)/'choose m.p.'!B5)</f>
        <v>5.2499999999999998E-2</v>
      </c>
      <c r="C6" s="18">
        <f>IF(F6="","",'choose m.p.'!D5)</f>
        <v>52.625</v>
      </c>
      <c r="D6" s="24">
        <f t="shared" ref="D6:D23" si="2">IF(F6="","",C6/C5-1)</f>
        <v>2.1844660194174859E-2</v>
      </c>
      <c r="E6" s="17">
        <f>IF(F6="","",'choose m.p.'!G5/100)</f>
        <v>6.1249999999999999E-2</v>
      </c>
      <c r="F6" s="25">
        <f>IF('choose m.p.'!I5="","",'choose m.p.'!I5/100)</f>
        <v>0.02</v>
      </c>
      <c r="G6" s="17">
        <f>IF(F6="","",'choose m.p.'!H5/100)</f>
        <v>-4.1250000000000002E-2</v>
      </c>
      <c r="H6" s="18">
        <f>IF(K6="","",'choose m.p. (endogenous policy)'!D5)</f>
        <v>50</v>
      </c>
      <c r="I6" s="173">
        <f t="shared" ref="I6:I23" si="3">IF(F6="","",H6/H5-1)</f>
        <v>0</v>
      </c>
      <c r="J6" s="17">
        <f>IF(K6="","",'choose m.p. (endogenous policy)'!G5/100)</f>
        <v>0.02</v>
      </c>
      <c r="K6" s="17">
        <f>IF('choose m.p.'!I5="","",'choose m.p. (endogenous policy)'!I5/100)</f>
        <v>0.04</v>
      </c>
      <c r="L6" s="25">
        <f>IF(K6="","",'choose m.p. (endogenous policy)'!H5/100)</f>
        <v>0.02</v>
      </c>
      <c r="M6" s="17"/>
      <c r="AEA6" s="343">
        <f t="shared" si="0"/>
        <v>52.625</v>
      </c>
      <c r="AEB6" s="325">
        <f t="shared" si="1"/>
        <v>6.1249999999999999E-2</v>
      </c>
    </row>
    <row r="7" spans="1:808" ht="14" thickTop="1" thickBot="1">
      <c r="A7" s="15">
        <v>4</v>
      </c>
      <c r="B7" s="17">
        <f>IF(F7="","",('choose m.p.'!D6-'choose m.p.'!B6)/'choose m.p.'!B6)</f>
        <v>9.1874999999999998E-2</v>
      </c>
      <c r="C7" s="18">
        <f>IF(F7="","",'choose m.p.'!D6)</f>
        <v>54.59375</v>
      </c>
      <c r="D7" s="24">
        <f t="shared" si="2"/>
        <v>3.7410926365795794E-2</v>
      </c>
      <c r="E7" s="17">
        <f>IF(F7="","",'choose m.p.'!G6/100)</f>
        <v>0.1071875</v>
      </c>
      <c r="F7" s="25">
        <f>IF('choose m.p.'!I6="","",'choose m.p.'!I6/100)</f>
        <v>0.02</v>
      </c>
      <c r="G7" s="17">
        <f>IF(F7="","",'choose m.p.'!H6/100)</f>
        <v>-8.7187500000000001E-2</v>
      </c>
      <c r="H7" s="18">
        <f>IF(K7="","",'choose m.p. (endogenous policy)'!D6)</f>
        <v>50</v>
      </c>
      <c r="I7" s="173">
        <f t="shared" si="3"/>
        <v>0</v>
      </c>
      <c r="J7" s="17">
        <f>IF(K7="","",'choose m.p. (endogenous policy)'!G6/100)</f>
        <v>0.02</v>
      </c>
      <c r="K7" s="17">
        <f>IF('choose m.p.'!I6="","",'choose m.p. (endogenous policy)'!I6/100)</f>
        <v>0.04</v>
      </c>
      <c r="L7" s="25">
        <f>IF(K7="","",'choose m.p. (endogenous policy)'!H6/100)</f>
        <v>0.02</v>
      </c>
      <c r="M7" s="17"/>
      <c r="AEA7" s="343">
        <f t="shared" si="0"/>
        <v>54.59375</v>
      </c>
      <c r="AEB7" s="325">
        <f t="shared" si="1"/>
        <v>0.1071875</v>
      </c>
    </row>
    <row r="8" spans="1:808" ht="14" thickTop="1" thickBot="1">
      <c r="A8" s="15">
        <v>5</v>
      </c>
      <c r="B8" s="17">
        <f>IF(F8="","",('choose m.p.'!D7-'choose m.p.'!B7)/'choose m.p.'!B7)</f>
        <v>0.13594350961538465</v>
      </c>
      <c r="C8" s="18">
        <f>IF(F8="","",'choose m.p.'!D7)</f>
        <v>59.069062500000001</v>
      </c>
      <c r="D8" s="24">
        <f t="shared" si="2"/>
        <v>8.1974813966800175E-2</v>
      </c>
      <c r="E8" s="17">
        <f>IF(F8="","",'choose m.p.'!G7/100)</f>
        <v>0.177878125</v>
      </c>
      <c r="F8" s="25">
        <f>IF('choose m.p.'!I7="","",'choose m.p.'!I7/100)</f>
        <v>0.02</v>
      </c>
      <c r="G8" s="17">
        <f>IF(F8="","",'choose m.p.'!H7/100)</f>
        <v>-0.15787812500000001</v>
      </c>
      <c r="H8" s="18">
        <f>IF(K8="","",'choose m.p. (endogenous policy)'!D7)</f>
        <v>50</v>
      </c>
      <c r="I8" s="173">
        <f t="shared" si="3"/>
        <v>0</v>
      </c>
      <c r="J8" s="17">
        <f>IF(K8="","",'choose m.p. (endogenous policy)'!G7/100)</f>
        <v>5.0000000000000001E-3</v>
      </c>
      <c r="K8" s="17">
        <f>IF('choose m.p.'!I7="","",'choose m.p. (endogenous policy)'!I7/100)</f>
        <v>0</v>
      </c>
      <c r="L8" s="25">
        <f>IF(K8="","",'choose m.p. (endogenous policy)'!H7/100)</f>
        <v>-5.0000000000000001E-3</v>
      </c>
      <c r="M8" s="17"/>
      <c r="AEA8" s="343">
        <f t="shared" si="0"/>
        <v>59.069062500000001</v>
      </c>
      <c r="AEB8" s="325">
        <f t="shared" si="1"/>
        <v>0.177878125</v>
      </c>
    </row>
    <row r="9" spans="1:808" ht="14" thickTop="1" thickBot="1">
      <c r="A9" s="15">
        <v>6</v>
      </c>
      <c r="B9" s="17">
        <f>IF(F9="","",('choose m.p.'!D8-'choose m.p.'!B8)/'choose m.p.'!B8)</f>
        <v>0.2668171875</v>
      </c>
      <c r="C9" s="18">
        <f>IF(F9="","",'choose m.p.'!D8)</f>
        <v>63.340859375000001</v>
      </c>
      <c r="D9" s="24">
        <f t="shared" si="2"/>
        <v>7.2318684167367531E-2</v>
      </c>
      <c r="E9" s="17">
        <f>IF(F9="","",'choose m.p.'!G8/100)</f>
        <v>0.31128671875000002</v>
      </c>
      <c r="F9" s="25">
        <f>IF('choose m.p.'!I8="","",'choose m.p.'!I8/100)</f>
        <v>0.02</v>
      </c>
      <c r="G9" s="17">
        <f>IF(F9="","",'choose m.p.'!H8/100)</f>
        <v>-0.29128671875000001</v>
      </c>
      <c r="H9" s="18">
        <f>IF(K9="","",'choose m.p. (endogenous policy)'!D8)</f>
        <v>51.875</v>
      </c>
      <c r="I9" s="173">
        <f t="shared" si="3"/>
        <v>3.7500000000000089E-2</v>
      </c>
      <c r="J9" s="17">
        <f>IF(K9="","",'choose m.p. (endogenous policy)'!G8/100)</f>
        <v>2.375E-2</v>
      </c>
      <c r="K9" s="17">
        <f>IF('choose m.p.'!I8="","",'choose m.p. (endogenous policy)'!I8/100)</f>
        <v>4.697373796582472E-2</v>
      </c>
      <c r="L9" s="25">
        <f>IF(K9="","",'choose m.p. (endogenous policy)'!H8/100)</f>
        <v>2.3223737965824717E-2</v>
      </c>
      <c r="M9" s="17"/>
      <c r="AEA9" s="343">
        <f t="shared" si="0"/>
        <v>63.340859375000001</v>
      </c>
      <c r="AEB9" s="325">
        <f t="shared" si="1"/>
        <v>0.31128671875000002</v>
      </c>
    </row>
    <row r="10" spans="1:808" ht="14" thickTop="1" thickBot="1">
      <c r="A10" s="15">
        <v>7</v>
      </c>
      <c r="B10" s="17">
        <f>IF(F10="","",('choose m.p.'!D9-'choose m.p.'!B9)/'choose m.p.'!B9)</f>
        <v>0.46693007812500015</v>
      </c>
      <c r="C10" s="18">
        <f>IF(F10="","",'choose m.p.'!D9)</f>
        <v>73.346503906250007</v>
      </c>
      <c r="D10" s="24">
        <f t="shared" si="2"/>
        <v>0.15796508967478795</v>
      </c>
      <c r="E10" s="17">
        <f>IF(F10="","",'choose m.p.'!G9/100)</f>
        <v>0.54475175781250007</v>
      </c>
      <c r="F10" s="25">
        <f>IF('choose m.p.'!I9="","",'choose m.p.'!I9/100)</f>
        <v>0.02</v>
      </c>
      <c r="G10" s="17">
        <f>IF(F10="","",'choose m.p.'!H9/100)</f>
        <v>-0.52475175781250005</v>
      </c>
      <c r="H10" s="18">
        <f>IF(K10="","",'choose m.p. (endogenous policy)'!D9)</f>
        <v>49.758219652563149</v>
      </c>
      <c r="I10" s="173">
        <f t="shared" si="3"/>
        <v>-4.0805404287939329E-2</v>
      </c>
      <c r="J10" s="17">
        <f>IF(K10="","",'choose m.p. (endogenous policy)'!G9/100)</f>
        <v>2.1332196525631487E-2</v>
      </c>
      <c r="K10" s="17">
        <f>IF('choose m.p.'!I9="","",'choose m.p. (endogenous policy)'!I9/100)</f>
        <v>4.2477437196996294E-2</v>
      </c>
      <c r="L10" s="25">
        <f>IF(K10="","",'choose m.p. (endogenous policy)'!H9/100)</f>
        <v>2.1145240671364807E-2</v>
      </c>
      <c r="M10" s="17"/>
      <c r="AEA10" s="343">
        <f t="shared" si="0"/>
        <v>73.346503906250007</v>
      </c>
      <c r="AEB10" s="325">
        <f t="shared" si="1"/>
        <v>0.54475175781250007</v>
      </c>
    </row>
    <row r="11" spans="1:808" ht="14" thickTop="1" thickBot="1">
      <c r="A11" s="15">
        <v>8</v>
      </c>
      <c r="B11" s="17">
        <f>IF(F11="","",('choose m.p.'!D10-'choose m.p.'!B10)/'choose m.p.'!B10)</f>
        <v>0.81712763671874999</v>
      </c>
      <c r="C11" s="18">
        <f>IF(F11="","",'choose m.p.'!D10)</f>
        <v>90.856381835937498</v>
      </c>
      <c r="D11" s="24">
        <f t="shared" si="2"/>
        <v>0.23872818740029178</v>
      </c>
      <c r="E11" s="17">
        <f>IF(F11="","",'choose m.p.'!G10/100)</f>
        <v>0.95331557617187512</v>
      </c>
      <c r="F11" s="25">
        <f>IF('choose m.p.'!I10="","",'choose m.p.'!I10/100)</f>
        <v>0.02</v>
      </c>
      <c r="G11" s="17">
        <f>IF(F11="","",'choose m.p.'!H10/100)</f>
        <v>-0.93331557617187511</v>
      </c>
      <c r="H11" s="18">
        <f>IF(K11="","",'choose m.p. (endogenous policy)'!D10)</f>
        <v>49.914106949647639</v>
      </c>
      <c r="I11" s="173">
        <f t="shared" si="3"/>
        <v>3.1328953924190106E-3</v>
      </c>
      <c r="J11" s="17">
        <f>IF(K11="","",'choose m.p. (endogenous policy)'!G10/100)</f>
        <v>2.0473266022107878E-2</v>
      </c>
      <c r="K11" s="17">
        <f>IF('choose m.p.'!I10="","",'choose m.p. (endogenous policy)'!I10/100)</f>
        <v>4.088011552701562E-2</v>
      </c>
      <c r="L11" s="25">
        <f>IF(K11="","",'choose m.p. (endogenous policy)'!H10/100)</f>
        <v>2.0406849504907738E-2</v>
      </c>
      <c r="M11" s="17"/>
      <c r="AEA11" s="343">
        <f t="shared" si="0"/>
        <v>90.856381835937498</v>
      </c>
      <c r="AEB11" s="325">
        <f t="shared" si="1"/>
        <v>0.95331557617187512</v>
      </c>
    </row>
    <row r="12" spans="1:808" ht="14" thickTop="1" thickBot="1">
      <c r="A12" s="15">
        <v>9</v>
      </c>
      <c r="B12" s="17" t="str">
        <f>IF(F12="","",('choose m.p.'!D11-'choose m.p.'!B11)/'choose m.p.'!B11)</f>
        <v/>
      </c>
      <c r="C12" s="18" t="str">
        <f>IF(F12="","",'choose m.p.'!D11)</f>
        <v/>
      </c>
      <c r="D12" s="24" t="str">
        <f t="shared" si="2"/>
        <v/>
      </c>
      <c r="E12" s="17" t="str">
        <f>IF(F12="","",'choose m.p.'!G11/100)</f>
        <v/>
      </c>
      <c r="F12" s="25" t="str">
        <f>IF('choose m.p.'!I11="","",'choose m.p.'!I11/100)</f>
        <v/>
      </c>
      <c r="G12" s="17" t="str">
        <f>IF(F12="","",'choose m.p.'!H11/100)</f>
        <v/>
      </c>
      <c r="H12" s="18" t="str">
        <f>IF(K12="","",'choose m.p. (endogenous policy)'!D11)</f>
        <v/>
      </c>
      <c r="I12" s="173" t="str">
        <f t="shared" si="3"/>
        <v/>
      </c>
      <c r="J12" s="17" t="str">
        <f>IF(K12="","",'choose m.p. (endogenous policy)'!G11/100)</f>
        <v/>
      </c>
      <c r="K12" s="17" t="str">
        <f>IF('choose m.p.'!I11="","",'choose m.p. (endogenous policy)'!I11/100)</f>
        <v/>
      </c>
      <c r="L12" s="25" t="str">
        <f>IF(K12="","",'choose m.p. (endogenous policy)'!H11/100)</f>
        <v/>
      </c>
      <c r="M12" s="17"/>
      <c r="AEA12" s="343" t="str">
        <f t="shared" si="0"/>
        <v/>
      </c>
      <c r="AEB12" s="325" t="str">
        <f t="shared" si="1"/>
        <v/>
      </c>
    </row>
    <row r="13" spans="1:808" ht="14" thickTop="1" thickBot="1">
      <c r="A13" s="15">
        <v>10</v>
      </c>
      <c r="B13" s="17" t="str">
        <f>IF(F13="","",('choose m.p.'!D12-'choose m.p.'!B12)/'choose m.p.'!B12)</f>
        <v/>
      </c>
      <c r="C13" s="18" t="str">
        <f>IF(F13="","",'choose m.p.'!D12)</f>
        <v/>
      </c>
      <c r="D13" s="24" t="str">
        <f t="shared" si="2"/>
        <v/>
      </c>
      <c r="E13" s="17" t="str">
        <f>IF(F13="","",'choose m.p.'!G12/100)</f>
        <v/>
      </c>
      <c r="F13" s="25" t="str">
        <f>IF('choose m.p.'!I12="","",'choose m.p.'!I12/100)</f>
        <v/>
      </c>
      <c r="G13" s="17" t="str">
        <f>IF(F13="","",'choose m.p.'!H12/100)</f>
        <v/>
      </c>
      <c r="H13" s="18" t="str">
        <f>IF(K13="","",'choose m.p. (endogenous policy)'!D12)</f>
        <v/>
      </c>
      <c r="I13" s="173" t="str">
        <f t="shared" si="3"/>
        <v/>
      </c>
      <c r="J13" s="17" t="str">
        <f>IF(K13="","",'choose m.p. (endogenous policy)'!G12/100)</f>
        <v/>
      </c>
      <c r="K13" s="17" t="str">
        <f>IF('choose m.p.'!I12="","",'choose m.p. (endogenous policy)'!I12/100)</f>
        <v/>
      </c>
      <c r="L13" s="25" t="str">
        <f>IF(K13="","",'choose m.p. (endogenous policy)'!H12/100)</f>
        <v/>
      </c>
      <c r="M13" s="17"/>
      <c r="AEA13" s="343" t="str">
        <f t="shared" si="0"/>
        <v/>
      </c>
      <c r="AEB13" s="325" t="str">
        <f t="shared" si="1"/>
        <v/>
      </c>
    </row>
    <row r="14" spans="1:808" ht="14" thickTop="1" thickBot="1">
      <c r="A14" s="15">
        <v>11</v>
      </c>
      <c r="B14" s="17" t="str">
        <f>IF(F14="","",('choose m.p.'!D13-'choose m.p.'!B13)/'choose m.p.'!B13)</f>
        <v/>
      </c>
      <c r="C14" s="18" t="str">
        <f>IF(F14="","",'choose m.p.'!D13)</f>
        <v/>
      </c>
      <c r="D14" s="24" t="str">
        <f t="shared" si="2"/>
        <v/>
      </c>
      <c r="E14" s="17" t="str">
        <f>IF(F14="","",'choose m.p.'!G13/100)</f>
        <v/>
      </c>
      <c r="F14" s="25" t="str">
        <f>IF('choose m.p.'!I13="","",'choose m.p.'!I13/100)</f>
        <v/>
      </c>
      <c r="G14" s="17" t="str">
        <f>IF(F14="","",'choose m.p.'!H13/100)</f>
        <v/>
      </c>
      <c r="H14" s="18" t="str">
        <f>IF(K14="","",'choose m.p. (endogenous policy)'!D13)</f>
        <v/>
      </c>
      <c r="I14" s="173" t="str">
        <f t="shared" si="3"/>
        <v/>
      </c>
      <c r="J14" s="17" t="str">
        <f>IF(K14="","",'choose m.p. (endogenous policy)'!G13/100)</f>
        <v/>
      </c>
      <c r="K14" s="17" t="str">
        <f>IF('choose m.p.'!I13="","",'choose m.p. (endogenous policy)'!I13/100)</f>
        <v/>
      </c>
      <c r="L14" s="25" t="str">
        <f>IF(K14="","",'choose m.p. (endogenous policy)'!H13/100)</f>
        <v/>
      </c>
      <c r="M14" s="17"/>
      <c r="AEA14" s="343" t="str">
        <f t="shared" si="0"/>
        <v/>
      </c>
      <c r="AEB14" s="325" t="str">
        <f t="shared" si="1"/>
        <v/>
      </c>
    </row>
    <row r="15" spans="1:808" ht="14" thickTop="1" thickBot="1">
      <c r="A15" s="15">
        <v>12</v>
      </c>
      <c r="B15" s="17" t="str">
        <f>IF(F15="","",('choose m.p.'!D14-'choose m.p.'!B14)/'choose m.p.'!B14)</f>
        <v/>
      </c>
      <c r="C15" s="18" t="str">
        <f>IF(F15="","",'choose m.p.'!D14)</f>
        <v/>
      </c>
      <c r="D15" s="24" t="str">
        <f t="shared" si="2"/>
        <v/>
      </c>
      <c r="E15" s="17" t="str">
        <f>IF(F15="","",'choose m.p.'!G14/100)</f>
        <v/>
      </c>
      <c r="F15" s="25" t="str">
        <f>IF('choose m.p.'!I14="","",'choose m.p.'!I14/100)</f>
        <v/>
      </c>
      <c r="G15" s="17" t="str">
        <f>IF(F15="","",'choose m.p.'!H14/100)</f>
        <v/>
      </c>
      <c r="H15" s="18" t="str">
        <f>IF(K15="","",'choose m.p. (endogenous policy)'!D14)</f>
        <v/>
      </c>
      <c r="I15" s="173" t="str">
        <f t="shared" si="3"/>
        <v/>
      </c>
      <c r="J15" s="17" t="str">
        <f>IF(K15="","",'choose m.p. (endogenous policy)'!G14/100)</f>
        <v/>
      </c>
      <c r="K15" s="17" t="str">
        <f>IF('choose m.p.'!I14="","",'choose m.p. (endogenous policy)'!I14/100)</f>
        <v/>
      </c>
      <c r="L15" s="25" t="str">
        <f>IF(K15="","",'choose m.p. (endogenous policy)'!H14/100)</f>
        <v/>
      </c>
      <c r="M15" s="17"/>
      <c r="AEA15" s="343" t="str">
        <f t="shared" si="0"/>
        <v/>
      </c>
      <c r="AEB15" s="325" t="str">
        <f t="shared" si="1"/>
        <v/>
      </c>
    </row>
    <row r="16" spans="1:808" ht="14" thickTop="1" thickBot="1">
      <c r="A16" s="15">
        <v>13</v>
      </c>
      <c r="B16" s="17" t="str">
        <f>IF(F16="","",('choose m.p.'!D15-'choose m.p.'!B15)/'choose m.p.'!B15)</f>
        <v/>
      </c>
      <c r="C16" s="18" t="str">
        <f>IF(F16="","",'choose m.p.'!D15)</f>
        <v/>
      </c>
      <c r="D16" s="24" t="str">
        <f t="shared" si="2"/>
        <v/>
      </c>
      <c r="E16" s="17" t="str">
        <f>IF(F16="","",'choose m.p.'!G15/100)</f>
        <v/>
      </c>
      <c r="F16" s="25" t="str">
        <f>IF('choose m.p.'!I15="","",'choose m.p.'!I15/100)</f>
        <v/>
      </c>
      <c r="G16" s="17" t="str">
        <f>IF(F16="","",'choose m.p.'!H15/100)</f>
        <v/>
      </c>
      <c r="H16" s="18" t="str">
        <f>IF(K16="","",'choose m.p. (endogenous policy)'!D15)</f>
        <v/>
      </c>
      <c r="I16" s="173" t="str">
        <f t="shared" si="3"/>
        <v/>
      </c>
      <c r="J16" s="17" t="str">
        <f>IF(K16="","",'choose m.p. (endogenous policy)'!G15/100)</f>
        <v/>
      </c>
      <c r="K16" s="17" t="str">
        <f>IF('choose m.p.'!I15="","",'choose m.p. (endogenous policy)'!I15/100)</f>
        <v/>
      </c>
      <c r="L16" s="25" t="str">
        <f>IF(K16="","",'choose m.p. (endogenous policy)'!H15/100)</f>
        <v/>
      </c>
      <c r="M16" s="17"/>
      <c r="AEA16" s="343" t="str">
        <f t="shared" si="0"/>
        <v/>
      </c>
      <c r="AEB16" s="325" t="str">
        <f t="shared" si="1"/>
        <v/>
      </c>
    </row>
    <row r="17" spans="1:808" ht="14" thickTop="1" thickBot="1">
      <c r="A17" s="15">
        <v>14</v>
      </c>
      <c r="B17" s="17" t="str">
        <f>IF(F17="","",('choose m.p.'!D16-'choose m.p.'!B16)/'choose m.p.'!B16)</f>
        <v/>
      </c>
      <c r="C17" s="18" t="str">
        <f>IF(F17="","",'choose m.p.'!D16)</f>
        <v/>
      </c>
      <c r="D17" s="24" t="str">
        <f t="shared" si="2"/>
        <v/>
      </c>
      <c r="E17" s="17" t="str">
        <f>IF(F17="","",'choose m.p.'!G16/100)</f>
        <v/>
      </c>
      <c r="F17" s="25" t="str">
        <f>IF('choose m.p.'!I16="","",'choose m.p.'!I16/100)</f>
        <v/>
      </c>
      <c r="G17" s="17" t="str">
        <f>IF(F17="","",'choose m.p.'!H16/100)</f>
        <v/>
      </c>
      <c r="H17" s="18" t="str">
        <f>IF(K17="","",'choose m.p. (endogenous policy)'!D16)</f>
        <v/>
      </c>
      <c r="I17" s="173" t="str">
        <f t="shared" si="3"/>
        <v/>
      </c>
      <c r="J17" s="17" t="str">
        <f>IF(K17="","",'choose m.p. (endogenous policy)'!G16/100)</f>
        <v/>
      </c>
      <c r="K17" s="17" t="str">
        <f>IF('choose m.p.'!I16="","",'choose m.p. (endogenous policy)'!I16/100)</f>
        <v/>
      </c>
      <c r="L17" s="25" t="str">
        <f>IF(K17="","",'choose m.p. (endogenous policy)'!H16/100)</f>
        <v/>
      </c>
      <c r="M17" s="17"/>
      <c r="AEA17" s="343" t="str">
        <f t="shared" si="0"/>
        <v/>
      </c>
      <c r="AEB17" s="325" t="str">
        <f t="shared" si="1"/>
        <v/>
      </c>
    </row>
    <row r="18" spans="1:808" ht="14" thickTop="1" thickBot="1">
      <c r="A18" s="15">
        <v>15</v>
      </c>
      <c r="B18" s="17" t="str">
        <f>IF(F18="","",('choose m.p.'!D17-'choose m.p.'!B17)/'choose m.p.'!B17)</f>
        <v/>
      </c>
      <c r="C18" s="18" t="str">
        <f>IF(F18="","",'choose m.p.'!D17)</f>
        <v/>
      </c>
      <c r="D18" s="24" t="str">
        <f t="shared" si="2"/>
        <v/>
      </c>
      <c r="E18" s="17" t="str">
        <f>IF(F18="","",'choose m.p.'!G17/100)</f>
        <v/>
      </c>
      <c r="F18" s="25" t="str">
        <f>IF('choose m.p.'!I17="","",'choose m.p.'!I17/100)</f>
        <v/>
      </c>
      <c r="G18" s="17" t="str">
        <f>IF(F18="","",'choose m.p.'!H17/100)</f>
        <v/>
      </c>
      <c r="H18" s="18" t="str">
        <f>IF(K18="","",'choose m.p. (endogenous policy)'!D17)</f>
        <v/>
      </c>
      <c r="I18" s="173" t="str">
        <f t="shared" si="3"/>
        <v/>
      </c>
      <c r="J18" s="17" t="str">
        <f>IF(K18="","",'choose m.p. (endogenous policy)'!G17/100)</f>
        <v/>
      </c>
      <c r="K18" s="17" t="str">
        <f>IF('choose m.p.'!I17="","",'choose m.p. (endogenous policy)'!I17/100)</f>
        <v/>
      </c>
      <c r="L18" s="25" t="str">
        <f>IF(K18="","",'choose m.p. (endogenous policy)'!H17/100)</f>
        <v/>
      </c>
      <c r="M18" s="17"/>
      <c r="AEA18" s="343" t="str">
        <f t="shared" si="0"/>
        <v/>
      </c>
      <c r="AEB18" s="325" t="str">
        <f t="shared" si="1"/>
        <v/>
      </c>
    </row>
    <row r="19" spans="1:808" ht="14" thickTop="1" thickBot="1">
      <c r="A19" s="15">
        <v>16</v>
      </c>
      <c r="B19" s="17" t="str">
        <f>IF(F19="","",('choose m.p.'!D18-'choose m.p.'!B18)/'choose m.p.'!B18)</f>
        <v/>
      </c>
      <c r="C19" s="18" t="str">
        <f>IF(F19="","",'choose m.p.'!D18)</f>
        <v/>
      </c>
      <c r="D19" s="24" t="str">
        <f t="shared" si="2"/>
        <v/>
      </c>
      <c r="E19" s="17" t="str">
        <f>IF(F19="","",'choose m.p.'!G18/100)</f>
        <v/>
      </c>
      <c r="F19" s="25" t="str">
        <f>IF('choose m.p.'!I18="","",'choose m.p.'!I18/100)</f>
        <v/>
      </c>
      <c r="G19" s="17" t="str">
        <f>IF(F19="","",'choose m.p.'!H18/100)</f>
        <v/>
      </c>
      <c r="H19" s="18" t="str">
        <f>IF(K19="","",'choose m.p. (endogenous policy)'!D18)</f>
        <v/>
      </c>
      <c r="I19" s="173" t="str">
        <f t="shared" si="3"/>
        <v/>
      </c>
      <c r="J19" s="17" t="str">
        <f>IF(K19="","",'choose m.p. (endogenous policy)'!G18/100)</f>
        <v/>
      </c>
      <c r="K19" s="17" t="str">
        <f>IF('choose m.p.'!I18="","",'choose m.p. (endogenous policy)'!I18/100)</f>
        <v/>
      </c>
      <c r="L19" s="25" t="str">
        <f>IF(K19="","",'choose m.p. (endogenous policy)'!H18/100)</f>
        <v/>
      </c>
      <c r="M19" s="17"/>
      <c r="AEA19" s="343" t="str">
        <f>IF(E19="","",IF(E19&gt;100,0,C19))</f>
        <v/>
      </c>
      <c r="AEB19" s="325" t="str">
        <f t="shared" si="1"/>
        <v/>
      </c>
    </row>
    <row r="20" spans="1:808" ht="14" thickTop="1" thickBot="1">
      <c r="A20" s="15">
        <v>17</v>
      </c>
      <c r="B20" s="17" t="str">
        <f>IF(F20="","",('choose m.p.'!D19-'choose m.p.'!B19)/'choose m.p.'!B19)</f>
        <v/>
      </c>
      <c r="C20" s="18" t="str">
        <f>IF(F20="","",'choose m.p.'!D19)</f>
        <v/>
      </c>
      <c r="D20" s="24" t="str">
        <f t="shared" si="2"/>
        <v/>
      </c>
      <c r="E20" s="17" t="str">
        <f>IF(F20="","",'choose m.p.'!G19/100)</f>
        <v/>
      </c>
      <c r="F20" s="25" t="str">
        <f>IF('choose m.p.'!I19="","",'choose m.p.'!I19/100)</f>
        <v/>
      </c>
      <c r="G20" s="17" t="str">
        <f>IF(F20="","",'choose m.p.'!H19/100)</f>
        <v/>
      </c>
      <c r="H20" s="18" t="str">
        <f>IF(K20="","",'choose m.p. (endogenous policy)'!D19)</f>
        <v/>
      </c>
      <c r="I20" s="173" t="str">
        <f t="shared" si="3"/>
        <v/>
      </c>
      <c r="J20" s="17" t="str">
        <f>IF(K20="","",'choose m.p. (endogenous policy)'!G19/100)</f>
        <v/>
      </c>
      <c r="K20" s="17" t="str">
        <f>IF('choose m.p.'!I19="","",'choose m.p. (endogenous policy)'!I19/100)</f>
        <v/>
      </c>
      <c r="L20" s="25" t="str">
        <f>IF(K20="","",'choose m.p. (endogenous policy)'!H19/100)</f>
        <v/>
      </c>
      <c r="M20" s="17"/>
      <c r="AEA20" s="343" t="str">
        <f t="shared" si="0"/>
        <v/>
      </c>
      <c r="AEB20" s="325" t="str">
        <f t="shared" si="1"/>
        <v/>
      </c>
    </row>
    <row r="21" spans="1:808" ht="14" thickTop="1" thickBot="1">
      <c r="A21" s="15">
        <v>18</v>
      </c>
      <c r="B21" s="17" t="str">
        <f>IF(F21="","",('choose m.p.'!D20-'choose m.p.'!B20)/'choose m.p.'!B20)</f>
        <v/>
      </c>
      <c r="C21" s="18" t="str">
        <f>IF(F21="","",'choose m.p.'!D20)</f>
        <v/>
      </c>
      <c r="D21" s="24" t="str">
        <f t="shared" si="2"/>
        <v/>
      </c>
      <c r="E21" s="17" t="str">
        <f>IF(F21="","",'choose m.p.'!G20/100)</f>
        <v/>
      </c>
      <c r="F21" s="25" t="str">
        <f>IF('choose m.p.'!I20="","",'choose m.p.'!I20/100)</f>
        <v/>
      </c>
      <c r="G21" s="17" t="str">
        <f>IF(F21="","",'choose m.p.'!H20/100)</f>
        <v/>
      </c>
      <c r="H21" s="18" t="str">
        <f>IF(K21="","",'choose m.p. (endogenous policy)'!D20)</f>
        <v/>
      </c>
      <c r="I21" s="173" t="str">
        <f t="shared" si="3"/>
        <v/>
      </c>
      <c r="J21" s="17" t="str">
        <f>IF(K21="","",'choose m.p. (endogenous policy)'!G20/100)</f>
        <v/>
      </c>
      <c r="K21" s="17" t="str">
        <f>IF('choose m.p.'!I20="","",'choose m.p. (endogenous policy)'!I20/100)</f>
        <v/>
      </c>
      <c r="L21" s="25" t="str">
        <f>IF(K21="","",'choose m.p. (endogenous policy)'!H20/100)</f>
        <v/>
      </c>
      <c r="M21" s="17"/>
      <c r="AEA21" s="343" t="str">
        <f t="shared" si="0"/>
        <v/>
      </c>
      <c r="AEB21" s="325" t="str">
        <f t="shared" si="1"/>
        <v/>
      </c>
    </row>
    <row r="22" spans="1:808" ht="14" thickTop="1" thickBot="1">
      <c r="A22" s="15">
        <v>19</v>
      </c>
      <c r="B22" s="17" t="str">
        <f>IF(F22="","",('choose m.p.'!D21-'choose m.p.'!B21)/'choose m.p.'!B21)</f>
        <v/>
      </c>
      <c r="C22" s="18" t="str">
        <f>IF(F22="","",'choose m.p.'!D21)</f>
        <v/>
      </c>
      <c r="D22" s="24" t="str">
        <f t="shared" si="2"/>
        <v/>
      </c>
      <c r="E22" s="17" t="str">
        <f>IF(F22="","",'choose m.p.'!G21/100)</f>
        <v/>
      </c>
      <c r="F22" s="25" t="str">
        <f>IF('choose m.p.'!I21="","",'choose m.p.'!I21/100)</f>
        <v/>
      </c>
      <c r="G22" s="17" t="str">
        <f>IF(F22="","",'choose m.p.'!H21/100)</f>
        <v/>
      </c>
      <c r="H22" s="18" t="str">
        <f>IF(K22="","",'choose m.p. (endogenous policy)'!D21)</f>
        <v/>
      </c>
      <c r="I22" s="173" t="str">
        <f t="shared" si="3"/>
        <v/>
      </c>
      <c r="J22" s="17" t="str">
        <f>IF(K22="","",'choose m.p. (endogenous policy)'!G21/100)</f>
        <v/>
      </c>
      <c r="K22" s="17" t="str">
        <f>IF('choose m.p.'!I21="","",'choose m.p. (endogenous policy)'!I21/100)</f>
        <v/>
      </c>
      <c r="L22" s="25" t="str">
        <f>IF(K22="","",'choose m.p. (endogenous policy)'!H21/100)</f>
        <v/>
      </c>
      <c r="M22" s="17"/>
      <c r="AEA22" s="343" t="str">
        <f t="shared" si="0"/>
        <v/>
      </c>
      <c r="AEB22" s="325" t="str">
        <f t="shared" si="1"/>
        <v/>
      </c>
    </row>
    <row r="23" spans="1:808" ht="14" thickTop="1" thickBot="1">
      <c r="A23" s="15">
        <v>20</v>
      </c>
      <c r="B23" s="17" t="str">
        <f>IF(F23="","",('choose m.p.'!D22-'choose m.p.'!B22)/'choose m.p.'!B22)</f>
        <v/>
      </c>
      <c r="C23" s="18" t="str">
        <f>IF(F23="","",'choose m.p.'!D22)</f>
        <v/>
      </c>
      <c r="D23" s="24" t="str">
        <f t="shared" si="2"/>
        <v/>
      </c>
      <c r="E23" s="17" t="str">
        <f>IF(F23="","",'choose m.p.'!G22/100)</f>
        <v/>
      </c>
      <c r="F23" s="25" t="str">
        <f>IF('choose m.p.'!I22="","",'choose m.p.'!I22/100)</f>
        <v/>
      </c>
      <c r="G23" s="17" t="str">
        <f>IF(F23="","",'choose m.p.'!H22/100)</f>
        <v/>
      </c>
      <c r="H23" s="18" t="str">
        <f>IF(K23="","",'choose m.p. (endogenous policy)'!D22)</f>
        <v/>
      </c>
      <c r="I23" s="173" t="str">
        <f t="shared" si="3"/>
        <v/>
      </c>
      <c r="J23" s="17" t="str">
        <f>IF(K23="","",'choose m.p. (endogenous policy)'!G22/100)</f>
        <v/>
      </c>
      <c r="K23" s="17" t="str">
        <f>IF('choose m.p.'!I22="","",'choose m.p. (endogenous policy)'!I22/100)</f>
        <v/>
      </c>
      <c r="L23" s="25" t="str">
        <f>IF(K23="","",'choose m.p. (endogenous policy)'!H22/100)</f>
        <v/>
      </c>
      <c r="M23" s="17"/>
      <c r="AEA23" s="346" t="str">
        <f t="shared" si="0"/>
        <v/>
      </c>
      <c r="AEB23" s="328" t="str">
        <f t="shared" si="1"/>
        <v/>
      </c>
    </row>
    <row r="24" spans="1:808" ht="13.5" thickTop="1">
      <c r="E24" s="171"/>
      <c r="F24" s="172"/>
    </row>
    <row r="25" spans="1:808">
      <c r="C25" s="337"/>
      <c r="D25" s="338">
        <f>SUM(D26:D44)</f>
        <v>746.39031257057229</v>
      </c>
      <c r="E25" s="339"/>
      <c r="F25" s="340">
        <f>SUM(F26:F44)</f>
        <v>3680.3902000370035</v>
      </c>
      <c r="H25" s="347"/>
      <c r="I25" s="348">
        <f>SUM(I26:I44)</f>
        <v>3.5740827364066843</v>
      </c>
      <c r="J25" s="339"/>
      <c r="K25" s="349">
        <f>SUM(K26:K44)</f>
        <v>0.15837247582904609</v>
      </c>
    </row>
    <row r="26" spans="1:808">
      <c r="C26" s="317">
        <f>IF(E4="","",(AEA4-'choose m.p.'!B3)^2)</f>
        <v>0</v>
      </c>
      <c r="D26" s="33">
        <f>IF('choose m.p.'!L3="",IF('choose m.p.'!M3="",'loss level(inputs)'!C26,0),)</f>
        <v>0</v>
      </c>
      <c r="E26" s="33">
        <f>IF(E4="","",(AEB4*100-'input own m.p.'!$K$16)^2)</f>
        <v>0</v>
      </c>
      <c r="F26" s="321">
        <f>IF('choose m.p.'!L3="",IF('choose m.p.'!M3="",'loss level(inputs)'!E26,0),)</f>
        <v>0</v>
      </c>
      <c r="H26" s="343">
        <f>IF(E4="","",('choose m.p. (endogenous policy)'!D3-'choose m.p. (endogenous policy)'!B3)^2)</f>
        <v>0</v>
      </c>
      <c r="I26" s="33">
        <f>IF('choose m.p.'!L3="",IF('choose m.p.'!M3="",'loss level(inputs)'!H26,0),)</f>
        <v>0</v>
      </c>
      <c r="J26" s="33">
        <f>IF(E4="","",(J4*100-'input own m.p.'!$K$16)^2)</f>
        <v>0</v>
      </c>
      <c r="K26" s="325">
        <f>IF('choose m.p.'!L3="",IF('choose m.p.'!M3="",'loss level(inputs)'!J26,0),)</f>
        <v>0</v>
      </c>
    </row>
    <row r="27" spans="1:808">
      <c r="C27" s="317">
        <f>IF(E5="","",(AEA5-'choose m.p.'!B4)^2)</f>
        <v>2.25</v>
      </c>
      <c r="D27" s="33">
        <f>IF('choose m.p.'!L4="",IF('choose m.p.'!M4="",'loss level(inputs)'!C27,0),)</f>
        <v>2.25</v>
      </c>
      <c r="E27" s="33">
        <f>IF(E5="","",(AEB5*100-'input own m.p.'!$K$16)^2)</f>
        <v>2.2500000000000013</v>
      </c>
      <c r="F27" s="321">
        <f>IF('choose m.p.'!L4="",IF('choose m.p.'!M4="",'loss level(inputs)'!E27,0),)</f>
        <v>2.2500000000000013</v>
      </c>
      <c r="H27" s="343">
        <f>IF(E5="","",('choose m.p. (endogenous policy)'!D4-'choose m.p. (endogenous policy)'!B4)^2)</f>
        <v>0</v>
      </c>
      <c r="I27" s="33">
        <f>IF('choose m.p.'!L4="",IF('choose m.p.'!M4="",'loss level(inputs)'!H27,0),)</f>
        <v>0</v>
      </c>
      <c r="J27" s="33">
        <f>IF(E5="","",(J5*100-'input own m.p.'!$K$16)^2)</f>
        <v>0</v>
      </c>
      <c r="K27" s="325">
        <f>IF('choose m.p.'!L4="",IF('choose m.p.'!M4="",'loss level(inputs)'!J27,0),)</f>
        <v>0</v>
      </c>
    </row>
    <row r="28" spans="1:808">
      <c r="C28" s="317">
        <f>IF(E6="","",(AEA6-'choose m.p.'!B5)^2)</f>
        <v>6.890625</v>
      </c>
      <c r="D28" s="33">
        <f>IF('choose m.p.'!L5="",IF('choose m.p.'!M5="",'loss level(inputs)'!C28,0),)</f>
        <v>0</v>
      </c>
      <c r="E28" s="33">
        <f>IF(E6="","",(AEB6*100-'input own m.p.'!$K$16)^2)</f>
        <v>17.015625</v>
      </c>
      <c r="F28" s="321">
        <f>IF('choose m.p.'!L5="",IF('choose m.p.'!M5="",'loss level(inputs)'!E28,0),)</f>
        <v>0</v>
      </c>
      <c r="H28" s="343">
        <f>IF(E6="","",('choose m.p. (endogenous policy)'!D5-'choose m.p. (endogenous policy)'!B5)^2)</f>
        <v>0</v>
      </c>
      <c r="I28" s="33">
        <f>IF('choose m.p.'!L5="",IF('choose m.p.'!M5="",'loss level(inputs)'!H28,0),)</f>
        <v>0</v>
      </c>
      <c r="J28" s="33">
        <f>IF(E6="","",(J6*100-'input own m.p.'!$K$16)^2)</f>
        <v>0</v>
      </c>
      <c r="K28" s="325">
        <f>IF('choose m.p.'!L5="",IF('choose m.p.'!M5="",'loss level(inputs)'!J28,0),)</f>
        <v>0</v>
      </c>
    </row>
    <row r="29" spans="1:808">
      <c r="C29" s="317">
        <f>IF(E7="","",(AEA7-'choose m.p.'!B6)^2)</f>
        <v>21.1025390625</v>
      </c>
      <c r="D29" s="33">
        <f>IF('choose m.p.'!L6="",IF('choose m.p.'!M6="",'loss level(inputs)'!C29,0),)</f>
        <v>21.1025390625</v>
      </c>
      <c r="E29" s="33">
        <f>IF(E7="","",(AEB7*100-'input own m.p.'!$K$16)^2)</f>
        <v>76.0166015625</v>
      </c>
      <c r="F29" s="321">
        <f>IF('choose m.p.'!L6="",IF('choose m.p.'!M6="",'loss level(inputs)'!E29,0),)</f>
        <v>76.0166015625</v>
      </c>
      <c r="H29" s="343">
        <f>IF(E7="","",('choose m.p. (endogenous policy)'!D6-'choose m.p. (endogenous policy)'!B6)^2)</f>
        <v>0</v>
      </c>
      <c r="I29" s="33">
        <f>IF('choose m.p.'!L6="",IF('choose m.p.'!M6="",'loss level(inputs)'!H29,0),)</f>
        <v>0</v>
      </c>
      <c r="J29" s="33">
        <f>IF(E7="","",(J7*100-'input own m.p.'!$K$16)^2)</f>
        <v>0</v>
      </c>
      <c r="K29" s="325">
        <f>IF('choose m.p.'!L6="",IF('choose m.p.'!M6="",'loss level(inputs)'!J29,0),)</f>
        <v>0</v>
      </c>
    </row>
    <row r="30" spans="1:808">
      <c r="C30" s="317">
        <f>IF(E8="","",(AEA8-'choose m.p.'!B7)^2)</f>
        <v>49.971644628906269</v>
      </c>
      <c r="D30" s="33">
        <f>IF('choose m.p.'!L7="",IF('choose m.p.'!M7="",'loss level(inputs)'!C30,0),)</f>
        <v>0</v>
      </c>
      <c r="E30" s="33">
        <f>IF(E8="","",(AEB8*100-'input own m.p.'!$K$16)^2)</f>
        <v>249.25502353515628</v>
      </c>
      <c r="F30" s="321">
        <f>IF('choose m.p.'!L7="",IF('choose m.p.'!M7="",'loss level(inputs)'!E30,0),)</f>
        <v>0</v>
      </c>
      <c r="H30" s="343">
        <f>IF(E8="","",('choose m.p. (endogenous policy)'!D7-'choose m.p. (endogenous policy)'!B7)^2)</f>
        <v>2.25</v>
      </c>
      <c r="I30" s="33">
        <f>IF('choose m.p.'!L7="",IF('choose m.p.'!M7="",'loss level(inputs)'!H30,0),)</f>
        <v>0</v>
      </c>
      <c r="J30" s="33">
        <f>IF(E8="","",(J8*100-'input own m.p.'!$K$16)^2)</f>
        <v>2.25</v>
      </c>
      <c r="K30" s="325">
        <f>IF('choose m.p.'!L7="",IF('choose m.p.'!M7="",'loss level(inputs)'!J30,0),)</f>
        <v>0</v>
      </c>
    </row>
    <row r="31" spans="1:808">
      <c r="C31" s="317">
        <f>IF(E9="","",(AEA9-'choose m.p.'!B8)^2)</f>
        <v>177.97852886352541</v>
      </c>
      <c r="D31" s="33">
        <f>IF('choose m.p.'!L8="",IF('choose m.p.'!M8="",'loss level(inputs)'!C31,0),)</f>
        <v>177.97852886352541</v>
      </c>
      <c r="E31" s="33">
        <f>IF(E9="","",(AEB9*100-'input own m.p.'!$K$16)^2)</f>
        <v>848.4795252014161</v>
      </c>
      <c r="F31" s="321">
        <f>IF('choose m.p.'!L8="",IF('choose m.p.'!M8="",'loss level(inputs)'!E31,0),)</f>
        <v>848.4795252014161</v>
      </c>
      <c r="H31" s="343">
        <f>IF(E9="","",('choose m.p. (endogenous policy)'!D8-'choose m.p. (endogenous policy)'!B8)^2)</f>
        <v>3.515625</v>
      </c>
      <c r="I31" s="33">
        <f>IF('choose m.p.'!L8="",IF('choose m.p.'!M8="",'loss level(inputs)'!H31,0),)</f>
        <v>3.515625</v>
      </c>
      <c r="J31" s="33">
        <f>IF(E9="","",(J9*100-'input own m.p.'!$K$16)^2)</f>
        <v>0.140625</v>
      </c>
      <c r="K31" s="325">
        <f>IF('choose m.p.'!L8="",IF('choose m.p.'!M8="",'loss level(inputs)'!J31,0),)</f>
        <v>0.140625</v>
      </c>
    </row>
    <row r="32" spans="1:808">
      <c r="C32" s="317">
        <f>IF(E10="","",(AEA10-'choose m.p.'!B9)^2)</f>
        <v>545.05924464454688</v>
      </c>
      <c r="D32" s="33">
        <f>IF('choose m.p.'!L9="",IF('choose m.p.'!M9="",'loss level(inputs)'!C32,0),)</f>
        <v>545.05924464454688</v>
      </c>
      <c r="E32" s="33">
        <f>IF(E10="","",(AEB10*100-'input own m.p.'!$K$16)^2)</f>
        <v>2753.6440732730875</v>
      </c>
      <c r="F32" s="321">
        <f>IF('choose m.p.'!L9="",IF('choose m.p.'!M9="",'loss level(inputs)'!E32,0),)</f>
        <v>2753.6440732730875</v>
      </c>
      <c r="H32" s="343">
        <f>IF(E10="","",('choose m.p. (endogenous policy)'!D9-'choose m.p. (endogenous policy)'!B9)^2)</f>
        <v>5.8457736406684467E-2</v>
      </c>
      <c r="I32" s="33">
        <f>IF('choose m.p.'!L9="",IF('choose m.p.'!M9="",'loss level(inputs)'!H32,0),)</f>
        <v>5.8457736406684467E-2</v>
      </c>
      <c r="J32" s="33">
        <f>IF(E10="","",(J10*100-'input own m.p.'!$K$16)^2)</f>
        <v>1.7747475829046087E-2</v>
      </c>
      <c r="K32" s="325">
        <f>IF('choose m.p.'!L9="",IF('choose m.p.'!M9="",'loss level(inputs)'!J32,0),)</f>
        <v>1.7747475829046087E-2</v>
      </c>
    </row>
    <row r="33" spans="3:11">
      <c r="C33" s="317">
        <f>IF(E11="","",(AEA11-'choose m.p.'!B10)^2)</f>
        <v>1669.2439367239235</v>
      </c>
      <c r="D33" s="33">
        <f>IF('choose m.p.'!L10="",IF('choose m.p.'!M10="",'loss level(inputs)'!C33,0),)</f>
        <v>0</v>
      </c>
      <c r="E33" s="33">
        <f>IF(E11="","",(AEB11*100-'input own m.p.'!$K$16)^2)</f>
        <v>8710.7796472503924</v>
      </c>
      <c r="F33" s="321">
        <f>IF('choose m.p.'!L10="",IF('choose m.p.'!M10="",'loss level(inputs)'!E33,0),)</f>
        <v>0</v>
      </c>
      <c r="H33" s="343">
        <f>IF(E11="","",('choose m.p. (endogenous policy)'!D10-'choose m.p. (endogenous policy)'!B10)^2)</f>
        <v>7.3776160988332125E-3</v>
      </c>
      <c r="I33" s="33">
        <f>IF('choose m.p.'!L10="",IF('choose m.p.'!M10="",'loss level(inputs)'!H33,0),)</f>
        <v>0</v>
      </c>
      <c r="J33" s="33">
        <f>IF(E11="","",(J11*100-'input own m.p.'!$K$16)^2)</f>
        <v>2.2398072768181525E-3</v>
      </c>
      <c r="K33" s="325">
        <f>IF('choose m.p.'!L10="",IF('choose m.p.'!M10="",'loss level(inputs)'!J33,0),)</f>
        <v>0</v>
      </c>
    </row>
    <row r="34" spans="3:11">
      <c r="C34" s="317" t="str">
        <f>IF(E12="","",(AEA12-'choose m.p.'!B11)^2)</f>
        <v/>
      </c>
      <c r="D34" s="33" t="str">
        <f>IF('choose m.p.'!L11="",IF('choose m.p.'!M11="",'loss level(inputs)'!C34,0),)</f>
        <v/>
      </c>
      <c r="E34" s="33" t="str">
        <f>IF(E12="","",(AEB12*100-'input own m.p.'!$K$16)^2)</f>
        <v/>
      </c>
      <c r="F34" s="321" t="str">
        <f>IF('choose m.p.'!L11="",IF('choose m.p.'!M11="",'loss level(inputs)'!E34,0),)</f>
        <v/>
      </c>
      <c r="H34" s="343" t="str">
        <f>IF(E12="","",('choose m.p. (endogenous policy)'!D11-'choose m.p. (endogenous policy)'!B11)^2)</f>
        <v/>
      </c>
      <c r="I34" s="33" t="str">
        <f>IF('choose m.p.'!L11="",IF('choose m.p.'!M11="",'loss level(inputs)'!H34,0),)</f>
        <v/>
      </c>
      <c r="J34" s="33" t="str">
        <f>IF(E12="","",(J12*100-'input own m.p.'!$K$16)^2)</f>
        <v/>
      </c>
      <c r="K34" s="325" t="str">
        <f>IF('choose m.p.'!L11="",IF('choose m.p.'!M11="",'loss level(inputs)'!J34,0),)</f>
        <v/>
      </c>
    </row>
    <row r="35" spans="3:11">
      <c r="C35" s="317" t="str">
        <f>IF(E13="","",(AEA13-'choose m.p.'!B12)^2)</f>
        <v/>
      </c>
      <c r="D35" s="341">
        <f>IF('choose m.p.'!L12="",IF('choose m.p.'!M12="",'loss level(inputs)'!C35,0),)</f>
        <v>0</v>
      </c>
      <c r="E35" s="33" t="str">
        <f>IF(E13="","",(AEB13*100-'input own m.p.'!$K$16)^2)</f>
        <v/>
      </c>
      <c r="F35" s="342">
        <f>IF('choose m.p.'!L12="",IF('choose m.p.'!M12="",'loss level(inputs)'!E35,0),)</f>
        <v>0</v>
      </c>
      <c r="G35" s="198"/>
      <c r="H35" s="344" t="str">
        <f>IF(E13="","",('choose m.p. (endogenous policy)'!D12-'choose m.p. (endogenous policy)'!B12)^2)</f>
        <v/>
      </c>
      <c r="I35" s="341">
        <f>IF('choose m.p.'!L12="",IF('choose m.p.'!M12="",'loss level(inputs)'!H35,0),)</f>
        <v>0</v>
      </c>
      <c r="J35" s="33" t="str">
        <f>IF(E13="","",(J13*100-'input own m.p.'!$K$16)^2)</f>
        <v/>
      </c>
      <c r="K35" s="345">
        <f>IF('choose m.p.'!L12="",IF('choose m.p.'!M12="",'loss level(inputs)'!J35,0),)</f>
        <v>0</v>
      </c>
    </row>
    <row r="36" spans="3:11">
      <c r="C36" s="317" t="str">
        <f>IF(E14="","",(AEA14-'choose m.p.'!B13)^2)</f>
        <v/>
      </c>
      <c r="D36" s="33" t="str">
        <f>IF('choose m.p.'!L13="",IF('choose m.p.'!M13="",'loss level(inputs)'!C36,0),)</f>
        <v/>
      </c>
      <c r="E36" s="33" t="str">
        <f>IF(E14="","",(AEB14*100-'input own m.p.'!$K$16)^2)</f>
        <v/>
      </c>
      <c r="F36" s="321" t="str">
        <f>IF('choose m.p.'!L13="",IF('choose m.p.'!M13="",'loss level(inputs)'!E36,0),)</f>
        <v/>
      </c>
      <c r="H36" s="343" t="str">
        <f>IF(E14="","",('choose m.p. (endogenous policy)'!D13-'choose m.p. (endogenous policy)'!B13)^2)</f>
        <v/>
      </c>
      <c r="I36" s="33" t="str">
        <f>IF('choose m.p.'!L13="",IF('choose m.p.'!M13="",'loss level(inputs)'!H36,0),)</f>
        <v/>
      </c>
      <c r="J36" s="33" t="str">
        <f>IF(E14="","",(J14*100-'input own m.p.'!$K$16)^2)</f>
        <v/>
      </c>
      <c r="K36" s="325" t="str">
        <f>IF('choose m.p.'!L13="",IF('choose m.p.'!M13="",'loss level(inputs)'!J36,0),)</f>
        <v/>
      </c>
    </row>
    <row r="37" spans="3:11">
      <c r="C37" s="317" t="str">
        <f>IF(E15="","",(AEA15-'choose m.p.'!B14)^2)</f>
        <v/>
      </c>
      <c r="D37" s="33" t="str">
        <f>IF('choose m.p.'!L14="",IF('choose m.p.'!M14="",'loss level(inputs)'!C37,0),)</f>
        <v/>
      </c>
      <c r="E37" s="33" t="str">
        <f>IF(E15="","",(AEB15*100-'input own m.p.'!$K$16)^2)</f>
        <v/>
      </c>
      <c r="F37" s="321" t="str">
        <f>IF('choose m.p.'!L14="",IF('choose m.p.'!M14="",'loss level(inputs)'!E37,0),)</f>
        <v/>
      </c>
      <c r="H37" s="343" t="str">
        <f>IF(E15="","",('choose m.p. (endogenous policy)'!D14-'choose m.p. (endogenous policy)'!B14)^2)</f>
        <v/>
      </c>
      <c r="I37" s="33" t="str">
        <f>IF('choose m.p.'!L14="",IF('choose m.p.'!M14="",'loss level(inputs)'!H37,0),)</f>
        <v/>
      </c>
      <c r="J37" s="33" t="str">
        <f>IF(E15="","",(J15*100-'input own m.p.'!$K$16)^2)</f>
        <v/>
      </c>
      <c r="K37" s="325" t="str">
        <f>IF('choose m.p.'!L14="",IF('choose m.p.'!M14="",'loss level(inputs)'!J37,0),)</f>
        <v/>
      </c>
    </row>
    <row r="38" spans="3:11">
      <c r="C38" s="317" t="str">
        <f>IF(E16="","",(AEA16-'choose m.p.'!B15)^2)</f>
        <v/>
      </c>
      <c r="D38" s="33">
        <f>IF('choose m.p.'!L15="",IF('choose m.p.'!M15="",'loss level(inputs)'!C38,0),)</f>
        <v>0</v>
      </c>
      <c r="E38" s="33" t="str">
        <f>IF(E16="","",(AEB16*100-'input own m.p.'!$K$16)^2)</f>
        <v/>
      </c>
      <c r="F38" s="321">
        <f>IF('choose m.p.'!L15="",IF('choose m.p.'!M15="",'loss level(inputs)'!E38,0),)</f>
        <v>0</v>
      </c>
      <c r="H38" s="343" t="str">
        <f>IF(E16="","",('choose m.p. (endogenous policy)'!D15-'choose m.p. (endogenous policy)'!B15)^2)</f>
        <v/>
      </c>
      <c r="I38" s="33">
        <f>IF('choose m.p.'!L15="",IF('choose m.p.'!M15="",'loss level(inputs)'!H38,0),)</f>
        <v>0</v>
      </c>
      <c r="J38" s="33" t="str">
        <f>IF(E16="","",(J16*100-'input own m.p.'!$K$16)^2)</f>
        <v/>
      </c>
      <c r="K38" s="325">
        <f>IF('choose m.p.'!L15="",IF('choose m.p.'!M15="",'loss level(inputs)'!J38,0),)</f>
        <v>0</v>
      </c>
    </row>
    <row r="39" spans="3:11">
      <c r="C39" s="317" t="str">
        <f>IF(E17="","",(AEA17-'choose m.p.'!B16)^2)</f>
        <v/>
      </c>
      <c r="D39" s="33" t="str">
        <f>IF('choose m.p.'!L16="",IF('choose m.p.'!M16="",'loss level(inputs)'!C39,0),)</f>
        <v/>
      </c>
      <c r="E39" s="33" t="str">
        <f>IF(E17="","",(AEB17*100-'input own m.p.'!$K$16)^2)</f>
        <v/>
      </c>
      <c r="F39" s="321" t="str">
        <f>IF('choose m.p.'!L16="",IF('choose m.p.'!M16="",'loss level(inputs)'!E39,0),)</f>
        <v/>
      </c>
      <c r="H39" s="343" t="str">
        <f>IF(E17="","",('choose m.p. (endogenous policy)'!D16-'choose m.p. (endogenous policy)'!B16)^2)</f>
        <v/>
      </c>
      <c r="I39" s="33" t="str">
        <f>IF('choose m.p.'!L16="",IF('choose m.p.'!M16="",'loss level(inputs)'!H39,0),)</f>
        <v/>
      </c>
      <c r="J39" s="33" t="str">
        <f>IF(E17="","",(J17*100-'input own m.p.'!$K$16)^2)</f>
        <v/>
      </c>
      <c r="K39" s="325" t="str">
        <f>IF('choose m.p.'!L16="",IF('choose m.p.'!M16="",'loss level(inputs)'!J39,0),)</f>
        <v/>
      </c>
    </row>
    <row r="40" spans="3:11">
      <c r="C40" s="317" t="str">
        <f>IF(E18="","",(AEA18-'choose m.p.'!B17)^2)</f>
        <v/>
      </c>
      <c r="D40" s="33" t="str">
        <f>IF('choose m.p.'!L17="",IF('choose m.p.'!M17="",'loss level(inputs)'!C40,0),)</f>
        <v/>
      </c>
      <c r="E40" s="33" t="str">
        <f>IF(E18="","",(AEB18*100-'input own m.p.'!$K$16)^2)</f>
        <v/>
      </c>
      <c r="F40" s="321" t="str">
        <f>IF('choose m.p.'!L17="",IF('choose m.p.'!M17="",'loss level(inputs)'!E40,0),)</f>
        <v/>
      </c>
      <c r="H40" s="343" t="str">
        <f>IF(E18="","",('choose m.p. (endogenous policy)'!D17-'choose m.p. (endogenous policy)'!B17)^2)</f>
        <v/>
      </c>
      <c r="I40" s="33" t="str">
        <f>IF('choose m.p.'!L17="",IF('choose m.p.'!M17="",'loss level(inputs)'!H40,0),)</f>
        <v/>
      </c>
      <c r="J40" s="33" t="str">
        <f>IF(E18="","",(J18*100-'input own m.p.'!$K$16)^2)</f>
        <v/>
      </c>
      <c r="K40" s="325" t="str">
        <f>IF('choose m.p.'!L17="",IF('choose m.p.'!M17="",'loss level(inputs)'!J40,0),)</f>
        <v/>
      </c>
    </row>
    <row r="41" spans="3:11">
      <c r="C41" s="317" t="str">
        <f>IF(E19="","",(AEA19-'choose m.p.'!B18)^2)</f>
        <v/>
      </c>
      <c r="D41" s="33" t="str">
        <f>IF('choose m.p.'!L18="",IF('choose m.p.'!M18="",'loss level(inputs)'!C41,0),)</f>
        <v/>
      </c>
      <c r="E41" s="33" t="str">
        <f>IF(E19="","",(AEB19*100-'input own m.p.'!$K$16)^2)</f>
        <v/>
      </c>
      <c r="F41" s="321" t="str">
        <f>IF('choose m.p.'!L18="",IF('choose m.p.'!M18="",'loss level(inputs)'!E41,0),)</f>
        <v/>
      </c>
      <c r="H41" s="343" t="str">
        <f>IF(E19="","",('choose m.p. (endogenous policy)'!D18-'choose m.p. (endogenous policy)'!B18)^2)</f>
        <v/>
      </c>
      <c r="I41" s="33" t="str">
        <f>IF('choose m.p.'!L18="",IF('choose m.p.'!M18="",'loss level(inputs)'!H41,0),)</f>
        <v/>
      </c>
      <c r="J41" s="33" t="str">
        <f>IF(E19="","",(J19*100-'input own m.p.'!$K$16)^2)</f>
        <v/>
      </c>
      <c r="K41" s="325" t="str">
        <f>IF('choose m.p.'!L18="",IF('choose m.p.'!M18="",'loss level(inputs)'!J41,0),)</f>
        <v/>
      </c>
    </row>
    <row r="42" spans="3:11">
      <c r="C42" s="317" t="str">
        <f>IF(E20="","",(AEA20-'choose m.p.'!B19)^2)</f>
        <v/>
      </c>
      <c r="D42" s="33" t="str">
        <f>IF('choose m.p.'!L19="",IF('choose m.p.'!M19="",'loss level(inputs)'!C42,0),)</f>
        <v/>
      </c>
      <c r="E42" s="33" t="str">
        <f>IF(E20="","",(AEB20*100-'input own m.p.'!$K$16)^2)</f>
        <v/>
      </c>
      <c r="F42" s="321" t="str">
        <f>IF('choose m.p.'!L19="",IF('choose m.p.'!M19="",'loss level(inputs)'!E42,0),)</f>
        <v/>
      </c>
      <c r="H42" s="343" t="str">
        <f>IF(E20="","",('choose m.p. (endogenous policy)'!D19-'choose m.p. (endogenous policy)'!B19)^2)</f>
        <v/>
      </c>
      <c r="I42" s="33" t="str">
        <f>IF('choose m.p.'!L19="",IF('choose m.p.'!M19="",'loss level(inputs)'!H42,0),)</f>
        <v/>
      </c>
      <c r="J42" s="33" t="str">
        <f>IF(E20="","",(J20*100-'input own m.p.'!$K$16)^2)</f>
        <v/>
      </c>
      <c r="K42" s="325" t="str">
        <f>IF('choose m.p.'!L19="",IF('choose m.p.'!M19="",'loss level(inputs)'!J42,0),)</f>
        <v/>
      </c>
    </row>
    <row r="43" spans="3:11">
      <c r="C43" s="317" t="str">
        <f>IF(E21="","",(AEA21-'choose m.p.'!B20)^2)</f>
        <v/>
      </c>
      <c r="D43" s="33">
        <f>IF('choose m.p.'!L20="",IF('choose m.p.'!M20="",'loss level(inputs)'!C43,0),)</f>
        <v>0</v>
      </c>
      <c r="E43" s="33" t="str">
        <f>IF(E21="","",(AEB21*100-'input own m.p.'!$K$16)^2)</f>
        <v/>
      </c>
      <c r="F43" s="321">
        <f>IF('choose m.p.'!L20="",IF('choose m.p.'!M20="",'loss level(inputs)'!E43,0),)</f>
        <v>0</v>
      </c>
      <c r="H43" s="343" t="str">
        <f>IF(E21="","",('choose m.p. (endogenous policy)'!D20-'choose m.p. (endogenous policy)'!B20)^2)</f>
        <v/>
      </c>
      <c r="I43" s="33">
        <f>IF('choose m.p.'!L20="",IF('choose m.p.'!M20="",'loss level(inputs)'!H43,0),)</f>
        <v>0</v>
      </c>
      <c r="J43" s="33" t="str">
        <f>IF(E21="","",(J21*100-'input own m.p.'!$K$16)^2)</f>
        <v/>
      </c>
      <c r="K43" s="325">
        <f>IF('choose m.p.'!L20="",IF('choose m.p.'!M20="",'loss level(inputs)'!J43,0),)</f>
        <v>0</v>
      </c>
    </row>
    <row r="44" spans="3:11">
      <c r="C44" s="314" t="str">
        <f>IF(E22="","",(AEA22-'choose m.p.'!B21)^2)</f>
        <v/>
      </c>
      <c r="D44" s="322">
        <f>IF('choose m.p.'!L21="",IF('choose m.p.'!M21="",'loss level(inputs)'!C44,0),)</f>
        <v>0</v>
      </c>
      <c r="E44" s="322" t="str">
        <f>IF(E22="","",(AEB22*100-'input own m.p.'!$K$16)^2)</f>
        <v/>
      </c>
      <c r="F44" s="323">
        <f>IF('choose m.p.'!L21="",IF('choose m.p.'!M21="",'loss level(inputs)'!E44,0),)</f>
        <v>0</v>
      </c>
      <c r="H44" s="346" t="str">
        <f>IF(E22="","",('choose m.p. (endogenous policy)'!D21-'choose m.p. (endogenous policy)'!B21)^2)</f>
        <v/>
      </c>
      <c r="I44" s="322">
        <f>IF('choose m.p.'!L21="",IF('choose m.p.'!M21="",'loss level(inputs)'!H44,0),)</f>
        <v>0</v>
      </c>
      <c r="J44" s="322" t="str">
        <f>IF(E22="","",(J22*100-'input own m.p.'!$K$16)^2)</f>
        <v/>
      </c>
      <c r="K44" s="328">
        <f>IF('choose m.p.'!L21="",IF('choose m.p.'!M21="",'loss level(inputs)'!J44,0),)</f>
        <v>0</v>
      </c>
    </row>
  </sheetData>
  <mergeCells count="2">
    <mergeCell ref="B2:G2"/>
    <mergeCell ref="H2:M2"/>
  </mergeCells>
  <pageMargins left="0.75" right="0.75" top="1" bottom="1" header="0" footer="0"/>
  <pageSetup paperSize="9" orientation="portrait" horizontalDpi="4294967295" verticalDpi="300"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6"/>
  <dimension ref="P1:BY50"/>
  <sheetViews>
    <sheetView showGridLines="0" showRowColHeaders="0" zoomScaleNormal="100" workbookViewId="0"/>
  </sheetViews>
  <sheetFormatPr defaultColWidth="11.453125" defaultRowHeight="12.5"/>
  <cols>
    <col min="14" max="14" width="18" customWidth="1"/>
    <col min="17" max="76" width="10.7265625" customWidth="1"/>
  </cols>
  <sheetData>
    <row r="1" spans="16:77" ht="15.5" thickTop="1">
      <c r="P1" s="245"/>
      <c r="Q1" s="715"/>
      <c r="R1" s="716"/>
      <c r="S1" s="716"/>
      <c r="T1" s="716"/>
      <c r="U1" s="716"/>
      <c r="V1" s="716"/>
      <c r="W1" s="716"/>
      <c r="X1" s="716"/>
      <c r="Y1" s="716"/>
      <c r="Z1" s="716"/>
      <c r="AA1" s="716"/>
      <c r="AB1" s="716"/>
      <c r="AC1" s="716"/>
      <c r="AD1" s="716"/>
      <c r="AE1" s="717"/>
      <c r="AF1" s="718"/>
      <c r="AG1" s="719"/>
      <c r="AH1" s="719"/>
      <c r="AI1" s="719"/>
      <c r="AJ1" s="719"/>
      <c r="AK1" s="719"/>
      <c r="AL1" s="719"/>
      <c r="AM1" s="719"/>
      <c r="AN1" s="719"/>
      <c r="AO1" s="719"/>
      <c r="AP1" s="719"/>
      <c r="AQ1" s="719"/>
      <c r="AR1" s="719"/>
      <c r="AS1" s="719"/>
      <c r="AT1" s="720"/>
      <c r="AU1" s="721"/>
      <c r="AV1" s="722"/>
      <c r="AW1" s="722"/>
      <c r="AX1" s="722"/>
      <c r="AY1" s="722"/>
      <c r="AZ1" s="722"/>
      <c r="BA1" s="722"/>
      <c r="BB1" s="722"/>
      <c r="BC1" s="722"/>
      <c r="BD1" s="722"/>
      <c r="BE1" s="722"/>
      <c r="BF1" s="722"/>
      <c r="BG1" s="722"/>
      <c r="BH1" s="722"/>
      <c r="BI1" s="723"/>
      <c r="BJ1" s="712"/>
      <c r="BK1" s="713"/>
      <c r="BL1" s="713"/>
      <c r="BM1" s="713"/>
      <c r="BN1" s="713"/>
      <c r="BO1" s="713"/>
      <c r="BP1" s="713"/>
      <c r="BQ1" s="713"/>
      <c r="BR1" s="713"/>
      <c r="BS1" s="713"/>
      <c r="BT1" s="713"/>
      <c r="BU1" s="713"/>
      <c r="BV1" s="713"/>
      <c r="BW1" s="713"/>
      <c r="BX1" s="714"/>
    </row>
    <row r="2" spans="16:77" ht="13">
      <c r="P2" s="246" t="s">
        <v>107</v>
      </c>
      <c r="Q2" s="248" t="s">
        <v>13</v>
      </c>
      <c r="R2" s="249" t="s">
        <v>112</v>
      </c>
      <c r="S2" s="250" t="s">
        <v>12</v>
      </c>
      <c r="T2" s="249" t="s">
        <v>113</v>
      </c>
      <c r="U2" s="249" t="s">
        <v>114</v>
      </c>
      <c r="V2" s="249" t="s">
        <v>115</v>
      </c>
      <c r="W2" s="249" t="s">
        <v>116</v>
      </c>
      <c r="X2" s="249" t="s">
        <v>117</v>
      </c>
      <c r="Y2" s="249" t="s">
        <v>218</v>
      </c>
      <c r="Z2" s="249" t="s">
        <v>219</v>
      </c>
      <c r="AA2" s="249" t="s">
        <v>161</v>
      </c>
      <c r="AB2" s="249" t="s">
        <v>220</v>
      </c>
      <c r="AC2" s="249" t="s">
        <v>147</v>
      </c>
      <c r="AD2" s="249" t="s">
        <v>221</v>
      </c>
      <c r="AE2" s="251" t="s">
        <v>148</v>
      </c>
      <c r="AF2" s="252" t="s">
        <v>13</v>
      </c>
      <c r="AG2" s="253" t="s">
        <v>112</v>
      </c>
      <c r="AH2" s="254" t="s">
        <v>12</v>
      </c>
      <c r="AI2" s="253" t="s">
        <v>113</v>
      </c>
      <c r="AJ2" s="253" t="s">
        <v>114</v>
      </c>
      <c r="AK2" s="253" t="s">
        <v>115</v>
      </c>
      <c r="AL2" s="253" t="s">
        <v>116</v>
      </c>
      <c r="AM2" s="253" t="s">
        <v>117</v>
      </c>
      <c r="AN2" s="253" t="s">
        <v>218</v>
      </c>
      <c r="AO2" s="253" t="s">
        <v>219</v>
      </c>
      <c r="AP2" s="253" t="s">
        <v>161</v>
      </c>
      <c r="AQ2" s="253" t="s">
        <v>220</v>
      </c>
      <c r="AR2" s="253" t="s">
        <v>147</v>
      </c>
      <c r="AS2" s="253" t="s">
        <v>221</v>
      </c>
      <c r="AT2" s="255" t="s">
        <v>148</v>
      </c>
      <c r="AU2" s="256" t="s">
        <v>13</v>
      </c>
      <c r="AV2" s="257" t="s">
        <v>112</v>
      </c>
      <c r="AW2" s="258" t="s">
        <v>12</v>
      </c>
      <c r="AX2" s="257" t="s">
        <v>113</v>
      </c>
      <c r="AY2" s="257" t="s">
        <v>114</v>
      </c>
      <c r="AZ2" s="257" t="s">
        <v>115</v>
      </c>
      <c r="BA2" s="257" t="s">
        <v>116</v>
      </c>
      <c r="BB2" s="257" t="s">
        <v>117</v>
      </c>
      <c r="BC2" s="257" t="s">
        <v>218</v>
      </c>
      <c r="BD2" s="257" t="s">
        <v>219</v>
      </c>
      <c r="BE2" s="257" t="s">
        <v>161</v>
      </c>
      <c r="BF2" s="257" t="s">
        <v>220</v>
      </c>
      <c r="BG2" s="257" t="s">
        <v>147</v>
      </c>
      <c r="BH2" s="257" t="s">
        <v>221</v>
      </c>
      <c r="BI2" s="259" t="s">
        <v>148</v>
      </c>
      <c r="BJ2" s="260" t="s">
        <v>13</v>
      </c>
      <c r="BK2" s="261" t="s">
        <v>112</v>
      </c>
      <c r="BL2" s="261" t="s">
        <v>12</v>
      </c>
      <c r="BM2" s="261" t="s">
        <v>113</v>
      </c>
      <c r="BN2" s="261" t="s">
        <v>114</v>
      </c>
      <c r="BO2" s="261" t="s">
        <v>115</v>
      </c>
      <c r="BP2" s="261" t="s">
        <v>116</v>
      </c>
      <c r="BQ2" s="261" t="s">
        <v>117</v>
      </c>
      <c r="BR2" s="261" t="s">
        <v>218</v>
      </c>
      <c r="BS2" s="261" t="s">
        <v>219</v>
      </c>
      <c r="BT2" s="261" t="s">
        <v>161</v>
      </c>
      <c r="BU2" s="261" t="s">
        <v>220</v>
      </c>
      <c r="BV2" s="261" t="s">
        <v>147</v>
      </c>
      <c r="BW2" s="261" t="s">
        <v>221</v>
      </c>
      <c r="BX2" s="262" t="s">
        <v>148</v>
      </c>
    </row>
    <row r="3" spans="16:77" ht="13">
      <c r="P3" s="246">
        <v>1</v>
      </c>
      <c r="Q3" s="263"/>
      <c r="R3" s="249"/>
      <c r="S3" s="264"/>
      <c r="T3" s="264"/>
      <c r="U3" s="264"/>
      <c r="V3" s="264"/>
      <c r="W3" s="264"/>
      <c r="X3" s="264"/>
      <c r="Y3" s="264"/>
      <c r="Z3" s="264"/>
      <c r="AA3" s="361"/>
      <c r="AB3" s="361"/>
      <c r="AC3" s="264"/>
      <c r="AD3" s="264"/>
      <c r="AE3" s="265"/>
      <c r="AF3" s="266"/>
      <c r="AG3" s="253"/>
      <c r="AH3" s="267"/>
      <c r="AI3" s="267"/>
      <c r="AJ3" s="267"/>
      <c r="AK3" s="267"/>
      <c r="AL3" s="267"/>
      <c r="AM3" s="267"/>
      <c r="AN3" s="267"/>
      <c r="AO3" s="267"/>
      <c r="AP3" s="363"/>
      <c r="AQ3" s="363"/>
      <c r="AR3" s="267"/>
      <c r="AS3" s="267"/>
      <c r="AT3" s="268"/>
      <c r="AU3" s="269"/>
      <c r="AV3" s="257"/>
      <c r="AW3" s="270"/>
      <c r="AX3" s="270"/>
      <c r="AY3" s="270"/>
      <c r="AZ3" s="270"/>
      <c r="BA3" s="270"/>
      <c r="BB3" s="270"/>
      <c r="BC3" s="270"/>
      <c r="BD3" s="270"/>
      <c r="BE3" s="365"/>
      <c r="BF3" s="365"/>
      <c r="BG3" s="270"/>
      <c r="BH3" s="270"/>
      <c r="BI3" s="271"/>
      <c r="BJ3" s="272"/>
      <c r="BK3" s="261"/>
      <c r="BL3" s="273"/>
      <c r="BM3" s="273"/>
      <c r="BN3" s="273"/>
      <c r="BO3" s="273"/>
      <c r="BP3" s="273"/>
      <c r="BQ3" s="273"/>
      <c r="BR3" s="273"/>
      <c r="BS3" s="273"/>
      <c r="BT3" s="367"/>
      <c r="BU3" s="367"/>
      <c r="BV3" s="273"/>
      <c r="BW3" s="273"/>
      <c r="BX3" s="274"/>
    </row>
    <row r="4" spans="16:77" ht="13">
      <c r="P4" s="246">
        <v>2</v>
      </c>
      <c r="Q4" s="263"/>
      <c r="R4" s="264"/>
      <c r="S4" s="264"/>
      <c r="T4" s="264"/>
      <c r="U4" s="264"/>
      <c r="V4" s="264"/>
      <c r="W4" s="264"/>
      <c r="X4" s="264"/>
      <c r="Y4" s="264"/>
      <c r="Z4" s="264"/>
      <c r="AA4" s="361"/>
      <c r="AB4" s="361"/>
      <c r="AC4" s="264"/>
      <c r="AD4" s="264"/>
      <c r="AE4" s="265"/>
      <c r="AF4" s="266"/>
      <c r="AG4" s="267"/>
      <c r="AH4" s="267"/>
      <c r="AI4" s="267"/>
      <c r="AJ4" s="267"/>
      <c r="AK4" s="267"/>
      <c r="AL4" s="267"/>
      <c r="AM4" s="267"/>
      <c r="AN4" s="267"/>
      <c r="AO4" s="267"/>
      <c r="AP4" s="363"/>
      <c r="AQ4" s="363"/>
      <c r="AR4" s="267"/>
      <c r="AS4" s="267"/>
      <c r="AT4" s="268"/>
      <c r="AU4" s="269"/>
      <c r="AV4" s="270"/>
      <c r="AW4" s="270"/>
      <c r="AX4" s="270"/>
      <c r="AY4" s="270"/>
      <c r="AZ4" s="270"/>
      <c r="BA4" s="270"/>
      <c r="BB4" s="270"/>
      <c r="BC4" s="270"/>
      <c r="BD4" s="270"/>
      <c r="BE4" s="365"/>
      <c r="BF4" s="365"/>
      <c r="BG4" s="270"/>
      <c r="BH4" s="270"/>
      <c r="BI4" s="271"/>
      <c r="BJ4" s="272"/>
      <c r="BK4" s="273"/>
      <c r="BL4" s="273"/>
      <c r="BM4" s="273"/>
      <c r="BN4" s="273"/>
      <c r="BO4" s="273"/>
      <c r="BP4" s="273"/>
      <c r="BQ4" s="273"/>
      <c r="BR4" s="273"/>
      <c r="BS4" s="273"/>
      <c r="BT4" s="367"/>
      <c r="BU4" s="367"/>
      <c r="BV4" s="273"/>
      <c r="BW4" s="273"/>
      <c r="BX4" s="274"/>
    </row>
    <row r="5" spans="16:77" ht="13">
      <c r="P5" s="246">
        <v>3</v>
      </c>
      <c r="Q5" s="263"/>
      <c r="R5" s="264"/>
      <c r="S5" s="264"/>
      <c r="T5" s="264"/>
      <c r="U5" s="264"/>
      <c r="V5" s="264"/>
      <c r="W5" s="264"/>
      <c r="X5" s="264"/>
      <c r="Y5" s="264"/>
      <c r="Z5" s="264"/>
      <c r="AA5" s="361"/>
      <c r="AB5" s="361"/>
      <c r="AC5" s="264"/>
      <c r="AD5" s="264"/>
      <c r="AE5" s="265"/>
      <c r="AF5" s="266"/>
      <c r="AG5" s="267"/>
      <c r="AH5" s="267"/>
      <c r="AI5" s="267"/>
      <c r="AJ5" s="267"/>
      <c r="AK5" s="267"/>
      <c r="AL5" s="267"/>
      <c r="AM5" s="267"/>
      <c r="AN5" s="267"/>
      <c r="AO5" s="267"/>
      <c r="AP5" s="363"/>
      <c r="AQ5" s="363"/>
      <c r="AR5" s="267"/>
      <c r="AS5" s="267"/>
      <c r="AT5" s="268"/>
      <c r="AU5" s="269"/>
      <c r="AV5" s="270"/>
      <c r="AW5" s="270"/>
      <c r="AX5" s="270"/>
      <c r="AY5" s="270"/>
      <c r="AZ5" s="270"/>
      <c r="BA5" s="270"/>
      <c r="BB5" s="270"/>
      <c r="BC5" s="270"/>
      <c r="BD5" s="270"/>
      <c r="BE5" s="365"/>
      <c r="BF5" s="365"/>
      <c r="BG5" s="270"/>
      <c r="BH5" s="270"/>
      <c r="BI5" s="271"/>
      <c r="BJ5" s="272"/>
      <c r="BK5" s="273"/>
      <c r="BL5" s="273"/>
      <c r="BM5" s="273"/>
      <c r="BN5" s="273"/>
      <c r="BO5" s="273"/>
      <c r="BP5" s="273"/>
      <c r="BQ5" s="273"/>
      <c r="BR5" s="273"/>
      <c r="BS5" s="273"/>
      <c r="BT5" s="367"/>
      <c r="BU5" s="367"/>
      <c r="BV5" s="273"/>
      <c r="BW5" s="273"/>
      <c r="BX5" s="274"/>
    </row>
    <row r="6" spans="16:77" ht="13">
      <c r="P6" s="246">
        <v>4</v>
      </c>
      <c r="Q6" s="263"/>
      <c r="R6" s="264"/>
      <c r="S6" s="264"/>
      <c r="T6" s="264"/>
      <c r="U6" s="264"/>
      <c r="V6" s="264"/>
      <c r="W6" s="264"/>
      <c r="X6" s="264"/>
      <c r="Y6" s="264"/>
      <c r="Z6" s="264"/>
      <c r="AA6" s="361"/>
      <c r="AB6" s="361"/>
      <c r="AC6" s="264"/>
      <c r="AD6" s="264"/>
      <c r="AE6" s="265"/>
      <c r="AF6" s="266"/>
      <c r="AG6" s="267"/>
      <c r="AH6" s="267"/>
      <c r="AI6" s="267"/>
      <c r="AJ6" s="267"/>
      <c r="AK6" s="267"/>
      <c r="AL6" s="267"/>
      <c r="AM6" s="267"/>
      <c r="AN6" s="267"/>
      <c r="AO6" s="267"/>
      <c r="AP6" s="363"/>
      <c r="AQ6" s="363"/>
      <c r="AR6" s="267"/>
      <c r="AS6" s="267"/>
      <c r="AT6" s="268"/>
      <c r="AU6" s="269"/>
      <c r="AV6" s="270"/>
      <c r="AW6" s="270"/>
      <c r="AX6" s="270"/>
      <c r="AY6" s="270"/>
      <c r="AZ6" s="270"/>
      <c r="BA6" s="270"/>
      <c r="BB6" s="270"/>
      <c r="BC6" s="270"/>
      <c r="BD6" s="270"/>
      <c r="BE6" s="365"/>
      <c r="BF6" s="365"/>
      <c r="BG6" s="270"/>
      <c r="BH6" s="270"/>
      <c r="BI6" s="271"/>
      <c r="BJ6" s="272"/>
      <c r="BK6" s="273"/>
      <c r="BL6" s="273"/>
      <c r="BM6" s="273"/>
      <c r="BN6" s="273"/>
      <c r="BO6" s="273"/>
      <c r="BP6" s="273"/>
      <c r="BQ6" s="273"/>
      <c r="BR6" s="273"/>
      <c r="BS6" s="273"/>
      <c r="BT6" s="367"/>
      <c r="BU6" s="367"/>
      <c r="BV6" s="273"/>
      <c r="BW6" s="273"/>
      <c r="BX6" s="274"/>
    </row>
    <row r="7" spans="16:77" ht="13">
      <c r="P7" s="246">
        <v>5</v>
      </c>
      <c r="Q7" s="263"/>
      <c r="R7" s="264"/>
      <c r="S7" s="264"/>
      <c r="T7" s="264"/>
      <c r="U7" s="264"/>
      <c r="V7" s="264"/>
      <c r="W7" s="264"/>
      <c r="X7" s="264"/>
      <c r="Y7" s="264"/>
      <c r="Z7" s="264"/>
      <c r="AA7" s="361"/>
      <c r="AB7" s="361"/>
      <c r="AC7" s="264"/>
      <c r="AD7" s="264"/>
      <c r="AE7" s="265"/>
      <c r="AF7" s="266"/>
      <c r="AG7" s="267"/>
      <c r="AH7" s="267"/>
      <c r="AI7" s="267"/>
      <c r="AJ7" s="267"/>
      <c r="AK7" s="267"/>
      <c r="AL7" s="267"/>
      <c r="AM7" s="267"/>
      <c r="AN7" s="267"/>
      <c r="AO7" s="267"/>
      <c r="AP7" s="363"/>
      <c r="AQ7" s="363"/>
      <c r="AR7" s="267"/>
      <c r="AS7" s="267"/>
      <c r="AT7" s="268"/>
      <c r="AU7" s="269"/>
      <c r="AV7" s="270"/>
      <c r="AW7" s="270"/>
      <c r="AX7" s="270"/>
      <c r="AY7" s="270"/>
      <c r="AZ7" s="270"/>
      <c r="BA7" s="270"/>
      <c r="BB7" s="270"/>
      <c r="BC7" s="270"/>
      <c r="BD7" s="270"/>
      <c r="BE7" s="365"/>
      <c r="BF7" s="365"/>
      <c r="BG7" s="270"/>
      <c r="BH7" s="270"/>
      <c r="BI7" s="271"/>
      <c r="BJ7" s="272"/>
      <c r="BK7" s="273"/>
      <c r="BL7" s="273"/>
      <c r="BM7" s="273"/>
      <c r="BN7" s="273"/>
      <c r="BO7" s="273"/>
      <c r="BP7" s="273"/>
      <c r="BQ7" s="273"/>
      <c r="BR7" s="273"/>
      <c r="BS7" s="273"/>
      <c r="BT7" s="367"/>
      <c r="BU7" s="367"/>
      <c r="BV7" s="273"/>
      <c r="BW7" s="273"/>
      <c r="BX7" s="274"/>
    </row>
    <row r="8" spans="16:77" ht="13">
      <c r="P8" s="246">
        <v>6</v>
      </c>
      <c r="Q8" s="263"/>
      <c r="R8" s="264"/>
      <c r="S8" s="264"/>
      <c r="T8" s="264"/>
      <c r="U8" s="264"/>
      <c r="V8" s="264"/>
      <c r="W8" s="264"/>
      <c r="X8" s="264"/>
      <c r="Y8" s="264"/>
      <c r="Z8" s="264"/>
      <c r="AA8" s="361"/>
      <c r="AB8" s="361"/>
      <c r="AC8" s="264"/>
      <c r="AD8" s="264"/>
      <c r="AE8" s="265"/>
      <c r="AF8" s="266"/>
      <c r="AG8" s="267"/>
      <c r="AH8" s="267"/>
      <c r="AI8" s="267"/>
      <c r="AJ8" s="267"/>
      <c r="AK8" s="267"/>
      <c r="AL8" s="267"/>
      <c r="AM8" s="267"/>
      <c r="AN8" s="267"/>
      <c r="AO8" s="267"/>
      <c r="AP8" s="363"/>
      <c r="AQ8" s="363"/>
      <c r="AR8" s="267"/>
      <c r="AS8" s="267"/>
      <c r="AT8" s="268"/>
      <c r="AU8" s="269"/>
      <c r="AV8" s="270"/>
      <c r="AW8" s="270"/>
      <c r="AX8" s="270"/>
      <c r="AY8" s="270"/>
      <c r="AZ8" s="270"/>
      <c r="BA8" s="270"/>
      <c r="BB8" s="270"/>
      <c r="BC8" s="270"/>
      <c r="BD8" s="270"/>
      <c r="BE8" s="365"/>
      <c r="BF8" s="365"/>
      <c r="BG8" s="270"/>
      <c r="BH8" s="270"/>
      <c r="BI8" s="271"/>
      <c r="BJ8" s="272"/>
      <c r="BK8" s="273"/>
      <c r="BL8" s="273"/>
      <c r="BM8" s="273"/>
      <c r="BN8" s="273"/>
      <c r="BO8" s="273"/>
      <c r="BP8" s="273"/>
      <c r="BQ8" s="273"/>
      <c r="BR8" s="273"/>
      <c r="BS8" s="273"/>
      <c r="BT8" s="367"/>
      <c r="BU8" s="367"/>
      <c r="BV8" s="273"/>
      <c r="BW8" s="273"/>
      <c r="BX8" s="274"/>
    </row>
    <row r="9" spans="16:77" ht="13">
      <c r="P9" s="246">
        <v>7</v>
      </c>
      <c r="Q9" s="263"/>
      <c r="R9" s="264"/>
      <c r="S9" s="264"/>
      <c r="T9" s="264"/>
      <c r="U9" s="264"/>
      <c r="V9" s="264"/>
      <c r="W9" s="264"/>
      <c r="X9" s="264"/>
      <c r="Y9" s="264"/>
      <c r="Z9" s="264"/>
      <c r="AA9" s="361"/>
      <c r="AB9" s="361"/>
      <c r="AC9" s="264"/>
      <c r="AD9" s="264"/>
      <c r="AE9" s="265"/>
      <c r="AF9" s="266"/>
      <c r="AG9" s="267"/>
      <c r="AH9" s="267"/>
      <c r="AI9" s="267"/>
      <c r="AJ9" s="267"/>
      <c r="AK9" s="267"/>
      <c r="AL9" s="267"/>
      <c r="AM9" s="267"/>
      <c r="AN9" s="267"/>
      <c r="AO9" s="267"/>
      <c r="AP9" s="363"/>
      <c r="AQ9" s="363"/>
      <c r="AR9" s="267"/>
      <c r="AS9" s="267"/>
      <c r="AT9" s="268"/>
      <c r="AU9" s="269"/>
      <c r="AV9" s="270"/>
      <c r="AW9" s="270"/>
      <c r="AX9" s="270"/>
      <c r="AY9" s="270"/>
      <c r="AZ9" s="270"/>
      <c r="BA9" s="270"/>
      <c r="BB9" s="270"/>
      <c r="BC9" s="270"/>
      <c r="BD9" s="270"/>
      <c r="BE9" s="365"/>
      <c r="BF9" s="365"/>
      <c r="BG9" s="270"/>
      <c r="BH9" s="270"/>
      <c r="BI9" s="271"/>
      <c r="BJ9" s="272"/>
      <c r="BK9" s="273"/>
      <c r="BL9" s="273"/>
      <c r="BM9" s="273"/>
      <c r="BN9" s="273"/>
      <c r="BO9" s="273"/>
      <c r="BP9" s="273"/>
      <c r="BQ9" s="273"/>
      <c r="BR9" s="273"/>
      <c r="BS9" s="273"/>
      <c r="BT9" s="367"/>
      <c r="BU9" s="367"/>
      <c r="BV9" s="273"/>
      <c r="BW9" s="273"/>
      <c r="BX9" s="274"/>
      <c r="BY9" s="247"/>
    </row>
    <row r="10" spans="16:77" ht="13">
      <c r="P10" s="246">
        <v>8</v>
      </c>
      <c r="Q10" s="263"/>
      <c r="R10" s="264"/>
      <c r="S10" s="264"/>
      <c r="T10" s="264"/>
      <c r="U10" s="264"/>
      <c r="V10" s="264"/>
      <c r="W10" s="264"/>
      <c r="X10" s="264"/>
      <c r="Y10" s="264"/>
      <c r="Z10" s="264"/>
      <c r="AA10" s="361"/>
      <c r="AB10" s="361"/>
      <c r="AC10" s="264"/>
      <c r="AD10" s="264"/>
      <c r="AE10" s="265"/>
      <c r="AF10" s="266"/>
      <c r="AG10" s="267"/>
      <c r="AH10" s="267"/>
      <c r="AI10" s="267"/>
      <c r="AJ10" s="267"/>
      <c r="AK10" s="267"/>
      <c r="AL10" s="267"/>
      <c r="AM10" s="267"/>
      <c r="AN10" s="267"/>
      <c r="AO10" s="267"/>
      <c r="AP10" s="363"/>
      <c r="AQ10" s="363"/>
      <c r="AR10" s="267"/>
      <c r="AS10" s="267"/>
      <c r="AT10" s="268"/>
      <c r="AU10" s="269"/>
      <c r="AV10" s="270"/>
      <c r="AW10" s="270"/>
      <c r="AX10" s="270"/>
      <c r="AY10" s="270"/>
      <c r="AZ10" s="270"/>
      <c r="BA10" s="270"/>
      <c r="BB10" s="270"/>
      <c r="BC10" s="270"/>
      <c r="BD10" s="270"/>
      <c r="BE10" s="365"/>
      <c r="BF10" s="365"/>
      <c r="BG10" s="270"/>
      <c r="BH10" s="270"/>
      <c r="BI10" s="271"/>
      <c r="BJ10" s="272"/>
      <c r="BK10" s="273"/>
      <c r="BL10" s="273"/>
      <c r="BM10" s="273"/>
      <c r="BN10" s="273"/>
      <c r="BO10" s="273"/>
      <c r="BP10" s="273"/>
      <c r="BQ10" s="273"/>
      <c r="BR10" s="273"/>
      <c r="BS10" s="273"/>
      <c r="BT10" s="367"/>
      <c r="BU10" s="367"/>
      <c r="BV10" s="273"/>
      <c r="BW10" s="273"/>
      <c r="BX10" s="274"/>
    </row>
    <row r="11" spans="16:77" ht="13">
      <c r="P11" s="246">
        <v>9</v>
      </c>
      <c r="Q11" s="263"/>
      <c r="R11" s="264"/>
      <c r="S11" s="264"/>
      <c r="T11" s="264"/>
      <c r="U11" s="264"/>
      <c r="V11" s="264"/>
      <c r="W11" s="264"/>
      <c r="X11" s="264"/>
      <c r="Y11" s="264"/>
      <c r="Z11" s="264"/>
      <c r="AA11" s="361"/>
      <c r="AB11" s="361"/>
      <c r="AC11" s="264"/>
      <c r="AD11" s="264"/>
      <c r="AE11" s="265"/>
      <c r="AF11" s="266"/>
      <c r="AG11" s="267"/>
      <c r="AH11" s="267"/>
      <c r="AI11" s="267"/>
      <c r="AJ11" s="267"/>
      <c r="AK11" s="267"/>
      <c r="AL11" s="267"/>
      <c r="AM11" s="267"/>
      <c r="AN11" s="267"/>
      <c r="AO11" s="267"/>
      <c r="AP11" s="363"/>
      <c r="AQ11" s="363"/>
      <c r="AR11" s="267"/>
      <c r="AS11" s="267"/>
      <c r="AT11" s="268"/>
      <c r="AU11" s="269"/>
      <c r="AV11" s="270"/>
      <c r="AW11" s="270"/>
      <c r="AX11" s="270"/>
      <c r="AY11" s="270"/>
      <c r="AZ11" s="270"/>
      <c r="BA11" s="270"/>
      <c r="BB11" s="270"/>
      <c r="BC11" s="270"/>
      <c r="BD11" s="270"/>
      <c r="BE11" s="365"/>
      <c r="BF11" s="365"/>
      <c r="BG11" s="270"/>
      <c r="BH11" s="270"/>
      <c r="BI11" s="271"/>
      <c r="BJ11" s="272"/>
      <c r="BK11" s="273"/>
      <c r="BL11" s="273"/>
      <c r="BM11" s="273"/>
      <c r="BN11" s="273"/>
      <c r="BO11" s="273"/>
      <c r="BP11" s="273"/>
      <c r="BQ11" s="273"/>
      <c r="BR11" s="273"/>
      <c r="BS11" s="273"/>
      <c r="BT11" s="367"/>
      <c r="BU11" s="367"/>
      <c r="BV11" s="273"/>
      <c r="BW11" s="273"/>
      <c r="BX11" s="274"/>
    </row>
    <row r="12" spans="16:77" ht="13">
      <c r="P12" s="246">
        <v>10</v>
      </c>
      <c r="Q12" s="263"/>
      <c r="R12" s="264"/>
      <c r="S12" s="264"/>
      <c r="T12" s="264"/>
      <c r="U12" s="264"/>
      <c r="V12" s="264"/>
      <c r="W12" s="264"/>
      <c r="X12" s="264"/>
      <c r="Y12" s="264"/>
      <c r="Z12" s="264"/>
      <c r="AA12" s="361"/>
      <c r="AB12" s="361"/>
      <c r="AC12" s="264"/>
      <c r="AD12" s="264"/>
      <c r="AE12" s="265"/>
      <c r="AF12" s="266"/>
      <c r="AG12" s="267"/>
      <c r="AH12" s="267"/>
      <c r="AI12" s="267"/>
      <c r="AJ12" s="267"/>
      <c r="AK12" s="267"/>
      <c r="AL12" s="267"/>
      <c r="AM12" s="267"/>
      <c r="AN12" s="267"/>
      <c r="AO12" s="267"/>
      <c r="AP12" s="363"/>
      <c r="AQ12" s="363"/>
      <c r="AR12" s="267"/>
      <c r="AS12" s="267"/>
      <c r="AT12" s="268"/>
      <c r="AU12" s="269"/>
      <c r="AV12" s="270"/>
      <c r="AW12" s="270"/>
      <c r="AX12" s="270"/>
      <c r="AY12" s="270"/>
      <c r="AZ12" s="270"/>
      <c r="BA12" s="270"/>
      <c r="BB12" s="270"/>
      <c r="BC12" s="270"/>
      <c r="BD12" s="270"/>
      <c r="BE12" s="365"/>
      <c r="BF12" s="365"/>
      <c r="BG12" s="270"/>
      <c r="BH12" s="270"/>
      <c r="BI12" s="271"/>
      <c r="BJ12" s="272"/>
      <c r="BK12" s="273"/>
      <c r="BL12" s="273"/>
      <c r="BM12" s="273"/>
      <c r="BN12" s="273"/>
      <c r="BO12" s="273"/>
      <c r="BP12" s="273"/>
      <c r="BQ12" s="273"/>
      <c r="BR12" s="273"/>
      <c r="BS12" s="273"/>
      <c r="BT12" s="367"/>
      <c r="BU12" s="367"/>
      <c r="BV12" s="273"/>
      <c r="BW12" s="273"/>
      <c r="BX12" s="274"/>
    </row>
    <row r="13" spans="16:77" ht="13">
      <c r="P13" s="246">
        <v>11</v>
      </c>
      <c r="Q13" s="263"/>
      <c r="R13" s="264"/>
      <c r="S13" s="264"/>
      <c r="T13" s="264"/>
      <c r="U13" s="264"/>
      <c r="V13" s="264"/>
      <c r="W13" s="264"/>
      <c r="X13" s="264"/>
      <c r="Y13" s="264"/>
      <c r="Z13" s="264"/>
      <c r="AA13" s="361"/>
      <c r="AB13" s="361"/>
      <c r="AC13" s="264"/>
      <c r="AD13" s="264"/>
      <c r="AE13" s="265"/>
      <c r="AF13" s="266"/>
      <c r="AG13" s="267"/>
      <c r="AH13" s="267"/>
      <c r="AI13" s="267"/>
      <c r="AJ13" s="267"/>
      <c r="AK13" s="267"/>
      <c r="AL13" s="267"/>
      <c r="AM13" s="267"/>
      <c r="AN13" s="267"/>
      <c r="AO13" s="267"/>
      <c r="AP13" s="363"/>
      <c r="AQ13" s="363"/>
      <c r="AR13" s="267"/>
      <c r="AS13" s="267"/>
      <c r="AT13" s="268"/>
      <c r="AU13" s="269"/>
      <c r="AV13" s="270"/>
      <c r="AW13" s="270"/>
      <c r="AX13" s="270"/>
      <c r="AY13" s="270"/>
      <c r="AZ13" s="270"/>
      <c r="BA13" s="270"/>
      <c r="BB13" s="270"/>
      <c r="BC13" s="270"/>
      <c r="BD13" s="270"/>
      <c r="BE13" s="365"/>
      <c r="BF13" s="365"/>
      <c r="BG13" s="270"/>
      <c r="BH13" s="270"/>
      <c r="BI13" s="271"/>
      <c r="BJ13" s="272"/>
      <c r="BK13" s="273"/>
      <c r="BL13" s="273"/>
      <c r="BM13" s="273"/>
      <c r="BN13" s="273"/>
      <c r="BO13" s="273"/>
      <c r="BP13" s="273"/>
      <c r="BQ13" s="273"/>
      <c r="BR13" s="273"/>
      <c r="BS13" s="273"/>
      <c r="BT13" s="367"/>
      <c r="BU13" s="367"/>
      <c r="BV13" s="273"/>
      <c r="BW13" s="273"/>
      <c r="BX13" s="274"/>
    </row>
    <row r="14" spans="16:77" ht="13">
      <c r="P14" s="246">
        <v>12</v>
      </c>
      <c r="Q14" s="263"/>
      <c r="R14" s="264"/>
      <c r="S14" s="264"/>
      <c r="T14" s="264"/>
      <c r="U14" s="264"/>
      <c r="V14" s="264"/>
      <c r="W14" s="264"/>
      <c r="X14" s="264"/>
      <c r="Y14" s="264"/>
      <c r="Z14" s="264"/>
      <c r="AA14" s="361"/>
      <c r="AB14" s="361"/>
      <c r="AC14" s="264"/>
      <c r="AD14" s="264"/>
      <c r="AE14" s="265"/>
      <c r="AF14" s="266"/>
      <c r="AG14" s="267"/>
      <c r="AH14" s="267"/>
      <c r="AI14" s="267"/>
      <c r="AJ14" s="267"/>
      <c r="AK14" s="267"/>
      <c r="AL14" s="267"/>
      <c r="AM14" s="267"/>
      <c r="AN14" s="267"/>
      <c r="AO14" s="267"/>
      <c r="AP14" s="363"/>
      <c r="AQ14" s="363"/>
      <c r="AR14" s="267"/>
      <c r="AS14" s="267"/>
      <c r="AT14" s="268"/>
      <c r="AU14" s="269"/>
      <c r="AV14" s="270"/>
      <c r="AW14" s="270"/>
      <c r="AX14" s="270"/>
      <c r="AY14" s="270"/>
      <c r="AZ14" s="270"/>
      <c r="BA14" s="270"/>
      <c r="BB14" s="270"/>
      <c r="BC14" s="270"/>
      <c r="BD14" s="270"/>
      <c r="BE14" s="365"/>
      <c r="BF14" s="365"/>
      <c r="BG14" s="270"/>
      <c r="BH14" s="270"/>
      <c r="BI14" s="271"/>
      <c r="BJ14" s="272"/>
      <c r="BK14" s="273"/>
      <c r="BL14" s="273"/>
      <c r="BM14" s="273"/>
      <c r="BN14" s="273"/>
      <c r="BO14" s="273"/>
      <c r="BP14" s="273"/>
      <c r="BQ14" s="273"/>
      <c r="BR14" s="273"/>
      <c r="BS14" s="273"/>
      <c r="BT14" s="367"/>
      <c r="BU14" s="367"/>
      <c r="BV14" s="273"/>
      <c r="BW14" s="273"/>
      <c r="BX14" s="274"/>
    </row>
    <row r="15" spans="16:77" ht="13">
      <c r="P15" s="246">
        <v>13</v>
      </c>
      <c r="Q15" s="263"/>
      <c r="R15" s="264"/>
      <c r="S15" s="264"/>
      <c r="T15" s="264"/>
      <c r="U15" s="264"/>
      <c r="V15" s="264"/>
      <c r="W15" s="264"/>
      <c r="X15" s="264"/>
      <c r="Y15" s="264"/>
      <c r="Z15" s="264"/>
      <c r="AA15" s="361"/>
      <c r="AB15" s="361"/>
      <c r="AC15" s="264"/>
      <c r="AD15" s="264"/>
      <c r="AE15" s="265"/>
      <c r="AF15" s="266"/>
      <c r="AG15" s="267"/>
      <c r="AH15" s="267"/>
      <c r="AI15" s="267"/>
      <c r="AJ15" s="267"/>
      <c r="AK15" s="267"/>
      <c r="AL15" s="267"/>
      <c r="AM15" s="267"/>
      <c r="AN15" s="267"/>
      <c r="AO15" s="267"/>
      <c r="AP15" s="363"/>
      <c r="AQ15" s="363"/>
      <c r="AR15" s="267"/>
      <c r="AS15" s="267"/>
      <c r="AT15" s="268"/>
      <c r="AU15" s="269"/>
      <c r="AV15" s="270"/>
      <c r="AW15" s="270"/>
      <c r="AX15" s="270"/>
      <c r="AY15" s="270"/>
      <c r="AZ15" s="270"/>
      <c r="BA15" s="270"/>
      <c r="BB15" s="270"/>
      <c r="BC15" s="270"/>
      <c r="BD15" s="270"/>
      <c r="BE15" s="365"/>
      <c r="BF15" s="365"/>
      <c r="BG15" s="270"/>
      <c r="BH15" s="270"/>
      <c r="BI15" s="271"/>
      <c r="BJ15" s="272"/>
      <c r="BK15" s="273"/>
      <c r="BL15" s="273"/>
      <c r="BM15" s="273"/>
      <c r="BN15" s="273"/>
      <c r="BO15" s="273"/>
      <c r="BP15" s="273"/>
      <c r="BQ15" s="273"/>
      <c r="BR15" s="273"/>
      <c r="BS15" s="273"/>
      <c r="BT15" s="367"/>
      <c r="BU15" s="367"/>
      <c r="BV15" s="273"/>
      <c r="BW15" s="273"/>
      <c r="BX15" s="274"/>
    </row>
    <row r="16" spans="16:77" ht="13">
      <c r="P16" s="246">
        <v>14</v>
      </c>
      <c r="Q16" s="263"/>
      <c r="R16" s="264"/>
      <c r="S16" s="264"/>
      <c r="T16" s="264"/>
      <c r="U16" s="264"/>
      <c r="V16" s="264"/>
      <c r="W16" s="264"/>
      <c r="X16" s="264"/>
      <c r="Y16" s="264"/>
      <c r="Z16" s="264"/>
      <c r="AA16" s="361"/>
      <c r="AB16" s="361"/>
      <c r="AC16" s="264"/>
      <c r="AD16" s="264"/>
      <c r="AE16" s="265"/>
      <c r="AF16" s="266"/>
      <c r="AG16" s="267"/>
      <c r="AH16" s="267"/>
      <c r="AI16" s="267"/>
      <c r="AJ16" s="267"/>
      <c r="AK16" s="267"/>
      <c r="AL16" s="267"/>
      <c r="AM16" s="267"/>
      <c r="AN16" s="267"/>
      <c r="AO16" s="267"/>
      <c r="AP16" s="363"/>
      <c r="AQ16" s="363"/>
      <c r="AR16" s="267"/>
      <c r="AS16" s="267"/>
      <c r="AT16" s="268"/>
      <c r="AU16" s="269"/>
      <c r="AV16" s="270"/>
      <c r="AW16" s="270"/>
      <c r="AX16" s="270"/>
      <c r="AY16" s="270"/>
      <c r="AZ16" s="270"/>
      <c r="BA16" s="270"/>
      <c r="BB16" s="270"/>
      <c r="BC16" s="270"/>
      <c r="BD16" s="270"/>
      <c r="BE16" s="365"/>
      <c r="BF16" s="365"/>
      <c r="BG16" s="270"/>
      <c r="BH16" s="270"/>
      <c r="BI16" s="271"/>
      <c r="BJ16" s="272"/>
      <c r="BK16" s="273"/>
      <c r="BL16" s="273"/>
      <c r="BM16" s="273"/>
      <c r="BN16" s="273"/>
      <c r="BO16" s="273"/>
      <c r="BP16" s="273"/>
      <c r="BQ16" s="273"/>
      <c r="BR16" s="273"/>
      <c r="BS16" s="273"/>
      <c r="BT16" s="367"/>
      <c r="BU16" s="367"/>
      <c r="BV16" s="273"/>
      <c r="BW16" s="273"/>
      <c r="BX16" s="274"/>
    </row>
    <row r="17" spans="16:76" ht="13">
      <c r="P17" s="246">
        <v>15</v>
      </c>
      <c r="Q17" s="263"/>
      <c r="R17" s="264"/>
      <c r="S17" s="264"/>
      <c r="T17" s="264"/>
      <c r="U17" s="264"/>
      <c r="V17" s="264"/>
      <c r="W17" s="264"/>
      <c r="X17" s="264"/>
      <c r="Y17" s="264"/>
      <c r="Z17" s="264"/>
      <c r="AA17" s="361"/>
      <c r="AB17" s="361"/>
      <c r="AC17" s="264"/>
      <c r="AD17" s="264"/>
      <c r="AE17" s="265"/>
      <c r="AF17" s="266"/>
      <c r="AG17" s="267"/>
      <c r="AH17" s="267"/>
      <c r="AI17" s="267"/>
      <c r="AJ17" s="267"/>
      <c r="AK17" s="267"/>
      <c r="AL17" s="267"/>
      <c r="AM17" s="267"/>
      <c r="AN17" s="267"/>
      <c r="AO17" s="267"/>
      <c r="AP17" s="363"/>
      <c r="AQ17" s="363"/>
      <c r="AR17" s="267"/>
      <c r="AS17" s="267"/>
      <c r="AT17" s="268"/>
      <c r="AU17" s="269"/>
      <c r="AV17" s="270"/>
      <c r="AW17" s="270"/>
      <c r="AX17" s="270"/>
      <c r="AY17" s="270"/>
      <c r="AZ17" s="270"/>
      <c r="BA17" s="270"/>
      <c r="BB17" s="270"/>
      <c r="BC17" s="270"/>
      <c r="BD17" s="270"/>
      <c r="BE17" s="365"/>
      <c r="BF17" s="365"/>
      <c r="BG17" s="270"/>
      <c r="BH17" s="270"/>
      <c r="BI17" s="271"/>
      <c r="BJ17" s="272"/>
      <c r="BK17" s="273"/>
      <c r="BL17" s="273"/>
      <c r="BM17" s="273"/>
      <c r="BN17" s="273"/>
      <c r="BO17" s="273"/>
      <c r="BP17" s="273"/>
      <c r="BQ17" s="273"/>
      <c r="BR17" s="273"/>
      <c r="BS17" s="273"/>
      <c r="BT17" s="367"/>
      <c r="BU17" s="367"/>
      <c r="BV17" s="273"/>
      <c r="BW17" s="273"/>
      <c r="BX17" s="274"/>
    </row>
    <row r="18" spans="16:76" ht="13">
      <c r="P18" s="246">
        <v>16</v>
      </c>
      <c r="Q18" s="263"/>
      <c r="R18" s="264"/>
      <c r="S18" s="264"/>
      <c r="T18" s="264"/>
      <c r="U18" s="264"/>
      <c r="V18" s="264"/>
      <c r="W18" s="264"/>
      <c r="X18" s="264"/>
      <c r="Y18" s="264"/>
      <c r="Z18" s="264"/>
      <c r="AA18" s="361"/>
      <c r="AB18" s="361"/>
      <c r="AC18" s="264"/>
      <c r="AD18" s="264"/>
      <c r="AE18" s="265"/>
      <c r="AF18" s="266"/>
      <c r="AG18" s="267"/>
      <c r="AH18" s="267"/>
      <c r="AI18" s="267"/>
      <c r="AJ18" s="267"/>
      <c r="AK18" s="267"/>
      <c r="AL18" s="267"/>
      <c r="AM18" s="267"/>
      <c r="AN18" s="267"/>
      <c r="AO18" s="267"/>
      <c r="AP18" s="363"/>
      <c r="AQ18" s="363"/>
      <c r="AR18" s="267"/>
      <c r="AS18" s="267"/>
      <c r="AT18" s="268"/>
      <c r="AU18" s="269"/>
      <c r="AV18" s="270"/>
      <c r="AW18" s="270"/>
      <c r="AX18" s="270"/>
      <c r="AY18" s="270"/>
      <c r="AZ18" s="270"/>
      <c r="BA18" s="270"/>
      <c r="BB18" s="270"/>
      <c r="BC18" s="270"/>
      <c r="BD18" s="270"/>
      <c r="BE18" s="365"/>
      <c r="BF18" s="365"/>
      <c r="BG18" s="270"/>
      <c r="BH18" s="270"/>
      <c r="BI18" s="271"/>
      <c r="BJ18" s="272"/>
      <c r="BK18" s="273"/>
      <c r="BL18" s="273"/>
      <c r="BM18" s="273"/>
      <c r="BN18" s="273"/>
      <c r="BO18" s="273"/>
      <c r="BP18" s="273"/>
      <c r="BQ18" s="273"/>
      <c r="BR18" s="273"/>
      <c r="BS18" s="273"/>
      <c r="BT18" s="367"/>
      <c r="BU18" s="367"/>
      <c r="BV18" s="273"/>
      <c r="BW18" s="273"/>
      <c r="BX18" s="274"/>
    </row>
    <row r="19" spans="16:76" ht="13">
      <c r="P19" s="246">
        <v>17</v>
      </c>
      <c r="Q19" s="263"/>
      <c r="R19" s="264"/>
      <c r="S19" s="264"/>
      <c r="T19" s="264"/>
      <c r="U19" s="264"/>
      <c r="V19" s="264"/>
      <c r="W19" s="264"/>
      <c r="X19" s="264"/>
      <c r="Y19" s="264"/>
      <c r="Z19" s="264"/>
      <c r="AA19" s="361"/>
      <c r="AB19" s="361"/>
      <c r="AC19" s="264"/>
      <c r="AD19" s="264"/>
      <c r="AE19" s="265"/>
      <c r="AF19" s="266"/>
      <c r="AG19" s="267"/>
      <c r="AH19" s="267"/>
      <c r="AI19" s="267"/>
      <c r="AJ19" s="267"/>
      <c r="AK19" s="267"/>
      <c r="AL19" s="267"/>
      <c r="AM19" s="267"/>
      <c r="AN19" s="267"/>
      <c r="AO19" s="267"/>
      <c r="AP19" s="363"/>
      <c r="AQ19" s="363"/>
      <c r="AR19" s="267"/>
      <c r="AS19" s="267"/>
      <c r="AT19" s="268"/>
      <c r="AU19" s="269"/>
      <c r="AV19" s="270"/>
      <c r="AW19" s="270"/>
      <c r="AX19" s="270"/>
      <c r="AY19" s="270"/>
      <c r="AZ19" s="270"/>
      <c r="BA19" s="270"/>
      <c r="BB19" s="270"/>
      <c r="BC19" s="270"/>
      <c r="BD19" s="270"/>
      <c r="BE19" s="365"/>
      <c r="BF19" s="365"/>
      <c r="BG19" s="270"/>
      <c r="BH19" s="270"/>
      <c r="BI19" s="271"/>
      <c r="BJ19" s="272"/>
      <c r="BK19" s="273"/>
      <c r="BL19" s="273"/>
      <c r="BM19" s="273"/>
      <c r="BN19" s="273"/>
      <c r="BO19" s="273"/>
      <c r="BP19" s="273"/>
      <c r="BQ19" s="273"/>
      <c r="BR19" s="273"/>
      <c r="BS19" s="273"/>
      <c r="BT19" s="367"/>
      <c r="BU19" s="367"/>
      <c r="BV19" s="273"/>
      <c r="BW19" s="273"/>
      <c r="BX19" s="274"/>
    </row>
    <row r="20" spans="16:76" ht="13">
      <c r="P20" s="246">
        <v>18</v>
      </c>
      <c r="Q20" s="263"/>
      <c r="R20" s="264"/>
      <c r="S20" s="264"/>
      <c r="T20" s="264"/>
      <c r="U20" s="264"/>
      <c r="V20" s="264"/>
      <c r="W20" s="264"/>
      <c r="X20" s="264"/>
      <c r="Y20" s="264"/>
      <c r="Z20" s="264"/>
      <c r="AA20" s="361"/>
      <c r="AB20" s="361"/>
      <c r="AC20" s="264"/>
      <c r="AD20" s="264"/>
      <c r="AE20" s="265"/>
      <c r="AF20" s="266"/>
      <c r="AG20" s="267"/>
      <c r="AH20" s="267"/>
      <c r="AI20" s="267"/>
      <c r="AJ20" s="267"/>
      <c r="AK20" s="267"/>
      <c r="AL20" s="267"/>
      <c r="AM20" s="267"/>
      <c r="AN20" s="267"/>
      <c r="AO20" s="267"/>
      <c r="AP20" s="363"/>
      <c r="AQ20" s="363"/>
      <c r="AR20" s="267"/>
      <c r="AS20" s="267"/>
      <c r="AT20" s="268"/>
      <c r="AU20" s="269"/>
      <c r="AV20" s="270"/>
      <c r="AW20" s="270"/>
      <c r="AX20" s="270"/>
      <c r="AY20" s="270"/>
      <c r="AZ20" s="270"/>
      <c r="BA20" s="270"/>
      <c r="BB20" s="270"/>
      <c r="BC20" s="270"/>
      <c r="BD20" s="270"/>
      <c r="BE20" s="365"/>
      <c r="BF20" s="365"/>
      <c r="BG20" s="270"/>
      <c r="BH20" s="270"/>
      <c r="BI20" s="271"/>
      <c r="BJ20" s="272"/>
      <c r="BK20" s="273"/>
      <c r="BL20" s="273"/>
      <c r="BM20" s="273"/>
      <c r="BN20" s="273"/>
      <c r="BO20" s="273"/>
      <c r="BP20" s="273"/>
      <c r="BQ20" s="273"/>
      <c r="BR20" s="273"/>
      <c r="BS20" s="273"/>
      <c r="BT20" s="367"/>
      <c r="BU20" s="367"/>
      <c r="BV20" s="273"/>
      <c r="BW20" s="273"/>
      <c r="BX20" s="274"/>
    </row>
    <row r="21" spans="16:76" ht="13">
      <c r="P21" s="246">
        <v>19</v>
      </c>
      <c r="Q21" s="263"/>
      <c r="R21" s="264"/>
      <c r="S21" s="264"/>
      <c r="T21" s="264"/>
      <c r="U21" s="264"/>
      <c r="V21" s="264"/>
      <c r="W21" s="264"/>
      <c r="X21" s="264"/>
      <c r="Y21" s="264"/>
      <c r="Z21" s="264"/>
      <c r="AA21" s="361"/>
      <c r="AB21" s="361"/>
      <c r="AC21" s="264"/>
      <c r="AD21" s="264"/>
      <c r="AE21" s="265"/>
      <c r="AF21" s="266"/>
      <c r="AG21" s="267"/>
      <c r="AH21" s="267"/>
      <c r="AI21" s="267"/>
      <c r="AJ21" s="267"/>
      <c r="AK21" s="267"/>
      <c r="AL21" s="267"/>
      <c r="AM21" s="267"/>
      <c r="AN21" s="267"/>
      <c r="AO21" s="267"/>
      <c r="AP21" s="363"/>
      <c r="AQ21" s="363"/>
      <c r="AR21" s="267"/>
      <c r="AS21" s="267"/>
      <c r="AT21" s="268"/>
      <c r="AU21" s="269"/>
      <c r="AV21" s="270"/>
      <c r="AW21" s="270"/>
      <c r="AX21" s="270"/>
      <c r="AY21" s="270"/>
      <c r="AZ21" s="270"/>
      <c r="BA21" s="270"/>
      <c r="BB21" s="270"/>
      <c r="BC21" s="270"/>
      <c r="BD21" s="270"/>
      <c r="BE21" s="365"/>
      <c r="BF21" s="365"/>
      <c r="BG21" s="270"/>
      <c r="BH21" s="270"/>
      <c r="BI21" s="271"/>
      <c r="BJ21" s="272"/>
      <c r="BK21" s="273"/>
      <c r="BL21" s="273"/>
      <c r="BM21" s="273"/>
      <c r="BN21" s="273"/>
      <c r="BO21" s="273"/>
      <c r="BP21" s="273"/>
      <c r="BQ21" s="273"/>
      <c r="BR21" s="273"/>
      <c r="BS21" s="273"/>
      <c r="BT21" s="367"/>
      <c r="BU21" s="367"/>
      <c r="BV21" s="273"/>
      <c r="BW21" s="273"/>
      <c r="BX21" s="274"/>
    </row>
    <row r="22" spans="16:76" ht="13.5" thickBot="1">
      <c r="P22" s="246">
        <v>20</v>
      </c>
      <c r="Q22" s="275"/>
      <c r="R22" s="276"/>
      <c r="S22" s="276"/>
      <c r="T22" s="276"/>
      <c r="U22" s="276"/>
      <c r="V22" s="276"/>
      <c r="W22" s="276"/>
      <c r="X22" s="276"/>
      <c r="Y22" s="276"/>
      <c r="Z22" s="276"/>
      <c r="AA22" s="362"/>
      <c r="AB22" s="362"/>
      <c r="AC22" s="276"/>
      <c r="AD22" s="276"/>
      <c r="AE22" s="277"/>
      <c r="AF22" s="278"/>
      <c r="AG22" s="279"/>
      <c r="AH22" s="279"/>
      <c r="AI22" s="279"/>
      <c r="AJ22" s="279"/>
      <c r="AK22" s="279"/>
      <c r="AL22" s="279"/>
      <c r="AM22" s="279"/>
      <c r="AN22" s="279"/>
      <c r="AO22" s="279"/>
      <c r="AP22" s="364"/>
      <c r="AQ22" s="364"/>
      <c r="AR22" s="279"/>
      <c r="AS22" s="279"/>
      <c r="AT22" s="280"/>
      <c r="AU22" s="281"/>
      <c r="AV22" s="282"/>
      <c r="AW22" s="282"/>
      <c r="AX22" s="282"/>
      <c r="AY22" s="282"/>
      <c r="AZ22" s="282"/>
      <c r="BA22" s="282"/>
      <c r="BB22" s="282"/>
      <c r="BC22" s="282"/>
      <c r="BD22" s="282"/>
      <c r="BE22" s="366"/>
      <c r="BF22" s="366"/>
      <c r="BG22" s="282"/>
      <c r="BH22" s="282"/>
      <c r="BI22" s="283"/>
      <c r="BJ22" s="284"/>
      <c r="BK22" s="285"/>
      <c r="BL22" s="285"/>
      <c r="BM22" s="285"/>
      <c r="BN22" s="285"/>
      <c r="BO22" s="285"/>
      <c r="BP22" s="285"/>
      <c r="BQ22" s="285"/>
      <c r="BR22" s="285"/>
      <c r="BS22" s="285"/>
      <c r="BT22" s="368"/>
      <c r="BU22" s="368"/>
      <c r="BV22" s="285"/>
      <c r="BW22" s="285"/>
      <c r="BX22" s="286"/>
    </row>
    <row r="23" spans="16:76" ht="13" thickTop="1"/>
    <row r="25" spans="16:76">
      <c r="Q25" s="35"/>
    </row>
    <row r="31" spans="16:76">
      <c r="U31" s="97"/>
    </row>
    <row r="32" spans="16:76">
      <c r="U32" s="97"/>
      <c r="V32" s="35"/>
    </row>
    <row r="33" spans="21:22">
      <c r="U33" s="97"/>
      <c r="V33" s="35"/>
    </row>
    <row r="34" spans="21:22">
      <c r="U34" s="97"/>
      <c r="V34" s="35"/>
    </row>
    <row r="35" spans="21:22">
      <c r="U35" s="97"/>
      <c r="V35" s="35"/>
    </row>
    <row r="36" spans="21:22">
      <c r="U36" s="97"/>
      <c r="V36" s="35"/>
    </row>
    <row r="37" spans="21:22">
      <c r="U37" s="97"/>
      <c r="V37" s="35"/>
    </row>
    <row r="38" spans="21:22">
      <c r="U38" s="97"/>
      <c r="V38" s="35"/>
    </row>
    <row r="39" spans="21:22">
      <c r="U39" s="97"/>
      <c r="V39" s="35"/>
    </row>
    <row r="40" spans="21:22">
      <c r="U40" s="97"/>
      <c r="V40" s="35"/>
    </row>
    <row r="41" spans="21:22">
      <c r="U41" s="97"/>
      <c r="V41" s="35"/>
    </row>
    <row r="42" spans="21:22">
      <c r="U42" s="97"/>
      <c r="V42" s="35"/>
    </row>
    <row r="43" spans="21:22">
      <c r="U43" s="97"/>
      <c r="V43" s="35"/>
    </row>
    <row r="44" spans="21:22">
      <c r="U44" s="97"/>
      <c r="V44" s="35"/>
    </row>
    <row r="45" spans="21:22">
      <c r="U45" s="97"/>
      <c r="V45" s="35"/>
    </row>
    <row r="46" spans="21:22">
      <c r="U46" s="97"/>
      <c r="V46" s="35"/>
    </row>
    <row r="47" spans="21:22">
      <c r="U47" s="97"/>
      <c r="V47" s="35"/>
    </row>
    <row r="48" spans="21:22">
      <c r="U48" s="97"/>
      <c r="V48" s="35"/>
    </row>
    <row r="49" spans="21:22">
      <c r="U49" s="97"/>
      <c r="V49" s="35"/>
    </row>
    <row r="50" spans="21:22">
      <c r="U50" s="97"/>
      <c r="V50" s="35"/>
    </row>
  </sheetData>
  <mergeCells count="4">
    <mergeCell ref="BJ1:BX1"/>
    <mergeCell ref="Q1:AE1"/>
    <mergeCell ref="AF1:AT1"/>
    <mergeCell ref="AU1:BI1"/>
  </mergeCells>
  <phoneticPr fontId="3" type="noConversion"/>
  <pageMargins left="0.74803149606299213" right="0.74803149606299213" top="0.98425196850393704" bottom="0.98425196850393704" header="0" footer="0"/>
  <pageSetup paperSize="9" scale="65" orientation="landscape" horizontalDpi="300" verticalDpi="300" r:id="rId1"/>
  <headerFooter alignWithMargins="0"/>
  <rowBreaks count="2" manualBreakCount="2">
    <brk id="39" max="16383" man="1"/>
    <brk id="78"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2530" r:id="rId4" name="Button 2">
              <controlPr defaultSize="0" print="0" autoFill="0" autoPict="0" macro="[0]!Módulo4.Reset">
                <anchor moveWithCells="1" sizeWithCells="1">
                  <from>
                    <xdr:col>0</xdr:col>
                    <xdr:colOff>95250</xdr:colOff>
                    <xdr:row>3</xdr:row>
                    <xdr:rowOff>165100</xdr:rowOff>
                  </from>
                  <to>
                    <xdr:col>1</xdr:col>
                    <xdr:colOff>209550</xdr:colOff>
                    <xdr:row>6</xdr:row>
                    <xdr:rowOff>152400</xdr:rowOff>
                  </to>
                </anchor>
              </controlPr>
            </control>
          </mc:Choice>
        </mc:AlternateContent>
        <mc:AlternateContent xmlns:mc="http://schemas.openxmlformats.org/markup-compatibility/2006">
          <mc:Choice Requires="x14">
            <control shapeId="22533" r:id="rId5" name="Button 5">
              <controlPr defaultSize="0" print="0" autoFill="0" autoPict="0" macro="[0]!go_main_page">
                <anchor moveWithCells="1" sizeWithCells="1">
                  <from>
                    <xdr:col>0</xdr:col>
                    <xdr:colOff>95250</xdr:colOff>
                    <xdr:row>0</xdr:row>
                    <xdr:rowOff>76200</xdr:rowOff>
                  </from>
                  <to>
                    <xdr:col>1</xdr:col>
                    <xdr:colOff>209550</xdr:colOff>
                    <xdr:row>3</xdr:row>
                    <xdr:rowOff>19050</xdr:rowOff>
                  </to>
                </anchor>
              </controlPr>
            </control>
          </mc:Choice>
        </mc:AlternateContent>
        <mc:AlternateContent xmlns:mc="http://schemas.openxmlformats.org/markup-compatibility/2006">
          <mc:Choice Requires="x14">
            <control shapeId="22552" r:id="rId6" name="Button 24">
              <controlPr defaultSize="0" print="0" autoFill="0" autoPict="0" macro="[0]!Control_axis_compare">
                <anchor moveWithCells="1" sizeWithCells="1">
                  <from>
                    <xdr:col>0</xdr:col>
                    <xdr:colOff>95250</xdr:colOff>
                    <xdr:row>7</xdr:row>
                    <xdr:rowOff>127000</xdr:rowOff>
                  </from>
                  <to>
                    <xdr:col>1</xdr:col>
                    <xdr:colOff>209550</xdr:colOff>
                    <xdr:row>10</xdr:row>
                    <xdr:rowOff>114300</xdr:rowOff>
                  </to>
                </anchor>
              </controlPr>
            </control>
          </mc:Choice>
        </mc:AlternateContent>
        <mc:AlternateContent xmlns:mc="http://schemas.openxmlformats.org/markup-compatibility/2006">
          <mc:Choice Requires="x14">
            <control shapeId="22555" r:id="rId7" name="Button 27">
              <controlPr defaultSize="0" print="0" autoFill="0" autoPict="0" macro="[0]!Print_compare_results">
                <anchor moveWithCells="1" sizeWithCells="1">
                  <from>
                    <xdr:col>0</xdr:col>
                    <xdr:colOff>95250</xdr:colOff>
                    <xdr:row>11</xdr:row>
                    <xdr:rowOff>95250</xdr:rowOff>
                  </from>
                  <to>
                    <xdr:col>1</xdr:col>
                    <xdr:colOff>209550</xdr:colOff>
                    <xdr:row>14</xdr:row>
                    <xdr:rowOff>88900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1"/>
  <dimension ref="A1"/>
  <sheetViews>
    <sheetView showRowColHeaders="0" topLeftCell="B2" workbookViewId="0">
      <selection activeCell="H19" sqref="H19"/>
    </sheetView>
  </sheetViews>
  <sheetFormatPr defaultColWidth="11.453125" defaultRowHeight="12.5"/>
  <sheetData/>
  <phoneticPr fontId="3"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11</vt:i4>
      </vt:variant>
    </vt:vector>
  </HeadingPairs>
  <TitlesOfParts>
    <vt:vector size="33" baseType="lpstr">
      <vt:lpstr>main page</vt:lpstr>
      <vt:lpstr>normal case</vt:lpstr>
      <vt:lpstr>controls</vt:lpstr>
      <vt:lpstr>Sheet1</vt:lpstr>
      <vt:lpstr>public finance</vt:lpstr>
      <vt:lpstr>exchange rates</vt:lpstr>
      <vt:lpstr>external balance</vt:lpstr>
      <vt:lpstr>gráficos PC, MR, IS</vt:lpstr>
      <vt:lpstr>inflation, income and inter-2</vt:lpstr>
      <vt:lpstr>inflation, income and interest</vt:lpstr>
      <vt:lpstr>hystere</vt:lpstr>
      <vt:lpstr>delay in perception</vt:lpstr>
      <vt:lpstr>figures on public finance</vt:lpstr>
      <vt:lpstr>numerical results</vt:lpstr>
      <vt:lpstr>input own m.p.</vt:lpstr>
      <vt:lpstr>choose m.p.</vt:lpstr>
      <vt:lpstr>choose m.p. (endogenous policy)</vt:lpstr>
      <vt:lpstr>beta estimation(inputs)</vt:lpstr>
      <vt:lpstr>loss level and beta es(outputs)</vt:lpstr>
      <vt:lpstr>loss level(inputs)</vt:lpstr>
      <vt:lpstr>compare results</vt:lpstr>
      <vt:lpstr>Hoja1</vt:lpstr>
      <vt:lpstr>'beta estimation(inputs)'!Criteria</vt:lpstr>
      <vt:lpstr>'beta estimation(inputs)'!Extract</vt:lpstr>
      <vt:lpstr>juanito</vt:lpstr>
      <vt:lpstr>ole</vt:lpstr>
      <vt:lpstr>pepito</vt:lpstr>
      <vt:lpstr>periodo_final</vt:lpstr>
      <vt:lpstr>periodo_final_2</vt:lpstr>
      <vt:lpstr>'compare results'!Print_Area</vt:lpstr>
      <vt:lpstr>'input own m.p.'!Print_Area</vt:lpstr>
      <vt:lpstr>TrueFalseRange</vt:lpstr>
      <vt:lpstr>TrueFalseRange2</vt:lpstr>
    </vt:vector>
  </TitlesOfParts>
  <Company>Universitat de les Illes Balears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Lozano</dc:creator>
  <cp:lastModifiedBy>Javier Boncompte</cp:lastModifiedBy>
  <cp:lastPrinted>2017-04-06T10:38:01Z</cp:lastPrinted>
  <dcterms:created xsi:type="dcterms:W3CDTF">2006-11-28T09:25:07Z</dcterms:created>
  <dcterms:modified xsi:type="dcterms:W3CDTF">2022-07-05T08:38:23Z</dcterms:modified>
</cp:coreProperties>
</file>